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 windowWidth="14115" windowHeight="8700" tabRatio="940" activeTab="8"/>
  </bookViews>
  <sheets>
    <sheet name="He so chung" sheetId="38" r:id="rId1"/>
    <sheet name="LUONGNGAY" sheetId="3" r:id="rId2"/>
    <sheet name="BanggiaTB" sheetId="49" r:id="rId3"/>
    <sheet name="BanggiaVL" sheetId="48" r:id="rId4"/>
    <sheet name="BanggiaDC" sheetId="47" r:id="rId5"/>
    <sheet name="TRICH DO-DT" sheetId="40" state="hidden" r:id="rId6"/>
    <sheet name="TRICH DO-NT" sheetId="39" state="hidden" r:id="rId7"/>
    <sheet name="Bang gia" sheetId="34" r:id="rId8"/>
    <sheet name="1,DG-capmoi" sheetId="57" r:id="rId9"/>
    <sheet name="2,DG-capdoi (2)" sheetId="62" r:id="rId10"/>
    <sheet name="2,DG-capdoi" sheetId="59" r:id="rId11"/>
    <sheet name="3,DG-dangkybiendong" sheetId="60" r:id="rId12"/>
    <sheet name="4,DG-trichlucHSDC" sheetId="36" r:id="rId13"/>
    <sheet name="NC_DKDD" sheetId="7" r:id="rId14"/>
    <sheet name="Dcu-DKDD" sheetId="31" r:id="rId15"/>
    <sheet name="VL-DKDD" sheetId="18" r:id="rId16"/>
    <sheet name="TB-DKDD" sheetId="35" r:id="rId17"/>
    <sheet name="NL-DKDD" sheetId="37" r:id="rId18"/>
    <sheet name="Sheet1" sheetId="61" r:id="rId19"/>
  </sheets>
  <externalReferences>
    <externalReference r:id="rId20"/>
  </externalReferences>
  <definedNames>
    <definedName name="_xlnm._FilterDatabase" localSheetId="8" hidden="1">'1,DG-capmoi'!$A$8:$U$8</definedName>
    <definedName name="_xlnm._FilterDatabase" localSheetId="13" hidden="1">NC_DKDD!$A$1040:$AB$1070</definedName>
    <definedName name="_xlnm.Print_Titles" localSheetId="8">'1,DG-capmoi'!$715:$716</definedName>
    <definedName name="_xlnm.Print_Titles" localSheetId="11">'3,DG-dangkybiendong'!$352:$353</definedName>
    <definedName name="_xlnm.Print_Titles" localSheetId="12">'4,DG-trichlucHSDC'!$6:$7</definedName>
    <definedName name="_xlnm.Print_Titles" localSheetId="4">BanggiaDC!$3:$3</definedName>
    <definedName name="_xlnm.Print_Titles" localSheetId="3">BanggiaVL!$3:$3</definedName>
  </definedNames>
  <calcPr calcId="144525" fullCalcOnLoad="1"/>
</workbook>
</file>

<file path=xl/calcChain.xml><?xml version="1.0" encoding="utf-8"?>
<calcChain xmlns="http://schemas.openxmlformats.org/spreadsheetml/2006/main">
  <c r="S54" i="57" l="1"/>
  <c r="Q15" i="57"/>
  <c r="Q72" i="57"/>
  <c r="F580" i="57"/>
  <c r="G580" i="57"/>
  <c r="F581" i="57"/>
  <c r="G581" i="57"/>
  <c r="F582" i="57"/>
  <c r="G582" i="57"/>
  <c r="F583" i="57"/>
  <c r="G583" i="57"/>
  <c r="F584" i="57"/>
  <c r="G584" i="57"/>
  <c r="F585" i="57"/>
  <c r="G585" i="57"/>
  <c r="F586" i="57"/>
  <c r="G586" i="57"/>
  <c r="F587" i="57"/>
  <c r="G587" i="57"/>
  <c r="F588" i="57"/>
  <c r="G588" i="57"/>
  <c r="F589" i="57"/>
  <c r="G589" i="57"/>
  <c r="F655" i="57"/>
  <c r="G655" i="57"/>
  <c r="F656" i="57"/>
  <c r="G656" i="57"/>
  <c r="F657" i="57"/>
  <c r="G657" i="57"/>
  <c r="F658" i="57"/>
  <c r="G658" i="57"/>
  <c r="F659" i="57"/>
  <c r="G659" i="57"/>
  <c r="F660" i="57"/>
  <c r="F661" i="57"/>
  <c r="F662" i="57"/>
  <c r="F663" i="57"/>
  <c r="F664" i="57"/>
  <c r="T10" i="59"/>
  <c r="G17" i="59"/>
  <c r="F47" i="59"/>
  <c r="T11" i="59"/>
  <c r="G18" i="59"/>
  <c r="T12" i="59"/>
  <c r="H19" i="59"/>
  <c r="F48" i="59"/>
  <c r="T13" i="59"/>
  <c r="H20" i="59"/>
  <c r="T14" i="59"/>
  <c r="H21" i="59"/>
  <c r="T15" i="59"/>
  <c r="U15" i="59"/>
  <c r="T16" i="59"/>
  <c r="G16" i="59"/>
  <c r="T17" i="59"/>
  <c r="T18" i="59"/>
  <c r="T19" i="59"/>
  <c r="T20" i="59"/>
  <c r="T21" i="59"/>
  <c r="T22" i="59"/>
  <c r="U22" i="59"/>
  <c r="T23" i="59"/>
  <c r="U23" i="59"/>
  <c r="T24" i="59"/>
  <c r="U24" i="59"/>
  <c r="T25" i="59"/>
  <c r="U25" i="59"/>
  <c r="T26" i="59"/>
  <c r="U26" i="59"/>
  <c r="T27" i="59"/>
  <c r="U27" i="59"/>
  <c r="T28" i="59"/>
  <c r="U28" i="59"/>
  <c r="T29" i="59"/>
  <c r="U29" i="59"/>
  <c r="T30" i="59"/>
  <c r="U30" i="59"/>
  <c r="T31" i="59"/>
  <c r="U31" i="59"/>
  <c r="T32" i="59"/>
  <c r="U32" i="59"/>
  <c r="T33" i="59"/>
  <c r="U33" i="59"/>
  <c r="T34" i="59"/>
  <c r="U34" i="59"/>
  <c r="T35" i="59"/>
  <c r="U35" i="59"/>
  <c r="T36" i="59"/>
  <c r="U36" i="59"/>
  <c r="T37" i="59"/>
  <c r="U37" i="59"/>
  <c r="T38" i="59"/>
  <c r="U38" i="59"/>
  <c r="T39" i="59"/>
  <c r="U39" i="59"/>
  <c r="T40" i="59"/>
  <c r="U40" i="59"/>
  <c r="T41" i="59"/>
  <c r="U41" i="59"/>
  <c r="T42" i="59"/>
  <c r="U42" i="59"/>
  <c r="T43" i="59"/>
  <c r="U43" i="59"/>
  <c r="T44" i="59"/>
  <c r="U44" i="59"/>
  <c r="T45" i="59"/>
  <c r="U45" i="59"/>
  <c r="T46" i="59"/>
  <c r="U46" i="59"/>
  <c r="T47" i="59"/>
  <c r="T48" i="59"/>
  <c r="T49" i="59"/>
  <c r="U49" i="59"/>
  <c r="T50" i="59"/>
  <c r="U50" i="59"/>
  <c r="T51" i="59"/>
  <c r="U51" i="59"/>
  <c r="T52" i="59"/>
  <c r="U52" i="59"/>
  <c r="T53" i="59"/>
  <c r="U53" i="59"/>
  <c r="T54" i="59"/>
  <c r="U54" i="59"/>
  <c r="T55" i="59"/>
  <c r="U55" i="59"/>
  <c r="T56" i="59"/>
  <c r="U56" i="59"/>
  <c r="T57" i="59"/>
  <c r="U57" i="59"/>
  <c r="T58" i="59"/>
  <c r="U58" i="59"/>
  <c r="T59" i="59"/>
  <c r="U59" i="59"/>
  <c r="T60" i="59"/>
  <c r="U60" i="59"/>
  <c r="T61" i="59"/>
  <c r="U61" i="59"/>
  <c r="T62" i="59"/>
  <c r="U62" i="59"/>
  <c r="T63" i="59"/>
  <c r="U63" i="59"/>
  <c r="T64" i="59"/>
  <c r="U64" i="59"/>
  <c r="T65" i="59"/>
  <c r="U65" i="59"/>
  <c r="T66" i="59"/>
  <c r="U66" i="59"/>
  <c r="T67" i="59"/>
  <c r="U67" i="59"/>
  <c r="T68" i="59"/>
  <c r="U68" i="59"/>
  <c r="T69" i="59"/>
  <c r="U69" i="59"/>
  <c r="T70" i="59"/>
  <c r="U70" i="59"/>
  <c r="T71" i="59"/>
  <c r="U71" i="59"/>
  <c r="T72" i="59"/>
  <c r="U72" i="59"/>
  <c r="T73" i="59"/>
  <c r="U73" i="59"/>
  <c r="T74" i="59"/>
  <c r="U74" i="59"/>
  <c r="T75" i="59"/>
  <c r="U75" i="59"/>
  <c r="T76" i="59"/>
  <c r="U76" i="59"/>
  <c r="T77" i="59"/>
  <c r="U77" i="59"/>
  <c r="T78" i="59"/>
  <c r="U78" i="59"/>
  <c r="T79" i="59"/>
  <c r="U79" i="59"/>
  <c r="T80" i="59"/>
  <c r="U80" i="59"/>
  <c r="T81" i="59"/>
  <c r="T82" i="59"/>
  <c r="U82" i="59"/>
  <c r="T83" i="59"/>
  <c r="U83" i="59"/>
  <c r="T84" i="59"/>
  <c r="U84" i="59"/>
  <c r="T85" i="59"/>
  <c r="U85" i="59"/>
  <c r="T86" i="59"/>
  <c r="U86" i="59"/>
  <c r="T87" i="59"/>
  <c r="U87" i="59"/>
  <c r="T88" i="59"/>
  <c r="U88" i="59"/>
  <c r="T89" i="59"/>
  <c r="U89" i="59"/>
  <c r="T90" i="59"/>
  <c r="U90" i="59"/>
  <c r="T91" i="59"/>
  <c r="U91" i="59"/>
  <c r="T92" i="59"/>
  <c r="U92" i="59"/>
  <c r="T93" i="59"/>
  <c r="U93" i="59"/>
  <c r="T94" i="59"/>
  <c r="U94" i="59"/>
  <c r="T95" i="59"/>
  <c r="U95" i="59"/>
  <c r="T96" i="59"/>
  <c r="U96" i="59"/>
  <c r="T97" i="59"/>
  <c r="U97" i="59"/>
  <c r="T98" i="59"/>
  <c r="U98" i="59"/>
  <c r="T100" i="59"/>
  <c r="U100" i="59"/>
  <c r="T101" i="59"/>
  <c r="U101" i="59"/>
  <c r="T102" i="59"/>
  <c r="T103" i="59"/>
  <c r="U103" i="59"/>
  <c r="T104" i="59"/>
  <c r="U104" i="59"/>
  <c r="T105" i="59"/>
  <c r="G115" i="59"/>
  <c r="I115" i="59"/>
  <c r="J115" i="59"/>
  <c r="K115" i="59"/>
  <c r="F149" i="59"/>
  <c r="T106" i="59"/>
  <c r="G116" i="59"/>
  <c r="I116" i="59"/>
  <c r="J116" i="59"/>
  <c r="K116" i="59"/>
  <c r="T107" i="59"/>
  <c r="G117" i="59"/>
  <c r="H117" i="59"/>
  <c r="I117" i="59"/>
  <c r="J117" i="59"/>
  <c r="K117" i="59"/>
  <c r="T108" i="59"/>
  <c r="G118" i="59"/>
  <c r="G108" i="59"/>
  <c r="I118" i="59"/>
  <c r="J118" i="59"/>
  <c r="K118" i="59"/>
  <c r="T109" i="59"/>
  <c r="I119" i="59"/>
  <c r="J119" i="59"/>
  <c r="K119" i="59"/>
  <c r="F150" i="59"/>
  <c r="T110" i="59"/>
  <c r="I120" i="59"/>
  <c r="J120" i="59"/>
  <c r="K120" i="59"/>
  <c r="T111" i="59"/>
  <c r="H121" i="59"/>
  <c r="I121" i="59"/>
  <c r="J121" i="59"/>
  <c r="K121" i="59"/>
  <c r="T112" i="59"/>
  <c r="I122" i="59"/>
  <c r="J122" i="59"/>
  <c r="K122" i="59"/>
  <c r="T113" i="59"/>
  <c r="U113" i="59"/>
  <c r="T114" i="59"/>
  <c r="U114" i="59"/>
  <c r="T115" i="59"/>
  <c r="T116" i="59"/>
  <c r="T117" i="59"/>
  <c r="T118" i="59"/>
  <c r="T119" i="59"/>
  <c r="T120" i="59"/>
  <c r="T121" i="59"/>
  <c r="T122" i="59"/>
  <c r="T123" i="59"/>
  <c r="U123" i="59"/>
  <c r="T124" i="59"/>
  <c r="U124" i="59"/>
  <c r="T125" i="59"/>
  <c r="U125" i="59"/>
  <c r="T126" i="59"/>
  <c r="U126" i="59"/>
  <c r="T127" i="59"/>
  <c r="U127" i="59"/>
  <c r="T128" i="59"/>
  <c r="U128" i="59"/>
  <c r="T129" i="59"/>
  <c r="U129" i="59"/>
  <c r="T130" i="59"/>
  <c r="U130" i="59"/>
  <c r="T131" i="59"/>
  <c r="U131" i="59"/>
  <c r="T132" i="59"/>
  <c r="U132" i="59"/>
  <c r="T133" i="59"/>
  <c r="U133" i="59"/>
  <c r="T134" i="59"/>
  <c r="U134" i="59"/>
  <c r="T135" i="59"/>
  <c r="U135" i="59"/>
  <c r="T136" i="59"/>
  <c r="U136" i="59"/>
  <c r="T137" i="59"/>
  <c r="U137" i="59"/>
  <c r="T138" i="59"/>
  <c r="U138" i="59"/>
  <c r="T139" i="59"/>
  <c r="U139" i="59"/>
  <c r="T140" i="59"/>
  <c r="U140" i="59"/>
  <c r="T141" i="59"/>
  <c r="U141" i="59"/>
  <c r="T142" i="59"/>
  <c r="U142" i="59"/>
  <c r="T143" i="59"/>
  <c r="U143" i="59"/>
  <c r="T144" i="59"/>
  <c r="U144" i="59"/>
  <c r="T145" i="59"/>
  <c r="U145" i="59"/>
  <c r="T146" i="59"/>
  <c r="U146" i="59"/>
  <c r="T147" i="59"/>
  <c r="U147" i="59"/>
  <c r="T148" i="59"/>
  <c r="U148" i="59"/>
  <c r="T149" i="59"/>
  <c r="T150" i="59"/>
  <c r="T151" i="59"/>
  <c r="U151" i="59"/>
  <c r="T152" i="59"/>
  <c r="U152" i="59"/>
  <c r="T153" i="59"/>
  <c r="U153" i="59"/>
  <c r="T154" i="59"/>
  <c r="U154" i="59"/>
  <c r="T155" i="59"/>
  <c r="U155" i="59"/>
  <c r="T156" i="59"/>
  <c r="U156" i="59"/>
  <c r="T157" i="59"/>
  <c r="U157" i="59"/>
  <c r="T158" i="59"/>
  <c r="U158" i="59"/>
  <c r="T159" i="59"/>
  <c r="U159" i="59"/>
  <c r="T160" i="59"/>
  <c r="U160" i="59"/>
  <c r="T161" i="59"/>
  <c r="U161" i="59"/>
  <c r="T162" i="59"/>
  <c r="U162" i="59"/>
  <c r="T163" i="59"/>
  <c r="U163" i="59"/>
  <c r="T164" i="59"/>
  <c r="U164" i="59"/>
  <c r="T165" i="59"/>
  <c r="U165" i="59"/>
  <c r="T166" i="59"/>
  <c r="U166" i="59"/>
  <c r="T167" i="59"/>
  <c r="U167" i="59"/>
  <c r="T168" i="59"/>
  <c r="U168" i="59"/>
  <c r="T169" i="59"/>
  <c r="U169" i="59"/>
  <c r="T170" i="59"/>
  <c r="U170" i="59"/>
  <c r="T171" i="59"/>
  <c r="U171" i="59"/>
  <c r="T172" i="59"/>
  <c r="U172" i="59"/>
  <c r="T173" i="59"/>
  <c r="U173" i="59"/>
  <c r="T174" i="59"/>
  <c r="U174" i="59"/>
  <c r="T175" i="59"/>
  <c r="U175" i="59"/>
  <c r="T176" i="59"/>
  <c r="U176" i="59"/>
  <c r="T177" i="59"/>
  <c r="U177" i="59"/>
  <c r="T178" i="59"/>
  <c r="U178" i="59"/>
  <c r="T179" i="59"/>
  <c r="U179" i="59"/>
  <c r="T180" i="59"/>
  <c r="U180" i="59"/>
  <c r="T181" i="59"/>
  <c r="U181" i="59"/>
  <c r="T182" i="59"/>
  <c r="U182" i="59"/>
  <c r="T183" i="59"/>
  <c r="T184" i="59"/>
  <c r="U184" i="59"/>
  <c r="T185" i="59"/>
  <c r="U185" i="59"/>
  <c r="T186" i="59"/>
  <c r="U186" i="59"/>
  <c r="T187" i="59"/>
  <c r="U187" i="59"/>
  <c r="T188" i="59"/>
  <c r="U188" i="59"/>
  <c r="T189" i="59"/>
  <c r="U189" i="59"/>
  <c r="T190" i="59"/>
  <c r="U190" i="59"/>
  <c r="T191" i="59"/>
  <c r="U191" i="59"/>
  <c r="T192" i="59"/>
  <c r="U192" i="59"/>
  <c r="T193" i="59"/>
  <c r="U193" i="59"/>
  <c r="T194" i="59"/>
  <c r="U194" i="59"/>
  <c r="T195" i="59"/>
  <c r="U195" i="59"/>
  <c r="T196" i="59"/>
  <c r="U196" i="59"/>
  <c r="T197" i="59"/>
  <c r="U197" i="59"/>
  <c r="T198" i="59"/>
  <c r="U198" i="59"/>
  <c r="T199" i="59"/>
  <c r="U199" i="59"/>
  <c r="T200" i="59"/>
  <c r="U200" i="59"/>
  <c r="T201" i="59"/>
  <c r="U201" i="59"/>
  <c r="T203" i="59"/>
  <c r="U203" i="59"/>
  <c r="T204" i="59"/>
  <c r="U204" i="59"/>
  <c r="T205" i="59"/>
  <c r="T206" i="59"/>
  <c r="U206" i="59"/>
  <c r="T207" i="59"/>
  <c r="U207" i="59"/>
  <c r="T208" i="59"/>
  <c r="F211" i="59"/>
  <c r="F208" i="59"/>
  <c r="T209" i="59"/>
  <c r="F212" i="59"/>
  <c r="T210" i="59"/>
  <c r="U210" i="59"/>
  <c r="T211" i="59"/>
  <c r="T212" i="59"/>
  <c r="T213" i="59"/>
  <c r="U213" i="59"/>
  <c r="T214" i="59"/>
  <c r="U214" i="59"/>
  <c r="T215" i="59"/>
  <c r="U215" i="59"/>
  <c r="T216" i="59"/>
  <c r="U216" i="59"/>
  <c r="T217" i="59"/>
  <c r="U217" i="59"/>
  <c r="T218" i="59"/>
  <c r="U218" i="59"/>
  <c r="T219" i="59"/>
  <c r="U219" i="59"/>
  <c r="T220" i="59"/>
  <c r="U220" i="59"/>
  <c r="T221" i="59"/>
  <c r="U221" i="59"/>
  <c r="T222" i="59"/>
  <c r="U222" i="59"/>
  <c r="T223" i="59"/>
  <c r="U223" i="59"/>
  <c r="T224" i="59"/>
  <c r="U224" i="59"/>
  <c r="T225" i="59"/>
  <c r="U225" i="59"/>
  <c r="T226" i="59"/>
  <c r="U226" i="59"/>
  <c r="T227" i="59"/>
  <c r="U227" i="59"/>
  <c r="T228" i="59"/>
  <c r="U228" i="59"/>
  <c r="T229" i="59"/>
  <c r="U229" i="59"/>
  <c r="T230" i="59"/>
  <c r="U230" i="59"/>
  <c r="T231" i="59"/>
  <c r="U231" i="59"/>
  <c r="T232" i="59"/>
  <c r="U232" i="59"/>
  <c r="T233" i="59"/>
  <c r="U233" i="59"/>
  <c r="T234" i="59"/>
  <c r="U234" i="59"/>
  <c r="T235" i="59"/>
  <c r="U235" i="59"/>
  <c r="T236" i="59"/>
  <c r="U236" i="59"/>
  <c r="T237" i="59"/>
  <c r="T238" i="59"/>
  <c r="U238" i="59"/>
  <c r="T239" i="59"/>
  <c r="U239" i="59"/>
  <c r="T240" i="59"/>
  <c r="U240" i="59"/>
  <c r="T241" i="59"/>
  <c r="U241" i="59"/>
  <c r="T242" i="59"/>
  <c r="U242" i="59"/>
  <c r="T243" i="59"/>
  <c r="U243" i="59"/>
  <c r="T244" i="59"/>
  <c r="U244" i="59"/>
  <c r="T245" i="59"/>
  <c r="U245" i="59"/>
  <c r="T247" i="59"/>
  <c r="U247" i="59"/>
  <c r="T248" i="59"/>
  <c r="U248" i="59"/>
  <c r="T249" i="59"/>
  <c r="T250" i="59"/>
  <c r="U250" i="59"/>
  <c r="T251" i="59"/>
  <c r="U251" i="59"/>
  <c r="T252" i="59"/>
  <c r="F255" i="59"/>
  <c r="T253" i="59"/>
  <c r="F256" i="59"/>
  <c r="T254" i="59"/>
  <c r="U254" i="59"/>
  <c r="T255" i="59"/>
  <c r="T256" i="59"/>
  <c r="T257" i="59"/>
  <c r="U257" i="59"/>
  <c r="T258" i="59"/>
  <c r="U258" i="59"/>
  <c r="T259" i="59"/>
  <c r="U259" i="59"/>
  <c r="T260" i="59"/>
  <c r="U260" i="59"/>
  <c r="T261" i="59"/>
  <c r="U261" i="59"/>
  <c r="T262" i="59"/>
  <c r="U262" i="59"/>
  <c r="T263" i="59"/>
  <c r="U263" i="59"/>
  <c r="T264" i="59"/>
  <c r="U264" i="59"/>
  <c r="T265" i="59"/>
  <c r="U265" i="59"/>
  <c r="T266" i="59"/>
  <c r="U266" i="59"/>
  <c r="T267" i="59"/>
  <c r="U267" i="59"/>
  <c r="T268" i="59"/>
  <c r="U268" i="59"/>
  <c r="T269" i="59"/>
  <c r="U269" i="59"/>
  <c r="T270" i="59"/>
  <c r="U270" i="59"/>
  <c r="T271" i="59"/>
  <c r="U271" i="59"/>
  <c r="T272" i="59"/>
  <c r="U272" i="59"/>
  <c r="T273" i="59"/>
  <c r="U273" i="59"/>
  <c r="T274" i="59"/>
  <c r="U274" i="59"/>
  <c r="T275" i="59"/>
  <c r="U275" i="59"/>
  <c r="T276" i="59"/>
  <c r="U276" i="59"/>
  <c r="T277" i="59"/>
  <c r="U277" i="59"/>
  <c r="T278" i="59"/>
  <c r="U278" i="59"/>
  <c r="T279" i="59"/>
  <c r="U279" i="59"/>
  <c r="T280" i="59"/>
  <c r="U280" i="59"/>
  <c r="T281" i="59"/>
  <c r="T282" i="59"/>
  <c r="U282" i="59"/>
  <c r="T283" i="59"/>
  <c r="U283" i="59"/>
  <c r="T284" i="59"/>
  <c r="U284" i="59"/>
  <c r="T285" i="59"/>
  <c r="U285" i="59"/>
  <c r="T286" i="59"/>
  <c r="U286" i="59"/>
  <c r="T287" i="59"/>
  <c r="U287" i="59"/>
  <c r="T288" i="59"/>
  <c r="U288" i="59"/>
  <c r="T290" i="59"/>
  <c r="U290" i="59"/>
  <c r="T291" i="59"/>
  <c r="U291" i="59"/>
  <c r="T292" i="59"/>
  <c r="T293" i="59"/>
  <c r="U293" i="59"/>
  <c r="T294" i="59"/>
  <c r="U294" i="59"/>
  <c r="T295" i="59"/>
  <c r="T296" i="59"/>
  <c r="T297" i="59"/>
  <c r="U297" i="59"/>
  <c r="T298" i="59"/>
  <c r="U298" i="59"/>
  <c r="T299" i="59"/>
  <c r="T300" i="59"/>
  <c r="T301" i="59"/>
  <c r="U301" i="59"/>
  <c r="T302" i="59"/>
  <c r="U302" i="59"/>
  <c r="T303" i="59"/>
  <c r="U303" i="59"/>
  <c r="T304" i="59"/>
  <c r="U304" i="59"/>
  <c r="T305" i="59"/>
  <c r="U305" i="59"/>
  <c r="T306" i="59"/>
  <c r="U306" i="59"/>
  <c r="T307" i="59"/>
  <c r="U307" i="59"/>
  <c r="T308" i="59"/>
  <c r="U308" i="59"/>
  <c r="T309" i="59"/>
  <c r="U309" i="59"/>
  <c r="T310" i="59"/>
  <c r="U310" i="59"/>
  <c r="T311" i="59"/>
  <c r="U311" i="59"/>
  <c r="T312" i="59"/>
  <c r="U312" i="59"/>
  <c r="T313" i="59"/>
  <c r="U313" i="59"/>
  <c r="T314" i="59"/>
  <c r="U314" i="59"/>
  <c r="T315" i="59"/>
  <c r="U315" i="59"/>
  <c r="T316" i="59"/>
  <c r="U316" i="59"/>
  <c r="T317" i="59"/>
  <c r="U317" i="59"/>
  <c r="T318" i="59"/>
  <c r="U318" i="59"/>
  <c r="T319" i="59"/>
  <c r="U319" i="59"/>
  <c r="T320" i="59"/>
  <c r="U320" i="59"/>
  <c r="T321" i="59"/>
  <c r="U321" i="59"/>
  <c r="T322" i="59"/>
  <c r="U322" i="59"/>
  <c r="T323" i="59"/>
  <c r="U323" i="59"/>
  <c r="T324" i="59"/>
  <c r="U324" i="59"/>
  <c r="T325" i="59"/>
  <c r="T326" i="59"/>
  <c r="U326" i="59"/>
  <c r="T327" i="59"/>
  <c r="U327" i="59"/>
  <c r="T328" i="59"/>
  <c r="U328" i="59"/>
  <c r="T329" i="59"/>
  <c r="U329" i="59"/>
  <c r="T330" i="59"/>
  <c r="U330" i="59"/>
  <c r="T331" i="59"/>
  <c r="U331" i="59"/>
  <c r="T332" i="59"/>
  <c r="U332" i="59"/>
  <c r="T334" i="59"/>
  <c r="U334" i="59"/>
  <c r="T335" i="59"/>
  <c r="T336" i="59"/>
  <c r="U336" i="59"/>
  <c r="T337" i="59"/>
  <c r="U337" i="59"/>
  <c r="T338" i="59"/>
  <c r="F342" i="59"/>
  <c r="T339" i="59"/>
  <c r="F343" i="59"/>
  <c r="T340" i="59"/>
  <c r="U340" i="59"/>
  <c r="T341" i="59"/>
  <c r="U341" i="59"/>
  <c r="T342" i="59"/>
  <c r="T343" i="59"/>
  <c r="T344" i="59"/>
  <c r="U344" i="59"/>
  <c r="T345" i="59"/>
  <c r="U345" i="59"/>
  <c r="T346" i="59"/>
  <c r="U346" i="59"/>
  <c r="T347" i="59"/>
  <c r="U347" i="59"/>
  <c r="T348" i="59"/>
  <c r="U348" i="59"/>
  <c r="T349" i="59"/>
  <c r="U349" i="59"/>
  <c r="T350" i="59"/>
  <c r="U350" i="59"/>
  <c r="T351" i="59"/>
  <c r="U351" i="59"/>
  <c r="T352" i="59"/>
  <c r="U352" i="59"/>
  <c r="T353" i="59"/>
  <c r="U353" i="59"/>
  <c r="T354" i="59"/>
  <c r="U354" i="59"/>
  <c r="T355" i="59"/>
  <c r="U355" i="59"/>
  <c r="T356" i="59"/>
  <c r="U356" i="59"/>
  <c r="T357" i="59"/>
  <c r="U357" i="59"/>
  <c r="T358" i="59"/>
  <c r="U358" i="59"/>
  <c r="T359" i="59"/>
  <c r="U359" i="59"/>
  <c r="T360" i="59"/>
  <c r="U360" i="59"/>
  <c r="T361" i="59"/>
  <c r="U361" i="59"/>
  <c r="T362" i="59"/>
  <c r="U362" i="59"/>
  <c r="T363" i="59"/>
  <c r="U363" i="59"/>
  <c r="T364" i="59"/>
  <c r="U364" i="59"/>
  <c r="T365" i="59"/>
  <c r="U365" i="59"/>
  <c r="T366" i="59"/>
  <c r="U366" i="59"/>
  <c r="T367" i="59"/>
  <c r="U367" i="59"/>
  <c r="T368" i="59"/>
  <c r="T369" i="59"/>
  <c r="U369" i="59"/>
  <c r="T370" i="59"/>
  <c r="T371" i="59"/>
  <c r="U371" i="59"/>
  <c r="T372" i="59"/>
  <c r="U372" i="59"/>
  <c r="T373" i="59"/>
  <c r="U373" i="59"/>
  <c r="T374" i="59"/>
  <c r="U374" i="59"/>
  <c r="T375" i="59"/>
  <c r="U375" i="59"/>
  <c r="T377" i="59"/>
  <c r="U377" i="59"/>
  <c r="T378" i="59"/>
  <c r="T379" i="59"/>
  <c r="U379" i="59"/>
  <c r="T380" i="59"/>
  <c r="U380" i="59"/>
  <c r="T381" i="59"/>
  <c r="F385" i="59"/>
  <c r="F381" i="59"/>
  <c r="T382" i="59"/>
  <c r="F386" i="59"/>
  <c r="T383" i="59"/>
  <c r="U383" i="59"/>
  <c r="T384" i="59"/>
  <c r="U384" i="59"/>
  <c r="T385" i="59"/>
  <c r="T386" i="59"/>
  <c r="T387" i="59"/>
  <c r="U387" i="59"/>
  <c r="T388" i="59"/>
  <c r="U388" i="59"/>
  <c r="T389" i="59"/>
  <c r="U389" i="59"/>
  <c r="T390" i="59"/>
  <c r="U390" i="59"/>
  <c r="T391" i="59"/>
  <c r="U391" i="59"/>
  <c r="T392" i="59"/>
  <c r="U392" i="59"/>
  <c r="T393" i="59"/>
  <c r="U393" i="59"/>
  <c r="T394" i="59"/>
  <c r="U394" i="59"/>
  <c r="T395" i="59"/>
  <c r="U395" i="59"/>
  <c r="T396" i="59"/>
  <c r="U396" i="59"/>
  <c r="T397" i="59"/>
  <c r="U397" i="59"/>
  <c r="T398" i="59"/>
  <c r="U398" i="59"/>
  <c r="T399" i="59"/>
  <c r="U399" i="59"/>
  <c r="T400" i="59"/>
  <c r="U400" i="59"/>
  <c r="T401" i="59"/>
  <c r="U401" i="59"/>
  <c r="T402" i="59"/>
  <c r="U402" i="59"/>
  <c r="T403" i="59"/>
  <c r="U403" i="59"/>
  <c r="T404" i="59"/>
  <c r="U404" i="59"/>
  <c r="T405" i="59"/>
  <c r="U405" i="59"/>
  <c r="T406" i="59"/>
  <c r="U406" i="59"/>
  <c r="T407" i="59"/>
  <c r="U407" i="59"/>
  <c r="T408" i="59"/>
  <c r="U408" i="59"/>
  <c r="T409" i="59"/>
  <c r="U409" i="59"/>
  <c r="T410" i="59"/>
  <c r="U410" i="59"/>
  <c r="T411" i="59"/>
  <c r="U411" i="59"/>
  <c r="T412" i="59"/>
  <c r="T413" i="59"/>
  <c r="U413" i="59"/>
  <c r="T414" i="59"/>
  <c r="T415" i="59"/>
  <c r="U415" i="59"/>
  <c r="T416" i="59"/>
  <c r="U416" i="59"/>
  <c r="T417" i="59"/>
  <c r="U417" i="59"/>
  <c r="T418" i="59"/>
  <c r="U418" i="59"/>
  <c r="T420" i="59"/>
  <c r="U420" i="59"/>
  <c r="T422" i="59"/>
  <c r="U422" i="59"/>
  <c r="T423" i="59"/>
  <c r="U423" i="59"/>
  <c r="T424" i="59"/>
  <c r="T425" i="59"/>
  <c r="T426" i="59"/>
  <c r="U426" i="59"/>
  <c r="T427" i="59"/>
  <c r="U427" i="59"/>
  <c r="T428" i="59"/>
  <c r="T429" i="59"/>
  <c r="T430" i="59"/>
  <c r="U430" i="59"/>
  <c r="T431" i="59"/>
  <c r="U431" i="59"/>
  <c r="T432" i="59"/>
  <c r="U432" i="59"/>
  <c r="T433" i="59"/>
  <c r="U433" i="59"/>
  <c r="T434" i="59"/>
  <c r="U434" i="59"/>
  <c r="T435" i="59"/>
  <c r="U435" i="59"/>
  <c r="T436" i="59"/>
  <c r="U436" i="59"/>
  <c r="T437" i="59"/>
  <c r="U437" i="59"/>
  <c r="T438" i="59"/>
  <c r="U438" i="59"/>
  <c r="T439" i="59"/>
  <c r="U439" i="59"/>
  <c r="T440" i="59"/>
  <c r="U440" i="59"/>
  <c r="T441" i="59"/>
  <c r="U441" i="59"/>
  <c r="T442" i="59"/>
  <c r="U442" i="59"/>
  <c r="T443" i="59"/>
  <c r="U443" i="59"/>
  <c r="T444" i="59"/>
  <c r="U444" i="59"/>
  <c r="T445" i="59"/>
  <c r="U445" i="59"/>
  <c r="T446" i="59"/>
  <c r="U446" i="59"/>
  <c r="T447" i="59"/>
  <c r="U447" i="59"/>
  <c r="T448" i="59"/>
  <c r="U448" i="59"/>
  <c r="T449" i="59"/>
  <c r="U449" i="59"/>
  <c r="T450" i="59"/>
  <c r="U450" i="59"/>
  <c r="T451" i="59"/>
  <c r="U451" i="59"/>
  <c r="T452" i="59"/>
  <c r="U452" i="59"/>
  <c r="T453" i="59"/>
  <c r="U453" i="59"/>
  <c r="T454" i="59"/>
  <c r="T455" i="59"/>
  <c r="U455" i="59"/>
  <c r="T456" i="59"/>
  <c r="T457" i="59"/>
  <c r="U457" i="59"/>
  <c r="T9" i="59"/>
  <c r="T421" i="59"/>
  <c r="T52" i="57"/>
  <c r="U52" i="57"/>
  <c r="T53" i="57"/>
  <c r="U53" i="57"/>
  <c r="T54" i="57"/>
  <c r="U54" i="57"/>
  <c r="T55" i="57"/>
  <c r="U55" i="57"/>
  <c r="T56" i="57"/>
  <c r="U56" i="57"/>
  <c r="T57" i="57"/>
  <c r="U57" i="57"/>
  <c r="T58" i="57"/>
  <c r="U58" i="57"/>
  <c r="T59" i="57"/>
  <c r="U59" i="57"/>
  <c r="T60" i="57"/>
  <c r="U60" i="57"/>
  <c r="T61" i="57"/>
  <c r="U61" i="57"/>
  <c r="T62" i="57"/>
  <c r="U62" i="57"/>
  <c r="T63" i="57"/>
  <c r="U63" i="57"/>
  <c r="T64" i="57"/>
  <c r="U64" i="57"/>
  <c r="T65" i="57"/>
  <c r="U65" i="57"/>
  <c r="T66" i="57"/>
  <c r="U66" i="57"/>
  <c r="T67" i="57"/>
  <c r="U67" i="57"/>
  <c r="T68" i="57"/>
  <c r="U68" i="57"/>
  <c r="T69" i="57"/>
  <c r="U69" i="57"/>
  <c r="T70" i="57"/>
  <c r="U70" i="57"/>
  <c r="T71" i="57"/>
  <c r="U71" i="57"/>
  <c r="T72" i="57"/>
  <c r="U72" i="57"/>
  <c r="T73" i="57"/>
  <c r="U73" i="57"/>
  <c r="T74" i="57"/>
  <c r="U74" i="57"/>
  <c r="T75" i="57"/>
  <c r="U75" i="57"/>
  <c r="T76" i="57"/>
  <c r="U76" i="57"/>
  <c r="T77" i="57"/>
  <c r="U77" i="57"/>
  <c r="T78" i="57"/>
  <c r="U78" i="57"/>
  <c r="T79" i="57"/>
  <c r="U79" i="57"/>
  <c r="T80" i="57"/>
  <c r="U80" i="57"/>
  <c r="T81" i="57"/>
  <c r="U81" i="57"/>
  <c r="T82" i="57"/>
  <c r="E87" i="57"/>
  <c r="S85" i="57"/>
  <c r="S86" i="57"/>
  <c r="S88" i="57"/>
  <c r="S89" i="57"/>
  <c r="S90" i="57"/>
  <c r="T83" i="57"/>
  <c r="T84" i="57"/>
  <c r="U84" i="57"/>
  <c r="T85" i="57"/>
  <c r="U85" i="57"/>
  <c r="T86" i="57"/>
  <c r="U86" i="57"/>
  <c r="T87" i="57"/>
  <c r="U87" i="57"/>
  <c r="T88" i="57"/>
  <c r="U88" i="57"/>
  <c r="T89" i="57"/>
  <c r="U89" i="57"/>
  <c r="T90" i="57"/>
  <c r="U90" i="57"/>
  <c r="T91" i="57"/>
  <c r="U91" i="57"/>
  <c r="T92" i="57"/>
  <c r="U92" i="57"/>
  <c r="T93" i="57"/>
  <c r="U93" i="57"/>
  <c r="T94" i="57"/>
  <c r="U94" i="57"/>
  <c r="T95" i="57"/>
  <c r="U95" i="57"/>
  <c r="T96" i="57"/>
  <c r="U96" i="57"/>
  <c r="T97" i="57"/>
  <c r="U97" i="57"/>
  <c r="T98" i="57"/>
  <c r="U98" i="57"/>
  <c r="T99" i="57"/>
  <c r="U99" i="57"/>
  <c r="T101" i="57"/>
  <c r="U101" i="57"/>
  <c r="T102" i="57"/>
  <c r="U102" i="57"/>
  <c r="T104" i="57"/>
  <c r="U104" i="57"/>
  <c r="T105" i="57"/>
  <c r="U105" i="57"/>
  <c r="T106" i="57"/>
  <c r="U106" i="57"/>
  <c r="T107" i="57"/>
  <c r="G116" i="57"/>
  <c r="F149" i="57"/>
  <c r="E188" i="57"/>
  <c r="T108" i="57"/>
  <c r="G117" i="57"/>
  <c r="T109" i="57"/>
  <c r="G118" i="57"/>
  <c r="T110" i="57"/>
  <c r="G119" i="57"/>
  <c r="T111" i="57"/>
  <c r="F150" i="57"/>
  <c r="T112" i="57"/>
  <c r="T113" i="57"/>
  <c r="T114" i="57"/>
  <c r="T115" i="57"/>
  <c r="U115" i="57"/>
  <c r="T116" i="57"/>
  <c r="T117" i="57"/>
  <c r="T118" i="57"/>
  <c r="T119" i="57"/>
  <c r="T120" i="57"/>
  <c r="T121" i="57"/>
  <c r="T122" i="57"/>
  <c r="T123" i="57"/>
  <c r="T124" i="57"/>
  <c r="U124" i="57"/>
  <c r="T125" i="57"/>
  <c r="U125" i="57"/>
  <c r="T126" i="57"/>
  <c r="U126" i="57"/>
  <c r="T127" i="57"/>
  <c r="U127" i="57"/>
  <c r="T128" i="57"/>
  <c r="U128" i="57"/>
  <c r="T129" i="57"/>
  <c r="U129" i="57"/>
  <c r="T130" i="57"/>
  <c r="U130" i="57"/>
  <c r="T131" i="57"/>
  <c r="U131" i="57"/>
  <c r="T132" i="57"/>
  <c r="U132" i="57"/>
  <c r="T133" i="57"/>
  <c r="U133" i="57"/>
  <c r="T134" i="57"/>
  <c r="U134" i="57"/>
  <c r="T135" i="57"/>
  <c r="U135" i="57"/>
  <c r="T136" i="57"/>
  <c r="U136" i="57"/>
  <c r="T137" i="57"/>
  <c r="U137" i="57"/>
  <c r="T138" i="57"/>
  <c r="U138" i="57"/>
  <c r="T139" i="57"/>
  <c r="U139" i="57"/>
  <c r="T140" i="57"/>
  <c r="U140" i="57"/>
  <c r="T141" i="57"/>
  <c r="U141" i="57"/>
  <c r="T142" i="57"/>
  <c r="U142" i="57"/>
  <c r="T143" i="57"/>
  <c r="U143" i="57"/>
  <c r="T144" i="57"/>
  <c r="U144" i="57"/>
  <c r="T145" i="57"/>
  <c r="U145" i="57"/>
  <c r="T146" i="57"/>
  <c r="U146" i="57"/>
  <c r="T147" i="57"/>
  <c r="U147" i="57"/>
  <c r="T148" i="57"/>
  <c r="U148" i="57"/>
  <c r="T149" i="57"/>
  <c r="T150" i="57"/>
  <c r="T151" i="57"/>
  <c r="U151" i="57"/>
  <c r="T152" i="57"/>
  <c r="U152" i="57"/>
  <c r="T153" i="57"/>
  <c r="U153" i="57"/>
  <c r="T154" i="57"/>
  <c r="U154" i="57"/>
  <c r="T155" i="57"/>
  <c r="U155" i="57"/>
  <c r="T156" i="57"/>
  <c r="U156" i="57"/>
  <c r="T157" i="57"/>
  <c r="U157" i="57"/>
  <c r="T158" i="57"/>
  <c r="U158" i="57"/>
  <c r="T159" i="57"/>
  <c r="U159" i="57"/>
  <c r="T160" i="57"/>
  <c r="U160" i="57"/>
  <c r="T161" i="57"/>
  <c r="U161" i="57"/>
  <c r="T162" i="57"/>
  <c r="U162" i="57"/>
  <c r="T163" i="57"/>
  <c r="U163" i="57"/>
  <c r="T164" i="57"/>
  <c r="U164" i="57"/>
  <c r="T165" i="57"/>
  <c r="U165" i="57"/>
  <c r="T166" i="57"/>
  <c r="U166" i="57"/>
  <c r="T167" i="57"/>
  <c r="U167" i="57"/>
  <c r="T168" i="57"/>
  <c r="U168" i="57"/>
  <c r="T169" i="57"/>
  <c r="U169" i="57"/>
  <c r="T170" i="57"/>
  <c r="U170" i="57"/>
  <c r="T171" i="57"/>
  <c r="U171" i="57"/>
  <c r="T172" i="57"/>
  <c r="U172" i="57"/>
  <c r="T173" i="57"/>
  <c r="U173" i="57"/>
  <c r="T174" i="57"/>
  <c r="U174" i="57"/>
  <c r="T175" i="57"/>
  <c r="U175" i="57"/>
  <c r="T176" i="57"/>
  <c r="U176" i="57"/>
  <c r="T177" i="57"/>
  <c r="U177" i="57"/>
  <c r="T178" i="57"/>
  <c r="U178" i="57"/>
  <c r="T179" i="57"/>
  <c r="U179" i="57"/>
  <c r="T180" i="57"/>
  <c r="U180" i="57"/>
  <c r="T181" i="57"/>
  <c r="U181" i="57"/>
  <c r="T182" i="57"/>
  <c r="U182" i="57"/>
  <c r="T183" i="57"/>
  <c r="T184" i="57"/>
  <c r="T185" i="57"/>
  <c r="U185" i="57"/>
  <c r="T186" i="57"/>
  <c r="U186" i="57"/>
  <c r="T187" i="57"/>
  <c r="U187" i="57"/>
  <c r="T188" i="57"/>
  <c r="U188" i="57"/>
  <c r="T189" i="57"/>
  <c r="U189" i="57"/>
  <c r="T190" i="57"/>
  <c r="U190" i="57"/>
  <c r="T191" i="57"/>
  <c r="U191" i="57"/>
  <c r="T192" i="57"/>
  <c r="U192" i="57"/>
  <c r="T193" i="57"/>
  <c r="U193" i="57"/>
  <c r="T194" i="57"/>
  <c r="U194" i="57"/>
  <c r="T195" i="57"/>
  <c r="U195" i="57"/>
  <c r="T196" i="57"/>
  <c r="U196" i="57"/>
  <c r="T197" i="57"/>
  <c r="U197" i="57"/>
  <c r="T198" i="57"/>
  <c r="U198" i="57"/>
  <c r="T199" i="57"/>
  <c r="U199" i="57"/>
  <c r="T200" i="57"/>
  <c r="U200" i="57"/>
  <c r="T201" i="57"/>
  <c r="U201" i="57"/>
  <c r="T203" i="57"/>
  <c r="U203" i="57"/>
  <c r="T204" i="57"/>
  <c r="U204" i="57"/>
  <c r="T206" i="57"/>
  <c r="U206" i="57"/>
  <c r="T207" i="57"/>
  <c r="U207" i="57"/>
  <c r="T208" i="57"/>
  <c r="T209" i="57"/>
  <c r="T210" i="57"/>
  <c r="T211" i="57"/>
  <c r="T212" i="57"/>
  <c r="T213" i="57"/>
  <c r="T214" i="57"/>
  <c r="T215" i="57"/>
  <c r="T216" i="57"/>
  <c r="T217" i="57"/>
  <c r="T218" i="57"/>
  <c r="U218" i="57"/>
  <c r="T219" i="57"/>
  <c r="U219" i="57"/>
  <c r="T220" i="57"/>
  <c r="T221" i="57"/>
  <c r="T222" i="57"/>
  <c r="T223" i="57"/>
  <c r="T224" i="57"/>
  <c r="T225" i="57"/>
  <c r="T226" i="57"/>
  <c r="T227" i="57"/>
  <c r="T228" i="57"/>
  <c r="T229" i="57"/>
  <c r="T230" i="57"/>
  <c r="U230" i="57"/>
  <c r="T231" i="57"/>
  <c r="U231" i="57"/>
  <c r="T232" i="57"/>
  <c r="U232" i="57"/>
  <c r="T233" i="57"/>
  <c r="U233" i="57"/>
  <c r="T234" i="57"/>
  <c r="U234" i="57"/>
  <c r="T235" i="57"/>
  <c r="U235" i="57"/>
  <c r="T236" i="57"/>
  <c r="U236" i="57"/>
  <c r="T237" i="57"/>
  <c r="U237" i="57"/>
  <c r="T238" i="57"/>
  <c r="U238" i="57"/>
  <c r="T239" i="57"/>
  <c r="U239" i="57"/>
  <c r="T240" i="57"/>
  <c r="U240" i="57"/>
  <c r="T241" i="57"/>
  <c r="U241" i="57"/>
  <c r="T242" i="57"/>
  <c r="U242" i="57"/>
  <c r="T243" i="57"/>
  <c r="U243" i="57"/>
  <c r="T244" i="57"/>
  <c r="U244" i="57"/>
  <c r="T245" i="57"/>
  <c r="U245" i="57"/>
  <c r="T246" i="57"/>
  <c r="U246" i="57"/>
  <c r="T247" i="57"/>
  <c r="U247" i="57"/>
  <c r="T248" i="57"/>
  <c r="U248" i="57"/>
  <c r="T249" i="57"/>
  <c r="U249" i="57"/>
  <c r="T250" i="57"/>
  <c r="U250" i="57"/>
  <c r="T251" i="57"/>
  <c r="U251" i="57"/>
  <c r="T252" i="57"/>
  <c r="T253" i="57"/>
  <c r="U253" i="57"/>
  <c r="T254" i="57"/>
  <c r="U254" i="57"/>
  <c r="T255" i="57"/>
  <c r="U255" i="57"/>
  <c r="T256" i="57"/>
  <c r="U256" i="57"/>
  <c r="T257" i="57"/>
  <c r="U257" i="57"/>
  <c r="T258" i="57"/>
  <c r="U258" i="57"/>
  <c r="T259" i="57"/>
  <c r="U259" i="57"/>
  <c r="T260" i="57"/>
  <c r="U260" i="57"/>
  <c r="T261" i="57"/>
  <c r="U261" i="57"/>
  <c r="T262" i="57"/>
  <c r="U262" i="57"/>
  <c r="T264" i="57"/>
  <c r="U264" i="57"/>
  <c r="T265" i="57"/>
  <c r="U265" i="57"/>
  <c r="T266" i="57"/>
  <c r="T267" i="57"/>
  <c r="T268" i="57"/>
  <c r="U268" i="57"/>
  <c r="T269" i="57"/>
  <c r="U269" i="57"/>
  <c r="T270" i="57"/>
  <c r="T271" i="57"/>
  <c r="T272" i="57"/>
  <c r="U272" i="57"/>
  <c r="T273" i="57"/>
  <c r="U273" i="57"/>
  <c r="T274" i="57"/>
  <c r="U274" i="57"/>
  <c r="T275" i="57"/>
  <c r="U275" i="57"/>
  <c r="T276" i="57"/>
  <c r="U276" i="57"/>
  <c r="T277" i="57"/>
  <c r="U277" i="57"/>
  <c r="T278" i="57"/>
  <c r="U278" i="57"/>
  <c r="T279" i="57"/>
  <c r="U279" i="57"/>
  <c r="T280" i="57"/>
  <c r="U280" i="57"/>
  <c r="T281" i="57"/>
  <c r="U281" i="57"/>
  <c r="T282" i="57"/>
  <c r="U282" i="57"/>
  <c r="T283" i="57"/>
  <c r="U283" i="57"/>
  <c r="T284" i="57"/>
  <c r="U284" i="57"/>
  <c r="T285" i="57"/>
  <c r="U285" i="57"/>
  <c r="T286" i="57"/>
  <c r="U286" i="57"/>
  <c r="T287" i="57"/>
  <c r="U287" i="57"/>
  <c r="T288" i="57"/>
  <c r="U288" i="57"/>
  <c r="T289" i="57"/>
  <c r="U289" i="57"/>
  <c r="T290" i="57"/>
  <c r="U290" i="57"/>
  <c r="T291" i="57"/>
  <c r="U291" i="57"/>
  <c r="T292" i="57"/>
  <c r="U292" i="57"/>
  <c r="T293" i="57"/>
  <c r="U293" i="57"/>
  <c r="T294" i="57"/>
  <c r="U294" i="57"/>
  <c r="T295" i="57"/>
  <c r="U295" i="57"/>
  <c r="T296" i="57"/>
  <c r="U296" i="57"/>
  <c r="T297" i="57"/>
  <c r="U297" i="57"/>
  <c r="T298" i="57"/>
  <c r="U298" i="57"/>
  <c r="T299" i="57"/>
  <c r="U299" i="57"/>
  <c r="T300" i="57"/>
  <c r="U300" i="57"/>
  <c r="T301" i="57"/>
  <c r="U301" i="57"/>
  <c r="T302" i="57"/>
  <c r="U302" i="57"/>
  <c r="T303" i="57"/>
  <c r="U303" i="57"/>
  <c r="T304" i="57"/>
  <c r="U304" i="57"/>
  <c r="T305" i="57"/>
  <c r="U305" i="57"/>
  <c r="T306" i="57"/>
  <c r="U306" i="57"/>
  <c r="T307" i="57"/>
  <c r="U307" i="57"/>
  <c r="T308" i="57"/>
  <c r="U308" i="57"/>
  <c r="T309" i="57"/>
  <c r="U309" i="57"/>
  <c r="T310" i="57"/>
  <c r="U310" i="57"/>
  <c r="T311" i="57"/>
  <c r="U311" i="57"/>
  <c r="T312" i="57"/>
  <c r="U312" i="57"/>
  <c r="T313" i="57"/>
  <c r="U313" i="57"/>
  <c r="T314" i="57"/>
  <c r="T315" i="57"/>
  <c r="U315" i="57"/>
  <c r="T316" i="57"/>
  <c r="U316" i="57"/>
  <c r="T317" i="57"/>
  <c r="U317" i="57"/>
  <c r="T318" i="57"/>
  <c r="U318" i="57"/>
  <c r="T319" i="57"/>
  <c r="U319" i="57"/>
  <c r="T320" i="57"/>
  <c r="U320" i="57"/>
  <c r="T321" i="57"/>
  <c r="U321" i="57"/>
  <c r="T322" i="57"/>
  <c r="U322" i="57"/>
  <c r="T324" i="57"/>
  <c r="U324" i="57"/>
  <c r="T325" i="57"/>
  <c r="U325" i="57"/>
  <c r="T327" i="57"/>
  <c r="U327" i="57"/>
  <c r="T328" i="57"/>
  <c r="U328" i="57"/>
  <c r="T329" i="57"/>
  <c r="T330" i="57"/>
  <c r="T331" i="57"/>
  <c r="T332" i="57"/>
  <c r="T333" i="57"/>
  <c r="T334" i="57"/>
  <c r="T335" i="57"/>
  <c r="T336" i="57"/>
  <c r="T337" i="57"/>
  <c r="T338" i="57"/>
  <c r="T339" i="57"/>
  <c r="U339" i="57"/>
  <c r="T340" i="57"/>
  <c r="U340" i="57"/>
  <c r="T341" i="57"/>
  <c r="T342" i="57"/>
  <c r="T343" i="57"/>
  <c r="T344" i="57"/>
  <c r="T345" i="57"/>
  <c r="T346" i="57"/>
  <c r="T347" i="57"/>
  <c r="T348" i="57"/>
  <c r="T349" i="57"/>
  <c r="T350" i="57"/>
  <c r="T351" i="57"/>
  <c r="U351" i="57"/>
  <c r="T352" i="57"/>
  <c r="U352" i="57"/>
  <c r="T353" i="57"/>
  <c r="U353" i="57"/>
  <c r="T354" i="57"/>
  <c r="U354" i="57"/>
  <c r="T355" i="57"/>
  <c r="U355" i="57"/>
  <c r="T356" i="57"/>
  <c r="U356" i="57"/>
  <c r="T357" i="57"/>
  <c r="U357" i="57"/>
  <c r="T358" i="57"/>
  <c r="U358" i="57"/>
  <c r="T359" i="57"/>
  <c r="U359" i="57"/>
  <c r="T360" i="57"/>
  <c r="U360" i="57"/>
  <c r="T361" i="57"/>
  <c r="U361" i="57"/>
  <c r="T362" i="57"/>
  <c r="U362" i="57"/>
  <c r="T363" i="57"/>
  <c r="U363" i="57"/>
  <c r="T364" i="57"/>
  <c r="U364" i="57"/>
  <c r="T365" i="57"/>
  <c r="U365" i="57"/>
  <c r="T366" i="57"/>
  <c r="U366" i="57"/>
  <c r="T367" i="57"/>
  <c r="U367" i="57"/>
  <c r="T368" i="57"/>
  <c r="U368" i="57"/>
  <c r="T369" i="57"/>
  <c r="U369" i="57"/>
  <c r="T370" i="57"/>
  <c r="U370" i="57"/>
  <c r="T371" i="57"/>
  <c r="U371" i="57"/>
  <c r="T372" i="57"/>
  <c r="U372" i="57"/>
  <c r="T373" i="57"/>
  <c r="T374" i="57"/>
  <c r="U374" i="57"/>
  <c r="T375" i="57"/>
  <c r="U375" i="57"/>
  <c r="T376" i="57"/>
  <c r="U376" i="57"/>
  <c r="T377" i="57"/>
  <c r="U377" i="57"/>
  <c r="T378" i="57"/>
  <c r="U378" i="57"/>
  <c r="T379" i="57"/>
  <c r="U379" i="57"/>
  <c r="T380" i="57"/>
  <c r="U380" i="57"/>
  <c r="T382" i="57"/>
  <c r="U382" i="57"/>
  <c r="T383" i="57"/>
  <c r="U383" i="57"/>
  <c r="T385" i="57"/>
  <c r="U385" i="57"/>
  <c r="T386" i="57"/>
  <c r="U386" i="57"/>
  <c r="T387" i="57"/>
  <c r="F391" i="57"/>
  <c r="F387" i="57"/>
  <c r="T388" i="57"/>
  <c r="F392" i="57"/>
  <c r="T389" i="57"/>
  <c r="U389" i="57"/>
  <c r="T390" i="57"/>
  <c r="U390" i="57"/>
  <c r="T391" i="57"/>
  <c r="T392" i="57"/>
  <c r="T393" i="57"/>
  <c r="U393" i="57"/>
  <c r="T394" i="57"/>
  <c r="U394" i="57"/>
  <c r="T395" i="57"/>
  <c r="U395" i="57"/>
  <c r="T396" i="57"/>
  <c r="U396" i="57"/>
  <c r="T397" i="57"/>
  <c r="U397" i="57"/>
  <c r="T398" i="57"/>
  <c r="U398" i="57"/>
  <c r="T399" i="57"/>
  <c r="U399" i="57"/>
  <c r="T400" i="57"/>
  <c r="U400" i="57"/>
  <c r="T401" i="57"/>
  <c r="U401" i="57"/>
  <c r="T402" i="57"/>
  <c r="U402" i="57"/>
  <c r="T403" i="57"/>
  <c r="U403" i="57"/>
  <c r="T404" i="57"/>
  <c r="U404" i="57"/>
  <c r="T405" i="57"/>
  <c r="U405" i="57"/>
  <c r="T406" i="57"/>
  <c r="U406" i="57"/>
  <c r="T407" i="57"/>
  <c r="U407" i="57"/>
  <c r="T408" i="57"/>
  <c r="U408" i="57"/>
  <c r="T409" i="57"/>
  <c r="U409" i="57"/>
  <c r="T410" i="57"/>
  <c r="U410" i="57"/>
  <c r="T411" i="57"/>
  <c r="U411" i="57"/>
  <c r="T412" i="57"/>
  <c r="U412" i="57"/>
  <c r="T413" i="57"/>
  <c r="U413" i="57"/>
  <c r="T414" i="57"/>
  <c r="U414" i="57"/>
  <c r="T415" i="57"/>
  <c r="U415" i="57"/>
  <c r="T416" i="57"/>
  <c r="U416" i="57"/>
  <c r="T417" i="57"/>
  <c r="U417" i="57"/>
  <c r="T418" i="57"/>
  <c r="U418" i="57"/>
  <c r="T419" i="57"/>
  <c r="U419" i="57"/>
  <c r="T420" i="57"/>
  <c r="U420" i="57"/>
  <c r="T421" i="57"/>
  <c r="U421" i="57"/>
  <c r="T422" i="57"/>
  <c r="U422" i="57"/>
  <c r="T423" i="57"/>
  <c r="U423" i="57"/>
  <c r="T424" i="57"/>
  <c r="U424" i="57"/>
  <c r="T425" i="57"/>
  <c r="U425" i="57"/>
  <c r="T426" i="57"/>
  <c r="U426" i="57"/>
  <c r="T427" i="57"/>
  <c r="U427" i="57"/>
  <c r="T428" i="57"/>
  <c r="U428" i="57"/>
  <c r="T429" i="57"/>
  <c r="U429" i="57"/>
  <c r="T430" i="57"/>
  <c r="U430" i="57"/>
  <c r="T431" i="57"/>
  <c r="U431" i="57"/>
  <c r="T432" i="57"/>
  <c r="U432" i="57"/>
  <c r="T433" i="57"/>
  <c r="U433" i="57"/>
  <c r="T434" i="57"/>
  <c r="U434" i="57"/>
  <c r="T435" i="57"/>
  <c r="T436" i="57"/>
  <c r="U436" i="57"/>
  <c r="T437" i="57"/>
  <c r="U437" i="57"/>
  <c r="T438" i="57"/>
  <c r="U438" i="57"/>
  <c r="T439" i="57"/>
  <c r="U439" i="57"/>
  <c r="T440" i="57"/>
  <c r="U440" i="57"/>
  <c r="T441" i="57"/>
  <c r="U441" i="57"/>
  <c r="T442" i="57"/>
  <c r="U442" i="57"/>
  <c r="T444" i="57"/>
  <c r="U444" i="57"/>
  <c r="T445" i="57"/>
  <c r="U445" i="57"/>
  <c r="T447" i="57"/>
  <c r="U447" i="57"/>
  <c r="T448" i="57"/>
  <c r="U448" i="57"/>
  <c r="T449" i="57"/>
  <c r="G461" i="57"/>
  <c r="T450" i="57"/>
  <c r="G462" i="57"/>
  <c r="T451" i="57"/>
  <c r="G463" i="57"/>
  <c r="T452" i="57"/>
  <c r="G464" i="57"/>
  <c r="T453" i="57"/>
  <c r="G465" i="57"/>
  <c r="T454" i="57"/>
  <c r="G466" i="57"/>
  <c r="G454" i="57"/>
  <c r="T455" i="57"/>
  <c r="G467" i="57"/>
  <c r="T456" i="57"/>
  <c r="G468" i="57"/>
  <c r="G456" i="57"/>
  <c r="T457" i="57"/>
  <c r="G469" i="57"/>
  <c r="T458" i="57"/>
  <c r="G470" i="57"/>
  <c r="G458" i="57"/>
  <c r="T459" i="57"/>
  <c r="U459" i="57"/>
  <c r="T460" i="57"/>
  <c r="U460" i="57"/>
  <c r="T461" i="57"/>
  <c r="T462" i="57"/>
  <c r="T463" i="57"/>
  <c r="T464" i="57"/>
  <c r="T465" i="57"/>
  <c r="T466" i="57"/>
  <c r="T467" i="57"/>
  <c r="T468" i="57"/>
  <c r="T469" i="57"/>
  <c r="T470" i="57"/>
  <c r="T471" i="57"/>
  <c r="U471" i="57"/>
  <c r="T472" i="57"/>
  <c r="U472" i="57"/>
  <c r="T473" i="57"/>
  <c r="U473" i="57"/>
  <c r="T474" i="57"/>
  <c r="U474" i="57"/>
  <c r="T475" i="57"/>
  <c r="U475" i="57"/>
  <c r="T476" i="57"/>
  <c r="U476" i="57"/>
  <c r="T477" i="57"/>
  <c r="U477" i="57"/>
  <c r="T478" i="57"/>
  <c r="U478" i="57"/>
  <c r="T479" i="57"/>
  <c r="U479" i="57"/>
  <c r="T480" i="57"/>
  <c r="U480" i="57"/>
  <c r="T481" i="57"/>
  <c r="U481" i="57"/>
  <c r="T482" i="57"/>
  <c r="U482" i="57"/>
  <c r="T483" i="57"/>
  <c r="U483" i="57"/>
  <c r="T484" i="57"/>
  <c r="U484" i="57"/>
  <c r="T485" i="57"/>
  <c r="U485" i="57"/>
  <c r="T486" i="57"/>
  <c r="U486" i="57"/>
  <c r="T487" i="57"/>
  <c r="U487" i="57"/>
  <c r="T488" i="57"/>
  <c r="U488" i="57"/>
  <c r="T489" i="57"/>
  <c r="U489" i="57"/>
  <c r="T490" i="57"/>
  <c r="U490" i="57"/>
  <c r="T491" i="57"/>
  <c r="U491" i="57"/>
  <c r="T492" i="57"/>
  <c r="U492" i="57"/>
  <c r="T493" i="57"/>
  <c r="T494" i="57"/>
  <c r="U494" i="57"/>
  <c r="T495" i="57"/>
  <c r="U495" i="57"/>
  <c r="T496" i="57"/>
  <c r="U496" i="57"/>
  <c r="T497" i="57"/>
  <c r="U497" i="57"/>
  <c r="T498" i="57"/>
  <c r="U498" i="57"/>
  <c r="T499" i="57"/>
  <c r="U499" i="57"/>
  <c r="T500" i="57"/>
  <c r="U500" i="57"/>
  <c r="T502" i="57"/>
  <c r="U502" i="57"/>
  <c r="T505" i="57"/>
  <c r="U505" i="57"/>
  <c r="T506" i="57"/>
  <c r="F510" i="57"/>
  <c r="F506" i="57"/>
  <c r="T507" i="57"/>
  <c r="F511" i="57"/>
  <c r="F507" i="57"/>
  <c r="T508" i="57"/>
  <c r="U508" i="57"/>
  <c r="T509" i="57"/>
  <c r="U509" i="57"/>
  <c r="T510" i="57"/>
  <c r="T511" i="57"/>
  <c r="T512" i="57"/>
  <c r="U512" i="57"/>
  <c r="T513" i="57"/>
  <c r="U513" i="57"/>
  <c r="T514" i="57"/>
  <c r="U514" i="57"/>
  <c r="T515" i="57"/>
  <c r="U515" i="57"/>
  <c r="T516" i="57"/>
  <c r="U516" i="57"/>
  <c r="T517" i="57"/>
  <c r="U517" i="57"/>
  <c r="T518" i="57"/>
  <c r="U518" i="57"/>
  <c r="T519" i="57"/>
  <c r="U519" i="57"/>
  <c r="T520" i="57"/>
  <c r="U520" i="57"/>
  <c r="T521" i="57"/>
  <c r="U521" i="57"/>
  <c r="T522" i="57"/>
  <c r="U522" i="57"/>
  <c r="T523" i="57"/>
  <c r="U523" i="57"/>
  <c r="T524" i="57"/>
  <c r="U524" i="57"/>
  <c r="T525" i="57"/>
  <c r="U525" i="57"/>
  <c r="T526" i="57"/>
  <c r="U526" i="57"/>
  <c r="T527" i="57"/>
  <c r="U527" i="57"/>
  <c r="T528" i="57"/>
  <c r="U528" i="57"/>
  <c r="T529" i="57"/>
  <c r="U529" i="57"/>
  <c r="T530" i="57"/>
  <c r="U530" i="57"/>
  <c r="T531" i="57"/>
  <c r="U531" i="57"/>
  <c r="T532" i="57"/>
  <c r="U532" i="57"/>
  <c r="T533" i="57"/>
  <c r="U533" i="57"/>
  <c r="T534" i="57"/>
  <c r="U534" i="57"/>
  <c r="T535" i="57"/>
  <c r="U535" i="57"/>
  <c r="T536" i="57"/>
  <c r="U536" i="57"/>
  <c r="T537" i="57"/>
  <c r="U537" i="57"/>
  <c r="T538" i="57"/>
  <c r="U538" i="57"/>
  <c r="T539" i="57"/>
  <c r="U539" i="57"/>
  <c r="T540" i="57"/>
  <c r="U540" i="57"/>
  <c r="T541" i="57"/>
  <c r="U541" i="57"/>
  <c r="T542" i="57"/>
  <c r="U542" i="57"/>
  <c r="T543" i="57"/>
  <c r="U543" i="57"/>
  <c r="T544" i="57"/>
  <c r="U544" i="57"/>
  <c r="T545" i="57"/>
  <c r="U545" i="57"/>
  <c r="T546" i="57"/>
  <c r="U546" i="57"/>
  <c r="T547" i="57"/>
  <c r="U547" i="57"/>
  <c r="T548" i="57"/>
  <c r="U548" i="57"/>
  <c r="T549" i="57"/>
  <c r="U549" i="57"/>
  <c r="T550" i="57"/>
  <c r="U550" i="57"/>
  <c r="T551" i="57"/>
  <c r="U551" i="57"/>
  <c r="T552" i="57"/>
  <c r="U552" i="57"/>
  <c r="T553" i="57"/>
  <c r="U553" i="57"/>
  <c r="T554" i="57"/>
  <c r="T555" i="57"/>
  <c r="U555" i="57"/>
  <c r="T556" i="57"/>
  <c r="U556" i="57"/>
  <c r="T557" i="57"/>
  <c r="U557" i="57"/>
  <c r="T558" i="57"/>
  <c r="U558" i="57"/>
  <c r="T559" i="57"/>
  <c r="U559" i="57"/>
  <c r="T560" i="57"/>
  <c r="U560" i="57"/>
  <c r="T561" i="57"/>
  <c r="U561" i="57"/>
  <c r="T563" i="57"/>
  <c r="U563" i="57"/>
  <c r="T564" i="57"/>
  <c r="U564" i="57"/>
  <c r="T567" i="57"/>
  <c r="U567" i="57"/>
  <c r="T568" i="57"/>
  <c r="T569" i="57"/>
  <c r="T570" i="57"/>
  <c r="T571" i="57"/>
  <c r="T572" i="57"/>
  <c r="T573" i="57"/>
  <c r="T574" i="57"/>
  <c r="T575" i="57"/>
  <c r="T576" i="57"/>
  <c r="T577" i="57"/>
  <c r="T578" i="57"/>
  <c r="U578" i="57"/>
  <c r="T579" i="57"/>
  <c r="U579" i="57"/>
  <c r="T580" i="57"/>
  <c r="T581" i="57"/>
  <c r="T582" i="57"/>
  <c r="T583" i="57"/>
  <c r="T584" i="57"/>
  <c r="T585" i="57"/>
  <c r="T586" i="57"/>
  <c r="T587" i="57"/>
  <c r="T588" i="57"/>
  <c r="T589" i="57"/>
  <c r="T590" i="57"/>
  <c r="U590" i="57"/>
  <c r="T591" i="57"/>
  <c r="U591" i="57"/>
  <c r="T592" i="57"/>
  <c r="U592" i="57"/>
  <c r="T593" i="57"/>
  <c r="U593" i="57"/>
  <c r="T594" i="57"/>
  <c r="U594" i="57"/>
  <c r="T595" i="57"/>
  <c r="U595" i="57"/>
  <c r="T596" i="57"/>
  <c r="U596" i="57"/>
  <c r="T597" i="57"/>
  <c r="U597" i="57"/>
  <c r="T598" i="57"/>
  <c r="U598" i="57"/>
  <c r="T599" i="57"/>
  <c r="U599" i="57"/>
  <c r="T600" i="57"/>
  <c r="U600" i="57"/>
  <c r="T601" i="57"/>
  <c r="U601" i="57"/>
  <c r="T602" i="57"/>
  <c r="U602" i="57"/>
  <c r="T603" i="57"/>
  <c r="U603" i="57"/>
  <c r="T604" i="57"/>
  <c r="U604" i="57"/>
  <c r="T605" i="57"/>
  <c r="U605" i="57"/>
  <c r="T606" i="57"/>
  <c r="U606" i="57"/>
  <c r="T607" i="57"/>
  <c r="U607" i="57"/>
  <c r="T608" i="57"/>
  <c r="U608" i="57"/>
  <c r="T609" i="57"/>
  <c r="U609" i="57"/>
  <c r="T610" i="57"/>
  <c r="U610" i="57"/>
  <c r="T611" i="57"/>
  <c r="U611" i="57"/>
  <c r="T612" i="57"/>
  <c r="U612" i="57"/>
  <c r="T613" i="57"/>
  <c r="U613" i="57"/>
  <c r="T614" i="57"/>
  <c r="U614" i="57"/>
  <c r="T615" i="57"/>
  <c r="U615" i="57"/>
  <c r="T616" i="57"/>
  <c r="U616" i="57"/>
  <c r="T617" i="57"/>
  <c r="U617" i="57"/>
  <c r="T618" i="57"/>
  <c r="U618" i="57"/>
  <c r="T619" i="57"/>
  <c r="U619" i="57"/>
  <c r="T620" i="57"/>
  <c r="U620" i="57"/>
  <c r="T621" i="57"/>
  <c r="U621" i="57"/>
  <c r="T622" i="57"/>
  <c r="U622" i="57"/>
  <c r="T623" i="57"/>
  <c r="U623" i="57"/>
  <c r="T624" i="57"/>
  <c r="U624" i="57"/>
  <c r="T625" i="57"/>
  <c r="U625" i="57"/>
  <c r="T626" i="57"/>
  <c r="U626" i="57"/>
  <c r="T627" i="57"/>
  <c r="U627" i="57"/>
  <c r="T628" i="57"/>
  <c r="T629" i="57"/>
  <c r="U629" i="57"/>
  <c r="T630" i="57"/>
  <c r="T631" i="57"/>
  <c r="U631" i="57"/>
  <c r="T632" i="57"/>
  <c r="U632" i="57"/>
  <c r="T633" i="57"/>
  <c r="U633" i="57"/>
  <c r="T634" i="57"/>
  <c r="U634" i="57"/>
  <c r="T635" i="57"/>
  <c r="U635" i="57"/>
  <c r="T636" i="57"/>
  <c r="U636" i="57"/>
  <c r="T637" i="57"/>
  <c r="U637" i="57"/>
  <c r="T639" i="57"/>
  <c r="U639" i="57"/>
  <c r="T640" i="57"/>
  <c r="U640" i="57"/>
  <c r="T642" i="57"/>
  <c r="U642" i="57"/>
  <c r="T643" i="57"/>
  <c r="U643" i="57"/>
  <c r="T644" i="57"/>
  <c r="T645" i="57"/>
  <c r="T646" i="57"/>
  <c r="T647" i="57"/>
  <c r="T648" i="57"/>
  <c r="T649" i="57"/>
  <c r="T650" i="57"/>
  <c r="T651" i="57"/>
  <c r="T652" i="57"/>
  <c r="T653" i="57"/>
  <c r="T654" i="57"/>
  <c r="U654" i="57"/>
  <c r="T655" i="57"/>
  <c r="T656" i="57"/>
  <c r="T657" i="57"/>
  <c r="T658" i="57"/>
  <c r="T659" i="57"/>
  <c r="T660" i="57"/>
  <c r="T661" i="57"/>
  <c r="T662" i="57"/>
  <c r="T663" i="57"/>
  <c r="T664" i="57"/>
  <c r="T665" i="57"/>
  <c r="U665" i="57"/>
  <c r="T666" i="57"/>
  <c r="U666" i="57"/>
  <c r="T667" i="57"/>
  <c r="U667" i="57"/>
  <c r="T668" i="57"/>
  <c r="U668" i="57"/>
  <c r="T669" i="57"/>
  <c r="U669" i="57"/>
  <c r="T670" i="57"/>
  <c r="U670" i="57"/>
  <c r="T671" i="57"/>
  <c r="U671" i="57"/>
  <c r="T672" i="57"/>
  <c r="U672" i="57"/>
  <c r="T673" i="57"/>
  <c r="U673" i="57"/>
  <c r="T674" i="57"/>
  <c r="U674" i="57"/>
  <c r="T675" i="57"/>
  <c r="U675" i="57"/>
  <c r="T676" i="57"/>
  <c r="U676" i="57"/>
  <c r="T677" i="57"/>
  <c r="U677" i="57"/>
  <c r="T678" i="57"/>
  <c r="U678" i="57"/>
  <c r="T679" i="57"/>
  <c r="U679" i="57"/>
  <c r="T680" i="57"/>
  <c r="U680" i="57"/>
  <c r="T681" i="57"/>
  <c r="U681" i="57"/>
  <c r="T682" i="57"/>
  <c r="U682" i="57"/>
  <c r="T683" i="57"/>
  <c r="U683" i="57"/>
  <c r="T684" i="57"/>
  <c r="U684" i="57"/>
  <c r="T685" i="57"/>
  <c r="U685" i="57"/>
  <c r="T686" i="57"/>
  <c r="U686" i="57"/>
  <c r="T687" i="57"/>
  <c r="U687" i="57"/>
  <c r="T688" i="57"/>
  <c r="U688" i="57"/>
  <c r="T689" i="57"/>
  <c r="U689" i="57"/>
  <c r="T690" i="57"/>
  <c r="U690" i="57"/>
  <c r="T691" i="57"/>
  <c r="U691" i="57"/>
  <c r="T692" i="57"/>
  <c r="U692" i="57"/>
  <c r="T693" i="57"/>
  <c r="U693" i="57"/>
  <c r="T694" i="57"/>
  <c r="U694" i="57"/>
  <c r="T695" i="57"/>
  <c r="U695" i="57"/>
  <c r="T696" i="57"/>
  <c r="U696" i="57"/>
  <c r="T697" i="57"/>
  <c r="U697" i="57"/>
  <c r="T698" i="57"/>
  <c r="U698" i="57"/>
  <c r="T699" i="57"/>
  <c r="U699" i="57"/>
  <c r="T700" i="57"/>
  <c r="U700" i="57"/>
  <c r="T701" i="57"/>
  <c r="U701" i="57"/>
  <c r="T702" i="57"/>
  <c r="U702" i="57"/>
  <c r="T703" i="57"/>
  <c r="T704" i="57"/>
  <c r="U704" i="57"/>
  <c r="T705" i="57"/>
  <c r="T706" i="57"/>
  <c r="U706" i="57"/>
  <c r="T707" i="57"/>
  <c r="U707" i="57"/>
  <c r="T708" i="57"/>
  <c r="U708" i="57"/>
  <c r="T709" i="57"/>
  <c r="U709" i="57"/>
  <c r="T710" i="57"/>
  <c r="U710" i="57"/>
  <c r="T711" i="57"/>
  <c r="U711" i="57"/>
  <c r="T713" i="57"/>
  <c r="U713" i="57"/>
  <c r="T714" i="57"/>
  <c r="U714" i="57"/>
  <c r="T716" i="57"/>
  <c r="U716" i="57"/>
  <c r="T717" i="57"/>
  <c r="U717" i="57"/>
  <c r="T718" i="57"/>
  <c r="F730" i="57"/>
  <c r="F718" i="57"/>
  <c r="G730" i="57"/>
  <c r="T719" i="57"/>
  <c r="F731" i="57"/>
  <c r="G731" i="57"/>
  <c r="T720" i="57"/>
  <c r="F732" i="57"/>
  <c r="G732" i="57"/>
  <c r="T721" i="57"/>
  <c r="F733" i="57"/>
  <c r="G733" i="57"/>
  <c r="T722" i="57"/>
  <c r="F734" i="57"/>
  <c r="G734" i="57"/>
  <c r="T723" i="57"/>
  <c r="F735" i="57"/>
  <c r="T724" i="57"/>
  <c r="F736" i="57"/>
  <c r="T725" i="57"/>
  <c r="F737" i="57"/>
  <c r="F725" i="57"/>
  <c r="T726" i="57"/>
  <c r="F738" i="57"/>
  <c r="T727" i="57"/>
  <c r="F739" i="57"/>
  <c r="F727" i="57"/>
  <c r="T728" i="57"/>
  <c r="U728" i="57"/>
  <c r="T729" i="57"/>
  <c r="U729" i="57"/>
  <c r="T730" i="57"/>
  <c r="T731" i="57"/>
  <c r="T732" i="57"/>
  <c r="T733" i="57"/>
  <c r="T734" i="57"/>
  <c r="T735" i="57"/>
  <c r="T736" i="57"/>
  <c r="T737" i="57"/>
  <c r="T738" i="57"/>
  <c r="T739" i="57"/>
  <c r="T740" i="57"/>
  <c r="U740" i="57"/>
  <c r="T741" i="57"/>
  <c r="U741" i="57"/>
  <c r="T742" i="57"/>
  <c r="U742" i="57"/>
  <c r="T743" i="57"/>
  <c r="U743" i="57"/>
  <c r="T744" i="57"/>
  <c r="U744" i="57"/>
  <c r="T745" i="57"/>
  <c r="U745" i="57"/>
  <c r="T746" i="57"/>
  <c r="U746" i="57"/>
  <c r="T747" i="57"/>
  <c r="U747" i="57"/>
  <c r="T748" i="57"/>
  <c r="U748" i="57"/>
  <c r="T749" i="57"/>
  <c r="U749" i="57"/>
  <c r="T750" i="57"/>
  <c r="U750" i="57"/>
  <c r="T751" i="57"/>
  <c r="U751" i="57"/>
  <c r="T752" i="57"/>
  <c r="U752" i="57"/>
  <c r="T753" i="57"/>
  <c r="U753" i="57"/>
  <c r="T754" i="57"/>
  <c r="U754" i="57"/>
  <c r="T755" i="57"/>
  <c r="U755" i="57"/>
  <c r="T756" i="57"/>
  <c r="U756" i="57"/>
  <c r="T757" i="57"/>
  <c r="U757" i="57"/>
  <c r="T758" i="57"/>
  <c r="U758" i="57"/>
  <c r="T759" i="57"/>
  <c r="U759" i="57"/>
  <c r="T760" i="57"/>
  <c r="U760" i="57"/>
  <c r="T761" i="57"/>
  <c r="U761" i="57"/>
  <c r="T762" i="57"/>
  <c r="U762" i="57"/>
  <c r="T763" i="57"/>
  <c r="U763" i="57"/>
  <c r="T764" i="57"/>
  <c r="U764" i="57"/>
  <c r="T765" i="57"/>
  <c r="U765" i="57"/>
  <c r="T766" i="57"/>
  <c r="U766" i="57"/>
  <c r="T767" i="57"/>
  <c r="U767" i="57"/>
  <c r="T768" i="57"/>
  <c r="U768" i="57"/>
  <c r="T769" i="57"/>
  <c r="U769" i="57"/>
  <c r="T770" i="57"/>
  <c r="U770" i="57"/>
  <c r="T771" i="57"/>
  <c r="U771" i="57"/>
  <c r="T772" i="57"/>
  <c r="U772" i="57"/>
  <c r="T773" i="57"/>
  <c r="U773" i="57"/>
  <c r="T774" i="57"/>
  <c r="U774" i="57"/>
  <c r="T775" i="57"/>
  <c r="U775" i="57"/>
  <c r="T776" i="57"/>
  <c r="U776" i="57"/>
  <c r="T777" i="57"/>
  <c r="U777" i="57"/>
  <c r="T778" i="57"/>
  <c r="U778" i="57"/>
  <c r="T779" i="57"/>
  <c r="T780" i="57"/>
  <c r="U780" i="57"/>
  <c r="T781" i="57"/>
  <c r="T782" i="57"/>
  <c r="U782" i="57"/>
  <c r="T12" i="57"/>
  <c r="S31" i="57"/>
  <c r="S32" i="57"/>
  <c r="D22" i="38"/>
  <c r="S37" i="57"/>
  <c r="S38" i="57"/>
  <c r="S39" i="57"/>
  <c r="S40" i="57"/>
  <c r="S42" i="57"/>
  <c r="S43" i="57"/>
  <c r="S44" i="57"/>
  <c r="S45" i="57"/>
  <c r="S46" i="57"/>
  <c r="S51" i="57"/>
  <c r="S53" i="57"/>
  <c r="S55" i="57"/>
  <c r="S57" i="57"/>
  <c r="S61" i="57"/>
  <c r="S63" i="57"/>
  <c r="S65" i="57"/>
  <c r="S68" i="57"/>
  <c r="S70" i="57"/>
  <c r="S71" i="57"/>
  <c r="S72" i="57"/>
  <c r="S75" i="57"/>
  <c r="S76" i="57"/>
  <c r="S77" i="57"/>
  <c r="S78" i="57"/>
  <c r="S79" i="57"/>
  <c r="S80" i="57"/>
  <c r="T13" i="57"/>
  <c r="S35" i="57"/>
  <c r="T14" i="57"/>
  <c r="S27" i="57"/>
  <c r="S41" i="57"/>
  <c r="S50" i="57"/>
  <c r="T15" i="57"/>
  <c r="T16" i="57"/>
  <c r="T17" i="57"/>
  <c r="U17" i="57"/>
  <c r="T18" i="57"/>
  <c r="T19" i="57"/>
  <c r="T20" i="57"/>
  <c r="T21" i="57"/>
  <c r="T22" i="57"/>
  <c r="T23" i="57"/>
  <c r="T24" i="57"/>
  <c r="U24" i="57"/>
  <c r="T25" i="57"/>
  <c r="U25" i="57"/>
  <c r="T26" i="57"/>
  <c r="U26" i="57"/>
  <c r="T27" i="57"/>
  <c r="U27" i="57"/>
  <c r="T28" i="57"/>
  <c r="U28" i="57"/>
  <c r="T29" i="57"/>
  <c r="U29" i="57"/>
  <c r="T30" i="57"/>
  <c r="U30" i="57"/>
  <c r="T31" i="57"/>
  <c r="U31" i="57"/>
  <c r="T32" i="57"/>
  <c r="U32" i="57"/>
  <c r="T33" i="57"/>
  <c r="U33" i="57"/>
  <c r="T34" i="57"/>
  <c r="U34" i="57"/>
  <c r="T35" i="57"/>
  <c r="U35" i="57"/>
  <c r="T36" i="57"/>
  <c r="U36" i="57"/>
  <c r="T37" i="57"/>
  <c r="U37" i="57"/>
  <c r="T38" i="57"/>
  <c r="U38" i="57"/>
  <c r="T39" i="57"/>
  <c r="U39" i="57"/>
  <c r="T40" i="57"/>
  <c r="U40" i="57"/>
  <c r="T41" i="57"/>
  <c r="U41" i="57"/>
  <c r="T42" i="57"/>
  <c r="U42" i="57"/>
  <c r="T43" i="57"/>
  <c r="U43" i="57"/>
  <c r="T44" i="57"/>
  <c r="U44" i="57"/>
  <c r="T45" i="57"/>
  <c r="U45" i="57"/>
  <c r="T46" i="57"/>
  <c r="U46" i="57"/>
  <c r="T47" i="57"/>
  <c r="U47" i="57"/>
  <c r="T48" i="57"/>
  <c r="T49" i="57"/>
  <c r="T50" i="57"/>
  <c r="U50" i="57"/>
  <c r="T51" i="57"/>
  <c r="U51" i="57"/>
  <c r="T11" i="57"/>
  <c r="T783" i="57"/>
  <c r="T784" i="57"/>
  <c r="T785" i="57"/>
  <c r="T786" i="57"/>
  <c r="S124" i="59"/>
  <c r="S126" i="59"/>
  <c r="S128" i="59"/>
  <c r="R128" i="59"/>
  <c r="S130" i="59"/>
  <c r="S131" i="59"/>
  <c r="S137" i="59"/>
  <c r="S140" i="59"/>
  <c r="S142" i="59"/>
  <c r="S144" i="59"/>
  <c r="S146" i="59"/>
  <c r="S147" i="59"/>
  <c r="S152" i="59"/>
  <c r="S154" i="59"/>
  <c r="S155" i="59"/>
  <c r="S157" i="59"/>
  <c r="S161" i="59"/>
  <c r="S163" i="59"/>
  <c r="S165" i="59"/>
  <c r="S166" i="59"/>
  <c r="S168" i="59"/>
  <c r="S170" i="59"/>
  <c r="S172" i="59"/>
  <c r="S173" i="59"/>
  <c r="S174" i="59"/>
  <c r="S177" i="59"/>
  <c r="S178" i="59"/>
  <c r="S179" i="59"/>
  <c r="S180" i="59"/>
  <c r="S181" i="59"/>
  <c r="S182" i="59"/>
  <c r="S185" i="59"/>
  <c r="S186" i="59"/>
  <c r="S187" i="59"/>
  <c r="S188" i="59"/>
  <c r="S189" i="59"/>
  <c r="S190" i="59"/>
  <c r="O9" i="62"/>
  <c r="P23" i="62"/>
  <c r="D8" i="37"/>
  <c r="G616" i="7"/>
  <c r="G10" i="7"/>
  <c r="G8" i="7"/>
  <c r="S25" i="57"/>
  <c r="F4" i="49"/>
  <c r="F3" i="49"/>
  <c r="F529" i="7"/>
  <c r="H529" i="7"/>
  <c r="F23" i="59"/>
  <c r="F532" i="7"/>
  <c r="H532" i="7"/>
  <c r="F25" i="59"/>
  <c r="F541" i="7"/>
  <c r="H541" i="7"/>
  <c r="F32" i="59"/>
  <c r="F543" i="7"/>
  <c r="H543" i="7"/>
  <c r="F33" i="59"/>
  <c r="F539" i="7"/>
  <c r="H539" i="7"/>
  <c r="F31" i="59"/>
  <c r="F603" i="7"/>
  <c r="H603" i="7"/>
  <c r="F124" i="59"/>
  <c r="F607" i="7"/>
  <c r="H607" i="7"/>
  <c r="F126" i="59"/>
  <c r="F614" i="7"/>
  <c r="H614" i="7"/>
  <c r="F132" i="59"/>
  <c r="F616" i="7"/>
  <c r="F618" i="7"/>
  <c r="H618" i="7"/>
  <c r="F134" i="59"/>
  <c r="F620" i="7"/>
  <c r="H620" i="7"/>
  <c r="F135" i="59"/>
  <c r="F317" i="7"/>
  <c r="H317" i="7"/>
  <c r="F478" i="57"/>
  <c r="F462" i="57"/>
  <c r="F319" i="7"/>
  <c r="H319" i="7"/>
  <c r="F479" i="57"/>
  <c r="F321" i="7"/>
  <c r="H321" i="7"/>
  <c r="F480" i="57"/>
  <c r="F323" i="7"/>
  <c r="H323" i="7"/>
  <c r="F481" i="57"/>
  <c r="F315" i="7"/>
  <c r="H315" i="7"/>
  <c r="F477" i="57"/>
  <c r="F9" i="7"/>
  <c r="F23" i="7"/>
  <c r="H23" i="7"/>
  <c r="F35" i="57"/>
  <c r="F83" i="7"/>
  <c r="H83" i="7"/>
  <c r="F86" i="7"/>
  <c r="H86" i="7"/>
  <c r="F127" i="57"/>
  <c r="F93" i="7"/>
  <c r="H93" i="7"/>
  <c r="F133" i="57"/>
  <c r="F95" i="7"/>
  <c r="F97" i="7"/>
  <c r="H97" i="7"/>
  <c r="F99" i="7"/>
  <c r="H99" i="7"/>
  <c r="F136" i="57"/>
  <c r="F163" i="7"/>
  <c r="H163" i="7"/>
  <c r="F236" i="57"/>
  <c r="F165" i="7"/>
  <c r="H165" i="7"/>
  <c r="F237" i="57"/>
  <c r="F167" i="7"/>
  <c r="H167" i="7"/>
  <c r="F238" i="57"/>
  <c r="F169" i="7"/>
  <c r="H169" i="7"/>
  <c r="F239" i="57"/>
  <c r="F171" i="7"/>
  <c r="H171" i="7"/>
  <c r="F240" i="57"/>
  <c r="F239" i="7"/>
  <c r="H239" i="7"/>
  <c r="F357" i="57"/>
  <c r="F241" i="7"/>
  <c r="H241" i="7"/>
  <c r="F358" i="57"/>
  <c r="F243" i="7"/>
  <c r="H243" i="7"/>
  <c r="F359" i="57"/>
  <c r="F245" i="7"/>
  <c r="H245" i="7"/>
  <c r="F360" i="57"/>
  <c r="F247" i="7"/>
  <c r="H247" i="7"/>
  <c r="F361" i="57"/>
  <c r="S513" i="57"/>
  <c r="S516" i="57"/>
  <c r="S519" i="57"/>
  <c r="S520" i="57"/>
  <c r="S521" i="57"/>
  <c r="S522" i="57"/>
  <c r="S524" i="57"/>
  <c r="S527" i="57"/>
  <c r="S532" i="57"/>
  <c r="S535" i="57"/>
  <c r="S536" i="57"/>
  <c r="S539" i="57"/>
  <c r="S541" i="57"/>
  <c r="S542" i="57"/>
  <c r="S543" i="57"/>
  <c r="S546" i="57"/>
  <c r="S547" i="57"/>
  <c r="S548" i="57"/>
  <c r="S549" i="57"/>
  <c r="S550" i="57"/>
  <c r="S552" i="57"/>
  <c r="S553" i="57"/>
  <c r="S555" i="57"/>
  <c r="S554" i="57"/>
  <c r="G507" i="57"/>
  <c r="O507" i="57"/>
  <c r="G506" i="57"/>
  <c r="O506" i="57"/>
  <c r="S515" i="57"/>
  <c r="S518" i="57"/>
  <c r="S528" i="57"/>
  <c r="S531" i="57"/>
  <c r="S534" i="57"/>
  <c r="R534" i="57"/>
  <c r="S474" i="57"/>
  <c r="S475" i="57"/>
  <c r="S476" i="57"/>
  <c r="S483" i="57"/>
  <c r="S484" i="57"/>
  <c r="S485" i="57"/>
  <c r="S486" i="57"/>
  <c r="S489" i="57"/>
  <c r="S490" i="57"/>
  <c r="S491" i="57"/>
  <c r="S492" i="57"/>
  <c r="S494" i="57"/>
  <c r="G457" i="57"/>
  <c r="G455" i="57"/>
  <c r="G453" i="57"/>
  <c r="S473" i="57"/>
  <c r="S488" i="57"/>
  <c r="G452" i="57"/>
  <c r="G451" i="57"/>
  <c r="G450" i="57"/>
  <c r="G449" i="57"/>
  <c r="S394" i="57"/>
  <c r="S396" i="57"/>
  <c r="S399" i="57"/>
  <c r="S401" i="57"/>
  <c r="S402" i="57"/>
  <c r="R402" i="57"/>
  <c r="S403" i="57"/>
  <c r="S409" i="57"/>
  <c r="Q409" i="57"/>
  <c r="S412" i="57"/>
  <c r="S415" i="57"/>
  <c r="S417" i="57"/>
  <c r="S420" i="57"/>
  <c r="Q420" i="57"/>
  <c r="S422" i="57"/>
  <c r="S423" i="57"/>
  <c r="S424" i="57"/>
  <c r="S427" i="57"/>
  <c r="Q427" i="57"/>
  <c r="S428" i="57"/>
  <c r="S429" i="57"/>
  <c r="S430" i="57"/>
  <c r="S431" i="57"/>
  <c r="S433" i="57"/>
  <c r="S434" i="57"/>
  <c r="R434" i="57"/>
  <c r="S397" i="57"/>
  <c r="S400" i="57"/>
  <c r="S408" i="57"/>
  <c r="S413" i="57"/>
  <c r="S416" i="57"/>
  <c r="S436" i="57"/>
  <c r="F388" i="57"/>
  <c r="G388" i="57"/>
  <c r="O388" i="57"/>
  <c r="G387" i="57"/>
  <c r="O387" i="57"/>
  <c r="G338" i="57"/>
  <c r="S354" i="57"/>
  <c r="S355" i="57"/>
  <c r="S356" i="57"/>
  <c r="S363" i="57"/>
  <c r="S364" i="57"/>
  <c r="S365" i="57"/>
  <c r="S366" i="57"/>
  <c r="S369" i="57"/>
  <c r="S370" i="57"/>
  <c r="S371" i="57"/>
  <c r="S372" i="57"/>
  <c r="S374" i="57"/>
  <c r="G337" i="57"/>
  <c r="G336" i="57"/>
  <c r="G335" i="57"/>
  <c r="G334" i="57"/>
  <c r="G333" i="57"/>
  <c r="S353" i="57"/>
  <c r="S368" i="57"/>
  <c r="G332" i="57"/>
  <c r="G331" i="57"/>
  <c r="G330" i="57"/>
  <c r="G329" i="57"/>
  <c r="S273" i="57"/>
  <c r="S276" i="57"/>
  <c r="S279" i="57"/>
  <c r="S280" i="57"/>
  <c r="S281" i="57"/>
  <c r="S282" i="57"/>
  <c r="S284" i="57"/>
  <c r="S287" i="57"/>
  <c r="S292" i="57"/>
  <c r="S295" i="57"/>
  <c r="S296" i="57"/>
  <c r="S299" i="57"/>
  <c r="S301" i="57"/>
  <c r="S302" i="57"/>
  <c r="S303" i="57"/>
  <c r="S306" i="57"/>
  <c r="S307" i="57"/>
  <c r="S308" i="57"/>
  <c r="S309" i="57"/>
  <c r="S310" i="57"/>
  <c r="S312" i="57"/>
  <c r="S313" i="57"/>
  <c r="S315" i="57"/>
  <c r="S314" i="57"/>
  <c r="F267" i="57"/>
  <c r="G267" i="57"/>
  <c r="O267" i="57"/>
  <c r="S275" i="57"/>
  <c r="S278" i="57"/>
  <c r="S288" i="57"/>
  <c r="S291" i="57"/>
  <c r="S294" i="57"/>
  <c r="F266" i="57"/>
  <c r="G266" i="57"/>
  <c r="O266" i="57"/>
  <c r="G217" i="57"/>
  <c r="S233" i="57"/>
  <c r="S234" i="57"/>
  <c r="S235" i="57"/>
  <c r="S242" i="57"/>
  <c r="S243" i="57"/>
  <c r="S244" i="57"/>
  <c r="S245" i="57"/>
  <c r="S248" i="57"/>
  <c r="S249" i="57"/>
  <c r="S250" i="57"/>
  <c r="S251" i="57"/>
  <c r="S253" i="57"/>
  <c r="G216" i="57"/>
  <c r="G215" i="57"/>
  <c r="G214" i="57"/>
  <c r="G213" i="57"/>
  <c r="G212" i="57"/>
  <c r="S232" i="57"/>
  <c r="S247" i="57"/>
  <c r="G211" i="57"/>
  <c r="G210" i="57"/>
  <c r="G209" i="57"/>
  <c r="G208" i="57"/>
  <c r="S667" i="57"/>
  <c r="Q579" i="57"/>
  <c r="S668" i="57"/>
  <c r="S669" i="57"/>
  <c r="S670" i="57"/>
  <c r="S666" i="57"/>
  <c r="D23" i="38"/>
  <c r="J257" i="60"/>
  <c r="R171" i="60"/>
  <c r="R173" i="60"/>
  <c r="R172" i="60"/>
  <c r="R234" i="60"/>
  <c r="P234" i="60"/>
  <c r="R235" i="60"/>
  <c r="R236" i="60"/>
  <c r="R238" i="60"/>
  <c r="R239" i="60"/>
  <c r="P239" i="60"/>
  <c r="R240" i="60"/>
  <c r="R241" i="60"/>
  <c r="R242" i="60"/>
  <c r="R243" i="60"/>
  <c r="Q243" i="60"/>
  <c r="R244" i="60"/>
  <c r="R245" i="60"/>
  <c r="R246" i="60"/>
  <c r="R247" i="60"/>
  <c r="R248" i="60"/>
  <c r="R249" i="60"/>
  <c r="P249" i="60"/>
  <c r="R250" i="60"/>
  <c r="R251" i="60"/>
  <c r="R252" i="60"/>
  <c r="R253" i="60"/>
  <c r="R254" i="60"/>
  <c r="R255" i="60"/>
  <c r="R256" i="60"/>
  <c r="R257" i="60"/>
  <c r="R258" i="60"/>
  <c r="R259" i="60"/>
  <c r="R260" i="60"/>
  <c r="R233" i="60"/>
  <c r="P233" i="60"/>
  <c r="H257" i="60"/>
  <c r="I257" i="60"/>
  <c r="O232" i="60"/>
  <c r="G227" i="60"/>
  <c r="F227" i="60"/>
  <c r="G226" i="60"/>
  <c r="F226" i="60"/>
  <c r="R190" i="60"/>
  <c r="R191" i="60"/>
  <c r="R192" i="60"/>
  <c r="R194" i="60"/>
  <c r="R195" i="60"/>
  <c r="P195" i="60"/>
  <c r="R196" i="60"/>
  <c r="R197" i="60"/>
  <c r="Q197" i="60"/>
  <c r="R198" i="60"/>
  <c r="R199" i="60"/>
  <c r="P199" i="60"/>
  <c r="R200" i="60"/>
  <c r="R201" i="60"/>
  <c r="R202" i="60"/>
  <c r="R203" i="60"/>
  <c r="R204" i="60"/>
  <c r="R205" i="60"/>
  <c r="R206" i="60"/>
  <c r="R207" i="60"/>
  <c r="P207" i="60"/>
  <c r="R208" i="60"/>
  <c r="R209" i="60"/>
  <c r="P209" i="60"/>
  <c r="R210" i="60"/>
  <c r="R211" i="60"/>
  <c r="R212" i="60"/>
  <c r="R213" i="60"/>
  <c r="R214" i="60"/>
  <c r="R215" i="60"/>
  <c r="R216" i="60"/>
  <c r="R189" i="60"/>
  <c r="Q189" i="60"/>
  <c r="H213" i="60"/>
  <c r="I213" i="60"/>
  <c r="J213" i="60"/>
  <c r="O188" i="60"/>
  <c r="G183" i="60"/>
  <c r="F183" i="60"/>
  <c r="G182" i="60"/>
  <c r="F182" i="60"/>
  <c r="R147" i="60"/>
  <c r="R148" i="60"/>
  <c r="P148" i="60"/>
  <c r="R149" i="60"/>
  <c r="R151" i="60"/>
  <c r="P151" i="60"/>
  <c r="R152" i="60"/>
  <c r="R153" i="60"/>
  <c r="Q153" i="60"/>
  <c r="R154" i="60"/>
  <c r="R155" i="60"/>
  <c r="Q155" i="60"/>
  <c r="R156" i="60"/>
  <c r="R157" i="60"/>
  <c r="R158" i="60"/>
  <c r="R159" i="60"/>
  <c r="R160" i="60"/>
  <c r="R161" i="60"/>
  <c r="R162" i="60"/>
  <c r="R163" i="60"/>
  <c r="R164" i="60"/>
  <c r="R165" i="60"/>
  <c r="R166" i="60"/>
  <c r="R167" i="60"/>
  <c r="P167" i="60"/>
  <c r="R168" i="60"/>
  <c r="R169" i="60"/>
  <c r="P169" i="60"/>
  <c r="R146" i="60"/>
  <c r="H170" i="60"/>
  <c r="I170" i="60"/>
  <c r="J170" i="60"/>
  <c r="O145" i="60"/>
  <c r="G140" i="60"/>
  <c r="F140" i="60"/>
  <c r="G139" i="60"/>
  <c r="F139" i="60"/>
  <c r="R129" i="60"/>
  <c r="P10" i="60"/>
  <c r="R127" i="60"/>
  <c r="R126" i="60"/>
  <c r="R103" i="60"/>
  <c r="R104" i="60"/>
  <c r="R105" i="60"/>
  <c r="R107" i="60"/>
  <c r="R108" i="60"/>
  <c r="R109" i="60"/>
  <c r="R110" i="60"/>
  <c r="R111" i="60"/>
  <c r="R112" i="60"/>
  <c r="R113" i="60"/>
  <c r="R114" i="60"/>
  <c r="R115" i="60"/>
  <c r="R116" i="60"/>
  <c r="R117" i="60"/>
  <c r="R118" i="60"/>
  <c r="R119" i="60"/>
  <c r="R120" i="60"/>
  <c r="R121" i="60"/>
  <c r="R122" i="60"/>
  <c r="R123" i="60"/>
  <c r="R124" i="60"/>
  <c r="R125" i="60"/>
  <c r="R102" i="60"/>
  <c r="H126" i="60"/>
  <c r="I126" i="60"/>
  <c r="J126" i="60"/>
  <c r="O101" i="60"/>
  <c r="G96" i="60"/>
  <c r="F96" i="60"/>
  <c r="G95" i="60"/>
  <c r="F95" i="60"/>
  <c r="R65" i="60"/>
  <c r="R66" i="60"/>
  <c r="R67" i="60"/>
  <c r="R68" i="60"/>
  <c r="R69" i="60"/>
  <c r="R70" i="60"/>
  <c r="R71" i="60"/>
  <c r="R72" i="60"/>
  <c r="P72" i="60"/>
  <c r="R73" i="60"/>
  <c r="P73" i="60"/>
  <c r="R74" i="60"/>
  <c r="R75" i="60"/>
  <c r="Q75" i="60"/>
  <c r="R76" i="60"/>
  <c r="R77" i="60"/>
  <c r="P77" i="60"/>
  <c r="R78" i="60"/>
  <c r="R79" i="60"/>
  <c r="R80" i="60"/>
  <c r="P80" i="60"/>
  <c r="R81" i="60"/>
  <c r="R82" i="60"/>
  <c r="R83" i="60"/>
  <c r="R84" i="60"/>
  <c r="R85" i="60"/>
  <c r="R86" i="60"/>
  <c r="R60" i="60"/>
  <c r="R61" i="60"/>
  <c r="P61" i="60"/>
  <c r="R62" i="60"/>
  <c r="R64" i="60"/>
  <c r="R59" i="60"/>
  <c r="R16" i="60"/>
  <c r="Q16" i="60"/>
  <c r="R17" i="60"/>
  <c r="J83" i="60"/>
  <c r="I83" i="60"/>
  <c r="H83" i="60"/>
  <c r="O58" i="60"/>
  <c r="G53" i="60"/>
  <c r="F53" i="60"/>
  <c r="G52" i="60"/>
  <c r="F52" i="60"/>
  <c r="S274" i="57"/>
  <c r="S277" i="57"/>
  <c r="S283" i="57"/>
  <c r="S285" i="57"/>
  <c r="S286" i="57"/>
  <c r="S289" i="57"/>
  <c r="S290" i="57"/>
  <c r="S293" i="57"/>
  <c r="S297" i="57"/>
  <c r="S298" i="57"/>
  <c r="S300" i="57"/>
  <c r="S304" i="57"/>
  <c r="S305" i="57"/>
  <c r="S311" i="57"/>
  <c r="S52" i="57"/>
  <c r="S60" i="57"/>
  <c r="S64" i="57"/>
  <c r="S153" i="57"/>
  <c r="S154" i="57"/>
  <c r="S155" i="57"/>
  <c r="S156" i="57"/>
  <c r="S158" i="57"/>
  <c r="S161" i="57"/>
  <c r="S165" i="57"/>
  <c r="S166" i="57"/>
  <c r="S169" i="57"/>
  <c r="S171" i="57"/>
  <c r="S172" i="57"/>
  <c r="S173" i="57"/>
  <c r="S176" i="57"/>
  <c r="S177" i="57"/>
  <c r="S178" i="57"/>
  <c r="S179" i="57"/>
  <c r="S180" i="57"/>
  <c r="S181" i="57"/>
  <c r="S152" i="57"/>
  <c r="S162" i="57"/>
  <c r="S164" i="57"/>
  <c r="S186" i="57"/>
  <c r="S187" i="57"/>
  <c r="S183" i="57"/>
  <c r="S188" i="57"/>
  <c r="S189" i="57"/>
  <c r="S190" i="57"/>
  <c r="S191" i="57"/>
  <c r="S185" i="57"/>
  <c r="S782" i="57"/>
  <c r="S781" i="57"/>
  <c r="S780" i="57"/>
  <c r="S779" i="57"/>
  <c r="S706" i="57"/>
  <c r="S705" i="57"/>
  <c r="S704" i="57"/>
  <c r="S703" i="57"/>
  <c r="S631" i="57"/>
  <c r="S630" i="57"/>
  <c r="S629" i="57"/>
  <c r="S628" i="57"/>
  <c r="S514" i="57"/>
  <c r="S517" i="57"/>
  <c r="S523" i="57"/>
  <c r="S525" i="57"/>
  <c r="S526" i="57"/>
  <c r="R526" i="57"/>
  <c r="S529" i="57"/>
  <c r="S530" i="57"/>
  <c r="S533" i="57"/>
  <c r="S537" i="57"/>
  <c r="S538" i="57"/>
  <c r="S540" i="57"/>
  <c r="R540" i="57"/>
  <c r="S544" i="57"/>
  <c r="S545" i="57"/>
  <c r="S551" i="57"/>
  <c r="S509" i="57"/>
  <c r="R509" i="57"/>
  <c r="H555" i="57"/>
  <c r="S395" i="57"/>
  <c r="S398" i="57"/>
  <c r="S404" i="57"/>
  <c r="S405" i="57"/>
  <c r="S406" i="57"/>
  <c r="R406" i="57"/>
  <c r="S407" i="57"/>
  <c r="S410" i="57"/>
  <c r="S411" i="57"/>
  <c r="S414" i="57"/>
  <c r="S418" i="57"/>
  <c r="S419" i="57"/>
  <c r="S421" i="57"/>
  <c r="S425" i="57"/>
  <c r="R425" i="57"/>
  <c r="S426" i="57"/>
  <c r="S432" i="57"/>
  <c r="S393" i="57"/>
  <c r="S435" i="57"/>
  <c r="S390" i="57"/>
  <c r="H436" i="57"/>
  <c r="R363" i="60"/>
  <c r="R364" i="60"/>
  <c r="R365" i="60"/>
  <c r="R367" i="60"/>
  <c r="Q367" i="60"/>
  <c r="R369" i="60"/>
  <c r="R371" i="60"/>
  <c r="R372" i="60"/>
  <c r="R374" i="60"/>
  <c r="Q374" i="60"/>
  <c r="R376" i="60"/>
  <c r="R377" i="60"/>
  <c r="R378" i="60"/>
  <c r="R379" i="60"/>
  <c r="Q379" i="60"/>
  <c r="R382" i="60"/>
  <c r="R383" i="60"/>
  <c r="R384" i="60"/>
  <c r="R385" i="60"/>
  <c r="Q385" i="60"/>
  <c r="R362" i="60"/>
  <c r="R320" i="60"/>
  <c r="R321" i="60"/>
  <c r="R322" i="60"/>
  <c r="Q322" i="60"/>
  <c r="R324" i="60"/>
  <c r="R326" i="60"/>
  <c r="R328" i="60"/>
  <c r="R329" i="60"/>
  <c r="Q329" i="60"/>
  <c r="R331" i="60"/>
  <c r="R333" i="60"/>
  <c r="R334" i="60"/>
  <c r="R335" i="60"/>
  <c r="Q335" i="60"/>
  <c r="R336" i="60"/>
  <c r="R339" i="60"/>
  <c r="R340" i="60"/>
  <c r="R341" i="60"/>
  <c r="Q341" i="60"/>
  <c r="R342" i="60"/>
  <c r="R319" i="60"/>
  <c r="R303" i="60"/>
  <c r="R301" i="60"/>
  <c r="Q301" i="60"/>
  <c r="R277" i="60"/>
  <c r="R278" i="60"/>
  <c r="P278" i="60"/>
  <c r="R279" i="60"/>
  <c r="R281" i="60"/>
  <c r="P281" i="60"/>
  <c r="R283" i="60"/>
  <c r="R285" i="60"/>
  <c r="P285" i="60"/>
  <c r="R286" i="60"/>
  <c r="R288" i="60"/>
  <c r="P288" i="60"/>
  <c r="R290" i="60"/>
  <c r="R291" i="60"/>
  <c r="P291" i="60"/>
  <c r="R292" i="60"/>
  <c r="R293" i="60"/>
  <c r="P293" i="60"/>
  <c r="R296" i="60"/>
  <c r="R297" i="60"/>
  <c r="P297" i="60"/>
  <c r="R298" i="60"/>
  <c r="R299" i="60"/>
  <c r="P299" i="60"/>
  <c r="R276" i="60"/>
  <c r="H947" i="7"/>
  <c r="E239" i="60"/>
  <c r="H952" i="7"/>
  <c r="E244" i="60"/>
  <c r="H959" i="7"/>
  <c r="E251" i="60"/>
  <c r="H960" i="7"/>
  <c r="E252" i="60"/>
  <c r="R42" i="60"/>
  <c r="R40" i="60"/>
  <c r="R18" i="60"/>
  <c r="P18" i="60"/>
  <c r="R20" i="60"/>
  <c r="R22" i="60"/>
  <c r="P22" i="60"/>
  <c r="R24" i="60"/>
  <c r="R25" i="60"/>
  <c r="P25" i="60"/>
  <c r="R27" i="60"/>
  <c r="R29" i="60"/>
  <c r="P29" i="60"/>
  <c r="R30" i="60"/>
  <c r="R31" i="60"/>
  <c r="P31" i="60"/>
  <c r="R32" i="60"/>
  <c r="R35" i="60"/>
  <c r="P35" i="60"/>
  <c r="R36" i="60"/>
  <c r="R37" i="60"/>
  <c r="P37" i="60"/>
  <c r="R38" i="60"/>
  <c r="R15" i="60"/>
  <c r="P15" i="60"/>
  <c r="S455" i="59"/>
  <c r="S432" i="59"/>
  <c r="S433" i="59"/>
  <c r="S434" i="59"/>
  <c r="Q434" i="59"/>
  <c r="S435" i="59"/>
  <c r="S436" i="59"/>
  <c r="S438" i="59"/>
  <c r="S440" i="59"/>
  <c r="S442" i="59"/>
  <c r="S444" i="59"/>
  <c r="S445" i="59"/>
  <c r="S448" i="59"/>
  <c r="S449" i="59"/>
  <c r="S450" i="59"/>
  <c r="S451" i="59"/>
  <c r="S452" i="59"/>
  <c r="S453" i="59"/>
  <c r="S431" i="59"/>
  <c r="S390" i="59"/>
  <c r="S391" i="59"/>
  <c r="Q391" i="59"/>
  <c r="S392" i="59"/>
  <c r="S393" i="59"/>
  <c r="S394" i="59"/>
  <c r="S398" i="59"/>
  <c r="S400" i="59"/>
  <c r="S402" i="59"/>
  <c r="S403" i="59"/>
  <c r="S406" i="59"/>
  <c r="S407" i="59"/>
  <c r="S408" i="59"/>
  <c r="S409" i="59"/>
  <c r="S410" i="59"/>
  <c r="S411" i="59"/>
  <c r="S389" i="59"/>
  <c r="S371" i="59"/>
  <c r="S369" i="59"/>
  <c r="Q369" i="59"/>
  <c r="S346" i="59"/>
  <c r="S347" i="59"/>
  <c r="Q347" i="59"/>
  <c r="S348" i="59"/>
  <c r="S349" i="59"/>
  <c r="S350" i="59"/>
  <c r="S352" i="59"/>
  <c r="S354" i="59"/>
  <c r="S356" i="59"/>
  <c r="S358" i="59"/>
  <c r="S359" i="59"/>
  <c r="S362" i="59"/>
  <c r="S363" i="59"/>
  <c r="S364" i="59"/>
  <c r="S365" i="59"/>
  <c r="S366" i="59"/>
  <c r="S367" i="59"/>
  <c r="S345" i="59"/>
  <c r="S326" i="59"/>
  <c r="Q326" i="59"/>
  <c r="S303" i="59"/>
  <c r="S304" i="59"/>
  <c r="S305" i="59"/>
  <c r="S306" i="59"/>
  <c r="S307" i="59"/>
  <c r="S309" i="59"/>
  <c r="S311" i="59"/>
  <c r="S313" i="59"/>
  <c r="S315" i="59"/>
  <c r="S316" i="59"/>
  <c r="S319" i="59"/>
  <c r="S320" i="59"/>
  <c r="S321" i="59"/>
  <c r="S322" i="59"/>
  <c r="S323" i="59"/>
  <c r="S324" i="59"/>
  <c r="Q324" i="59"/>
  <c r="S302" i="59"/>
  <c r="S282" i="59"/>
  <c r="S259" i="59"/>
  <c r="S260" i="59"/>
  <c r="S261" i="59"/>
  <c r="S262" i="59"/>
  <c r="S263" i="59"/>
  <c r="S267" i="59"/>
  <c r="S269" i="59"/>
  <c r="S270" i="59"/>
  <c r="S271" i="59"/>
  <c r="S272" i="59"/>
  <c r="S275" i="59"/>
  <c r="S276" i="59"/>
  <c r="Q276" i="59"/>
  <c r="S277" i="59"/>
  <c r="S278" i="59"/>
  <c r="S279" i="59"/>
  <c r="S280" i="59"/>
  <c r="S258" i="59"/>
  <c r="S215" i="59"/>
  <c r="S216" i="59"/>
  <c r="S217" i="59"/>
  <c r="S218" i="59"/>
  <c r="S219" i="59"/>
  <c r="Q219" i="59"/>
  <c r="S221" i="59"/>
  <c r="S223" i="59"/>
  <c r="S225" i="59"/>
  <c r="S227" i="59"/>
  <c r="S228" i="59"/>
  <c r="S231" i="59"/>
  <c r="S232" i="59"/>
  <c r="S233" i="59"/>
  <c r="Q233" i="59"/>
  <c r="S234" i="59"/>
  <c r="S235" i="59"/>
  <c r="S236" i="59"/>
  <c r="S214" i="59"/>
  <c r="S153" i="59"/>
  <c r="S160" i="59"/>
  <c r="S164" i="59"/>
  <c r="S129" i="59"/>
  <c r="S138" i="59"/>
  <c r="S141" i="59"/>
  <c r="S145" i="59"/>
  <c r="S82" i="59"/>
  <c r="S83" i="59"/>
  <c r="S84" i="59"/>
  <c r="S85" i="59"/>
  <c r="S86" i="59"/>
  <c r="S87" i="59"/>
  <c r="S88" i="59"/>
  <c r="S51" i="59"/>
  <c r="S52" i="59"/>
  <c r="S53" i="59"/>
  <c r="S55" i="59"/>
  <c r="S58" i="59"/>
  <c r="S62" i="59"/>
  <c r="S63" i="59"/>
  <c r="S66" i="59"/>
  <c r="S68" i="59"/>
  <c r="S70" i="59"/>
  <c r="S71" i="59"/>
  <c r="S72" i="59"/>
  <c r="S75" i="59"/>
  <c r="S76" i="59"/>
  <c r="S77" i="59"/>
  <c r="S78" i="59"/>
  <c r="S79" i="59"/>
  <c r="S80" i="59"/>
  <c r="S50" i="59"/>
  <c r="S59" i="59"/>
  <c r="S61" i="59"/>
  <c r="S24" i="59"/>
  <c r="S25" i="59"/>
  <c r="S28" i="59"/>
  <c r="S29" i="59"/>
  <c r="S30" i="59"/>
  <c r="S35" i="59"/>
  <c r="S36" i="59"/>
  <c r="S39" i="59"/>
  <c r="S40" i="59"/>
  <c r="S43" i="59"/>
  <c r="S44" i="59"/>
  <c r="S45" i="59"/>
  <c r="S27" i="59"/>
  <c r="S38" i="59"/>
  <c r="S42" i="59"/>
  <c r="S743" i="57"/>
  <c r="S744" i="57"/>
  <c r="S745" i="57"/>
  <c r="S753" i="57"/>
  <c r="S756" i="57"/>
  <c r="S758" i="57"/>
  <c r="S761" i="57"/>
  <c r="S763" i="57"/>
  <c r="S766" i="57"/>
  <c r="S768" i="57"/>
  <c r="S769" i="57"/>
  <c r="S770" i="57"/>
  <c r="S773" i="57"/>
  <c r="S774" i="57"/>
  <c r="S775" i="57"/>
  <c r="S776" i="57"/>
  <c r="S777" i="57"/>
  <c r="S778" i="57"/>
  <c r="S742" i="57"/>
  <c r="S755" i="57"/>
  <c r="S762" i="57"/>
  <c r="S127" i="57"/>
  <c r="S130" i="57"/>
  <c r="S131" i="57"/>
  <c r="S132" i="57"/>
  <c r="S139" i="57"/>
  <c r="S140" i="57"/>
  <c r="S141" i="57"/>
  <c r="S144" i="57"/>
  <c r="S145" i="57"/>
  <c r="S146" i="57"/>
  <c r="S147" i="57"/>
  <c r="S129" i="57"/>
  <c r="S138" i="57"/>
  <c r="S143" i="57"/>
  <c r="S677" i="57"/>
  <c r="S680" i="57"/>
  <c r="S685" i="57"/>
  <c r="S687" i="57"/>
  <c r="S690" i="57"/>
  <c r="S692" i="57"/>
  <c r="S693" i="57"/>
  <c r="S694" i="57"/>
  <c r="S697" i="57"/>
  <c r="S698" i="57"/>
  <c r="S699" i="57"/>
  <c r="S700" i="57"/>
  <c r="S701" i="57"/>
  <c r="S702" i="57"/>
  <c r="S679" i="57"/>
  <c r="S686" i="57"/>
  <c r="S592" i="57"/>
  <c r="S593" i="57"/>
  <c r="S594" i="57"/>
  <c r="S602" i="57"/>
  <c r="S603" i="57"/>
  <c r="S605" i="57"/>
  <c r="S607" i="57"/>
  <c r="S610" i="57"/>
  <c r="S612" i="57"/>
  <c r="S615" i="57"/>
  <c r="S617" i="57"/>
  <c r="S618" i="57"/>
  <c r="S619" i="57"/>
  <c r="S622" i="57"/>
  <c r="S623" i="57"/>
  <c r="S624" i="57"/>
  <c r="S625" i="57"/>
  <c r="S626" i="57"/>
  <c r="S627" i="57"/>
  <c r="S591" i="57"/>
  <c r="S604" i="57"/>
  <c r="S611" i="57"/>
  <c r="S30" i="57"/>
  <c r="S29" i="57"/>
  <c r="H223" i="7"/>
  <c r="E311" i="57"/>
  <c r="H216" i="7"/>
  <c r="E304" i="57"/>
  <c r="H217" i="7"/>
  <c r="E305" i="57"/>
  <c r="H205" i="7"/>
  <c r="E293" i="57"/>
  <c r="H210" i="7"/>
  <c r="E298" i="57"/>
  <c r="H198" i="7"/>
  <c r="E286" i="57"/>
  <c r="H201" i="7"/>
  <c r="E289" i="57"/>
  <c r="H202" i="7"/>
  <c r="E290" i="57"/>
  <c r="H186" i="7"/>
  <c r="E274" i="57"/>
  <c r="H189" i="7"/>
  <c r="E277" i="57"/>
  <c r="H195" i="7"/>
  <c r="E283" i="57"/>
  <c r="H177" i="7"/>
  <c r="E246" i="57"/>
  <c r="H399" i="7"/>
  <c r="E603" i="57"/>
  <c r="F80" i="62"/>
  <c r="F177" i="62"/>
  <c r="F178" i="62"/>
  <c r="F81" i="62"/>
  <c r="P185" i="62"/>
  <c r="P184" i="62"/>
  <c r="P183" i="62"/>
  <c r="P182" i="62"/>
  <c r="E182" i="62"/>
  <c r="P181" i="62"/>
  <c r="P180" i="62"/>
  <c r="P179" i="62"/>
  <c r="P178" i="62"/>
  <c r="P177" i="62"/>
  <c r="P176" i="62"/>
  <c r="P175" i="62"/>
  <c r="P174" i="62"/>
  <c r="P173" i="62"/>
  <c r="P172" i="62"/>
  <c r="P171" i="62"/>
  <c r="P170" i="62"/>
  <c r="P169" i="62"/>
  <c r="E169" i="62"/>
  <c r="P168" i="62"/>
  <c r="E168" i="62"/>
  <c r="P167" i="62"/>
  <c r="P166" i="62"/>
  <c r="P165" i="62"/>
  <c r="P164" i="62"/>
  <c r="P163" i="62"/>
  <c r="P162" i="62"/>
  <c r="E162" i="62"/>
  <c r="P161" i="62"/>
  <c r="P160" i="62"/>
  <c r="P159" i="62"/>
  <c r="P158" i="62"/>
  <c r="P157" i="62"/>
  <c r="E157" i="62"/>
  <c r="P156" i="62"/>
  <c r="P155" i="62"/>
  <c r="P154" i="62"/>
  <c r="E154" i="62"/>
  <c r="P153" i="62"/>
  <c r="P152" i="62"/>
  <c r="P151" i="62"/>
  <c r="H118" i="7"/>
  <c r="E151" i="62"/>
  <c r="P150" i="62"/>
  <c r="P149" i="62"/>
  <c r="P148" i="62"/>
  <c r="P147" i="62"/>
  <c r="P146" i="62"/>
  <c r="P145" i="62"/>
  <c r="P144" i="62"/>
  <c r="F144" i="62"/>
  <c r="P143" i="62"/>
  <c r="F143" i="62"/>
  <c r="P142" i="62"/>
  <c r="P141" i="62"/>
  <c r="P140" i="62"/>
  <c r="P139" i="62"/>
  <c r="P138" i="62"/>
  <c r="P137" i="62"/>
  <c r="P136" i="62"/>
  <c r="E136" i="62"/>
  <c r="P135" i="62"/>
  <c r="P134" i="62"/>
  <c r="P133" i="62"/>
  <c r="P132" i="62"/>
  <c r="P131" i="62"/>
  <c r="P130" i="62"/>
  <c r="P129" i="62"/>
  <c r="P128" i="62"/>
  <c r="P127" i="62"/>
  <c r="P126" i="62"/>
  <c r="P125" i="62"/>
  <c r="P124" i="62"/>
  <c r="P123" i="62"/>
  <c r="P122" i="62"/>
  <c r="P121" i="62"/>
  <c r="P120" i="62"/>
  <c r="P119" i="62"/>
  <c r="G113" i="62"/>
  <c r="G112" i="62"/>
  <c r="G103" i="62"/>
  <c r="G111" i="62"/>
  <c r="G110" i="62"/>
  <c r="G101" i="62"/>
  <c r="G108" i="62"/>
  <c r="G107" i="62"/>
  <c r="G106" i="62"/>
  <c r="G105" i="62"/>
  <c r="G104" i="62"/>
  <c r="G102" i="62"/>
  <c r="F46" i="62"/>
  <c r="F47" i="62"/>
  <c r="E85" i="62"/>
  <c r="E65" i="62"/>
  <c r="E71" i="62"/>
  <c r="E72" i="62"/>
  <c r="E54" i="62"/>
  <c r="E57" i="62"/>
  <c r="E60" i="62"/>
  <c r="E39" i="62"/>
  <c r="P88" i="62"/>
  <c r="G88" i="62"/>
  <c r="P87" i="62"/>
  <c r="G87" i="62"/>
  <c r="P86" i="62"/>
  <c r="G86" i="62"/>
  <c r="P85" i="62"/>
  <c r="G85" i="62"/>
  <c r="P84" i="62"/>
  <c r="G84" i="62"/>
  <c r="P83" i="62"/>
  <c r="G83" i="62"/>
  <c r="P82" i="62"/>
  <c r="G82" i="62"/>
  <c r="O81" i="62"/>
  <c r="G80" i="62"/>
  <c r="P78" i="62"/>
  <c r="G78" i="62"/>
  <c r="P77" i="62"/>
  <c r="G77" i="62"/>
  <c r="P76" i="62"/>
  <c r="G76" i="62"/>
  <c r="P75" i="62"/>
  <c r="G75" i="62"/>
  <c r="P74" i="62"/>
  <c r="G74" i="62"/>
  <c r="P73" i="62"/>
  <c r="G73" i="62"/>
  <c r="P72" i="62"/>
  <c r="G72" i="62"/>
  <c r="P71" i="62"/>
  <c r="G71" i="62"/>
  <c r="P70" i="62"/>
  <c r="G70" i="62"/>
  <c r="P69" i="62"/>
  <c r="G69" i="62"/>
  <c r="P68" i="62"/>
  <c r="G68" i="62"/>
  <c r="P67" i="62"/>
  <c r="G67" i="62"/>
  <c r="P66" i="62"/>
  <c r="G66" i="62"/>
  <c r="P65" i="62"/>
  <c r="G65" i="62"/>
  <c r="P64" i="62"/>
  <c r="G64" i="62"/>
  <c r="P63" i="62"/>
  <c r="G63" i="62"/>
  <c r="P62" i="62"/>
  <c r="G62" i="62"/>
  <c r="P61" i="62"/>
  <c r="G61" i="62"/>
  <c r="P60" i="62"/>
  <c r="G60" i="62"/>
  <c r="P59" i="62"/>
  <c r="G59" i="62"/>
  <c r="P58" i="62"/>
  <c r="G58" i="62"/>
  <c r="P57" i="62"/>
  <c r="G57" i="62"/>
  <c r="P56" i="62"/>
  <c r="G56" i="62"/>
  <c r="P55" i="62"/>
  <c r="G55" i="62"/>
  <c r="P54" i="62"/>
  <c r="G54" i="62"/>
  <c r="P53" i="62"/>
  <c r="G53" i="62"/>
  <c r="P52" i="62"/>
  <c r="G52" i="62"/>
  <c r="P51" i="62"/>
  <c r="G51" i="62"/>
  <c r="P50" i="62"/>
  <c r="G50" i="62"/>
  <c r="P49" i="62"/>
  <c r="P46" i="62"/>
  <c r="G49" i="62"/>
  <c r="P48" i="62"/>
  <c r="G48" i="62"/>
  <c r="O47" i="62"/>
  <c r="G46" i="62"/>
  <c r="P44" i="62"/>
  <c r="G44" i="62"/>
  <c r="P43" i="62"/>
  <c r="G43" i="62"/>
  <c r="P42" i="62"/>
  <c r="G42" i="62"/>
  <c r="P41" i="62"/>
  <c r="G41" i="62"/>
  <c r="P40" i="62"/>
  <c r="G40" i="62"/>
  <c r="P39" i="62"/>
  <c r="G39" i="62"/>
  <c r="P38" i="62"/>
  <c r="G38" i="62"/>
  <c r="P37" i="62"/>
  <c r="G37" i="62"/>
  <c r="P36" i="62"/>
  <c r="G36" i="62"/>
  <c r="P35" i="62"/>
  <c r="G35" i="62"/>
  <c r="P34" i="62"/>
  <c r="G34" i="62"/>
  <c r="P33" i="62"/>
  <c r="G33" i="62"/>
  <c r="P32" i="62"/>
  <c r="G32" i="62"/>
  <c r="P31" i="62"/>
  <c r="G31" i="62"/>
  <c r="P30" i="62"/>
  <c r="G30" i="62"/>
  <c r="P29" i="62"/>
  <c r="G29" i="62"/>
  <c r="P28" i="62"/>
  <c r="G28" i="62"/>
  <c r="P27" i="62"/>
  <c r="G27" i="62"/>
  <c r="P26" i="62"/>
  <c r="G26" i="62"/>
  <c r="P25" i="62"/>
  <c r="G25" i="62"/>
  <c r="P24" i="62"/>
  <c r="G24" i="62"/>
  <c r="G23" i="62"/>
  <c r="O11" i="62"/>
  <c r="O10" i="62"/>
  <c r="S487" i="57"/>
  <c r="S493" i="57"/>
  <c r="S367" i="57"/>
  <c r="S373" i="57"/>
  <c r="S246" i="57"/>
  <c r="S764" i="57"/>
  <c r="S606" i="57"/>
  <c r="S609" i="57"/>
  <c r="S613" i="57"/>
  <c r="S616" i="57"/>
  <c r="S620" i="57"/>
  <c r="Q620" i="57"/>
  <c r="S621" i="57"/>
  <c r="F356" i="60"/>
  <c r="G356" i="60"/>
  <c r="H386" i="60"/>
  <c r="R387" i="60"/>
  <c r="R389" i="60"/>
  <c r="Q389" i="60"/>
  <c r="F359" i="60"/>
  <c r="F313" i="60"/>
  <c r="G313" i="60"/>
  <c r="H343" i="60"/>
  <c r="R344" i="60"/>
  <c r="R346" i="60"/>
  <c r="Q346" i="60"/>
  <c r="F270" i="60"/>
  <c r="G270" i="60"/>
  <c r="H300" i="60"/>
  <c r="F9" i="60"/>
  <c r="G9" i="60"/>
  <c r="H39" i="60"/>
  <c r="I39" i="60"/>
  <c r="J39" i="60"/>
  <c r="F425" i="59"/>
  <c r="G425" i="59"/>
  <c r="S457" i="59"/>
  <c r="F382" i="59"/>
  <c r="G382" i="59"/>
  <c r="S413" i="59"/>
  <c r="Q413" i="59"/>
  <c r="S415" i="59"/>
  <c r="S395" i="59"/>
  <c r="S396" i="59"/>
  <c r="S397" i="59"/>
  <c r="S399" i="59"/>
  <c r="S401" i="59"/>
  <c r="S404" i="59"/>
  <c r="S405" i="59"/>
  <c r="Q405" i="59"/>
  <c r="G381" i="59"/>
  <c r="F339" i="59"/>
  <c r="G339" i="59"/>
  <c r="F296" i="59"/>
  <c r="G296" i="59"/>
  <c r="F253" i="59"/>
  <c r="G253" i="59"/>
  <c r="F209" i="59"/>
  <c r="G209" i="59"/>
  <c r="S238" i="59"/>
  <c r="G109" i="59"/>
  <c r="H670" i="7"/>
  <c r="E187" i="59"/>
  <c r="G110" i="59"/>
  <c r="G111" i="59"/>
  <c r="G112" i="59"/>
  <c r="S73" i="59"/>
  <c r="S74" i="59"/>
  <c r="S81" i="59"/>
  <c r="S64" i="59"/>
  <c r="S65" i="59"/>
  <c r="S67" i="59"/>
  <c r="S69" i="59"/>
  <c r="S54" i="59"/>
  <c r="S56" i="59"/>
  <c r="S57" i="59"/>
  <c r="S60" i="59"/>
  <c r="S47" i="59"/>
  <c r="S49" i="59"/>
  <c r="S37" i="59"/>
  <c r="S41" i="59"/>
  <c r="G12" i="59"/>
  <c r="H590" i="7"/>
  <c r="E82" i="59"/>
  <c r="H593" i="7"/>
  <c r="E85" i="59"/>
  <c r="G13" i="59"/>
  <c r="G14" i="59"/>
  <c r="F723" i="57"/>
  <c r="G723" i="57"/>
  <c r="F724" i="57"/>
  <c r="G724" i="57"/>
  <c r="G725" i="57"/>
  <c r="F726" i="57"/>
  <c r="G726" i="57"/>
  <c r="G727" i="57"/>
  <c r="S759" i="57"/>
  <c r="S767" i="57"/>
  <c r="G649" i="57"/>
  <c r="G650" i="57"/>
  <c r="F650" i="57"/>
  <c r="G651" i="57"/>
  <c r="G652" i="57"/>
  <c r="F652" i="57"/>
  <c r="G653" i="57"/>
  <c r="F649" i="57"/>
  <c r="F651" i="57"/>
  <c r="F653" i="57"/>
  <c r="F573" i="57"/>
  <c r="G573" i="57"/>
  <c r="F574" i="57"/>
  <c r="G574" i="57"/>
  <c r="F575" i="57"/>
  <c r="G575" i="57"/>
  <c r="F576" i="57"/>
  <c r="G576" i="57"/>
  <c r="F577" i="57"/>
  <c r="G577" i="57"/>
  <c r="H402" i="7"/>
  <c r="E606" i="57"/>
  <c r="H405" i="7"/>
  <c r="E609" i="57"/>
  <c r="H416" i="7"/>
  <c r="E620" i="57"/>
  <c r="H417" i="7"/>
  <c r="E621" i="57"/>
  <c r="G111" i="57"/>
  <c r="G112" i="57"/>
  <c r="G113" i="57"/>
  <c r="G114" i="57"/>
  <c r="S167" i="57"/>
  <c r="S168" i="57"/>
  <c r="S170" i="57"/>
  <c r="S174" i="57"/>
  <c r="S175" i="57"/>
  <c r="S157" i="57"/>
  <c r="S159" i="57"/>
  <c r="S160" i="57"/>
  <c r="S163" i="57"/>
  <c r="S151" i="57"/>
  <c r="S142" i="57"/>
  <c r="S66" i="57"/>
  <c r="S58" i="57"/>
  <c r="S69" i="57"/>
  <c r="E41" i="57"/>
  <c r="E74" i="57"/>
  <c r="N35" i="37"/>
  <c r="P35" i="37"/>
  <c r="Q50" i="35"/>
  <c r="S50" i="35"/>
  <c r="T50" i="35"/>
  <c r="Q14" i="35"/>
  <c r="S14" i="35"/>
  <c r="P31" i="18"/>
  <c r="N31" i="18"/>
  <c r="R149" i="31"/>
  <c r="Q149" i="31"/>
  <c r="P149" i="31"/>
  <c r="P96" i="31"/>
  <c r="S437" i="59"/>
  <c r="S439" i="59"/>
  <c r="S441" i="59"/>
  <c r="S443" i="59"/>
  <c r="S446" i="59"/>
  <c r="S447" i="59"/>
  <c r="S308" i="59"/>
  <c r="S310" i="59"/>
  <c r="S312" i="59"/>
  <c r="Q312" i="59"/>
  <c r="S314" i="59"/>
  <c r="S317" i="59"/>
  <c r="S318" i="59"/>
  <c r="P301" i="59"/>
  <c r="S264" i="59"/>
  <c r="S265" i="59"/>
  <c r="S266" i="59"/>
  <c r="S268" i="59"/>
  <c r="S273" i="59"/>
  <c r="S274" i="59"/>
  <c r="Q274" i="59"/>
  <c r="P257" i="59"/>
  <c r="S220" i="59"/>
  <c r="S222" i="59"/>
  <c r="S224" i="59"/>
  <c r="Q224" i="59"/>
  <c r="S226" i="59"/>
  <c r="S229" i="59"/>
  <c r="S230" i="59"/>
  <c r="P213" i="59"/>
  <c r="S156" i="59"/>
  <c r="S158" i="59"/>
  <c r="S159" i="59"/>
  <c r="S162" i="59"/>
  <c r="S167" i="59"/>
  <c r="S169" i="59"/>
  <c r="S171" i="59"/>
  <c r="S175" i="59"/>
  <c r="S176" i="59"/>
  <c r="H639" i="7"/>
  <c r="E156" i="59"/>
  <c r="H642" i="7"/>
  <c r="E159" i="59"/>
  <c r="H645" i="7"/>
  <c r="E162" i="59"/>
  <c r="H650" i="7"/>
  <c r="E167" i="59"/>
  <c r="H654" i="7"/>
  <c r="E171" i="59"/>
  <c r="H658" i="7"/>
  <c r="E175" i="59"/>
  <c r="H659" i="7"/>
  <c r="E176" i="59"/>
  <c r="G604" i="7"/>
  <c r="S125" i="59"/>
  <c r="G162" i="7"/>
  <c r="S236" i="57"/>
  <c r="G1046" i="7"/>
  <c r="R366" i="60"/>
  <c r="R368" i="60"/>
  <c r="R370" i="60"/>
  <c r="R373" i="60"/>
  <c r="R375" i="60"/>
  <c r="R380" i="60"/>
  <c r="R381" i="60"/>
  <c r="R386" i="60"/>
  <c r="R388" i="60"/>
  <c r="H1048" i="7"/>
  <c r="E368" i="60"/>
  <c r="H1053" i="7"/>
  <c r="E373" i="60"/>
  <c r="H1060" i="7"/>
  <c r="E380" i="60"/>
  <c r="H1061" i="7"/>
  <c r="E381" i="60"/>
  <c r="E350" i="31"/>
  <c r="F350" i="31"/>
  <c r="L350" i="31"/>
  <c r="E351" i="31"/>
  <c r="F351" i="31"/>
  <c r="E352" i="31"/>
  <c r="F352" i="31"/>
  <c r="E353" i="31"/>
  <c r="F353" i="31"/>
  <c r="E354" i="31"/>
  <c r="F354" i="31"/>
  <c r="E355" i="31"/>
  <c r="F355" i="31"/>
  <c r="E356" i="31"/>
  <c r="F356" i="31"/>
  <c r="E358" i="31"/>
  <c r="F358" i="31"/>
  <c r="H358" i="31"/>
  <c r="E359" i="31"/>
  <c r="F359" i="31"/>
  <c r="L359" i="31"/>
  <c r="E360" i="31"/>
  <c r="F360" i="31"/>
  <c r="D353" i="18"/>
  <c r="J353" i="18"/>
  <c r="D354" i="18"/>
  <c r="J354" i="18"/>
  <c r="K354" i="18"/>
  <c r="D355" i="18"/>
  <c r="J355" i="18"/>
  <c r="D356" i="18"/>
  <c r="J356" i="18"/>
  <c r="K356" i="18"/>
  <c r="D357" i="18"/>
  <c r="J357" i="18"/>
  <c r="K357" i="18"/>
  <c r="D358" i="18"/>
  <c r="J358" i="18"/>
  <c r="K358" i="18"/>
  <c r="D359" i="18"/>
  <c r="J359" i="18"/>
  <c r="K359" i="18"/>
  <c r="D360" i="18"/>
  <c r="J360" i="18"/>
  <c r="K360" i="18"/>
  <c r="D361" i="18"/>
  <c r="J361" i="18"/>
  <c r="D362" i="18"/>
  <c r="J362" i="18"/>
  <c r="K362" i="18"/>
  <c r="D363" i="18"/>
  <c r="J363" i="18"/>
  <c r="D364" i="18"/>
  <c r="J364" i="18"/>
  <c r="K364" i="18"/>
  <c r="D365" i="18"/>
  <c r="J365" i="18"/>
  <c r="K365" i="18"/>
  <c r="D366" i="18"/>
  <c r="J366" i="18"/>
  <c r="K366" i="18"/>
  <c r="D367" i="18"/>
  <c r="J367" i="18"/>
  <c r="K367" i="18"/>
  <c r="D368" i="18"/>
  <c r="J368" i="18"/>
  <c r="K368" i="18"/>
  <c r="E357" i="31"/>
  <c r="F357" i="31"/>
  <c r="L357" i="31"/>
  <c r="M357" i="31"/>
  <c r="G355" i="60"/>
  <c r="F355" i="60"/>
  <c r="G1013" i="7"/>
  <c r="R323" i="60"/>
  <c r="R325" i="60"/>
  <c r="P325" i="60"/>
  <c r="R327" i="60"/>
  <c r="R330" i="60"/>
  <c r="R332" i="60"/>
  <c r="R337" i="60"/>
  <c r="Q337" i="60"/>
  <c r="R338" i="60"/>
  <c r="R343" i="60"/>
  <c r="R345" i="60"/>
  <c r="H1015" i="7"/>
  <c r="E325" i="60"/>
  <c r="H1020" i="7"/>
  <c r="E330" i="60"/>
  <c r="H1027" i="7"/>
  <c r="E337" i="60"/>
  <c r="H1028" i="7"/>
  <c r="E338" i="60"/>
  <c r="G312" i="60"/>
  <c r="F312" i="60"/>
  <c r="G979" i="7"/>
  <c r="R280" i="60"/>
  <c r="Q280" i="60"/>
  <c r="R282" i="60"/>
  <c r="R284" i="60"/>
  <c r="R287" i="60"/>
  <c r="R289" i="60"/>
  <c r="R294" i="60"/>
  <c r="R295" i="60"/>
  <c r="H981" i="7"/>
  <c r="E282" i="60"/>
  <c r="H986" i="7"/>
  <c r="E287" i="60"/>
  <c r="H993" i="7"/>
  <c r="E294" i="60"/>
  <c r="H994" i="7"/>
  <c r="E295" i="60"/>
  <c r="F269" i="60"/>
  <c r="G269" i="60"/>
  <c r="R300" i="60"/>
  <c r="R302" i="60"/>
  <c r="E291" i="31"/>
  <c r="F291" i="31"/>
  <c r="J291" i="31"/>
  <c r="H291" i="31"/>
  <c r="E292" i="31"/>
  <c r="F292" i="31"/>
  <c r="E293" i="31"/>
  <c r="F293" i="31"/>
  <c r="E294" i="31"/>
  <c r="F294" i="31"/>
  <c r="J294" i="31"/>
  <c r="E295" i="31"/>
  <c r="F295" i="31"/>
  <c r="E296" i="31"/>
  <c r="F296" i="31"/>
  <c r="H296" i="31"/>
  <c r="E297" i="31"/>
  <c r="F297" i="31"/>
  <c r="E298" i="31"/>
  <c r="F298" i="31"/>
  <c r="E299" i="31"/>
  <c r="F299" i="31"/>
  <c r="E300" i="31"/>
  <c r="F300" i="31"/>
  <c r="J300" i="31"/>
  <c r="H300" i="31"/>
  <c r="M300" i="31"/>
  <c r="E301" i="31"/>
  <c r="F301" i="31"/>
  <c r="E302" i="31"/>
  <c r="F302" i="31"/>
  <c r="E303" i="31"/>
  <c r="F303" i="31"/>
  <c r="E304" i="31"/>
  <c r="F304" i="31"/>
  <c r="E305" i="31"/>
  <c r="F305" i="31"/>
  <c r="E306" i="31"/>
  <c r="F306" i="31"/>
  <c r="G945" i="7"/>
  <c r="D293" i="18"/>
  <c r="F293" i="18"/>
  <c r="D294" i="18"/>
  <c r="D301" i="18"/>
  <c r="F301" i="18"/>
  <c r="D302" i="18"/>
  <c r="F302" i="18"/>
  <c r="D303" i="18"/>
  <c r="F303" i="18"/>
  <c r="D305" i="18"/>
  <c r="F305" i="18"/>
  <c r="D306" i="18"/>
  <c r="D307" i="18"/>
  <c r="F307" i="18"/>
  <c r="K307" i="18"/>
  <c r="H293" i="18"/>
  <c r="K293" i="18"/>
  <c r="D295" i="18"/>
  <c r="H295" i="18"/>
  <c r="K295" i="18"/>
  <c r="D296" i="18"/>
  <c r="H296" i="18"/>
  <c r="K296" i="18"/>
  <c r="D297" i="18"/>
  <c r="H297" i="18"/>
  <c r="D298" i="18"/>
  <c r="H298" i="18"/>
  <c r="K298" i="18"/>
  <c r="D299" i="18"/>
  <c r="H299" i="18"/>
  <c r="K299" i="18"/>
  <c r="D300" i="18"/>
  <c r="H300" i="18"/>
  <c r="K300" i="18"/>
  <c r="D304" i="18"/>
  <c r="H304" i="18"/>
  <c r="K304" i="18"/>
  <c r="H305" i="18"/>
  <c r="H307" i="18"/>
  <c r="D308" i="18"/>
  <c r="H308" i="18"/>
  <c r="K308" i="18"/>
  <c r="D309" i="18"/>
  <c r="H309" i="18"/>
  <c r="G911" i="7"/>
  <c r="H913" i="7"/>
  <c r="H918" i="7"/>
  <c r="H925" i="7"/>
  <c r="H926" i="7"/>
  <c r="G877" i="7"/>
  <c r="R21" i="60"/>
  <c r="R23" i="60"/>
  <c r="R26" i="60"/>
  <c r="R28" i="60"/>
  <c r="R33" i="60"/>
  <c r="R34" i="60"/>
  <c r="F8" i="60"/>
  <c r="G8" i="60"/>
  <c r="H879" i="7"/>
  <c r="E21" i="60"/>
  <c r="H884" i="7"/>
  <c r="H891" i="7"/>
  <c r="E77" i="60"/>
  <c r="E33" i="60"/>
  <c r="H892" i="7"/>
  <c r="E78" i="60"/>
  <c r="E34" i="60"/>
  <c r="R39" i="60"/>
  <c r="R41" i="60"/>
  <c r="O14" i="60"/>
  <c r="S454" i="59"/>
  <c r="S456" i="59"/>
  <c r="D264" i="18"/>
  <c r="F264" i="18"/>
  <c r="D265" i="18"/>
  <c r="D272" i="18"/>
  <c r="F272" i="18"/>
  <c r="D273" i="18"/>
  <c r="J273" i="18"/>
  <c r="D276" i="18"/>
  <c r="F276" i="18"/>
  <c r="D277" i="18"/>
  <c r="D278" i="18"/>
  <c r="F278" i="18"/>
  <c r="E233" i="31"/>
  <c r="E262" i="31"/>
  <c r="F262" i="31"/>
  <c r="H262" i="31"/>
  <c r="E234" i="31"/>
  <c r="E263" i="31"/>
  <c r="F263" i="31"/>
  <c r="L263" i="31"/>
  <c r="E235" i="31"/>
  <c r="E264" i="31"/>
  <c r="F264" i="31"/>
  <c r="L264" i="31"/>
  <c r="E236" i="31"/>
  <c r="E237" i="31"/>
  <c r="E266" i="31"/>
  <c r="F266" i="31"/>
  <c r="L266" i="31"/>
  <c r="E238" i="31"/>
  <c r="F238" i="31"/>
  <c r="J238" i="31"/>
  <c r="E267" i="31"/>
  <c r="F267" i="31"/>
  <c r="E240" i="31"/>
  <c r="E243" i="31"/>
  <c r="E272" i="31"/>
  <c r="F272" i="31"/>
  <c r="H272" i="31"/>
  <c r="E244" i="31"/>
  <c r="E273" i="31"/>
  <c r="F273" i="31"/>
  <c r="E246" i="31"/>
  <c r="E275" i="31"/>
  <c r="F275" i="31"/>
  <c r="H275" i="31"/>
  <c r="E247" i="31"/>
  <c r="E248" i="31"/>
  <c r="E277" i="31"/>
  <c r="F277" i="31"/>
  <c r="E239" i="31"/>
  <c r="E241" i="31"/>
  <c r="E270" i="31"/>
  <c r="F270" i="31"/>
  <c r="L270" i="31"/>
  <c r="M270" i="31"/>
  <c r="E242" i="31"/>
  <c r="E245" i="31"/>
  <c r="E274" i="31"/>
  <c r="F274" i="31"/>
  <c r="L274" i="31"/>
  <c r="M274" i="31"/>
  <c r="D266" i="18"/>
  <c r="J266" i="18"/>
  <c r="K266" i="18"/>
  <c r="D267" i="18"/>
  <c r="J267" i="18"/>
  <c r="K267" i="18"/>
  <c r="D268" i="18"/>
  <c r="J268" i="18"/>
  <c r="K268" i="18"/>
  <c r="D269" i="18"/>
  <c r="J269" i="18"/>
  <c r="D270" i="18"/>
  <c r="J270" i="18"/>
  <c r="K270" i="18"/>
  <c r="D271" i="18"/>
  <c r="J271" i="18"/>
  <c r="D274" i="18"/>
  <c r="J274" i="18"/>
  <c r="K274" i="18"/>
  <c r="D275" i="18"/>
  <c r="J275" i="18"/>
  <c r="K275" i="18"/>
  <c r="D279" i="18"/>
  <c r="J279" i="18"/>
  <c r="K279" i="18"/>
  <c r="D280" i="18"/>
  <c r="J280" i="18"/>
  <c r="K280" i="18"/>
  <c r="H855" i="7"/>
  <c r="E446" i="59"/>
  <c r="H856" i="7"/>
  <c r="E447" i="59"/>
  <c r="H846" i="7"/>
  <c r="E437" i="59"/>
  <c r="H850" i="7"/>
  <c r="E441" i="59"/>
  <c r="G424" i="59"/>
  <c r="F424" i="59"/>
  <c r="S412" i="59"/>
  <c r="Q412" i="59"/>
  <c r="S414" i="59"/>
  <c r="H814" i="7"/>
  <c r="E395" i="59"/>
  <c r="H818" i="7"/>
  <c r="E399" i="59"/>
  <c r="H823" i="7"/>
  <c r="E404" i="59"/>
  <c r="H824" i="7"/>
  <c r="E405" i="59"/>
  <c r="E134" i="31"/>
  <c r="F134" i="31"/>
  <c r="E135" i="31"/>
  <c r="F135" i="31"/>
  <c r="H135" i="31"/>
  <c r="M135" i="31"/>
  <c r="E136" i="31"/>
  <c r="F136" i="31"/>
  <c r="E137" i="31"/>
  <c r="F137" i="31"/>
  <c r="E141" i="31"/>
  <c r="F141" i="31"/>
  <c r="E142" i="31"/>
  <c r="F142" i="31"/>
  <c r="E144" i="31"/>
  <c r="F144" i="31"/>
  <c r="E145" i="31"/>
  <c r="F145" i="31"/>
  <c r="L145" i="31"/>
  <c r="H145" i="31"/>
  <c r="M145" i="31"/>
  <c r="E146" i="31"/>
  <c r="F146" i="31"/>
  <c r="D136" i="18"/>
  <c r="D137" i="18"/>
  <c r="F137" i="18"/>
  <c r="D138" i="18"/>
  <c r="F138" i="18"/>
  <c r="K138" i="18"/>
  <c r="D139" i="18"/>
  <c r="D140" i="18"/>
  <c r="F140" i="18"/>
  <c r="K140" i="18"/>
  <c r="D141" i="18"/>
  <c r="D142" i="18"/>
  <c r="D143" i="18"/>
  <c r="D144" i="18"/>
  <c r="D145" i="18"/>
  <c r="F145" i="18"/>
  <c r="D146" i="18"/>
  <c r="J146" i="18"/>
  <c r="F146" i="18"/>
  <c r="D147" i="18"/>
  <c r="D148" i="18"/>
  <c r="D149" i="18"/>
  <c r="F149" i="18"/>
  <c r="D150" i="18"/>
  <c r="F150" i="18"/>
  <c r="K150" i="18"/>
  <c r="D151" i="18"/>
  <c r="F151" i="18"/>
  <c r="H338" i="7"/>
  <c r="E514" i="57"/>
  <c r="H341" i="7"/>
  <c r="E517" i="57"/>
  <c r="H347" i="7"/>
  <c r="E523" i="57"/>
  <c r="H350" i="7"/>
  <c r="E526" i="57"/>
  <c r="H353" i="7"/>
  <c r="E529" i="57"/>
  <c r="H354" i="7"/>
  <c r="E530" i="57"/>
  <c r="H357" i="7"/>
  <c r="E533" i="57"/>
  <c r="H362" i="7"/>
  <c r="E538" i="57"/>
  <c r="H368" i="7"/>
  <c r="E544" i="57"/>
  <c r="H369" i="7"/>
  <c r="E545" i="57"/>
  <c r="H375" i="7"/>
  <c r="E551" i="57"/>
  <c r="E81" i="31"/>
  <c r="F81" i="31"/>
  <c r="E82" i="31"/>
  <c r="F82" i="31"/>
  <c r="H82" i="31"/>
  <c r="E83" i="31"/>
  <c r="F83" i="31"/>
  <c r="E84" i="31"/>
  <c r="E85" i="31"/>
  <c r="E86" i="31"/>
  <c r="F86" i="31"/>
  <c r="E87" i="31"/>
  <c r="E88" i="31"/>
  <c r="E89" i="31"/>
  <c r="F89" i="31"/>
  <c r="H89" i="31"/>
  <c r="E90" i="31"/>
  <c r="E91" i="31"/>
  <c r="F91" i="31"/>
  <c r="E92" i="31"/>
  <c r="E93" i="31"/>
  <c r="D77" i="18"/>
  <c r="H77" i="18"/>
  <c r="D78" i="18"/>
  <c r="D79" i="18"/>
  <c r="D80" i="18"/>
  <c r="D81" i="18"/>
  <c r="H81" i="18"/>
  <c r="D82" i="18"/>
  <c r="D83" i="18"/>
  <c r="H83" i="18"/>
  <c r="D84" i="18"/>
  <c r="D86" i="18"/>
  <c r="D87" i="18"/>
  <c r="H87" i="18"/>
  <c r="D88" i="18"/>
  <c r="H88" i="18"/>
  <c r="D89" i="18"/>
  <c r="D90" i="18"/>
  <c r="D91" i="18"/>
  <c r="D92" i="18"/>
  <c r="H92" i="18"/>
  <c r="H262" i="7"/>
  <c r="E395" i="57"/>
  <c r="H265" i="7"/>
  <c r="E398" i="57"/>
  <c r="H271" i="7"/>
  <c r="E404" i="57"/>
  <c r="H274" i="7"/>
  <c r="E407" i="57"/>
  <c r="H277" i="7"/>
  <c r="E410" i="57"/>
  <c r="H278" i="7"/>
  <c r="E411" i="57"/>
  <c r="H281" i="7"/>
  <c r="E414" i="57"/>
  <c r="H286" i="7"/>
  <c r="E419" i="57"/>
  <c r="H292" i="7"/>
  <c r="E425" i="57"/>
  <c r="H293" i="7"/>
  <c r="E426" i="57"/>
  <c r="H299" i="7"/>
  <c r="E432" i="57"/>
  <c r="E44" i="31"/>
  <c r="F44" i="31"/>
  <c r="L44" i="31"/>
  <c r="E45" i="31"/>
  <c r="F45" i="31"/>
  <c r="E46" i="31"/>
  <c r="F46" i="31"/>
  <c r="E47" i="31"/>
  <c r="F47" i="31"/>
  <c r="E48" i="31"/>
  <c r="F48" i="31"/>
  <c r="E49" i="31"/>
  <c r="F49" i="31"/>
  <c r="E50" i="31"/>
  <c r="F50" i="31"/>
  <c r="H50" i="31"/>
  <c r="L50" i="31"/>
  <c r="M50" i="31"/>
  <c r="E51" i="31"/>
  <c r="F51" i="31"/>
  <c r="E52" i="31"/>
  <c r="F52" i="31"/>
  <c r="E53" i="31"/>
  <c r="F53" i="31"/>
  <c r="E54" i="31"/>
  <c r="F54" i="31"/>
  <c r="E55" i="31"/>
  <c r="F55" i="31"/>
  <c r="E56" i="31"/>
  <c r="F56" i="31"/>
  <c r="E57" i="31"/>
  <c r="F57" i="31"/>
  <c r="L57" i="31"/>
  <c r="E58" i="31"/>
  <c r="F58" i="31"/>
  <c r="H58" i="31"/>
  <c r="M58" i="31"/>
  <c r="L58" i="31"/>
  <c r="E59" i="31"/>
  <c r="F59" i="31"/>
  <c r="L59" i="31"/>
  <c r="D43" i="18"/>
  <c r="H43" i="18"/>
  <c r="J43" i="18"/>
  <c r="D44" i="18"/>
  <c r="F44" i="18"/>
  <c r="K44" i="18"/>
  <c r="J44" i="18"/>
  <c r="D45" i="18"/>
  <c r="D46" i="18"/>
  <c r="J46" i="18"/>
  <c r="D47" i="18"/>
  <c r="J47" i="18"/>
  <c r="K47" i="18"/>
  <c r="D48" i="18"/>
  <c r="D52" i="18"/>
  <c r="J52" i="18"/>
  <c r="D53" i="18"/>
  <c r="H53" i="18"/>
  <c r="J53" i="18"/>
  <c r="D54" i="18"/>
  <c r="D55" i="18"/>
  <c r="D56" i="18"/>
  <c r="J56" i="18"/>
  <c r="K56" i="18"/>
  <c r="D57" i="18"/>
  <c r="J57" i="18"/>
  <c r="H57" i="18"/>
  <c r="K57" i="18"/>
  <c r="D58" i="18"/>
  <c r="D59" i="18"/>
  <c r="J59" i="18"/>
  <c r="D61" i="18"/>
  <c r="J61" i="18"/>
  <c r="K61" i="18"/>
  <c r="D62" i="18"/>
  <c r="J62" i="18"/>
  <c r="K62" i="18"/>
  <c r="E157" i="57"/>
  <c r="E160" i="57"/>
  <c r="E163" i="57"/>
  <c r="E168" i="57"/>
  <c r="E174" i="57"/>
  <c r="E175" i="57"/>
  <c r="H44" i="18"/>
  <c r="H46" i="18"/>
  <c r="K46" i="18"/>
  <c r="H47" i="18"/>
  <c r="D49" i="18"/>
  <c r="H49" i="18"/>
  <c r="D50" i="18"/>
  <c r="H50" i="18"/>
  <c r="D51" i="18"/>
  <c r="H52" i="18"/>
  <c r="H54" i="18"/>
  <c r="H56" i="18"/>
  <c r="H59" i="18"/>
  <c r="D8" i="18"/>
  <c r="J8" i="18"/>
  <c r="D9" i="18"/>
  <c r="D10" i="18"/>
  <c r="D11" i="18"/>
  <c r="D12" i="18"/>
  <c r="J12" i="18"/>
  <c r="D13" i="18"/>
  <c r="D17" i="18"/>
  <c r="J17" i="18"/>
  <c r="D18" i="18"/>
  <c r="D19" i="18"/>
  <c r="F19" i="18"/>
  <c r="K19" i="18"/>
  <c r="J19" i="18"/>
  <c r="D20" i="18"/>
  <c r="J20" i="18"/>
  <c r="D21" i="18"/>
  <c r="J21" i="18"/>
  <c r="D22" i="18"/>
  <c r="J22" i="18"/>
  <c r="D23" i="18"/>
  <c r="J23" i="18"/>
  <c r="D24" i="18"/>
  <c r="J24" i="18"/>
  <c r="D26" i="18"/>
  <c r="J26" i="18"/>
  <c r="K26" i="18"/>
  <c r="D27" i="18"/>
  <c r="H9" i="18"/>
  <c r="D14" i="18"/>
  <c r="H14" i="18"/>
  <c r="D15" i="18"/>
  <c r="H15" i="18"/>
  <c r="H20" i="18"/>
  <c r="H22" i="18"/>
  <c r="S351" i="59"/>
  <c r="S353" i="59"/>
  <c r="S355" i="59"/>
  <c r="S357" i="59"/>
  <c r="S360" i="59"/>
  <c r="S361" i="59"/>
  <c r="F338" i="59"/>
  <c r="G338" i="59"/>
  <c r="H780" i="7"/>
  <c r="E351" i="59"/>
  <c r="H784" i="7"/>
  <c r="E355" i="59"/>
  <c r="E360" i="59"/>
  <c r="E361" i="59"/>
  <c r="E160" i="31"/>
  <c r="F160" i="31"/>
  <c r="E161" i="31"/>
  <c r="F161" i="31"/>
  <c r="E162" i="31"/>
  <c r="F162" i="31"/>
  <c r="L162" i="31"/>
  <c r="E163" i="31"/>
  <c r="F163" i="31"/>
  <c r="E164" i="31"/>
  <c r="F164" i="31"/>
  <c r="L164" i="31"/>
  <c r="E165" i="31"/>
  <c r="F165" i="31"/>
  <c r="E166" i="31"/>
  <c r="F166" i="31"/>
  <c r="L166" i="31"/>
  <c r="E167" i="31"/>
  <c r="F167" i="31"/>
  <c r="E168" i="31"/>
  <c r="F168" i="31"/>
  <c r="E169" i="31"/>
  <c r="F169" i="31"/>
  <c r="E170" i="31"/>
  <c r="F170" i="31"/>
  <c r="J170" i="31"/>
  <c r="E171" i="31"/>
  <c r="F171" i="31"/>
  <c r="E173" i="31"/>
  <c r="F173" i="31"/>
  <c r="E174" i="31"/>
  <c r="F174" i="31"/>
  <c r="E175" i="31"/>
  <c r="F175" i="31"/>
  <c r="L175" i="31"/>
  <c r="D166" i="18"/>
  <c r="D167" i="18"/>
  <c r="J167" i="18"/>
  <c r="D168" i="18"/>
  <c r="H168" i="18"/>
  <c r="D169" i="18"/>
  <c r="J169" i="18"/>
  <c r="D170" i="18"/>
  <c r="D171" i="18"/>
  <c r="D172" i="18"/>
  <c r="D173" i="18"/>
  <c r="J173" i="18"/>
  <c r="D174" i="18"/>
  <c r="H174" i="18"/>
  <c r="J174" i="18"/>
  <c r="D175" i="18"/>
  <c r="J175" i="18"/>
  <c r="D176" i="18"/>
  <c r="D177" i="18"/>
  <c r="J177" i="18"/>
  <c r="D178" i="18"/>
  <c r="J178" i="18"/>
  <c r="D179" i="18"/>
  <c r="D180" i="18"/>
  <c r="D181" i="18"/>
  <c r="D182" i="18"/>
  <c r="D183" i="18"/>
  <c r="D184" i="18"/>
  <c r="D185" i="18"/>
  <c r="H557" i="7"/>
  <c r="E49" i="59"/>
  <c r="H562" i="7"/>
  <c r="E54" i="59"/>
  <c r="H565" i="7"/>
  <c r="E57" i="59"/>
  <c r="H568" i="7"/>
  <c r="E60" i="59"/>
  <c r="H573" i="7"/>
  <c r="E65" i="59"/>
  <c r="H577" i="7"/>
  <c r="E69" i="59"/>
  <c r="H581" i="7"/>
  <c r="E73" i="59"/>
  <c r="H582" i="7"/>
  <c r="E74" i="59"/>
  <c r="J162" i="31"/>
  <c r="E172" i="31"/>
  <c r="F172" i="31"/>
  <c r="H178" i="18"/>
  <c r="H182" i="18"/>
  <c r="D186" i="18"/>
  <c r="E196" i="31"/>
  <c r="F196" i="31"/>
  <c r="E197" i="31"/>
  <c r="F197" i="31"/>
  <c r="E198" i="31"/>
  <c r="F198" i="31"/>
  <c r="J198" i="31"/>
  <c r="M198" i="31"/>
  <c r="E199" i="31"/>
  <c r="F199" i="31"/>
  <c r="E200" i="31"/>
  <c r="F200" i="31"/>
  <c r="E201" i="31"/>
  <c r="F201" i="31"/>
  <c r="H201" i="31"/>
  <c r="E202" i="31"/>
  <c r="F202" i="31"/>
  <c r="E203" i="31"/>
  <c r="F203" i="31"/>
  <c r="J203" i="31"/>
  <c r="E204" i="31"/>
  <c r="F204" i="31"/>
  <c r="J204" i="31"/>
  <c r="E205" i="31"/>
  <c r="F205" i="31"/>
  <c r="E206" i="31"/>
  <c r="F206" i="31"/>
  <c r="E207" i="31"/>
  <c r="F207" i="31"/>
  <c r="E208" i="31"/>
  <c r="F208" i="31"/>
  <c r="E209" i="31"/>
  <c r="F209" i="31"/>
  <c r="E210" i="31"/>
  <c r="F210" i="31"/>
  <c r="E211" i="31"/>
  <c r="F211" i="31"/>
  <c r="H211" i="31"/>
  <c r="D200" i="18"/>
  <c r="H200" i="18"/>
  <c r="K200" i="18"/>
  <c r="D201" i="18"/>
  <c r="H201" i="18"/>
  <c r="K201" i="18"/>
  <c r="D202" i="18"/>
  <c r="H202" i="18"/>
  <c r="D203" i="18"/>
  <c r="H203" i="18"/>
  <c r="D204" i="18"/>
  <c r="H204" i="18"/>
  <c r="D205" i="18"/>
  <c r="H205" i="18"/>
  <c r="D206" i="18"/>
  <c r="H206" i="18"/>
  <c r="D207" i="18"/>
  <c r="H207" i="18"/>
  <c r="D208" i="18"/>
  <c r="D209" i="18"/>
  <c r="H209" i="18"/>
  <c r="K209" i="18"/>
  <c r="D210" i="18"/>
  <c r="H210" i="18"/>
  <c r="K210" i="18"/>
  <c r="D211" i="18"/>
  <c r="H211" i="18"/>
  <c r="K211" i="18"/>
  <c r="D212" i="18"/>
  <c r="H212" i="18"/>
  <c r="K212" i="18"/>
  <c r="D213" i="18"/>
  <c r="H213" i="18"/>
  <c r="K213" i="18"/>
  <c r="D214" i="18"/>
  <c r="H214" i="18"/>
  <c r="D216" i="18"/>
  <c r="D217" i="18"/>
  <c r="H217" i="18"/>
  <c r="D219" i="18"/>
  <c r="H219" i="18"/>
  <c r="D220" i="18"/>
  <c r="H220" i="18"/>
  <c r="K220" i="18"/>
  <c r="H198" i="31"/>
  <c r="L198" i="31"/>
  <c r="S368" i="59"/>
  <c r="S370" i="59"/>
  <c r="F234" i="31"/>
  <c r="F235" i="31"/>
  <c r="H235" i="31"/>
  <c r="F237" i="31"/>
  <c r="H237" i="31"/>
  <c r="H238" i="31"/>
  <c r="M238" i="31"/>
  <c r="F243" i="31"/>
  <c r="F246" i="31"/>
  <c r="F248" i="31"/>
  <c r="H248" i="31"/>
  <c r="M248" i="31"/>
  <c r="F241" i="31"/>
  <c r="J241" i="31"/>
  <c r="M241" i="31"/>
  <c r="F245" i="31"/>
  <c r="J245" i="31"/>
  <c r="M245" i="31"/>
  <c r="J248" i="31"/>
  <c r="S325" i="59"/>
  <c r="H749" i="7"/>
  <c r="E308" i="59"/>
  <c r="H753" i="7"/>
  <c r="E312" i="59"/>
  <c r="H758" i="7"/>
  <c r="E317" i="59"/>
  <c r="H759" i="7"/>
  <c r="E318" i="59"/>
  <c r="D234" i="18"/>
  <c r="F234" i="18"/>
  <c r="D243" i="18"/>
  <c r="F243" i="18"/>
  <c r="D246" i="18"/>
  <c r="F246" i="18"/>
  <c r="D247" i="18"/>
  <c r="F247" i="18"/>
  <c r="K247" i="18"/>
  <c r="D235" i="18"/>
  <c r="H235" i="18"/>
  <c r="D236" i="18"/>
  <c r="H236" i="18"/>
  <c r="K236" i="18"/>
  <c r="D237" i="18"/>
  <c r="H237" i="18"/>
  <c r="K237" i="18"/>
  <c r="D238" i="18"/>
  <c r="H238" i="18"/>
  <c r="K238" i="18"/>
  <c r="D239" i="18"/>
  <c r="H239" i="18"/>
  <c r="K239" i="18"/>
  <c r="D240" i="18"/>
  <c r="H240" i="18"/>
  <c r="K240" i="18"/>
  <c r="D241" i="18"/>
  <c r="H241" i="18"/>
  <c r="K241" i="18"/>
  <c r="D242" i="18"/>
  <c r="H242" i="18"/>
  <c r="K242" i="18"/>
  <c r="H243" i="18"/>
  <c r="D244" i="18"/>
  <c r="H244" i="18"/>
  <c r="K244" i="18"/>
  <c r="D245" i="18"/>
  <c r="H245" i="18"/>
  <c r="K245" i="18"/>
  <c r="H247" i="18"/>
  <c r="D248" i="18"/>
  <c r="H248" i="18"/>
  <c r="K248" i="18"/>
  <c r="D249" i="18"/>
  <c r="H249" i="18"/>
  <c r="D250" i="18"/>
  <c r="H250" i="18"/>
  <c r="K250" i="18"/>
  <c r="G295" i="59"/>
  <c r="F295" i="59"/>
  <c r="S281" i="59"/>
  <c r="H718" i="7"/>
  <c r="E264" i="59"/>
  <c r="H722" i="7"/>
  <c r="E268" i="59"/>
  <c r="H727" i="7"/>
  <c r="E273" i="59"/>
  <c r="H728" i="7"/>
  <c r="E274" i="59"/>
  <c r="G252" i="59"/>
  <c r="F252" i="59"/>
  <c r="S237" i="59"/>
  <c r="H686" i="7"/>
  <c r="E220" i="59"/>
  <c r="H690" i="7"/>
  <c r="E224" i="59"/>
  <c r="H695" i="7"/>
  <c r="E229" i="59"/>
  <c r="H696" i="7"/>
  <c r="E230" i="59"/>
  <c r="G208" i="59"/>
  <c r="G619" i="7"/>
  <c r="S135" i="59"/>
  <c r="G617" i="7"/>
  <c r="S134" i="59"/>
  <c r="G615" i="7"/>
  <c r="S133" i="59"/>
  <c r="G613" i="7"/>
  <c r="S132" i="59"/>
  <c r="S139" i="59"/>
  <c r="S143" i="59"/>
  <c r="G107" i="59"/>
  <c r="G106" i="59"/>
  <c r="G105" i="59"/>
  <c r="H624" i="7"/>
  <c r="E139" i="59"/>
  <c r="H628" i="7"/>
  <c r="E143" i="59"/>
  <c r="F167" i="18"/>
  <c r="F169" i="18"/>
  <c r="F173" i="18"/>
  <c r="F174" i="18"/>
  <c r="F175" i="18"/>
  <c r="F177" i="18"/>
  <c r="F178" i="18"/>
  <c r="F183" i="18"/>
  <c r="H162" i="31"/>
  <c r="M162" i="31"/>
  <c r="G528" i="7"/>
  <c r="S23" i="59"/>
  <c r="G542" i="7"/>
  <c r="S33" i="59"/>
  <c r="G540" i="7"/>
  <c r="S32" i="59"/>
  <c r="G538" i="7"/>
  <c r="S31" i="59"/>
  <c r="G11" i="59"/>
  <c r="G10" i="59"/>
  <c r="G9" i="59"/>
  <c r="H551" i="7"/>
  <c r="E41" i="59"/>
  <c r="S688" i="57"/>
  <c r="S689" i="57"/>
  <c r="S691" i="57"/>
  <c r="S695" i="57"/>
  <c r="S696" i="57"/>
  <c r="Q696" i="57"/>
  <c r="G442" i="7"/>
  <c r="S674" i="57"/>
  <c r="G443" i="7"/>
  <c r="S675" i="57"/>
  <c r="G444" i="7"/>
  <c r="S676" i="57"/>
  <c r="S678" i="57"/>
  <c r="S681" i="57"/>
  <c r="S682" i="57"/>
  <c r="S683" i="57"/>
  <c r="S684" i="57"/>
  <c r="G439" i="7"/>
  <c r="S671" i="57"/>
  <c r="G440" i="7"/>
  <c r="S672" i="57"/>
  <c r="G441" i="7"/>
  <c r="S673" i="57"/>
  <c r="H463" i="7"/>
  <c r="E695" i="57"/>
  <c r="H464" i="7"/>
  <c r="E696" i="57"/>
  <c r="H446" i="7"/>
  <c r="E678" i="57"/>
  <c r="H449" i="7"/>
  <c r="E681" i="57"/>
  <c r="H452" i="7"/>
  <c r="E684" i="57"/>
  <c r="H457" i="7"/>
  <c r="E689" i="57"/>
  <c r="H438" i="7"/>
  <c r="E670" i="57"/>
  <c r="S614" i="57"/>
  <c r="R614" i="57"/>
  <c r="S608" i="57"/>
  <c r="G393" i="7"/>
  <c r="S597" i="57"/>
  <c r="Q597" i="57"/>
  <c r="G394" i="7"/>
  <c r="S598" i="57"/>
  <c r="G395" i="7"/>
  <c r="S599" i="57"/>
  <c r="R599" i="57"/>
  <c r="G396" i="7"/>
  <c r="S600" i="57"/>
  <c r="G397" i="7"/>
  <c r="S601" i="57"/>
  <c r="R601" i="57"/>
  <c r="S595" i="57"/>
  <c r="G392" i="7"/>
  <c r="S596" i="57"/>
  <c r="H410" i="7"/>
  <c r="E614" i="57"/>
  <c r="H391" i="7"/>
  <c r="G322" i="7"/>
  <c r="S481" i="57"/>
  <c r="G320" i="7"/>
  <c r="S480" i="57"/>
  <c r="R480" i="57"/>
  <c r="G314" i="7"/>
  <c r="S477" i="57"/>
  <c r="G318" i="7"/>
  <c r="S479" i="57"/>
  <c r="R479" i="57"/>
  <c r="G316" i="7"/>
  <c r="S478" i="57"/>
  <c r="F77" i="18"/>
  <c r="F81" i="18"/>
  <c r="D85" i="18"/>
  <c r="F85" i="18"/>
  <c r="F86" i="18"/>
  <c r="D93" i="18"/>
  <c r="F93" i="18"/>
  <c r="K93" i="18"/>
  <c r="H329" i="7"/>
  <c r="E487" i="57"/>
  <c r="G246" i="7"/>
  <c r="S361" i="57"/>
  <c r="R361" i="57"/>
  <c r="G244" i="7"/>
  <c r="S360" i="57"/>
  <c r="G242" i="7"/>
  <c r="S359" i="57"/>
  <c r="G240" i="7"/>
  <c r="S358" i="57"/>
  <c r="G238" i="7"/>
  <c r="S357" i="57"/>
  <c r="H253" i="7"/>
  <c r="E367" i="57"/>
  <c r="G486" i="7"/>
  <c r="S747" i="57"/>
  <c r="G491" i="7"/>
  <c r="S752" i="57"/>
  <c r="Q752" i="57"/>
  <c r="G490" i="7"/>
  <c r="S751" i="57"/>
  <c r="G489" i="7"/>
  <c r="S750" i="57"/>
  <c r="G488" i="7"/>
  <c r="S749" i="57"/>
  <c r="G487" i="7"/>
  <c r="S748" i="57"/>
  <c r="F722" i="57"/>
  <c r="G722" i="57"/>
  <c r="L135" i="31"/>
  <c r="E138" i="31"/>
  <c r="F138" i="31"/>
  <c r="L138" i="31"/>
  <c r="M138" i="31"/>
  <c r="E139" i="31"/>
  <c r="F139" i="31"/>
  <c r="L139" i="31"/>
  <c r="M139" i="31"/>
  <c r="E140" i="31"/>
  <c r="F140" i="31"/>
  <c r="L140" i="31"/>
  <c r="M140" i="31"/>
  <c r="E143" i="31"/>
  <c r="F143" i="31"/>
  <c r="L143" i="31"/>
  <c r="M143" i="31"/>
  <c r="J138" i="18"/>
  <c r="J140" i="18"/>
  <c r="J145" i="18"/>
  <c r="K145" i="18"/>
  <c r="J149" i="18"/>
  <c r="J150" i="18"/>
  <c r="J151" i="18"/>
  <c r="K151" i="18"/>
  <c r="F721" i="57"/>
  <c r="G721" i="57"/>
  <c r="F720" i="57"/>
  <c r="G720" i="57"/>
  <c r="F719" i="57"/>
  <c r="G719" i="57"/>
  <c r="G718" i="57"/>
  <c r="S746" i="57"/>
  <c r="S754" i="57"/>
  <c r="S757" i="57"/>
  <c r="S760" i="57"/>
  <c r="S765" i="57"/>
  <c r="S771" i="57"/>
  <c r="S772" i="57"/>
  <c r="H485" i="7"/>
  <c r="E746" i="57"/>
  <c r="H493" i="7"/>
  <c r="E754" i="57"/>
  <c r="H496" i="7"/>
  <c r="E757" i="57"/>
  <c r="H499" i="7"/>
  <c r="E760" i="57"/>
  <c r="H504" i="7"/>
  <c r="E765" i="57"/>
  <c r="H510" i="7"/>
  <c r="E771" i="57"/>
  <c r="H511" i="7"/>
  <c r="E772" i="57"/>
  <c r="F648" i="57"/>
  <c r="G648" i="57"/>
  <c r="F647" i="57"/>
  <c r="G647" i="57"/>
  <c r="F646" i="57"/>
  <c r="G646" i="57"/>
  <c r="F645" i="57"/>
  <c r="G645" i="57"/>
  <c r="F644" i="57"/>
  <c r="G644" i="57"/>
  <c r="F572" i="57"/>
  <c r="G572" i="57"/>
  <c r="F571" i="57"/>
  <c r="G571" i="57"/>
  <c r="F570" i="57"/>
  <c r="G570" i="57"/>
  <c r="F569" i="57"/>
  <c r="G569" i="57"/>
  <c r="F568" i="57"/>
  <c r="G568" i="57"/>
  <c r="E8" i="31"/>
  <c r="F8" i="31"/>
  <c r="E9" i="31"/>
  <c r="F9" i="31"/>
  <c r="H9" i="31"/>
  <c r="E10" i="31"/>
  <c r="F10" i="31"/>
  <c r="H10" i="31"/>
  <c r="E11" i="31"/>
  <c r="F11" i="31"/>
  <c r="H11" i="31"/>
  <c r="E12" i="31"/>
  <c r="F12" i="31"/>
  <c r="E13" i="31"/>
  <c r="F13" i="31"/>
  <c r="E14" i="31"/>
  <c r="F14" i="31"/>
  <c r="E15" i="31"/>
  <c r="F15" i="31"/>
  <c r="E16" i="31"/>
  <c r="F16" i="31"/>
  <c r="L16" i="31"/>
  <c r="E17" i="31"/>
  <c r="F17" i="31"/>
  <c r="E18" i="31"/>
  <c r="F18" i="31"/>
  <c r="E19" i="31"/>
  <c r="F19" i="31"/>
  <c r="E20" i="31"/>
  <c r="F20" i="31"/>
  <c r="E21" i="31"/>
  <c r="F21" i="31"/>
  <c r="E22" i="31"/>
  <c r="F22" i="31"/>
  <c r="E23" i="31"/>
  <c r="F23" i="31"/>
  <c r="H23" i="31"/>
  <c r="E62" i="57"/>
  <c r="E67" i="57"/>
  <c r="E73" i="57"/>
  <c r="E56" i="57"/>
  <c r="E59" i="57"/>
  <c r="E142" i="57"/>
  <c r="G164" i="7"/>
  <c r="S237" i="57"/>
  <c r="G166" i="7"/>
  <c r="S238" i="57"/>
  <c r="G168" i="7"/>
  <c r="S239" i="57"/>
  <c r="G170" i="7"/>
  <c r="S240" i="57"/>
  <c r="G84" i="7"/>
  <c r="G92" i="7"/>
  <c r="G94" i="7"/>
  <c r="G96" i="7"/>
  <c r="G98" i="7"/>
  <c r="G82" i="7"/>
  <c r="G110" i="57"/>
  <c r="H44" i="31"/>
  <c r="H52" i="31"/>
  <c r="F45" i="18"/>
  <c r="F46" i="18"/>
  <c r="F47" i="18"/>
  <c r="F52" i="18"/>
  <c r="F56" i="18"/>
  <c r="F57" i="18"/>
  <c r="D60" i="18"/>
  <c r="F60" i="18"/>
  <c r="D63" i="18"/>
  <c r="F63" i="18"/>
  <c r="K63" i="18"/>
  <c r="G109" i="57"/>
  <c r="G95" i="7"/>
  <c r="G108" i="57"/>
  <c r="G107" i="57"/>
  <c r="G18" i="7"/>
  <c r="S33" i="57"/>
  <c r="G22" i="7"/>
  <c r="G20" i="7"/>
  <c r="S34" i="57"/>
  <c r="F8" i="18"/>
  <c r="F11" i="18"/>
  <c r="D16" i="18"/>
  <c r="F16" i="18"/>
  <c r="K16" i="18"/>
  <c r="F17" i="18"/>
  <c r="F20" i="18"/>
  <c r="F21" i="18"/>
  <c r="F22" i="18"/>
  <c r="D25" i="18"/>
  <c r="F25" i="18"/>
  <c r="K25" i="18"/>
  <c r="D28" i="18"/>
  <c r="F28" i="18"/>
  <c r="S73" i="57"/>
  <c r="S67" i="57"/>
  <c r="S62" i="57"/>
  <c r="S59" i="57"/>
  <c r="S56" i="57"/>
  <c r="J9" i="31"/>
  <c r="J23" i="31"/>
  <c r="M23" i="31"/>
  <c r="H1066" i="7"/>
  <c r="H1068" i="7"/>
  <c r="H1033" i="7"/>
  <c r="H1035" i="7"/>
  <c r="H999" i="7"/>
  <c r="H1001" i="7"/>
  <c r="H965" i="7"/>
  <c r="H967" i="7"/>
  <c r="H931" i="7"/>
  <c r="H933" i="7"/>
  <c r="H897" i="7"/>
  <c r="H899" i="7"/>
  <c r="H863" i="7"/>
  <c r="H865" i="7"/>
  <c r="H831" i="7"/>
  <c r="H833" i="7"/>
  <c r="H797" i="7"/>
  <c r="H799" i="7"/>
  <c r="H766" i="7"/>
  <c r="H735" i="7"/>
  <c r="H703" i="7"/>
  <c r="H633" i="7"/>
  <c r="H634" i="7"/>
  <c r="H666" i="7"/>
  <c r="H667" i="7"/>
  <c r="H621" i="7"/>
  <c r="H608" i="7"/>
  <c r="H544" i="7"/>
  <c r="H547" i="7"/>
  <c r="H556" i="7"/>
  <c r="H589" i="7"/>
  <c r="H533" i="7"/>
  <c r="H518" i="7"/>
  <c r="H520" i="7"/>
  <c r="E491" i="7"/>
  <c r="E490" i="7"/>
  <c r="E489" i="7"/>
  <c r="E488" i="7"/>
  <c r="H471" i="7"/>
  <c r="H473" i="7"/>
  <c r="E444" i="7"/>
  <c r="E443" i="7"/>
  <c r="E442" i="7"/>
  <c r="E441" i="7"/>
  <c r="H424" i="7"/>
  <c r="H426" i="7"/>
  <c r="H378" i="7"/>
  <c r="H335" i="7"/>
  <c r="H336" i="7"/>
  <c r="H324" i="7"/>
  <c r="H259" i="7"/>
  <c r="E390" i="57"/>
  <c r="H260" i="7"/>
  <c r="E393" i="57"/>
  <c r="H302" i="7"/>
  <c r="H248" i="7"/>
  <c r="H226" i="7"/>
  <c r="H183" i="7"/>
  <c r="H184" i="7"/>
  <c r="H172" i="7"/>
  <c r="J3" i="3"/>
  <c r="G36" i="3"/>
  <c r="Q425" i="59"/>
  <c r="D83" i="37"/>
  <c r="F115" i="35"/>
  <c r="E7" i="35"/>
  <c r="E25" i="35"/>
  <c r="F116" i="35"/>
  <c r="E8" i="35"/>
  <c r="E26" i="35"/>
  <c r="F119" i="35"/>
  <c r="E11" i="35"/>
  <c r="E29" i="35"/>
  <c r="F120" i="35"/>
  <c r="E12" i="35"/>
  <c r="E30" i="35"/>
  <c r="F122" i="35"/>
  <c r="E13" i="35"/>
  <c r="E101" i="35"/>
  <c r="F117" i="35"/>
  <c r="E9" i="35"/>
  <c r="E27" i="35"/>
  <c r="E46" i="35"/>
  <c r="F118" i="35"/>
  <c r="F121" i="35"/>
  <c r="G121" i="35"/>
  <c r="K121" i="35"/>
  <c r="N121" i="35"/>
  <c r="J209" i="18"/>
  <c r="J210" i="18"/>
  <c r="D71" i="37"/>
  <c r="H71" i="37"/>
  <c r="H72" i="37"/>
  <c r="F95" i="35"/>
  <c r="F96" i="35"/>
  <c r="F99" i="35"/>
  <c r="F100" i="35"/>
  <c r="F101" i="35"/>
  <c r="F97" i="35"/>
  <c r="F98" i="35"/>
  <c r="G98" i="35"/>
  <c r="F71" i="37"/>
  <c r="D107" i="37"/>
  <c r="J107" i="37"/>
  <c r="J108" i="37"/>
  <c r="F153" i="35"/>
  <c r="F154" i="35"/>
  <c r="F155" i="35"/>
  <c r="F156" i="35"/>
  <c r="F157" i="35"/>
  <c r="F158" i="35"/>
  <c r="K269" i="18"/>
  <c r="K271" i="18"/>
  <c r="D95" i="37"/>
  <c r="H95" i="37"/>
  <c r="H96" i="37"/>
  <c r="F136" i="35"/>
  <c r="F137" i="35"/>
  <c r="F138" i="35"/>
  <c r="F139" i="35"/>
  <c r="F140" i="35"/>
  <c r="F141" i="35"/>
  <c r="K249" i="18"/>
  <c r="D19" i="38"/>
  <c r="R12" i="36"/>
  <c r="R14" i="36"/>
  <c r="Q14" i="36"/>
  <c r="R17" i="36"/>
  <c r="P5" i="36"/>
  <c r="E320" i="31"/>
  <c r="E321" i="31"/>
  <c r="E374" i="31"/>
  <c r="F374" i="31"/>
  <c r="H374" i="31"/>
  <c r="E322" i="31"/>
  <c r="F322" i="31"/>
  <c r="E375" i="31"/>
  <c r="F375" i="31"/>
  <c r="H375" i="31"/>
  <c r="E323" i="31"/>
  <c r="E324" i="31"/>
  <c r="E325" i="31"/>
  <c r="E326" i="31"/>
  <c r="E379" i="31"/>
  <c r="F379" i="31"/>
  <c r="H379" i="31"/>
  <c r="E327" i="31"/>
  <c r="F327" i="31"/>
  <c r="E328" i="31"/>
  <c r="E329" i="31"/>
  <c r="E382" i="31"/>
  <c r="F382" i="31"/>
  <c r="H382" i="31"/>
  <c r="E330" i="31"/>
  <c r="E383" i="31"/>
  <c r="F383" i="31"/>
  <c r="H383" i="31"/>
  <c r="E331" i="31"/>
  <c r="E332" i="31"/>
  <c r="E333" i="31"/>
  <c r="E386" i="31"/>
  <c r="F386" i="31"/>
  <c r="H386" i="31"/>
  <c r="E334" i="31"/>
  <c r="E387" i="31"/>
  <c r="F387" i="31"/>
  <c r="H387" i="31"/>
  <c r="E335" i="31"/>
  <c r="F335" i="31"/>
  <c r="D381" i="18"/>
  <c r="F381" i="18"/>
  <c r="D382" i="18"/>
  <c r="F382" i="18"/>
  <c r="D383" i="18"/>
  <c r="F383" i="18"/>
  <c r="D384" i="18"/>
  <c r="F384" i="18"/>
  <c r="D385" i="18"/>
  <c r="F385" i="18"/>
  <c r="D386" i="18"/>
  <c r="F386" i="18"/>
  <c r="F222" i="35"/>
  <c r="G222" i="35"/>
  <c r="I222" i="35"/>
  <c r="F223" i="35"/>
  <c r="G223" i="35"/>
  <c r="I223" i="35"/>
  <c r="F224" i="35"/>
  <c r="G224" i="35"/>
  <c r="I224" i="35"/>
  <c r="F225" i="35"/>
  <c r="G225" i="35"/>
  <c r="I225" i="35"/>
  <c r="D148" i="37"/>
  <c r="F148" i="37"/>
  <c r="F149" i="37"/>
  <c r="K9" i="36"/>
  <c r="F19" i="47"/>
  <c r="F15" i="49"/>
  <c r="F51" i="47"/>
  <c r="R18" i="34"/>
  <c r="F22" i="49"/>
  <c r="F21" i="49"/>
  <c r="F20" i="49"/>
  <c r="F9" i="49"/>
  <c r="F6" i="34"/>
  <c r="R6" i="34"/>
  <c r="F7" i="34"/>
  <c r="R7" i="34"/>
  <c r="F8" i="34"/>
  <c r="R8" i="34"/>
  <c r="F9" i="34"/>
  <c r="R9" i="34"/>
  <c r="F10" i="34"/>
  <c r="R10" i="34"/>
  <c r="F11" i="34"/>
  <c r="R11" i="34"/>
  <c r="F12" i="34"/>
  <c r="R12" i="34"/>
  <c r="F13" i="34"/>
  <c r="R13" i="34"/>
  <c r="F14" i="34"/>
  <c r="F15" i="34"/>
  <c r="R15" i="34"/>
  <c r="F16" i="34"/>
  <c r="R16" i="34"/>
  <c r="F17" i="34"/>
  <c r="R17" i="34"/>
  <c r="F18" i="34"/>
  <c r="F19" i="34"/>
  <c r="R19" i="34"/>
  <c r="F20" i="34"/>
  <c r="R20" i="34"/>
  <c r="F21" i="34"/>
  <c r="R21" i="34"/>
  <c r="F22" i="34"/>
  <c r="R22" i="34"/>
  <c r="F23" i="34"/>
  <c r="F24" i="34"/>
  <c r="F25" i="34"/>
  <c r="F8" i="37"/>
  <c r="D22" i="37"/>
  <c r="D34" i="37"/>
  <c r="F34" i="37"/>
  <c r="D46" i="37"/>
  <c r="F46" i="37"/>
  <c r="D59" i="37"/>
  <c r="J59" i="37"/>
  <c r="D119" i="37"/>
  <c r="D132" i="37"/>
  <c r="D141" i="37"/>
  <c r="J141" i="37"/>
  <c r="K141" i="37"/>
  <c r="F7" i="35"/>
  <c r="G7" i="35"/>
  <c r="F8" i="35"/>
  <c r="F9" i="35"/>
  <c r="G9" i="35"/>
  <c r="F10" i="35"/>
  <c r="G10" i="35"/>
  <c r="K10" i="35"/>
  <c r="N10" i="35"/>
  <c r="F11" i="35"/>
  <c r="F12" i="35"/>
  <c r="G12" i="35"/>
  <c r="F13" i="35"/>
  <c r="F25" i="35"/>
  <c r="G25" i="35"/>
  <c r="I25" i="35"/>
  <c r="F26" i="35"/>
  <c r="G26" i="35"/>
  <c r="F27" i="35"/>
  <c r="F28" i="35"/>
  <c r="G28" i="35"/>
  <c r="K28" i="35"/>
  <c r="N28" i="35"/>
  <c r="F29" i="35"/>
  <c r="F30" i="35"/>
  <c r="G30" i="35"/>
  <c r="F31" i="35"/>
  <c r="F44" i="35"/>
  <c r="F45" i="35"/>
  <c r="G45" i="35"/>
  <c r="K45" i="35"/>
  <c r="F46" i="35"/>
  <c r="F47" i="35"/>
  <c r="G47" i="35"/>
  <c r="K47" i="35"/>
  <c r="N47" i="35"/>
  <c r="F48" i="35"/>
  <c r="F49" i="35"/>
  <c r="F61" i="35"/>
  <c r="F62" i="35"/>
  <c r="F63" i="35"/>
  <c r="E64" i="35"/>
  <c r="F64" i="35"/>
  <c r="G64" i="35"/>
  <c r="K64" i="35"/>
  <c r="N64" i="35"/>
  <c r="F65" i="35"/>
  <c r="F66" i="35"/>
  <c r="F78" i="35"/>
  <c r="F79" i="35"/>
  <c r="G79" i="35"/>
  <c r="I79" i="35"/>
  <c r="F80" i="35"/>
  <c r="F81" i="35"/>
  <c r="G81" i="35"/>
  <c r="M81" i="35"/>
  <c r="N81" i="35"/>
  <c r="F82" i="35"/>
  <c r="F83" i="35"/>
  <c r="E118" i="35"/>
  <c r="F170" i="35"/>
  <c r="F171" i="35"/>
  <c r="F172" i="35"/>
  <c r="F173" i="35"/>
  <c r="F174" i="35"/>
  <c r="F175" i="35"/>
  <c r="F188" i="35"/>
  <c r="F189" i="35"/>
  <c r="F190" i="35"/>
  <c r="F191" i="35"/>
  <c r="F192" i="35"/>
  <c r="F193" i="35"/>
  <c r="F206" i="35"/>
  <c r="F207" i="35"/>
  <c r="F208" i="35"/>
  <c r="F209" i="35"/>
  <c r="F210" i="35"/>
  <c r="F211" i="35"/>
  <c r="K14" i="18"/>
  <c r="K15" i="18"/>
  <c r="K50" i="18"/>
  <c r="K83" i="18"/>
  <c r="K88" i="18"/>
  <c r="D121" i="18"/>
  <c r="H121" i="18"/>
  <c r="K121" i="18"/>
  <c r="J211" i="18"/>
  <c r="D215" i="18"/>
  <c r="J215" i="18"/>
  <c r="K215" i="18"/>
  <c r="D218" i="18"/>
  <c r="J218" i="18"/>
  <c r="K218" i="18"/>
  <c r="K301" i="18"/>
  <c r="K309" i="18"/>
  <c r="D323" i="18"/>
  <c r="D324" i="18"/>
  <c r="F324" i="18"/>
  <c r="K324" i="18"/>
  <c r="D325" i="18"/>
  <c r="D326" i="18"/>
  <c r="F326" i="18"/>
  <c r="D327" i="18"/>
  <c r="H327" i="18"/>
  <c r="K327" i="18"/>
  <c r="D328" i="18"/>
  <c r="H328" i="18"/>
  <c r="K328" i="18"/>
  <c r="D329" i="18"/>
  <c r="H329" i="18"/>
  <c r="K329" i="18"/>
  <c r="D330" i="18"/>
  <c r="H330" i="18"/>
  <c r="K330" i="18"/>
  <c r="D331" i="18"/>
  <c r="D332" i="18"/>
  <c r="D333" i="18"/>
  <c r="H333" i="18"/>
  <c r="K333" i="18"/>
  <c r="D334" i="18"/>
  <c r="F334" i="18"/>
  <c r="D335" i="18"/>
  <c r="F335" i="18"/>
  <c r="H335" i="18"/>
  <c r="D336" i="18"/>
  <c r="H336" i="18"/>
  <c r="D337" i="18"/>
  <c r="H337" i="18"/>
  <c r="D338" i="18"/>
  <c r="F338" i="18"/>
  <c r="D339" i="18"/>
  <c r="H339" i="18"/>
  <c r="K339" i="18"/>
  <c r="K355" i="18"/>
  <c r="K361" i="18"/>
  <c r="K363" i="18"/>
  <c r="E112" i="31"/>
  <c r="F112" i="31"/>
  <c r="L249" i="31"/>
  <c r="L250" i="31"/>
  <c r="L251" i="31"/>
  <c r="F9" i="36"/>
  <c r="F10" i="36"/>
  <c r="R15" i="36"/>
  <c r="R18" i="36"/>
  <c r="F21" i="36"/>
  <c r="P6" i="39"/>
  <c r="G6" i="39"/>
  <c r="E9" i="39"/>
  <c r="K9" i="39"/>
  <c r="E15" i="39"/>
  <c r="E18" i="39"/>
  <c r="E39" i="39"/>
  <c r="E41" i="39"/>
  <c r="E34" i="39"/>
  <c r="I34" i="39"/>
  <c r="G32" i="39"/>
  <c r="F33" i="39"/>
  <c r="F34" i="39"/>
  <c r="F36" i="39"/>
  <c r="F37" i="39"/>
  <c r="F39" i="39"/>
  <c r="F40" i="39"/>
  <c r="F42" i="39"/>
  <c r="F43" i="39"/>
  <c r="F45" i="39"/>
  <c r="F46" i="39"/>
  <c r="P6" i="40"/>
  <c r="G6" i="40"/>
  <c r="H18" i="40"/>
  <c r="J21" i="40"/>
  <c r="E15" i="40"/>
  <c r="E18" i="40"/>
  <c r="E42" i="40"/>
  <c r="H39" i="40"/>
  <c r="H41" i="40"/>
  <c r="E40" i="40"/>
  <c r="G32" i="40"/>
  <c r="F33" i="40"/>
  <c r="F34" i="40"/>
  <c r="F36" i="40"/>
  <c r="F37" i="40"/>
  <c r="F39" i="40"/>
  <c r="F40" i="40"/>
  <c r="F42" i="40"/>
  <c r="F43" i="40"/>
  <c r="F45" i="40"/>
  <c r="F46" i="40"/>
  <c r="F4" i="47"/>
  <c r="F5" i="47"/>
  <c r="F6" i="47"/>
  <c r="F7" i="47"/>
  <c r="F8" i="47"/>
  <c r="F9" i="47"/>
  <c r="F10" i="47"/>
  <c r="F11" i="47"/>
  <c r="F12" i="47"/>
  <c r="F13" i="47"/>
  <c r="F14" i="47"/>
  <c r="F15" i="47"/>
  <c r="F16" i="47"/>
  <c r="F17" i="47"/>
  <c r="F18" i="47"/>
  <c r="F20" i="47"/>
  <c r="F21" i="47"/>
  <c r="F22" i="47"/>
  <c r="F23" i="47"/>
  <c r="F24" i="47"/>
  <c r="F25" i="47"/>
  <c r="F26" i="47"/>
  <c r="F27" i="47"/>
  <c r="F28" i="47"/>
  <c r="F29" i="47"/>
  <c r="F30" i="47"/>
  <c r="F31" i="47"/>
  <c r="F32" i="47"/>
  <c r="F33" i="47"/>
  <c r="F34" i="47"/>
  <c r="F35" i="47"/>
  <c r="F36" i="47"/>
  <c r="F37" i="47"/>
  <c r="F38" i="47"/>
  <c r="F39" i="47"/>
  <c r="F40" i="47"/>
  <c r="F41" i="47"/>
  <c r="F42" i="47"/>
  <c r="F43" i="47"/>
  <c r="F44" i="47"/>
  <c r="F45" i="47"/>
  <c r="F46" i="47"/>
  <c r="F47" i="47"/>
  <c r="F48" i="47"/>
  <c r="F49" i="47"/>
  <c r="F50" i="47"/>
  <c r="F52" i="47"/>
  <c r="F53" i="47"/>
  <c r="F54" i="47"/>
  <c r="F55" i="47"/>
  <c r="F56" i="47"/>
  <c r="F57" i="47"/>
  <c r="F58" i="47"/>
  <c r="F59" i="47"/>
  <c r="F60" i="47"/>
  <c r="F61" i="47"/>
  <c r="F62" i="47"/>
  <c r="F63" i="47"/>
  <c r="F64" i="47"/>
  <c r="F65" i="47"/>
  <c r="F66" i="47"/>
  <c r="F67" i="47"/>
  <c r="F68" i="47"/>
  <c r="F69" i="47"/>
  <c r="F70" i="47"/>
  <c r="F71" i="47"/>
  <c r="F72" i="47"/>
  <c r="F73" i="47"/>
  <c r="F74" i="47"/>
  <c r="F75" i="47"/>
  <c r="F76" i="47"/>
  <c r="F77" i="47"/>
  <c r="F78" i="47"/>
  <c r="F5" i="49"/>
  <c r="F6" i="49"/>
  <c r="F7" i="49"/>
  <c r="F8" i="49"/>
  <c r="F10" i="49"/>
  <c r="F11" i="49"/>
  <c r="F12" i="49"/>
  <c r="F13" i="49"/>
  <c r="F14" i="49"/>
  <c r="F16" i="49"/>
  <c r="F17" i="49"/>
  <c r="F18" i="49"/>
  <c r="F19" i="49"/>
  <c r="E42" i="3"/>
  <c r="G49" i="3"/>
  <c r="E53" i="3"/>
  <c r="Q5" i="40"/>
  <c r="Q13" i="40"/>
  <c r="P5" i="40"/>
  <c r="P19" i="40"/>
  <c r="P16" i="40"/>
  <c r="Q6" i="40"/>
  <c r="Q20" i="40"/>
  <c r="H33" i="40"/>
  <c r="K36" i="40"/>
  <c r="K38" i="40"/>
  <c r="K42" i="40"/>
  <c r="E37" i="40"/>
  <c r="E38" i="40"/>
  <c r="I40" i="39"/>
  <c r="I46" i="39"/>
  <c r="E45" i="40"/>
  <c r="E47" i="40"/>
  <c r="P5" i="39"/>
  <c r="P22" i="39"/>
  <c r="J22" i="37"/>
  <c r="J23" i="37"/>
  <c r="H34" i="37"/>
  <c r="H35" i="37"/>
  <c r="O35" i="37"/>
  <c r="D122" i="18"/>
  <c r="F122" i="18"/>
  <c r="K122" i="18"/>
  <c r="H46" i="37"/>
  <c r="H47" i="37"/>
  <c r="K511" i="57"/>
  <c r="K507" i="57"/>
  <c r="J8" i="37"/>
  <c r="J9" i="37"/>
  <c r="K82" i="57"/>
  <c r="H8" i="37"/>
  <c r="H9" i="37"/>
  <c r="K48" i="57"/>
  <c r="K49" i="57"/>
  <c r="H324" i="18"/>
  <c r="K92" i="18"/>
  <c r="J207" i="18"/>
  <c r="D117" i="18"/>
  <c r="D110" i="18"/>
  <c r="D109" i="18"/>
  <c r="H109" i="18"/>
  <c r="D114" i="18"/>
  <c r="H114" i="18"/>
  <c r="J217" i="18"/>
  <c r="J203" i="18"/>
  <c r="H122" i="18"/>
  <c r="E115" i="31"/>
  <c r="F115" i="31"/>
  <c r="I9" i="40"/>
  <c r="K12" i="39"/>
  <c r="K42" i="39"/>
  <c r="K46" i="39"/>
  <c r="G19" i="40"/>
  <c r="L19" i="40"/>
  <c r="M19" i="40"/>
  <c r="N19" i="40"/>
  <c r="P7" i="40"/>
  <c r="P22" i="40"/>
  <c r="H9" i="40"/>
  <c r="Q8" i="40"/>
  <c r="Q17" i="40"/>
  <c r="K40" i="39"/>
  <c r="I46" i="40"/>
  <c r="E12" i="40"/>
  <c r="H9" i="39"/>
  <c r="E42" i="39"/>
  <c r="E44" i="39"/>
  <c r="I21" i="39"/>
  <c r="I9" i="39"/>
  <c r="K12" i="40"/>
  <c r="K9" i="40"/>
  <c r="H42" i="40"/>
  <c r="I40" i="40"/>
  <c r="I41" i="40"/>
  <c r="F23" i="3"/>
  <c r="F17" i="3"/>
  <c r="F9" i="3"/>
  <c r="G34" i="3"/>
  <c r="D24" i="3"/>
  <c r="G12" i="3"/>
  <c r="G19" i="3"/>
  <c r="K45" i="39"/>
  <c r="K47" i="39"/>
  <c r="K24" i="39"/>
  <c r="G52" i="3"/>
  <c r="E46" i="39"/>
  <c r="E43" i="39"/>
  <c r="H40" i="39"/>
  <c r="H41" i="39"/>
  <c r="F26" i="36"/>
  <c r="K37" i="39"/>
  <c r="K43" i="39"/>
  <c r="K39" i="40"/>
  <c r="I33" i="39"/>
  <c r="I35" i="39"/>
  <c r="I36" i="39"/>
  <c r="I38" i="39"/>
  <c r="I45" i="39"/>
  <c r="I47" i="39"/>
  <c r="I42" i="39"/>
  <c r="I44" i="39"/>
  <c r="I39" i="39"/>
  <c r="I41" i="39"/>
  <c r="I24" i="39"/>
  <c r="J34" i="39"/>
  <c r="J37" i="39"/>
  <c r="J43" i="39"/>
  <c r="J44" i="39"/>
  <c r="J46" i="39"/>
  <c r="J40" i="39"/>
  <c r="H45" i="39"/>
  <c r="H39" i="39"/>
  <c r="H24" i="39"/>
  <c r="H36" i="39"/>
  <c r="H38" i="39"/>
  <c r="H42" i="39"/>
  <c r="H33" i="39"/>
  <c r="H35" i="39"/>
  <c r="H37" i="39"/>
  <c r="H46" i="39"/>
  <c r="I21" i="40"/>
  <c r="E9" i="40"/>
  <c r="E21" i="39"/>
  <c r="I37" i="40"/>
  <c r="I43" i="40"/>
  <c r="I34" i="40"/>
  <c r="F114" i="18"/>
  <c r="J15" i="39"/>
  <c r="E21" i="40"/>
  <c r="J9" i="40"/>
  <c r="J15" i="40"/>
  <c r="J34" i="40"/>
  <c r="J12" i="39"/>
  <c r="J9" i="39"/>
  <c r="F110" i="18"/>
  <c r="K110" i="18"/>
  <c r="H110" i="18"/>
  <c r="Q22" i="40"/>
  <c r="Q16" i="40"/>
  <c r="O16" i="40"/>
  <c r="Q10" i="40"/>
  <c r="E12" i="39"/>
  <c r="J202" i="18"/>
  <c r="J212" i="18"/>
  <c r="J200" i="18"/>
  <c r="J71" i="37"/>
  <c r="J72" i="37"/>
  <c r="K81" i="59"/>
  <c r="J21" i="39"/>
  <c r="J37" i="40"/>
  <c r="J42" i="39"/>
  <c r="J24" i="39"/>
  <c r="J33" i="39"/>
  <c r="J35" i="39"/>
  <c r="J36" i="39"/>
  <c r="J38" i="39"/>
  <c r="J39" i="39"/>
  <c r="J41" i="39"/>
  <c r="J45" i="39"/>
  <c r="J47" i="39"/>
  <c r="E117" i="31"/>
  <c r="F117" i="31"/>
  <c r="J117" i="31"/>
  <c r="F333" i="31"/>
  <c r="E108" i="31"/>
  <c r="F108" i="31"/>
  <c r="J108" i="31"/>
  <c r="F329" i="31"/>
  <c r="H329" i="31"/>
  <c r="F321" i="31"/>
  <c r="E107" i="31"/>
  <c r="F107" i="31"/>
  <c r="H107" i="31"/>
  <c r="F330" i="31"/>
  <c r="J322" i="31"/>
  <c r="F334" i="31"/>
  <c r="J334" i="31"/>
  <c r="F326" i="31"/>
  <c r="E109" i="31"/>
  <c r="F109" i="31"/>
  <c r="L23" i="31"/>
  <c r="E381" i="31"/>
  <c r="F381" i="31"/>
  <c r="H381" i="31"/>
  <c r="F328" i="31"/>
  <c r="H328" i="31"/>
  <c r="M328" i="31"/>
  <c r="E377" i="31"/>
  <c r="F377" i="31"/>
  <c r="H377" i="31"/>
  <c r="F324" i="31"/>
  <c r="H324" i="31"/>
  <c r="E373" i="31"/>
  <c r="F373" i="31"/>
  <c r="H373" i="31"/>
  <c r="F320" i="31"/>
  <c r="J320" i="31"/>
  <c r="E388" i="31"/>
  <c r="F388" i="31"/>
  <c r="H388" i="31"/>
  <c r="J329" i="31"/>
  <c r="M329" i="31"/>
  <c r="H322" i="31"/>
  <c r="M322" i="31"/>
  <c r="J324" i="31"/>
  <c r="M324" i="31"/>
  <c r="J206" i="18"/>
  <c r="H326" i="18"/>
  <c r="K326" i="18"/>
  <c r="D108" i="18"/>
  <c r="J214" i="18"/>
  <c r="K214" i="18"/>
  <c r="D112" i="18"/>
  <c r="J213" i="18"/>
  <c r="J205" i="18"/>
  <c r="K205" i="18"/>
  <c r="H334" i="18"/>
  <c r="K334" i="18"/>
  <c r="F109" i="18"/>
  <c r="K109" i="18"/>
  <c r="K202" i="18"/>
  <c r="H117" i="18"/>
  <c r="F117" i="18"/>
  <c r="H338" i="18"/>
  <c r="F336" i="18"/>
  <c r="K81" i="18"/>
  <c r="D107" i="18"/>
  <c r="J219" i="18"/>
  <c r="J204" i="18"/>
  <c r="K204" i="18"/>
  <c r="J201" i="18"/>
  <c r="H323" i="18"/>
  <c r="F323" i="18"/>
  <c r="K149" i="18"/>
  <c r="D106" i="18"/>
  <c r="H106" i="18"/>
  <c r="K217" i="18"/>
  <c r="K206" i="18"/>
  <c r="D118" i="18"/>
  <c r="K53" i="18"/>
  <c r="K52" i="18"/>
  <c r="K297" i="18"/>
  <c r="K49" i="18"/>
  <c r="K23" i="18"/>
  <c r="K353" i="18"/>
  <c r="K20" i="18"/>
  <c r="K59" i="18"/>
  <c r="K22" i="18"/>
  <c r="K174" i="18"/>
  <c r="K117" i="18"/>
  <c r="K77" i="18"/>
  <c r="G11" i="35"/>
  <c r="E31" i="35"/>
  <c r="G13" i="35"/>
  <c r="M13" i="35"/>
  <c r="N13" i="35"/>
  <c r="E44" i="35"/>
  <c r="G44" i="35"/>
  <c r="K44" i="35"/>
  <c r="I44" i="35"/>
  <c r="N44" i="35"/>
  <c r="E45" i="35"/>
  <c r="K98" i="35"/>
  <c r="I98" i="35"/>
  <c r="N98" i="35"/>
  <c r="E49" i="35"/>
  <c r="E66" i="35"/>
  <c r="E122" i="35"/>
  <c r="G101" i="35"/>
  <c r="M101" i="35"/>
  <c r="N101" i="35"/>
  <c r="E61" i="35"/>
  <c r="G61" i="35"/>
  <c r="K61" i="35"/>
  <c r="L9" i="31"/>
  <c r="L20" i="31"/>
  <c r="L17" i="31"/>
  <c r="K7" i="35"/>
  <c r="E78" i="35"/>
  <c r="K25" i="35"/>
  <c r="M25" i="35"/>
  <c r="E83" i="35"/>
  <c r="G83" i="35"/>
  <c r="M83" i="35"/>
  <c r="N83" i="35"/>
  <c r="E100" i="35"/>
  <c r="N140" i="35"/>
  <c r="K45" i="40"/>
  <c r="G7" i="40"/>
  <c r="L7" i="40"/>
  <c r="H43" i="39"/>
  <c r="H44" i="39"/>
  <c r="K33" i="39"/>
  <c r="K35" i="39"/>
  <c r="K34" i="39"/>
  <c r="Q23" i="40"/>
  <c r="H21" i="40"/>
  <c r="H12" i="40"/>
  <c r="K21" i="39"/>
  <c r="K36" i="39"/>
  <c r="J39" i="40"/>
  <c r="J12" i="40"/>
  <c r="Q6" i="39"/>
  <c r="E33" i="40"/>
  <c r="I43" i="39"/>
  <c r="Q11" i="40"/>
  <c r="I15" i="39"/>
  <c r="H21" i="39"/>
  <c r="P13" i="40"/>
  <c r="G13" i="40"/>
  <c r="E40" i="39"/>
  <c r="K18" i="39"/>
  <c r="H18" i="39"/>
  <c r="E24" i="39"/>
  <c r="H15" i="40"/>
  <c r="K15" i="39"/>
  <c r="P19" i="39"/>
  <c r="Q5" i="39"/>
  <c r="I37" i="39"/>
  <c r="E34" i="40"/>
  <c r="E43" i="40"/>
  <c r="E44" i="40"/>
  <c r="H34" i="39"/>
  <c r="P10" i="39"/>
  <c r="E24" i="40"/>
  <c r="E36" i="40"/>
  <c r="E46" i="40"/>
  <c r="P7" i="39"/>
  <c r="G7" i="39"/>
  <c r="Q19" i="40"/>
  <c r="O19" i="40"/>
  <c r="P13" i="39"/>
  <c r="G13" i="39"/>
  <c r="E39" i="40"/>
  <c r="K33" i="40"/>
  <c r="K35" i="40"/>
  <c r="Q13" i="39"/>
  <c r="O13" i="39"/>
  <c r="H24" i="40"/>
  <c r="H37" i="40"/>
  <c r="H40" i="40"/>
  <c r="H43" i="40"/>
  <c r="H44" i="40"/>
  <c r="H34" i="40"/>
  <c r="H35" i="40"/>
  <c r="H46" i="40"/>
  <c r="J42" i="40"/>
  <c r="Q11" i="39"/>
  <c r="Q23" i="39"/>
  <c r="O37" i="39"/>
  <c r="G10" i="39"/>
  <c r="L10" i="39"/>
  <c r="E41" i="40"/>
  <c r="P8" i="39"/>
  <c r="P23" i="39"/>
  <c r="O23" i="39"/>
  <c r="G23" i="39"/>
  <c r="P11" i="39"/>
  <c r="P20" i="39"/>
  <c r="G20" i="39"/>
  <c r="L20" i="39"/>
  <c r="M20" i="39"/>
  <c r="N20" i="39"/>
  <c r="P17" i="39"/>
  <c r="P14" i="39"/>
  <c r="G14" i="39"/>
  <c r="L14" i="39"/>
  <c r="M14" i="39"/>
  <c r="N14" i="39"/>
  <c r="J18" i="39"/>
  <c r="K39" i="39"/>
  <c r="E37" i="39"/>
  <c r="I12" i="39"/>
  <c r="P10" i="40"/>
  <c r="K15" i="40"/>
  <c r="Q14" i="40"/>
  <c r="I18" i="39"/>
  <c r="H15" i="39"/>
  <c r="J18" i="40"/>
  <c r="H12" i="39"/>
  <c r="P20" i="40"/>
  <c r="P17" i="40"/>
  <c r="G17" i="40"/>
  <c r="P11" i="40"/>
  <c r="G11" i="40"/>
  <c r="L11" i="40"/>
  <c r="M11" i="40"/>
  <c r="O11" i="40"/>
  <c r="P8" i="40"/>
  <c r="O8" i="40"/>
  <c r="O9" i="40"/>
  <c r="P23" i="40"/>
  <c r="P14" i="40"/>
  <c r="I39" i="40"/>
  <c r="I33" i="40"/>
  <c r="I36" i="40"/>
  <c r="I24" i="40"/>
  <c r="I45" i="40"/>
  <c r="I47" i="40"/>
  <c r="I42" i="40"/>
  <c r="I44" i="40"/>
  <c r="J45" i="40"/>
  <c r="J36" i="40"/>
  <c r="J24" i="40"/>
  <c r="J43" i="40"/>
  <c r="J44" i="40"/>
  <c r="H36" i="40"/>
  <c r="E33" i="39"/>
  <c r="E45" i="39"/>
  <c r="E47" i="39"/>
  <c r="K21" i="40"/>
  <c r="J40" i="40"/>
  <c r="J41" i="40"/>
  <c r="J46" i="40"/>
  <c r="K18" i="40"/>
  <c r="E36" i="39"/>
  <c r="E38" i="39"/>
  <c r="I18" i="40"/>
  <c r="J33" i="40"/>
  <c r="J35" i="40"/>
  <c r="H45" i="40"/>
  <c r="Q7" i="40"/>
  <c r="O7" i="40"/>
  <c r="G17" i="39"/>
  <c r="L17" i="39"/>
  <c r="M17" i="39"/>
  <c r="G8" i="39"/>
  <c r="O11" i="39"/>
  <c r="G11" i="39"/>
  <c r="K24" i="40"/>
  <c r="K37" i="40"/>
  <c r="K40" i="40"/>
  <c r="K41" i="40"/>
  <c r="K34" i="40"/>
  <c r="K43" i="40"/>
  <c r="K44" i="40"/>
  <c r="K46" i="40"/>
  <c r="K47" i="40"/>
  <c r="I15" i="40"/>
  <c r="I12" i="40"/>
  <c r="O23" i="40"/>
  <c r="O34" i="40"/>
  <c r="G23" i="40"/>
  <c r="N11" i="40"/>
  <c r="Q5" i="36"/>
  <c r="D46" i="3"/>
  <c r="F127" i="62"/>
  <c r="N17" i="39"/>
  <c r="L23" i="39"/>
  <c r="M23" i="39"/>
  <c r="N23" i="39"/>
  <c r="G34" i="39"/>
  <c r="G40" i="39"/>
  <c r="L17" i="40"/>
  <c r="M17" i="40"/>
  <c r="N17" i="40"/>
  <c r="G46" i="40"/>
  <c r="G34" i="40"/>
  <c r="O34" i="39"/>
  <c r="G66" i="35"/>
  <c r="K66" i="35"/>
  <c r="N66" i="35"/>
  <c r="K95" i="37"/>
  <c r="K96" i="37"/>
  <c r="K107" i="37"/>
  <c r="K108" i="37"/>
  <c r="J22" i="31"/>
  <c r="H22" i="31"/>
  <c r="L22" i="31"/>
  <c r="M22" i="31"/>
  <c r="J18" i="31"/>
  <c r="H18" i="31"/>
  <c r="L18" i="31"/>
  <c r="J10" i="31"/>
  <c r="L10" i="31"/>
  <c r="J209" i="31"/>
  <c r="H205" i="31"/>
  <c r="L205" i="31"/>
  <c r="J205" i="31"/>
  <c r="J197" i="31"/>
  <c r="H172" i="31"/>
  <c r="J172" i="31"/>
  <c r="M172" i="31"/>
  <c r="H174" i="31"/>
  <c r="L174" i="31"/>
  <c r="M174" i="31"/>
  <c r="J174" i="31"/>
  <c r="J169" i="31"/>
  <c r="L169" i="31"/>
  <c r="M169" i="31"/>
  <c r="H169" i="31"/>
  <c r="J165" i="31"/>
  <c r="J161" i="31"/>
  <c r="L161" i="31"/>
  <c r="H161" i="31"/>
  <c r="M161" i="31"/>
  <c r="H59" i="31"/>
  <c r="J59" i="31"/>
  <c r="H55" i="31"/>
  <c r="L55" i="31"/>
  <c r="J55" i="31"/>
  <c r="H51" i="31"/>
  <c r="L47" i="31"/>
  <c r="J86" i="31"/>
  <c r="H86" i="31"/>
  <c r="J82" i="31"/>
  <c r="M82" i="31"/>
  <c r="L146" i="31"/>
  <c r="H146" i="31"/>
  <c r="H141" i="31"/>
  <c r="L141" i="31"/>
  <c r="J305" i="31"/>
  <c r="H305" i="31"/>
  <c r="M305" i="31"/>
  <c r="J301" i="31"/>
  <c r="M301" i="31"/>
  <c r="H301" i="31"/>
  <c r="J297" i="31"/>
  <c r="M297" i="31"/>
  <c r="H297" i="31"/>
  <c r="J107" i="31"/>
  <c r="H117" i="31"/>
  <c r="M117" i="31"/>
  <c r="K46" i="62"/>
  <c r="K47" i="62"/>
  <c r="O9" i="37"/>
  <c r="J142" i="37"/>
  <c r="K142" i="37"/>
  <c r="F35" i="37"/>
  <c r="K470" i="57"/>
  <c r="K458" i="57"/>
  <c r="K34" i="37"/>
  <c r="K35" i="37"/>
  <c r="F9" i="37"/>
  <c r="K8" i="37"/>
  <c r="K9" i="37"/>
  <c r="K10" i="36"/>
  <c r="K60" i="18"/>
  <c r="J20" i="31"/>
  <c r="M20" i="31"/>
  <c r="H20" i="31"/>
  <c r="H16" i="31"/>
  <c r="J12" i="31"/>
  <c r="L12" i="31"/>
  <c r="H12" i="31"/>
  <c r="M12" i="31"/>
  <c r="K85" i="18"/>
  <c r="F251" i="18"/>
  <c r="J211" i="31"/>
  <c r="L211" i="31"/>
  <c r="H207" i="31"/>
  <c r="L207" i="31"/>
  <c r="J207" i="31"/>
  <c r="M207" i="31"/>
  <c r="J171" i="31"/>
  <c r="L171" i="31"/>
  <c r="H171" i="31"/>
  <c r="H57" i="31"/>
  <c r="J57" i="31"/>
  <c r="H53" i="31"/>
  <c r="L53" i="31"/>
  <c r="J53" i="31"/>
  <c r="J49" i="31"/>
  <c r="L144" i="31"/>
  <c r="H144" i="31"/>
  <c r="M144" i="31"/>
  <c r="L136" i="31"/>
  <c r="M136" i="31"/>
  <c r="H136" i="31"/>
  <c r="H277" i="31"/>
  <c r="L277" i="31"/>
  <c r="M277" i="31"/>
  <c r="L275" i="31"/>
  <c r="L272" i="31"/>
  <c r="M272" i="31"/>
  <c r="H266" i="31"/>
  <c r="M266" i="31"/>
  <c r="H264" i="31"/>
  <c r="M264" i="31"/>
  <c r="H263" i="31"/>
  <c r="M263" i="31"/>
  <c r="L262" i="31"/>
  <c r="J303" i="31"/>
  <c r="M303" i="31"/>
  <c r="H303" i="31"/>
  <c r="J299" i="31"/>
  <c r="H299" i="31"/>
  <c r="M299" i="31"/>
  <c r="J295" i="31"/>
  <c r="H295" i="31"/>
  <c r="M295" i="31"/>
  <c r="S136" i="57"/>
  <c r="S134" i="57"/>
  <c r="S126" i="57"/>
  <c r="Q253" i="59"/>
  <c r="R297" i="59"/>
  <c r="Q384" i="59"/>
  <c r="R63" i="60"/>
  <c r="R19" i="60"/>
  <c r="E165" i="60"/>
  <c r="E121" i="60"/>
  <c r="E108" i="60"/>
  <c r="E152" i="60"/>
  <c r="R106" i="60"/>
  <c r="P106" i="60"/>
  <c r="R150" i="60"/>
  <c r="R237" i="60"/>
  <c r="P237" i="60"/>
  <c r="R193" i="60"/>
  <c r="H359" i="31"/>
  <c r="M359" i="31"/>
  <c r="H350" i="31"/>
  <c r="M350" i="31"/>
  <c r="Q12" i="36"/>
  <c r="Q17" i="36"/>
  <c r="R339" i="57"/>
  <c r="R393" i="57"/>
  <c r="R459" i="57"/>
  <c r="R579" i="57"/>
  <c r="Q10" i="60"/>
  <c r="Q228" i="60"/>
  <c r="Q184" i="60"/>
  <c r="Q141" i="60"/>
  <c r="Q271" i="60"/>
  <c r="Q345" i="60"/>
  <c r="R209" i="59"/>
  <c r="Q97" i="60"/>
  <c r="Q54" i="60"/>
  <c r="R508" i="57"/>
  <c r="R389" i="57"/>
  <c r="R22" i="59"/>
  <c r="R106" i="57"/>
  <c r="R132" i="57"/>
  <c r="R268" i="57"/>
  <c r="Q357" i="60"/>
  <c r="Q314" i="60"/>
  <c r="G48" i="3"/>
  <c r="G46" i="3"/>
  <c r="Q339" i="57"/>
  <c r="Q373" i="57"/>
  <c r="Q459" i="57"/>
  <c r="Q476" i="57"/>
  <c r="P476" i="57"/>
  <c r="Q478" i="57"/>
  <c r="Q672" i="57"/>
  <c r="Q654" i="57"/>
  <c r="Q666" i="57"/>
  <c r="P97" i="60"/>
  <c r="P54" i="60"/>
  <c r="Q508" i="57"/>
  <c r="Q389" i="57"/>
  <c r="P271" i="60"/>
  <c r="P387" i="60"/>
  <c r="Q209" i="59"/>
  <c r="Q345" i="59"/>
  <c r="P228" i="60"/>
  <c r="P184" i="60"/>
  <c r="P141" i="60"/>
  <c r="Q22" i="59"/>
  <c r="Q88" i="59"/>
  <c r="P88" i="59"/>
  <c r="Q106" i="57"/>
  <c r="Q268" i="57"/>
  <c r="P357" i="60"/>
  <c r="P314" i="60"/>
  <c r="S26" i="57"/>
  <c r="S125" i="57"/>
  <c r="S135" i="57"/>
  <c r="S133" i="57"/>
  <c r="Q747" i="57"/>
  <c r="Q601" i="57"/>
  <c r="P601" i="57"/>
  <c r="R253" i="59"/>
  <c r="Q297" i="59"/>
  <c r="H246" i="18"/>
  <c r="K246" i="18"/>
  <c r="H234" i="18"/>
  <c r="J237" i="31"/>
  <c r="M237" i="31"/>
  <c r="J235" i="31"/>
  <c r="M235" i="31"/>
  <c r="Q340" i="59"/>
  <c r="L210" i="31"/>
  <c r="H179" i="18"/>
  <c r="H177" i="18"/>
  <c r="K177" i="18"/>
  <c r="H175" i="18"/>
  <c r="H173" i="18"/>
  <c r="H171" i="18"/>
  <c r="H169" i="18"/>
  <c r="K169" i="18"/>
  <c r="H167" i="18"/>
  <c r="K167" i="18"/>
  <c r="J175" i="31"/>
  <c r="J173" i="31"/>
  <c r="H24" i="18"/>
  <c r="K24" i="18"/>
  <c r="H21" i="18"/>
  <c r="K21" i="18"/>
  <c r="H19" i="18"/>
  <c r="H17" i="18"/>
  <c r="H12" i="18"/>
  <c r="K12" i="18"/>
  <c r="H10" i="18"/>
  <c r="H8" i="18"/>
  <c r="J58" i="31"/>
  <c r="J56" i="31"/>
  <c r="J54" i="31"/>
  <c r="J50" i="31"/>
  <c r="J48" i="31"/>
  <c r="J46" i="31"/>
  <c r="J44" i="31"/>
  <c r="R384" i="59"/>
  <c r="R425" i="59"/>
  <c r="J278" i="18"/>
  <c r="J276" i="18"/>
  <c r="J272" i="18"/>
  <c r="J264" i="18"/>
  <c r="K264" i="18"/>
  <c r="E164" i="60"/>
  <c r="E120" i="60"/>
  <c r="E113" i="60"/>
  <c r="E157" i="60"/>
  <c r="Q338" i="60"/>
  <c r="Q327" i="60"/>
  <c r="Q767" i="57"/>
  <c r="L358" i="31"/>
  <c r="P366" i="60"/>
  <c r="P19" i="62"/>
  <c r="P110" i="62"/>
  <c r="P101" i="62"/>
  <c r="P112" i="62"/>
  <c r="P103" i="62"/>
  <c r="P114" i="62"/>
  <c r="P105" i="62"/>
  <c r="P115" i="62"/>
  <c r="P106" i="62"/>
  <c r="P116" i="62"/>
  <c r="P107" i="62"/>
  <c r="R272" i="59"/>
  <c r="Q323" i="60"/>
  <c r="Q143" i="57"/>
  <c r="Q279" i="59"/>
  <c r="P279" i="59"/>
  <c r="Q313" i="59"/>
  <c r="Q359" i="59"/>
  <c r="P359" i="59"/>
  <c r="Q406" i="59"/>
  <c r="Q448" i="59"/>
  <c r="P448" i="59"/>
  <c r="P301" i="60"/>
  <c r="O301" i="60"/>
  <c r="Q84" i="60"/>
  <c r="P76" i="60"/>
  <c r="P74" i="60"/>
  <c r="P68" i="60"/>
  <c r="O68" i="60"/>
  <c r="P66" i="60"/>
  <c r="Q122" i="60"/>
  <c r="O122" i="60"/>
  <c r="P165" i="60"/>
  <c r="P153" i="60"/>
  <c r="O153" i="60"/>
  <c r="Q278" i="59"/>
  <c r="Q263" i="59"/>
  <c r="Q302" i="59"/>
  <c r="Q315" i="59"/>
  <c r="Q358" i="59"/>
  <c r="Q346" i="59"/>
  <c r="Q407" i="59"/>
  <c r="Q449" i="59"/>
  <c r="Q435" i="59"/>
  <c r="P40" i="60"/>
  <c r="R426" i="57"/>
  <c r="R421" i="57"/>
  <c r="R411" i="57"/>
  <c r="R405" i="57"/>
  <c r="R545" i="57"/>
  <c r="R530" i="57"/>
  <c r="R523" i="57"/>
  <c r="P149" i="60"/>
  <c r="Q208" i="60"/>
  <c r="O208" i="60"/>
  <c r="E195" i="60"/>
  <c r="E208" i="60"/>
  <c r="E200" i="60"/>
  <c r="E207" i="60"/>
  <c r="P254" i="60"/>
  <c r="Q670" i="57"/>
  <c r="Q412" i="57"/>
  <c r="Q399" i="57"/>
  <c r="Q434" i="57"/>
  <c r="P434" i="57"/>
  <c r="Q429" i="57"/>
  <c r="P429" i="57"/>
  <c r="Q423" i="57"/>
  <c r="Q416" i="57"/>
  <c r="P416" i="57"/>
  <c r="Q408" i="57"/>
  <c r="Q402" i="57"/>
  <c r="P402" i="57"/>
  <c r="Q400" i="57"/>
  <c r="Q394" i="57"/>
  <c r="Q490" i="57"/>
  <c r="Q433" i="57"/>
  <c r="P433" i="57"/>
  <c r="Q430" i="57"/>
  <c r="Q428" i="57"/>
  <c r="P428" i="57"/>
  <c r="Q422" i="57"/>
  <c r="Q417" i="57"/>
  <c r="Q413" i="57"/>
  <c r="Q401" i="57"/>
  <c r="Q397" i="57"/>
  <c r="Q473" i="57"/>
  <c r="P473" i="57"/>
  <c r="Q491" i="57"/>
  <c r="Q483" i="57"/>
  <c r="P483" i="57"/>
  <c r="H616" i="7"/>
  <c r="F133" i="59"/>
  <c r="F12" i="7"/>
  <c r="H12" i="7"/>
  <c r="F27" i="57"/>
  <c r="Q366" i="60"/>
  <c r="Q493" i="57"/>
  <c r="Q220" i="59"/>
  <c r="P220" i="59"/>
  <c r="Q332" i="60"/>
  <c r="Q596" i="57"/>
  <c r="E46" i="3"/>
  <c r="Q18" i="36"/>
  <c r="Q15" i="36"/>
  <c r="P346" i="60"/>
  <c r="O346" i="60"/>
  <c r="P300" i="60"/>
  <c r="Q361" i="57"/>
  <c r="P361" i="57"/>
  <c r="Q186" i="57"/>
  <c r="Q154" i="57"/>
  <c r="Q171" i="57"/>
  <c r="Q181" i="57"/>
  <c r="Q189" i="57"/>
  <c r="Q165" i="57"/>
  <c r="Q178" i="57"/>
  <c r="Q152" i="57"/>
  <c r="Q148" i="57"/>
  <c r="Q303" i="59"/>
  <c r="Q215" i="59"/>
  <c r="P215" i="59"/>
  <c r="Q216" i="59"/>
  <c r="Q218" i="59"/>
  <c r="Q221" i="59"/>
  <c r="Q225" i="59"/>
  <c r="Q227" i="59"/>
  <c r="Q232" i="59"/>
  <c r="Q234" i="59"/>
  <c r="Q214" i="59"/>
  <c r="Q415" i="59"/>
  <c r="Q437" i="59"/>
  <c r="Q447" i="59"/>
  <c r="P447" i="59"/>
  <c r="Q314" i="59"/>
  <c r="Q265" i="59"/>
  <c r="Q266" i="59"/>
  <c r="Q273" i="59"/>
  <c r="Q456" i="59"/>
  <c r="Q281" i="59"/>
  <c r="Q414" i="59"/>
  <c r="Q353" i="59"/>
  <c r="P353" i="59"/>
  <c r="Q355" i="59"/>
  <c r="Q357" i="59"/>
  <c r="P357" i="59"/>
  <c r="Q370" i="59"/>
  <c r="P260" i="60"/>
  <c r="P258" i="60"/>
  <c r="P253" i="60"/>
  <c r="O253" i="60"/>
  <c r="P259" i="60"/>
  <c r="P252" i="60"/>
  <c r="P250" i="60"/>
  <c r="P248" i="60"/>
  <c r="P246" i="60"/>
  <c r="P244" i="60"/>
  <c r="P242" i="60"/>
  <c r="P240" i="60"/>
  <c r="P238" i="60"/>
  <c r="P245" i="60"/>
  <c r="O245" i="60"/>
  <c r="P216" i="60"/>
  <c r="P214" i="60"/>
  <c r="P212" i="60"/>
  <c r="P210" i="60"/>
  <c r="P208" i="60"/>
  <c r="P206" i="60"/>
  <c r="P204" i="60"/>
  <c r="P202" i="60"/>
  <c r="P200" i="60"/>
  <c r="P198" i="60"/>
  <c r="O198" i="60"/>
  <c r="P196" i="60"/>
  <c r="P194" i="60"/>
  <c r="P173" i="60"/>
  <c r="P168" i="60"/>
  <c r="P166" i="60"/>
  <c r="P164" i="60"/>
  <c r="P162" i="60"/>
  <c r="P160" i="60"/>
  <c r="P158" i="60"/>
  <c r="P156" i="60"/>
  <c r="P154" i="60"/>
  <c r="P152" i="60"/>
  <c r="P146" i="60"/>
  <c r="P124" i="60"/>
  <c r="P122" i="60"/>
  <c r="P120" i="60"/>
  <c r="O120" i="60"/>
  <c r="P118" i="60"/>
  <c r="P116" i="60"/>
  <c r="O116" i="60"/>
  <c r="P114" i="60"/>
  <c r="P112" i="60"/>
  <c r="P110" i="60"/>
  <c r="P108" i="60"/>
  <c r="P104" i="60"/>
  <c r="O104" i="60"/>
  <c r="P85" i="60"/>
  <c r="P84" i="60"/>
  <c r="O84" i="60"/>
  <c r="O83" i="60"/>
  <c r="P81" i="60"/>
  <c r="P75" i="60"/>
  <c r="P71" i="60"/>
  <c r="P69" i="60"/>
  <c r="P67" i="60"/>
  <c r="P65" i="60"/>
  <c r="P59" i="60"/>
  <c r="P42" i="60"/>
  <c r="P17" i="60"/>
  <c r="P20" i="60"/>
  <c r="Q22" i="60"/>
  <c r="P24" i="60"/>
  <c r="O24" i="60"/>
  <c r="P27" i="60"/>
  <c r="Q29" i="60"/>
  <c r="P30" i="60"/>
  <c r="P32" i="60"/>
  <c r="Q35" i="60"/>
  <c r="P36" i="60"/>
  <c r="O36" i="60"/>
  <c r="P38" i="60"/>
  <c r="P243" i="60"/>
  <c r="P235" i="60"/>
  <c r="P213" i="60"/>
  <c r="Q207" i="60"/>
  <c r="P203" i="60"/>
  <c r="Q199" i="60"/>
  <c r="P197" i="60"/>
  <c r="P191" i="60"/>
  <c r="P189" i="60"/>
  <c r="O189" i="60"/>
  <c r="P172" i="60"/>
  <c r="P127" i="60"/>
  <c r="P125" i="60"/>
  <c r="Q125" i="60"/>
  <c r="O125" i="60"/>
  <c r="P123" i="60"/>
  <c r="O123" i="60"/>
  <c r="P121" i="60"/>
  <c r="P119" i="60"/>
  <c r="O119" i="60"/>
  <c r="P117" i="60"/>
  <c r="Q117" i="60"/>
  <c r="P115" i="60"/>
  <c r="P113" i="60"/>
  <c r="P111" i="60"/>
  <c r="P109" i="60"/>
  <c r="Q109" i="60"/>
  <c r="O109" i="60"/>
  <c r="P107" i="60"/>
  <c r="P105" i="60"/>
  <c r="P103" i="60"/>
  <c r="P83" i="60"/>
  <c r="P62" i="60"/>
  <c r="P60" i="60"/>
  <c r="P16" i="60"/>
  <c r="O16" i="60"/>
  <c r="P21" i="60"/>
  <c r="O21" i="60"/>
  <c r="P23" i="60"/>
  <c r="P26" i="60"/>
  <c r="O26" i="60"/>
  <c r="P28" i="60"/>
  <c r="P33" i="60"/>
  <c r="O33" i="60"/>
  <c r="P34" i="60"/>
  <c r="P39" i="60"/>
  <c r="R669" i="57"/>
  <c r="Q745" i="57"/>
  <c r="Q756" i="57"/>
  <c r="P756" i="57"/>
  <c r="Q763" i="57"/>
  <c r="Q769" i="57"/>
  <c r="P769" i="57"/>
  <c r="Q773" i="57"/>
  <c r="Q776" i="57"/>
  <c r="P776" i="57"/>
  <c r="Q742" i="57"/>
  <c r="Q762" i="57"/>
  <c r="P762" i="57"/>
  <c r="Q685" i="57"/>
  <c r="Q692" i="57"/>
  <c r="P692" i="57"/>
  <c r="Q694" i="57"/>
  <c r="Q699" i="57"/>
  <c r="P699" i="57"/>
  <c r="Q702" i="57"/>
  <c r="Q593" i="57"/>
  <c r="Q603" i="57"/>
  <c r="Q610" i="57"/>
  <c r="P610" i="57"/>
  <c r="Q615" i="57"/>
  <c r="Q619" i="57"/>
  <c r="P619" i="57"/>
  <c r="Q624" i="57"/>
  <c r="Q626" i="57"/>
  <c r="Q604" i="57"/>
  <c r="Q782" i="57"/>
  <c r="P782" i="57"/>
  <c r="P781" i="57"/>
  <c r="Q606" i="57"/>
  <c r="Q616" i="57"/>
  <c r="Q629" i="57"/>
  <c r="Q704" i="57"/>
  <c r="P704" i="57"/>
  <c r="P703" i="57"/>
  <c r="Q781" i="57"/>
  <c r="Q757" i="57"/>
  <c r="Q691" i="57"/>
  <c r="Q628" i="57"/>
  <c r="Q771" i="57"/>
  <c r="Q678" i="57"/>
  <c r="Q689" i="57"/>
  <c r="Q703" i="57"/>
  <c r="Q614" i="57"/>
  <c r="Q474" i="57"/>
  <c r="Q482" i="57"/>
  <c r="P482" i="57"/>
  <c r="Q53" i="57"/>
  <c r="Q77" i="57"/>
  <c r="R180" i="57"/>
  <c r="R173" i="57"/>
  <c r="R128" i="57"/>
  <c r="Q363" i="60"/>
  <c r="Q364" i="60"/>
  <c r="Q365" i="60"/>
  <c r="Q369" i="60"/>
  <c r="Q371" i="60"/>
  <c r="Q372" i="60"/>
  <c r="Q376" i="60"/>
  <c r="Q377" i="60"/>
  <c r="Q378" i="60"/>
  <c r="Q382" i="60"/>
  <c r="Q383" i="60"/>
  <c r="Q384" i="60"/>
  <c r="Q362" i="60"/>
  <c r="Q320" i="60"/>
  <c r="Q321" i="60"/>
  <c r="Q324" i="60"/>
  <c r="Q326" i="60"/>
  <c r="Q328" i="60"/>
  <c r="Q331" i="60"/>
  <c r="Q333" i="60"/>
  <c r="Q334" i="60"/>
  <c r="Q336" i="60"/>
  <c r="Q339" i="60"/>
  <c r="Q340" i="60"/>
  <c r="Q342" i="60"/>
  <c r="Q319" i="60"/>
  <c r="Q303" i="60"/>
  <c r="Q277" i="60"/>
  <c r="Q278" i="60"/>
  <c r="Q279" i="60"/>
  <c r="O279" i="60"/>
  <c r="Q281" i="60"/>
  <c r="Q283" i="60"/>
  <c r="Q285" i="60"/>
  <c r="Q286" i="60"/>
  <c r="O286" i="60"/>
  <c r="Q288" i="60"/>
  <c r="O288" i="60"/>
  <c r="Q290" i="60"/>
  <c r="Q291" i="60"/>
  <c r="Q292" i="60"/>
  <c r="O292" i="60"/>
  <c r="Q293" i="60"/>
  <c r="Q296" i="60"/>
  <c r="Q297" i="60"/>
  <c r="Q298" i="60"/>
  <c r="O298" i="60"/>
  <c r="Q299" i="60"/>
  <c r="O299" i="60"/>
  <c r="Q276" i="60"/>
  <c r="Q387" i="60"/>
  <c r="O387" i="60"/>
  <c r="O386" i="60"/>
  <c r="Q388" i="60"/>
  <c r="Q373" i="60"/>
  <c r="P337" i="60"/>
  <c r="O337" i="60"/>
  <c r="Q325" i="60"/>
  <c r="Q344" i="60"/>
  <c r="Q381" i="60"/>
  <c r="Q375" i="60"/>
  <c r="Q370" i="60"/>
  <c r="Q282" i="60"/>
  <c r="O282" i="60"/>
  <c r="Q284" i="60"/>
  <c r="Q287" i="60"/>
  <c r="Q289" i="60"/>
  <c r="Q294" i="60"/>
  <c r="O294" i="60"/>
  <c r="Q295" i="60"/>
  <c r="Q302" i="60"/>
  <c r="Q300" i="60"/>
  <c r="R394" i="57"/>
  <c r="R397" i="57"/>
  <c r="R400" i="57"/>
  <c r="P400" i="57"/>
  <c r="R401" i="57"/>
  <c r="R403" i="57"/>
  <c r="R408" i="57"/>
  <c r="R413" i="57"/>
  <c r="R416" i="57"/>
  <c r="R417" i="57"/>
  <c r="P417" i="57"/>
  <c r="R420" i="57"/>
  <c r="P420" i="57"/>
  <c r="R422" i="57"/>
  <c r="P422" i="57"/>
  <c r="R423" i="57"/>
  <c r="R424" i="57"/>
  <c r="R427" i="57"/>
  <c r="P427" i="57"/>
  <c r="R428" i="57"/>
  <c r="R429" i="57"/>
  <c r="R430" i="57"/>
  <c r="P430" i="57"/>
  <c r="R433" i="57"/>
  <c r="R436" i="57"/>
  <c r="R513" i="57"/>
  <c r="R516" i="57"/>
  <c r="R519" i="57"/>
  <c r="R520" i="57"/>
  <c r="P520" i="57"/>
  <c r="R521" i="57"/>
  <c r="R522" i="57"/>
  <c r="R524" i="57"/>
  <c r="R527" i="57"/>
  <c r="R532" i="57"/>
  <c r="R535" i="57"/>
  <c r="R536" i="57"/>
  <c r="R539" i="57"/>
  <c r="P539" i="57"/>
  <c r="R541" i="57"/>
  <c r="R542" i="57"/>
  <c r="R543" i="57"/>
  <c r="R546" i="57"/>
  <c r="P546" i="57"/>
  <c r="R547" i="57"/>
  <c r="R548" i="57"/>
  <c r="R549" i="57"/>
  <c r="R550" i="57"/>
  <c r="P550" i="57"/>
  <c r="R552" i="57"/>
  <c r="R553" i="57"/>
  <c r="R555" i="57"/>
  <c r="R515" i="57"/>
  <c r="Q515" i="57"/>
  <c r="R518" i="57"/>
  <c r="P518" i="57"/>
  <c r="R528" i="57"/>
  <c r="R531" i="57"/>
  <c r="P531" i="57"/>
  <c r="Q534" i="57"/>
  <c r="P534" i="57"/>
  <c r="R354" i="57"/>
  <c r="R355" i="57"/>
  <c r="R356" i="57"/>
  <c r="R363" i="57"/>
  <c r="R364" i="57"/>
  <c r="R365" i="57"/>
  <c r="R366" i="57"/>
  <c r="R369" i="57"/>
  <c r="R370" i="57"/>
  <c r="R371" i="57"/>
  <c r="R372" i="57"/>
  <c r="R374" i="57"/>
  <c r="R396" i="57"/>
  <c r="R399" i="57"/>
  <c r="R409" i="57"/>
  <c r="P409" i="57"/>
  <c r="R353" i="57"/>
  <c r="R368" i="57"/>
  <c r="R554" i="57"/>
  <c r="R551" i="57"/>
  <c r="R544" i="57"/>
  <c r="R538" i="57"/>
  <c r="R533" i="57"/>
  <c r="R529" i="57"/>
  <c r="R525" i="57"/>
  <c r="R517" i="57"/>
  <c r="R512" i="57"/>
  <c r="R435" i="57"/>
  <c r="R432" i="57"/>
  <c r="R419" i="57"/>
  <c r="R414" i="57"/>
  <c r="R410" i="57"/>
  <c r="P410" i="57"/>
  <c r="R404" i="57"/>
  <c r="R395" i="57"/>
  <c r="R362" i="57"/>
  <c r="R373" i="57"/>
  <c r="Q396" i="59"/>
  <c r="Q404" i="59"/>
  <c r="Q64" i="59"/>
  <c r="P64" i="59"/>
  <c r="R64" i="59"/>
  <c r="Q54" i="59"/>
  <c r="Q759" i="57"/>
  <c r="Q159" i="57"/>
  <c r="Q222" i="59"/>
  <c r="Q230" i="59"/>
  <c r="P193" i="60"/>
  <c r="P150" i="60"/>
  <c r="Q150" i="60"/>
  <c r="P19" i="60"/>
  <c r="Q19" i="60"/>
  <c r="O19" i="60"/>
  <c r="R672" i="57"/>
  <c r="Q598" i="57"/>
  <c r="Q477" i="57"/>
  <c r="P477" i="57"/>
  <c r="R477" i="57"/>
  <c r="Q479" i="57"/>
  <c r="P479" i="57"/>
  <c r="Q749" i="57"/>
  <c r="Q454" i="59"/>
  <c r="M275" i="31"/>
  <c r="M57" i="31"/>
  <c r="M171" i="31"/>
  <c r="Q237" i="59"/>
  <c r="K30" i="36"/>
  <c r="K26" i="36"/>
  <c r="K22" i="36"/>
  <c r="M107" i="31"/>
  <c r="M146" i="31"/>
  <c r="M86" i="31"/>
  <c r="M59" i="31"/>
  <c r="Q368" i="59"/>
  <c r="R754" i="57"/>
  <c r="M18" i="31"/>
  <c r="M96" i="37"/>
  <c r="P394" i="57"/>
  <c r="O300" i="60"/>
  <c r="M44" i="31"/>
  <c r="Q125" i="57"/>
  <c r="R51" i="59"/>
  <c r="Q52" i="59"/>
  <c r="Q53" i="59"/>
  <c r="P53" i="59"/>
  <c r="R53" i="59"/>
  <c r="R55" i="59"/>
  <c r="R58" i="59"/>
  <c r="R63" i="59"/>
  <c r="R66" i="59"/>
  <c r="R68" i="59"/>
  <c r="Q70" i="59"/>
  <c r="Q71" i="59"/>
  <c r="P71" i="59"/>
  <c r="R71" i="59"/>
  <c r="R72" i="59"/>
  <c r="R75" i="59"/>
  <c r="R77" i="59"/>
  <c r="R78" i="59"/>
  <c r="R79" i="59"/>
  <c r="Q80" i="59"/>
  <c r="Q61" i="59"/>
  <c r="P61" i="59"/>
  <c r="R61" i="59"/>
  <c r="R59" i="59"/>
  <c r="Q24" i="59"/>
  <c r="P24" i="59"/>
  <c r="R29" i="59"/>
  <c r="R24" i="59"/>
  <c r="R25" i="59"/>
  <c r="Q27" i="59"/>
  <c r="Q30" i="59"/>
  <c r="P30" i="59"/>
  <c r="R30" i="59"/>
  <c r="R35" i="59"/>
  <c r="R38" i="59"/>
  <c r="R42" i="59"/>
  <c r="R44" i="59"/>
  <c r="R45" i="59"/>
  <c r="R39" i="59"/>
  <c r="Q73" i="59"/>
  <c r="R73" i="59"/>
  <c r="P73" i="59"/>
  <c r="Q69" i="59"/>
  <c r="P69" i="59"/>
  <c r="Q26" i="59"/>
  <c r="P364" i="60"/>
  <c r="P365" i="60"/>
  <c r="O365" i="60"/>
  <c r="P367" i="60"/>
  <c r="O367" i="60"/>
  <c r="P369" i="60"/>
  <c r="P371" i="60"/>
  <c r="O371" i="60"/>
  <c r="P372" i="60"/>
  <c r="P374" i="60"/>
  <c r="O374" i="60"/>
  <c r="P376" i="60"/>
  <c r="P377" i="60"/>
  <c r="P378" i="60"/>
  <c r="O378" i="60"/>
  <c r="P379" i="60"/>
  <c r="O379" i="60"/>
  <c r="P382" i="60"/>
  <c r="P383" i="60"/>
  <c r="O383" i="60"/>
  <c r="P384" i="60"/>
  <c r="P385" i="60"/>
  <c r="O385" i="60"/>
  <c r="P362" i="60"/>
  <c r="O362" i="60"/>
  <c r="P320" i="60"/>
  <c r="P321" i="60"/>
  <c r="O321" i="60"/>
  <c r="P322" i="60"/>
  <c r="O322" i="60"/>
  <c r="P324" i="60"/>
  <c r="P326" i="60"/>
  <c r="O326" i="60"/>
  <c r="P328" i="60"/>
  <c r="P329" i="60"/>
  <c r="O329" i="60"/>
  <c r="P331" i="60"/>
  <c r="P333" i="60"/>
  <c r="P334" i="60"/>
  <c r="O334" i="60"/>
  <c r="P335" i="60"/>
  <c r="O335" i="60"/>
  <c r="P336" i="60"/>
  <c r="P339" i="60"/>
  <c r="O339" i="60"/>
  <c r="P340" i="60"/>
  <c r="P341" i="60"/>
  <c r="O341" i="60"/>
  <c r="P342" i="60"/>
  <c r="O342" i="60"/>
  <c r="P319" i="60"/>
  <c r="P303" i="60"/>
  <c r="O303" i="60"/>
  <c r="O302" i="60"/>
  <c r="P277" i="60"/>
  <c r="O277" i="60"/>
  <c r="O278" i="60"/>
  <c r="O273" i="60"/>
  <c r="O269" i="60"/>
  <c r="P279" i="60"/>
  <c r="O281" i="60"/>
  <c r="P283" i="60"/>
  <c r="O283" i="60"/>
  <c r="O285" i="60"/>
  <c r="P286" i="60"/>
  <c r="P290" i="60"/>
  <c r="O290" i="60"/>
  <c r="O291" i="60"/>
  <c r="P292" i="60"/>
  <c r="O293" i="60"/>
  <c r="P296" i="60"/>
  <c r="O296" i="60"/>
  <c r="O297" i="60"/>
  <c r="P298" i="60"/>
  <c r="P276" i="60"/>
  <c r="O276" i="60"/>
  <c r="P363" i="60"/>
  <c r="O363" i="60"/>
  <c r="P389" i="60"/>
  <c r="O389" i="60"/>
  <c r="O388" i="60"/>
  <c r="P344" i="60"/>
  <c r="O344" i="60"/>
  <c r="O343" i="60"/>
  <c r="P381" i="60"/>
  <c r="O381" i="60"/>
  <c r="P375" i="60"/>
  <c r="P370" i="60"/>
  <c r="O370" i="60"/>
  <c r="P345" i="60"/>
  <c r="P338" i="60"/>
  <c r="O338" i="60"/>
  <c r="P332" i="60"/>
  <c r="O332" i="60"/>
  <c r="P327" i="60"/>
  <c r="O327" i="60"/>
  <c r="P388" i="60"/>
  <c r="P373" i="60"/>
  <c r="P284" i="60"/>
  <c r="O284" i="60"/>
  <c r="P289" i="60"/>
  <c r="O289" i="60"/>
  <c r="P295" i="60"/>
  <c r="O295" i="60"/>
  <c r="P282" i="60"/>
  <c r="P287" i="60"/>
  <c r="O287" i="60"/>
  <c r="P294" i="60"/>
  <c r="P302" i="60"/>
  <c r="Q516" i="57"/>
  <c r="P516" i="57"/>
  <c r="Q519" i="57"/>
  <c r="P519" i="57"/>
  <c r="Q520" i="57"/>
  <c r="Q513" i="57"/>
  <c r="P513" i="57"/>
  <c r="Q518" i="57"/>
  <c r="Q521" i="57"/>
  <c r="P521" i="57"/>
  <c r="Q522" i="57"/>
  <c r="P522" i="57"/>
  <c r="Q524" i="57"/>
  <c r="P524" i="57"/>
  <c r="Q528" i="57"/>
  <c r="P528" i="57"/>
  <c r="Q531" i="57"/>
  <c r="Q536" i="57"/>
  <c r="P536" i="57"/>
  <c r="Q539" i="57"/>
  <c r="Q541" i="57"/>
  <c r="P541" i="57"/>
  <c r="Q542" i="57"/>
  <c r="P542" i="57"/>
  <c r="Q543" i="57"/>
  <c r="P543" i="57"/>
  <c r="Q546" i="57"/>
  <c r="Q547" i="57"/>
  <c r="P547" i="57"/>
  <c r="Q548" i="57"/>
  <c r="P548" i="57"/>
  <c r="Q549" i="57"/>
  <c r="P549" i="57"/>
  <c r="Q550" i="57"/>
  <c r="Q552" i="57"/>
  <c r="P552" i="57"/>
  <c r="Q553" i="57"/>
  <c r="P553" i="57"/>
  <c r="Q555" i="57"/>
  <c r="P555" i="57"/>
  <c r="P554" i="57"/>
  <c r="Q527" i="57"/>
  <c r="Q532" i="57"/>
  <c r="P532" i="57"/>
  <c r="Q535" i="57"/>
  <c r="P535" i="57"/>
  <c r="Q355" i="57"/>
  <c r="P355" i="57"/>
  <c r="Q363" i="57"/>
  <c r="Q365" i="57"/>
  <c r="P365" i="57"/>
  <c r="Q369" i="57"/>
  <c r="Q371" i="57"/>
  <c r="P371" i="57"/>
  <c r="Q374" i="57"/>
  <c r="Q353" i="57"/>
  <c r="P353" i="57"/>
  <c r="Q368" i="57"/>
  <c r="P368" i="57"/>
  <c r="Q354" i="57"/>
  <c r="P354" i="57"/>
  <c r="Q356" i="57"/>
  <c r="P356" i="57"/>
  <c r="Q364" i="57"/>
  <c r="P364" i="57"/>
  <c r="Q366" i="57"/>
  <c r="P366" i="57"/>
  <c r="Q370" i="57"/>
  <c r="P370" i="57"/>
  <c r="Q372" i="57"/>
  <c r="P372" i="57"/>
  <c r="Q545" i="57"/>
  <c r="P545" i="57"/>
  <c r="Q540" i="57"/>
  <c r="P540" i="57"/>
  <c r="Q537" i="57"/>
  <c r="Q530" i="57"/>
  <c r="P530" i="57"/>
  <c r="Q526" i="57"/>
  <c r="P526" i="57"/>
  <c r="Q523" i="57"/>
  <c r="Q514" i="57"/>
  <c r="P514" i="57"/>
  <c r="Q509" i="57"/>
  <c r="Q435" i="57"/>
  <c r="Q432" i="57"/>
  <c r="P432" i="57"/>
  <c r="Q426" i="57"/>
  <c r="P426" i="57"/>
  <c r="Q425" i="57"/>
  <c r="P425" i="57"/>
  <c r="Q421" i="57"/>
  <c r="P421" i="57"/>
  <c r="Q419" i="57"/>
  <c r="Q418" i="57"/>
  <c r="P418" i="57"/>
  <c r="Q414" i="57"/>
  <c r="P414" i="57"/>
  <c r="Q411" i="57"/>
  <c r="P411" i="57"/>
  <c r="Q410" i="57"/>
  <c r="Q407" i="57"/>
  <c r="Q406" i="57"/>
  <c r="P406" i="57"/>
  <c r="Q405" i="57"/>
  <c r="P405" i="57"/>
  <c r="Q404" i="57"/>
  <c r="P404" i="57"/>
  <c r="Q398" i="57"/>
  <c r="Q395" i="57"/>
  <c r="P395" i="57"/>
  <c r="Q393" i="57"/>
  <c r="P393" i="57"/>
  <c r="Q390" i="57"/>
  <c r="Q554" i="57"/>
  <c r="Q551" i="57"/>
  <c r="P551" i="57"/>
  <c r="Q544" i="57"/>
  <c r="P544" i="57"/>
  <c r="Q538" i="57"/>
  <c r="P538" i="57"/>
  <c r="Q533" i="57"/>
  <c r="P533" i="57"/>
  <c r="Q529" i="57"/>
  <c r="P529" i="57"/>
  <c r="Q525" i="57"/>
  <c r="P525" i="57"/>
  <c r="Q517" i="57"/>
  <c r="P517" i="57"/>
  <c r="Q512" i="57"/>
  <c r="P512" i="57"/>
  <c r="Q362" i="57"/>
  <c r="P362" i="57"/>
  <c r="R82" i="59"/>
  <c r="R83" i="59"/>
  <c r="R84" i="59"/>
  <c r="R85" i="59"/>
  <c r="R86" i="59"/>
  <c r="R87" i="59"/>
  <c r="R88" i="59"/>
  <c r="R28" i="59"/>
  <c r="R36" i="59"/>
  <c r="R43" i="59"/>
  <c r="R74" i="59"/>
  <c r="R67" i="59"/>
  <c r="R54" i="59"/>
  <c r="P54" i="59"/>
  <c r="R57" i="59"/>
  <c r="R47" i="59"/>
  <c r="R48" i="59"/>
  <c r="R37" i="59"/>
  <c r="R81" i="59"/>
  <c r="R65" i="59"/>
  <c r="R69" i="59"/>
  <c r="R60" i="59"/>
  <c r="R46" i="59"/>
  <c r="R49" i="59"/>
  <c r="R41" i="59"/>
  <c r="R26" i="59"/>
  <c r="R34" i="59"/>
  <c r="R432" i="59"/>
  <c r="P432" i="59"/>
  <c r="R434" i="59"/>
  <c r="P434" i="59"/>
  <c r="R436" i="59"/>
  <c r="R440" i="59"/>
  <c r="R444" i="59"/>
  <c r="R448" i="59"/>
  <c r="R450" i="59"/>
  <c r="R452" i="59"/>
  <c r="R431" i="59"/>
  <c r="R391" i="59"/>
  <c r="R393" i="59"/>
  <c r="R398" i="59"/>
  <c r="R402" i="59"/>
  <c r="R406" i="59"/>
  <c r="P406" i="59"/>
  <c r="R408" i="59"/>
  <c r="R410" i="59"/>
  <c r="R389" i="59"/>
  <c r="R305" i="59"/>
  <c r="R307" i="59"/>
  <c r="R311" i="59"/>
  <c r="R315" i="59"/>
  <c r="R319" i="59"/>
  <c r="R321" i="59"/>
  <c r="R323" i="59"/>
  <c r="R302" i="59"/>
  <c r="P302" i="59"/>
  <c r="R260" i="59"/>
  <c r="R262" i="59"/>
  <c r="R303" i="59"/>
  <c r="R280" i="59"/>
  <c r="R215" i="59"/>
  <c r="R219" i="59"/>
  <c r="P219" i="59"/>
  <c r="R227" i="59"/>
  <c r="P227" i="59"/>
  <c r="R233" i="59"/>
  <c r="P233" i="59"/>
  <c r="R214" i="59"/>
  <c r="R220" i="59"/>
  <c r="R437" i="59"/>
  <c r="R312" i="59"/>
  <c r="R264" i="59"/>
  <c r="R273" i="59"/>
  <c r="R353" i="59"/>
  <c r="R361" i="59"/>
  <c r="R368" i="59"/>
  <c r="Q260" i="60"/>
  <c r="Q259" i="60"/>
  <c r="Q256" i="60"/>
  <c r="O256" i="60"/>
  <c r="Q254" i="60"/>
  <c r="O254" i="60"/>
  <c r="Q252" i="60"/>
  <c r="Q250" i="60"/>
  <c r="Q248" i="60"/>
  <c r="O248" i="60"/>
  <c r="Q253" i="60"/>
  <c r="Q249" i="60"/>
  <c r="O249" i="60"/>
  <c r="Q245" i="60"/>
  <c r="O243" i="60"/>
  <c r="Q239" i="60"/>
  <c r="Q235" i="60"/>
  <c r="O235" i="60"/>
  <c r="Q233" i="60"/>
  <c r="Q246" i="60"/>
  <c r="Q242" i="60"/>
  <c r="Q238" i="60"/>
  <c r="O238" i="60"/>
  <c r="Q234" i="60"/>
  <c r="Q213" i="60"/>
  <c r="Q209" i="60"/>
  <c r="Q203" i="60"/>
  <c r="Q195" i="60"/>
  <c r="Q191" i="60"/>
  <c r="O191" i="60"/>
  <c r="Q172" i="60"/>
  <c r="Q169" i="60"/>
  <c r="Q167" i="60"/>
  <c r="Q165" i="60"/>
  <c r="Q163" i="60"/>
  <c r="Q151" i="60"/>
  <c r="Q149" i="60"/>
  <c r="O149" i="60"/>
  <c r="Q147" i="60"/>
  <c r="Q127" i="60"/>
  <c r="Q123" i="60"/>
  <c r="Q121" i="60"/>
  <c r="O121" i="60"/>
  <c r="Q119" i="60"/>
  <c r="Q115" i="60"/>
  <c r="Q113" i="60"/>
  <c r="Q111" i="60"/>
  <c r="O111" i="60"/>
  <c r="Q107" i="60"/>
  <c r="Q105" i="60"/>
  <c r="O105" i="60"/>
  <c r="Q103" i="60"/>
  <c r="O103" i="60"/>
  <c r="Q83" i="60"/>
  <c r="Q80" i="60"/>
  <c r="O80" i="60"/>
  <c r="Q78" i="60"/>
  <c r="Q74" i="60"/>
  <c r="O74" i="60"/>
  <c r="Q72" i="60"/>
  <c r="O72" i="60"/>
  <c r="Q70" i="60"/>
  <c r="Q68" i="60"/>
  <c r="Q66" i="60"/>
  <c r="O66" i="60"/>
  <c r="Q62" i="60"/>
  <c r="O62" i="60"/>
  <c r="Q60" i="60"/>
  <c r="Q40" i="60"/>
  <c r="O40" i="60"/>
  <c r="O39" i="60"/>
  <c r="Q244" i="60"/>
  <c r="Q240" i="60"/>
  <c r="O240" i="60"/>
  <c r="Q173" i="60"/>
  <c r="O173" i="60"/>
  <c r="Q168" i="60"/>
  <c r="O168" i="60"/>
  <c r="Q166" i="60"/>
  <c r="Q164" i="60"/>
  <c r="O164" i="60"/>
  <c r="Q162" i="60"/>
  <c r="Q160" i="60"/>
  <c r="Q158" i="60"/>
  <c r="O158" i="60"/>
  <c r="Q156" i="60"/>
  <c r="Q154" i="60"/>
  <c r="O154" i="60"/>
  <c r="Q152" i="60"/>
  <c r="Q148" i="60"/>
  <c r="Q146" i="60"/>
  <c r="Q129" i="60"/>
  <c r="Q85" i="60"/>
  <c r="Q81" i="60"/>
  <c r="Q77" i="60"/>
  <c r="Q73" i="60"/>
  <c r="Q71" i="60"/>
  <c r="Q69" i="60"/>
  <c r="O69" i="60"/>
  <c r="Q67" i="60"/>
  <c r="O67" i="60"/>
  <c r="Q65" i="60"/>
  <c r="Q17" i="60"/>
  <c r="O17" i="60"/>
  <c r="Q18" i="60"/>
  <c r="Q20" i="60"/>
  <c r="O20" i="60"/>
  <c r="Q24" i="60"/>
  <c r="Q25" i="60"/>
  <c r="O25" i="60"/>
  <c r="Q27" i="60"/>
  <c r="Q30" i="60"/>
  <c r="O30" i="60"/>
  <c r="Q31" i="60"/>
  <c r="Q32" i="60"/>
  <c r="Q36" i="60"/>
  <c r="Q37" i="60"/>
  <c r="O37" i="60"/>
  <c r="Q38" i="60"/>
  <c r="Q15" i="60"/>
  <c r="Q21" i="60"/>
  <c r="Q23" i="60"/>
  <c r="O23" i="60"/>
  <c r="Q26" i="60"/>
  <c r="Q28" i="60"/>
  <c r="Q33" i="60"/>
  <c r="Q34" i="60"/>
  <c r="O34" i="60"/>
  <c r="Q39" i="60"/>
  <c r="Q41" i="60"/>
  <c r="R744" i="57"/>
  <c r="R758" i="57"/>
  <c r="R768" i="57"/>
  <c r="R774" i="57"/>
  <c r="R778" i="57"/>
  <c r="R677" i="57"/>
  <c r="R690" i="57"/>
  <c r="R697" i="57"/>
  <c r="R701" i="57"/>
  <c r="R594" i="57"/>
  <c r="R607" i="57"/>
  <c r="R617" i="57"/>
  <c r="R623" i="57"/>
  <c r="R627" i="57"/>
  <c r="R629" i="57"/>
  <c r="P629" i="57"/>
  <c r="P628" i="57"/>
  <c r="R606" i="57"/>
  <c r="R620" i="57"/>
  <c r="R684" i="57"/>
  <c r="R705" i="57"/>
  <c r="R781" i="57"/>
  <c r="R746" i="57"/>
  <c r="R691" i="57"/>
  <c r="R630" i="57"/>
  <c r="R474" i="57"/>
  <c r="P474" i="57"/>
  <c r="R475" i="57"/>
  <c r="R476" i="57"/>
  <c r="R483" i="57"/>
  <c r="R484" i="57"/>
  <c r="R485" i="57"/>
  <c r="R486" i="57"/>
  <c r="R489" i="57"/>
  <c r="P489" i="57"/>
  <c r="R490" i="57"/>
  <c r="P490" i="57"/>
  <c r="R491" i="57"/>
  <c r="P491" i="57"/>
  <c r="R492" i="57"/>
  <c r="R494" i="57"/>
  <c r="R473" i="57"/>
  <c r="R488" i="57"/>
  <c r="R482" i="57"/>
  <c r="R493" i="57"/>
  <c r="Q74" i="59"/>
  <c r="P74" i="59"/>
  <c r="Q67" i="59"/>
  <c r="Q57" i="59"/>
  <c r="P57" i="59"/>
  <c r="Q37" i="59"/>
  <c r="P280" i="60"/>
  <c r="O280" i="60"/>
  <c r="Q237" i="60"/>
  <c r="R33" i="59"/>
  <c r="R31" i="59"/>
  <c r="R598" i="57"/>
  <c r="R752" i="57"/>
  <c r="P41" i="60"/>
  <c r="M262" i="31"/>
  <c r="M53" i="31"/>
  <c r="K234" i="18"/>
  <c r="K29" i="36"/>
  <c r="K21" i="36"/>
  <c r="K25" i="36"/>
  <c r="K18" i="62"/>
  <c r="M9" i="37"/>
  <c r="K19" i="62"/>
  <c r="M35" i="37"/>
  <c r="K317" i="60"/>
  <c r="K313" i="60"/>
  <c r="K359" i="60"/>
  <c r="K355" i="60"/>
  <c r="K316" i="60"/>
  <c r="K312" i="60"/>
  <c r="K360" i="60"/>
  <c r="K356" i="60"/>
  <c r="K274" i="60"/>
  <c r="K270" i="60"/>
  <c r="K273" i="60"/>
  <c r="K269" i="60"/>
  <c r="M55" i="31"/>
  <c r="M205" i="31"/>
  <c r="N108" i="37"/>
  <c r="O28" i="60"/>
  <c r="O113" i="60"/>
  <c r="O195" i="60"/>
  <c r="O15" i="60"/>
  <c r="O31" i="60"/>
  <c r="O18" i="60"/>
  <c r="O71" i="60"/>
  <c r="O75" i="60"/>
  <c r="O148" i="60"/>
  <c r="O162" i="60"/>
  <c r="O166" i="60"/>
  <c r="O233" i="60"/>
  <c r="O244" i="60"/>
  <c r="O252" i="60"/>
  <c r="P214" i="59"/>
  <c r="O345" i="60"/>
  <c r="P26" i="59"/>
  <c r="O60" i="60"/>
  <c r="O107" i="60"/>
  <c r="O115" i="60"/>
  <c r="O197" i="60"/>
  <c r="O209" i="60"/>
  <c r="O38" i="60"/>
  <c r="O32" i="60"/>
  <c r="O27" i="60"/>
  <c r="O65" i="60"/>
  <c r="O73" i="60"/>
  <c r="O81" i="60"/>
  <c r="O146" i="60"/>
  <c r="O152" i="60"/>
  <c r="O156" i="60"/>
  <c r="O160" i="60"/>
  <c r="O172" i="60"/>
  <c r="O234" i="60"/>
  <c r="O242" i="60"/>
  <c r="O246" i="60"/>
  <c r="O250" i="60"/>
  <c r="O260" i="60"/>
  <c r="O259" i="60"/>
  <c r="P303" i="59"/>
  <c r="G20" i="62"/>
  <c r="G13" i="62"/>
  <c r="K80" i="62"/>
  <c r="K81" i="62"/>
  <c r="Q9" i="37"/>
  <c r="K83" i="57"/>
  <c r="F25" i="62"/>
  <c r="F130" i="62"/>
  <c r="F117" i="62"/>
  <c r="F108" i="62"/>
  <c r="F121" i="62"/>
  <c r="F33" i="62"/>
  <c r="F450" i="57"/>
  <c r="F113" i="62"/>
  <c r="F104" i="62"/>
  <c r="O366" i="60"/>
  <c r="P423" i="57"/>
  <c r="F84" i="31"/>
  <c r="E110" i="31"/>
  <c r="F110" i="31"/>
  <c r="R133" i="57"/>
  <c r="P133" i="57"/>
  <c r="Q133" i="57"/>
  <c r="P155" i="60"/>
  <c r="O155" i="60"/>
  <c r="P163" i="60"/>
  <c r="O163" i="60"/>
  <c r="Q480" i="57"/>
  <c r="P480" i="57"/>
  <c r="R270" i="59"/>
  <c r="R277" i="59"/>
  <c r="R263" i="59"/>
  <c r="P263" i="59"/>
  <c r="R276" i="59"/>
  <c r="R271" i="59"/>
  <c r="R278" i="59"/>
  <c r="P278" i="59"/>
  <c r="R267" i="59"/>
  <c r="R275" i="59"/>
  <c r="R269" i="59"/>
  <c r="R346" i="59"/>
  <c r="P346" i="59"/>
  <c r="R348" i="59"/>
  <c r="R350" i="59"/>
  <c r="R354" i="59"/>
  <c r="R358" i="59"/>
  <c r="P358" i="59"/>
  <c r="R362" i="59"/>
  <c r="R364" i="59"/>
  <c r="R366" i="59"/>
  <c r="R345" i="59"/>
  <c r="R282" i="59"/>
  <c r="R216" i="59"/>
  <c r="P216" i="59"/>
  <c r="R221" i="59"/>
  <c r="P221" i="59"/>
  <c r="R228" i="59"/>
  <c r="R234" i="59"/>
  <c r="P234" i="59"/>
  <c r="R457" i="59"/>
  <c r="R395" i="59"/>
  <c r="R404" i="59"/>
  <c r="P404" i="59"/>
  <c r="R226" i="59"/>
  <c r="R230" i="59"/>
  <c r="R439" i="59"/>
  <c r="R447" i="59"/>
  <c r="R314" i="59"/>
  <c r="P314" i="59"/>
  <c r="R265" i="59"/>
  <c r="R274" i="59"/>
  <c r="R355" i="59"/>
  <c r="P355" i="59"/>
  <c r="R370" i="59"/>
  <c r="R325" i="59"/>
  <c r="R412" i="59"/>
  <c r="R347" i="59"/>
  <c r="P347" i="59"/>
  <c r="R349" i="59"/>
  <c r="R352" i="59"/>
  <c r="R356" i="59"/>
  <c r="R359" i="59"/>
  <c r="R363" i="59"/>
  <c r="R365" i="59"/>
  <c r="R367" i="59"/>
  <c r="R326" i="59"/>
  <c r="P326" i="59"/>
  <c r="P325" i="59"/>
  <c r="R369" i="59"/>
  <c r="P369" i="59"/>
  <c r="P368" i="59"/>
  <c r="R218" i="59"/>
  <c r="P218" i="59"/>
  <c r="R225" i="59"/>
  <c r="P225" i="59"/>
  <c r="R232" i="59"/>
  <c r="P232" i="59"/>
  <c r="R236" i="59"/>
  <c r="R396" i="59"/>
  <c r="P396" i="59"/>
  <c r="R224" i="59"/>
  <c r="R229" i="59"/>
  <c r="R238" i="59"/>
  <c r="R443" i="59"/>
  <c r="R310" i="59"/>
  <c r="R318" i="59"/>
  <c r="R351" i="59"/>
  <c r="R360" i="59"/>
  <c r="R454" i="59"/>
  <c r="R237" i="59"/>
  <c r="R433" i="59"/>
  <c r="R435" i="59"/>
  <c r="P435" i="59"/>
  <c r="R438" i="59"/>
  <c r="R442" i="59"/>
  <c r="R445" i="59"/>
  <c r="R449" i="59"/>
  <c r="P449" i="59"/>
  <c r="R451" i="59"/>
  <c r="R453" i="59"/>
  <c r="R390" i="59"/>
  <c r="R392" i="59"/>
  <c r="R394" i="59"/>
  <c r="R400" i="59"/>
  <c r="R403" i="59"/>
  <c r="R407" i="59"/>
  <c r="R409" i="59"/>
  <c r="R411" i="59"/>
  <c r="R371" i="59"/>
  <c r="R304" i="59"/>
  <c r="R306" i="59"/>
  <c r="R309" i="59"/>
  <c r="R313" i="59"/>
  <c r="P313" i="59"/>
  <c r="R316" i="59"/>
  <c r="P316" i="59"/>
  <c r="R320" i="59"/>
  <c r="R322" i="59"/>
  <c r="P322" i="59"/>
  <c r="R324" i="59"/>
  <c r="P324" i="59"/>
  <c r="R259" i="59"/>
  <c r="R261" i="59"/>
  <c r="R455" i="59"/>
  <c r="R279" i="59"/>
  <c r="R258" i="59"/>
  <c r="R217" i="59"/>
  <c r="R223" i="59"/>
  <c r="R231" i="59"/>
  <c r="R235" i="59"/>
  <c r="R413" i="59"/>
  <c r="P413" i="59"/>
  <c r="P412" i="59"/>
  <c r="R399" i="59"/>
  <c r="R405" i="59"/>
  <c r="R222" i="59"/>
  <c r="P222" i="59"/>
  <c r="R415" i="59"/>
  <c r="P415" i="59"/>
  <c r="P414" i="59"/>
  <c r="R266" i="59"/>
  <c r="P266" i="59"/>
  <c r="R414" i="59"/>
  <c r="R357" i="59"/>
  <c r="R456" i="59"/>
  <c r="R281" i="59"/>
  <c r="R771" i="57"/>
  <c r="R596" i="57"/>
  <c r="R597" i="57"/>
  <c r="R747" i="57"/>
  <c r="R670" i="57"/>
  <c r="R780" i="57"/>
  <c r="R686" i="57"/>
  <c r="R745" i="57"/>
  <c r="R761" i="57"/>
  <c r="R769" i="57"/>
  <c r="R775" i="57"/>
  <c r="R742" i="57"/>
  <c r="R680" i="57"/>
  <c r="R692" i="57"/>
  <c r="R698" i="57"/>
  <c r="R702" i="57"/>
  <c r="R602" i="57"/>
  <c r="R610" i="57"/>
  <c r="R618" i="57"/>
  <c r="R624" i="57"/>
  <c r="R591" i="57"/>
  <c r="R631" i="57"/>
  <c r="R704" i="57"/>
  <c r="R609" i="57"/>
  <c r="R621" i="57"/>
  <c r="R689" i="57"/>
  <c r="R595" i="57"/>
  <c r="R772" i="57"/>
  <c r="R696" i="57"/>
  <c r="R600" i="57"/>
  <c r="R751" i="57"/>
  <c r="R668" i="57"/>
  <c r="R679" i="57"/>
  <c r="R687" i="57"/>
  <c r="R693" i="57"/>
  <c r="R694" i="57"/>
  <c r="P694" i="57"/>
  <c r="R699" i="57"/>
  <c r="R700" i="57"/>
  <c r="R706" i="57"/>
  <c r="R667" i="57"/>
  <c r="R743" i="57"/>
  <c r="R756" i="57"/>
  <c r="R766" i="57"/>
  <c r="R773" i="57"/>
  <c r="R777" i="57"/>
  <c r="R762" i="57"/>
  <c r="R593" i="57"/>
  <c r="R605" i="57"/>
  <c r="R615" i="57"/>
  <c r="R622" i="57"/>
  <c r="R626" i="57"/>
  <c r="R611" i="57"/>
  <c r="R767" i="57"/>
  <c r="R764" i="57"/>
  <c r="R616" i="57"/>
  <c r="R682" i="57"/>
  <c r="R703" i="57"/>
  <c r="R779" i="57"/>
  <c r="R757" i="57"/>
  <c r="R628" i="57"/>
  <c r="R749" i="57"/>
  <c r="P749" i="57"/>
  <c r="R760" i="57"/>
  <c r="R782" i="57"/>
  <c r="R753" i="57"/>
  <c r="R763" i="57"/>
  <c r="P763" i="57"/>
  <c r="R770" i="57"/>
  <c r="R776" i="57"/>
  <c r="R755" i="57"/>
  <c r="R685" i="57"/>
  <c r="P685" i="57"/>
  <c r="R592" i="57"/>
  <c r="R603" i="57"/>
  <c r="P603" i="57"/>
  <c r="R612" i="57"/>
  <c r="R619" i="57"/>
  <c r="R625" i="57"/>
  <c r="R604" i="57"/>
  <c r="P604" i="57"/>
  <c r="R759" i="57"/>
  <c r="P759" i="57"/>
  <c r="R678" i="57"/>
  <c r="P678" i="57"/>
  <c r="R695" i="57"/>
  <c r="P614" i="57"/>
  <c r="R765" i="57"/>
  <c r="R608" i="57"/>
  <c r="P391" i="59"/>
  <c r="Q59" i="60"/>
  <c r="O59" i="60"/>
  <c r="Q61" i="60"/>
  <c r="P273" i="59"/>
  <c r="P315" i="59"/>
  <c r="J109" i="31"/>
  <c r="H109" i="31"/>
  <c r="M109" i="31"/>
  <c r="M26" i="35"/>
  <c r="I26" i="35"/>
  <c r="K26" i="35"/>
  <c r="F87" i="31"/>
  <c r="E113" i="31"/>
  <c r="F113" i="31"/>
  <c r="Q204" i="60"/>
  <c r="O204" i="60"/>
  <c r="Q104" i="60"/>
  <c r="Q112" i="60"/>
  <c r="O112" i="60"/>
  <c r="Q116" i="60"/>
  <c r="Q118" i="60"/>
  <c r="O118" i="60"/>
  <c r="Q124" i="60"/>
  <c r="Q120" i="60"/>
  <c r="Q214" i="60"/>
  <c r="O214" i="60"/>
  <c r="O213" i="60"/>
  <c r="Q206" i="60"/>
  <c r="O206" i="60"/>
  <c r="Q198" i="60"/>
  <c r="Q108" i="60"/>
  <c r="O108" i="60"/>
  <c r="Q210" i="60"/>
  <c r="Q202" i="60"/>
  <c r="O202" i="60"/>
  <c r="Q194" i="60"/>
  <c r="Q212" i="60"/>
  <c r="O212" i="60"/>
  <c r="Q196" i="60"/>
  <c r="O196" i="60"/>
  <c r="Q258" i="60"/>
  <c r="O258" i="60"/>
  <c r="O257" i="60"/>
  <c r="R478" i="57"/>
  <c r="R481" i="57"/>
  <c r="K47" i="59"/>
  <c r="K48" i="59"/>
  <c r="J16" i="31"/>
  <c r="P102" i="60"/>
  <c r="Q102" i="60"/>
  <c r="O102" i="60"/>
  <c r="S252" i="57"/>
  <c r="F125" i="57"/>
  <c r="F119" i="62"/>
  <c r="P80" i="62"/>
  <c r="Q110" i="60"/>
  <c r="S271" i="57"/>
  <c r="Q226" i="59"/>
  <c r="P226" i="59"/>
  <c r="Q322" i="59"/>
  <c r="Q309" i="59"/>
  <c r="P309" i="59"/>
  <c r="Q367" i="59"/>
  <c r="P367" i="59"/>
  <c r="Q356" i="59"/>
  <c r="P356" i="59"/>
  <c r="Q389" i="59"/>
  <c r="P389" i="59"/>
  <c r="Q402" i="59"/>
  <c r="P402" i="59"/>
  <c r="Q431" i="59"/>
  <c r="P431" i="59"/>
  <c r="Q444" i="59"/>
  <c r="P444" i="59"/>
  <c r="Q432" i="59"/>
  <c r="Q271" i="59"/>
  <c r="P271" i="59"/>
  <c r="Q269" i="59"/>
  <c r="P269" i="59"/>
  <c r="Q323" i="59"/>
  <c r="P323" i="59"/>
  <c r="Q311" i="59"/>
  <c r="P311" i="59"/>
  <c r="Q366" i="59"/>
  <c r="P366" i="59"/>
  <c r="Q354" i="59"/>
  <c r="P354" i="59"/>
  <c r="Q371" i="59"/>
  <c r="P371" i="59"/>
  <c r="P370" i="59"/>
  <c r="Q403" i="59"/>
  <c r="P403" i="59"/>
  <c r="Q390" i="59"/>
  <c r="Q445" i="59"/>
  <c r="P445" i="59"/>
  <c r="Q433" i="59"/>
  <c r="P433" i="59"/>
  <c r="Q229" i="59"/>
  <c r="Q399" i="59"/>
  <c r="P399" i="59"/>
  <c r="Q258" i="59"/>
  <c r="Q260" i="59"/>
  <c r="P260" i="59"/>
  <c r="Q316" i="59"/>
  <c r="Q304" i="59"/>
  <c r="P304" i="59"/>
  <c r="Q363" i="59"/>
  <c r="P363" i="59"/>
  <c r="Q349" i="59"/>
  <c r="P349" i="59"/>
  <c r="Q408" i="59"/>
  <c r="P408" i="59"/>
  <c r="Q393" i="59"/>
  <c r="P393" i="59"/>
  <c r="Q450" i="59"/>
  <c r="P450" i="59"/>
  <c r="Q436" i="59"/>
  <c r="P436" i="59"/>
  <c r="Q272" i="59"/>
  <c r="Q270" i="59"/>
  <c r="Q259" i="59"/>
  <c r="Q319" i="59"/>
  <c r="P319" i="59"/>
  <c r="Q305" i="59"/>
  <c r="P305" i="59"/>
  <c r="Q362" i="59"/>
  <c r="P362" i="59"/>
  <c r="Q348" i="59"/>
  <c r="P348" i="59"/>
  <c r="Q409" i="59"/>
  <c r="P409" i="59"/>
  <c r="Q394" i="59"/>
  <c r="P394" i="59"/>
  <c r="Q451" i="59"/>
  <c r="P451" i="59"/>
  <c r="Q438" i="59"/>
  <c r="P438" i="59"/>
  <c r="Q457" i="59"/>
  <c r="P457" i="59"/>
  <c r="P456" i="59"/>
  <c r="Q282" i="59"/>
  <c r="P282" i="59"/>
  <c r="P281" i="59"/>
  <c r="Q217" i="59"/>
  <c r="P217" i="59"/>
  <c r="Q223" i="59"/>
  <c r="P223" i="59"/>
  <c r="Q231" i="59"/>
  <c r="P231" i="59"/>
  <c r="Q235" i="59"/>
  <c r="P235" i="59"/>
  <c r="Q238" i="59"/>
  <c r="P238" i="59"/>
  <c r="P237" i="59"/>
  <c r="Q443" i="59"/>
  <c r="P443" i="59"/>
  <c r="Q310" i="59"/>
  <c r="Q318" i="59"/>
  <c r="P318" i="59"/>
  <c r="Q325" i="59"/>
  <c r="Q351" i="59"/>
  <c r="P351" i="59"/>
  <c r="Q360" i="59"/>
  <c r="P360" i="59"/>
  <c r="Q395" i="59"/>
  <c r="Q262" i="59"/>
  <c r="P262" i="59"/>
  <c r="Q320" i="59"/>
  <c r="P320" i="59"/>
  <c r="Q306" i="59"/>
  <c r="P306" i="59"/>
  <c r="Q365" i="59"/>
  <c r="P365" i="59"/>
  <c r="Q352" i="59"/>
  <c r="P352" i="59"/>
  <c r="Q410" i="59"/>
  <c r="P410" i="59"/>
  <c r="Q398" i="59"/>
  <c r="P398" i="59"/>
  <c r="Q452" i="59"/>
  <c r="P452" i="59"/>
  <c r="Q440" i="59"/>
  <c r="Q277" i="59"/>
  <c r="P277" i="59"/>
  <c r="Q275" i="59"/>
  <c r="P275" i="59"/>
  <c r="Q267" i="59"/>
  <c r="P267" i="59"/>
  <c r="Q261" i="59"/>
  <c r="P261" i="59"/>
  <c r="Q321" i="59"/>
  <c r="P321" i="59"/>
  <c r="Q307" i="59"/>
  <c r="P307" i="59"/>
  <c r="Q364" i="59"/>
  <c r="P364" i="59"/>
  <c r="Q350" i="59"/>
  <c r="P350" i="59"/>
  <c r="Q411" i="59"/>
  <c r="P411" i="59"/>
  <c r="Q400" i="59"/>
  <c r="P400" i="59"/>
  <c r="Q453" i="59"/>
  <c r="P453" i="59"/>
  <c r="Q442" i="59"/>
  <c r="P442" i="59"/>
  <c r="Q280" i="59"/>
  <c r="P280" i="59"/>
  <c r="G8" i="40"/>
  <c r="G20" i="40"/>
  <c r="O20" i="40"/>
  <c r="H203" i="31"/>
  <c r="L203" i="31"/>
  <c r="L201" i="31"/>
  <c r="J201" i="31"/>
  <c r="J170" i="18"/>
  <c r="H170" i="18"/>
  <c r="F170" i="18"/>
  <c r="J166" i="18"/>
  <c r="F166" i="18"/>
  <c r="H166" i="18"/>
  <c r="Q137" i="57"/>
  <c r="Q183" i="57"/>
  <c r="Q172" i="57"/>
  <c r="Q153" i="57"/>
  <c r="Q179" i="57"/>
  <c r="Q156" i="57"/>
  <c r="Q158" i="57"/>
  <c r="Q164" i="57"/>
  <c r="Q176" i="57"/>
  <c r="Q177" i="57"/>
  <c r="Q190" i="57"/>
  <c r="Q127" i="57"/>
  <c r="P276" i="59"/>
  <c r="M16" i="31"/>
  <c r="I35" i="40"/>
  <c r="Q175" i="57"/>
  <c r="Q146" i="57"/>
  <c r="Q129" i="57"/>
  <c r="Q139" i="57"/>
  <c r="Q168" i="57"/>
  <c r="Q163" i="57"/>
  <c r="Q174" i="57"/>
  <c r="Q141" i="57"/>
  <c r="Q130" i="57"/>
  <c r="Q132" i="57"/>
  <c r="Q138" i="57"/>
  <c r="Q151" i="57"/>
  <c r="Q188" i="57"/>
  <c r="Q161" i="57"/>
  <c r="Q187" i="57"/>
  <c r="Q128" i="57"/>
  <c r="Q160" i="57"/>
  <c r="Q147" i="57"/>
  <c r="Q140" i="57"/>
  <c r="Q145" i="57"/>
  <c r="Q157" i="57"/>
  <c r="K222" i="57"/>
  <c r="K210" i="57"/>
  <c r="K221" i="57"/>
  <c r="K209" i="57"/>
  <c r="K223" i="57"/>
  <c r="K211" i="57"/>
  <c r="K227" i="57"/>
  <c r="K215" i="57"/>
  <c r="K229" i="57"/>
  <c r="K217" i="57"/>
  <c r="K464" i="57"/>
  <c r="K452" i="57"/>
  <c r="K467" i="57"/>
  <c r="K455" i="57"/>
  <c r="K224" i="57"/>
  <c r="K212" i="57"/>
  <c r="K225" i="57"/>
  <c r="K213" i="57"/>
  <c r="K341" i="57"/>
  <c r="K329" i="57"/>
  <c r="K346" i="57"/>
  <c r="K334" i="57"/>
  <c r="K347" i="57"/>
  <c r="K335" i="57"/>
  <c r="K348" i="57"/>
  <c r="K336" i="57"/>
  <c r="K349" i="57"/>
  <c r="K337" i="57"/>
  <c r="K350" i="57"/>
  <c r="K338" i="57"/>
  <c r="K461" i="57"/>
  <c r="K449" i="57"/>
  <c r="K462" i="57"/>
  <c r="K450" i="57"/>
  <c r="K469" i="57"/>
  <c r="K457" i="57"/>
  <c r="K220" i="57"/>
  <c r="K208" i="57"/>
  <c r="K228" i="57"/>
  <c r="K216" i="57"/>
  <c r="K342" i="57"/>
  <c r="K330" i="57"/>
  <c r="K344" i="57"/>
  <c r="K332" i="57"/>
  <c r="K463" i="57"/>
  <c r="K451" i="57"/>
  <c r="K468" i="57"/>
  <c r="K456" i="57"/>
  <c r="K466" i="57"/>
  <c r="K454" i="57"/>
  <c r="K226" i="57"/>
  <c r="K214" i="57"/>
  <c r="K343" i="57"/>
  <c r="K331" i="57"/>
  <c r="K345" i="57"/>
  <c r="K333" i="57"/>
  <c r="K465" i="57"/>
  <c r="K453" i="57"/>
  <c r="H47" i="40"/>
  <c r="M10" i="39"/>
  <c r="L12" i="39"/>
  <c r="O13" i="40"/>
  <c r="M7" i="40"/>
  <c r="N7" i="40"/>
  <c r="I12" i="35"/>
  <c r="K9" i="35"/>
  <c r="N9" i="35"/>
  <c r="M9" i="35"/>
  <c r="K59" i="37"/>
  <c r="K60" i="37"/>
  <c r="J60" i="37"/>
  <c r="H273" i="31"/>
  <c r="L273" i="31"/>
  <c r="M273" i="31"/>
  <c r="L267" i="31"/>
  <c r="M267" i="31"/>
  <c r="H267" i="31"/>
  <c r="M291" i="31"/>
  <c r="O194" i="60"/>
  <c r="O210" i="60"/>
  <c r="K299" i="59"/>
  <c r="K295" i="59"/>
  <c r="K212" i="59"/>
  <c r="K209" i="59"/>
  <c r="K300" i="59"/>
  <c r="K296" i="59"/>
  <c r="K255" i="59"/>
  <c r="K252" i="59"/>
  <c r="K256" i="59"/>
  <c r="K253" i="59"/>
  <c r="K211" i="59"/>
  <c r="K208" i="59"/>
  <c r="L23" i="40"/>
  <c r="M23" i="40"/>
  <c r="N23" i="40"/>
  <c r="G43" i="40"/>
  <c r="L43" i="40"/>
  <c r="M43" i="40"/>
  <c r="N43" i="40"/>
  <c r="G37" i="40"/>
  <c r="L37" i="40"/>
  <c r="M37" i="40"/>
  <c r="N37" i="40"/>
  <c r="L11" i="39"/>
  <c r="M11" i="39"/>
  <c r="G12" i="39"/>
  <c r="E62" i="35"/>
  <c r="G62" i="35"/>
  <c r="I62" i="35"/>
  <c r="E79" i="35"/>
  <c r="H107" i="18"/>
  <c r="F107" i="18"/>
  <c r="H108" i="31"/>
  <c r="M108" i="31"/>
  <c r="R113" i="59"/>
  <c r="R340" i="59"/>
  <c r="F325" i="18"/>
  <c r="H325" i="18"/>
  <c r="K325" i="18"/>
  <c r="J335" i="31"/>
  <c r="H335" i="31"/>
  <c r="M335" i="31"/>
  <c r="H8" i="31"/>
  <c r="L8" i="31"/>
  <c r="L48" i="31"/>
  <c r="H48" i="31"/>
  <c r="H91" i="18"/>
  <c r="K91" i="18"/>
  <c r="D120" i="18"/>
  <c r="H120" i="18"/>
  <c r="K120" i="18"/>
  <c r="K87" i="18"/>
  <c r="D116" i="18"/>
  <c r="F116" i="18"/>
  <c r="H82" i="18"/>
  <c r="K82" i="18"/>
  <c r="D111" i="18"/>
  <c r="H78" i="18"/>
  <c r="F78" i="18"/>
  <c r="K78" i="18"/>
  <c r="H355" i="31"/>
  <c r="L355" i="31"/>
  <c r="M355" i="31"/>
  <c r="F463" i="57"/>
  <c r="F451" i="57"/>
  <c r="F468" i="57"/>
  <c r="F456" i="57"/>
  <c r="K38" i="39"/>
  <c r="K369" i="18"/>
  <c r="K18" i="57"/>
  <c r="K19" i="57"/>
  <c r="K342" i="59"/>
  <c r="K338" i="59"/>
  <c r="K385" i="59"/>
  <c r="K381" i="59"/>
  <c r="K429" i="59"/>
  <c r="K425" i="59"/>
  <c r="G19" i="39"/>
  <c r="H326" i="31"/>
  <c r="M326" i="31"/>
  <c r="J326" i="31"/>
  <c r="E24" i="3"/>
  <c r="I24" i="3"/>
  <c r="G16" i="40"/>
  <c r="J21" i="31"/>
  <c r="M21" i="31"/>
  <c r="H21" i="31"/>
  <c r="L21" i="31"/>
  <c r="H15" i="31"/>
  <c r="J11" i="31"/>
  <c r="L11" i="31"/>
  <c r="M11" i="31"/>
  <c r="J210" i="31"/>
  <c r="H210" i="31"/>
  <c r="M210" i="31"/>
  <c r="E276" i="31"/>
  <c r="F276" i="31"/>
  <c r="F247" i="31"/>
  <c r="L353" i="31"/>
  <c r="H353" i="31"/>
  <c r="M353" i="31"/>
  <c r="P117" i="62"/>
  <c r="P108" i="62"/>
  <c r="P113" i="62"/>
  <c r="P104" i="62"/>
  <c r="P111" i="62"/>
  <c r="P102" i="62"/>
  <c r="Q599" i="57"/>
  <c r="P599" i="57"/>
  <c r="Q489" i="57"/>
  <c r="Q484" i="57"/>
  <c r="P484" i="57"/>
  <c r="P256" i="60"/>
  <c r="P147" i="60"/>
  <c r="O147" i="60"/>
  <c r="R514" i="57"/>
  <c r="R537" i="57"/>
  <c r="P537" i="57"/>
  <c r="R398" i="57"/>
  <c r="P398" i="57"/>
  <c r="R418" i="57"/>
  <c r="R390" i="57"/>
  <c r="P70" i="60"/>
  <c r="O70" i="60"/>
  <c r="P78" i="60"/>
  <c r="O78" i="60"/>
  <c r="P323" i="60"/>
  <c r="O323" i="60"/>
  <c r="O46" i="40"/>
  <c r="Q45" i="62"/>
  <c r="K44" i="39"/>
  <c r="K335" i="18"/>
  <c r="J8" i="31"/>
  <c r="L8" i="39"/>
  <c r="Q8" i="39"/>
  <c r="O8" i="39"/>
  <c r="Q17" i="39"/>
  <c r="O17" i="39"/>
  <c r="Q20" i="39"/>
  <c r="O20" i="39"/>
  <c r="Q14" i="39"/>
  <c r="O14" i="39"/>
  <c r="O15" i="39"/>
  <c r="F112" i="18"/>
  <c r="K112" i="18"/>
  <c r="H112" i="18"/>
  <c r="G22" i="39"/>
  <c r="F119" i="37"/>
  <c r="K119" i="37"/>
  <c r="K120" i="37"/>
  <c r="H119" i="37"/>
  <c r="H120" i="37"/>
  <c r="J83" i="37"/>
  <c r="J84" i="37"/>
  <c r="O84" i="37"/>
  <c r="H83" i="37"/>
  <c r="J166" i="31"/>
  <c r="H166" i="31"/>
  <c r="J13" i="18"/>
  <c r="K13" i="18"/>
  <c r="H13" i="18"/>
  <c r="J9" i="18"/>
  <c r="F9" i="18"/>
  <c r="H51" i="18"/>
  <c r="F51" i="18"/>
  <c r="F136" i="18"/>
  <c r="J136" i="18"/>
  <c r="J304" i="31"/>
  <c r="H304" i="31"/>
  <c r="M304" i="31"/>
  <c r="F465" i="57"/>
  <c r="F453" i="57"/>
  <c r="F470" i="57"/>
  <c r="F458" i="57"/>
  <c r="F122" i="59"/>
  <c r="F112" i="59"/>
  <c r="F116" i="59"/>
  <c r="F106" i="59"/>
  <c r="F120" i="59"/>
  <c r="F110" i="59"/>
  <c r="F121" i="59"/>
  <c r="F111" i="59"/>
  <c r="F117" i="59"/>
  <c r="F107" i="59"/>
  <c r="F118" i="59"/>
  <c r="F108" i="59"/>
  <c r="G40" i="40"/>
  <c r="G122" i="35"/>
  <c r="M122" i="35"/>
  <c r="N122" i="35"/>
  <c r="K391" i="57"/>
  <c r="K387" i="57"/>
  <c r="F8" i="3"/>
  <c r="D51" i="3"/>
  <c r="G39" i="3"/>
  <c r="F24" i="3"/>
  <c r="F20" i="3"/>
  <c r="F11" i="3"/>
  <c r="G40" i="3"/>
  <c r="G25" i="3"/>
  <c r="D12" i="3"/>
  <c r="E12" i="3"/>
  <c r="D10" i="3"/>
  <c r="G10" i="3"/>
  <c r="G14" i="3"/>
  <c r="G20" i="3"/>
  <c r="G26" i="3"/>
  <c r="G8" i="3"/>
  <c r="J179" i="18"/>
  <c r="F179" i="18"/>
  <c r="K179" i="18"/>
  <c r="H173" i="31"/>
  <c r="L173" i="31"/>
  <c r="H160" i="31"/>
  <c r="J160" i="31"/>
  <c r="L160" i="31"/>
  <c r="L54" i="31"/>
  <c r="H54" i="31"/>
  <c r="M54" i="31"/>
  <c r="H83" i="31"/>
  <c r="M83" i="31"/>
  <c r="J83" i="31"/>
  <c r="E271" i="31"/>
  <c r="F271" i="31"/>
  <c r="L271" i="31"/>
  <c r="M271" i="31"/>
  <c r="F242" i="31"/>
  <c r="J242" i="31"/>
  <c r="M242" i="31"/>
  <c r="F265" i="18"/>
  <c r="J265" i="18"/>
  <c r="E70" i="60"/>
  <c r="E26" i="60"/>
  <c r="F306" i="18"/>
  <c r="H306" i="18"/>
  <c r="J306" i="31"/>
  <c r="H306" i="31"/>
  <c r="M306" i="31"/>
  <c r="J292" i="31"/>
  <c r="H292" i="31"/>
  <c r="M292" i="31"/>
  <c r="G21" i="62"/>
  <c r="G14" i="62"/>
  <c r="G19" i="62"/>
  <c r="G12" i="62"/>
  <c r="G18" i="62"/>
  <c r="G11" i="62"/>
  <c r="G16" i="62"/>
  <c r="G9" i="62"/>
  <c r="G17" i="62"/>
  <c r="G10" i="62"/>
  <c r="F17" i="59"/>
  <c r="F10" i="59"/>
  <c r="F19" i="59"/>
  <c r="F12" i="59"/>
  <c r="F20" i="59"/>
  <c r="F13" i="59"/>
  <c r="F16" i="59"/>
  <c r="F9" i="59"/>
  <c r="F337" i="18"/>
  <c r="K337" i="18"/>
  <c r="J89" i="31"/>
  <c r="H303" i="18"/>
  <c r="K303" i="18"/>
  <c r="H294" i="31"/>
  <c r="M294" i="31"/>
  <c r="S184" i="57"/>
  <c r="R140" i="59"/>
  <c r="D20" i="38"/>
  <c r="D18" i="38"/>
  <c r="J196" i="31"/>
  <c r="H196" i="31"/>
  <c r="M196" i="31"/>
  <c r="L196" i="31"/>
  <c r="L170" i="31"/>
  <c r="H170" i="31"/>
  <c r="M170" i="31"/>
  <c r="J164" i="31"/>
  <c r="H164" i="31"/>
  <c r="M164" i="31"/>
  <c r="H91" i="31"/>
  <c r="M91" i="31"/>
  <c r="J91" i="31"/>
  <c r="F88" i="31"/>
  <c r="H88" i="31"/>
  <c r="E114" i="31"/>
  <c r="F114" i="31"/>
  <c r="H114" i="31"/>
  <c r="J81" i="31"/>
  <c r="H81" i="31"/>
  <c r="F142" i="18"/>
  <c r="J142" i="18"/>
  <c r="K142" i="18"/>
  <c r="F139" i="18"/>
  <c r="J139" i="18"/>
  <c r="K139" i="18"/>
  <c r="H137" i="31"/>
  <c r="L137" i="31"/>
  <c r="M137" i="31"/>
  <c r="E269" i="31"/>
  <c r="F269" i="31"/>
  <c r="H269" i="31"/>
  <c r="F240" i="31"/>
  <c r="J298" i="31"/>
  <c r="H298" i="31"/>
  <c r="M298" i="31"/>
  <c r="H293" i="31"/>
  <c r="J293" i="31"/>
  <c r="F466" i="57"/>
  <c r="F454" i="57"/>
  <c r="F461" i="57"/>
  <c r="F449" i="57"/>
  <c r="F106" i="18"/>
  <c r="J328" i="31"/>
  <c r="H334" i="31"/>
  <c r="M334" i="31"/>
  <c r="J296" i="31"/>
  <c r="S149" i="57"/>
  <c r="S150" i="57"/>
  <c r="S392" i="57"/>
  <c r="R392" i="57"/>
  <c r="R146" i="59"/>
  <c r="J202" i="31"/>
  <c r="H202" i="31"/>
  <c r="L202" i="31"/>
  <c r="H200" i="31"/>
  <c r="M200" i="31"/>
  <c r="L200" i="31"/>
  <c r="J200" i="31"/>
  <c r="J172" i="18"/>
  <c r="F172" i="18"/>
  <c r="K172" i="18"/>
  <c r="H172" i="18"/>
  <c r="J168" i="18"/>
  <c r="F168" i="18"/>
  <c r="J11" i="18"/>
  <c r="K11" i="18"/>
  <c r="H11" i="18"/>
  <c r="L46" i="31"/>
  <c r="H46" i="31"/>
  <c r="H89" i="18"/>
  <c r="F89" i="18"/>
  <c r="K89" i="18"/>
  <c r="H80" i="18"/>
  <c r="F80" i="18"/>
  <c r="K80" i="18"/>
  <c r="J302" i="31"/>
  <c r="H302" i="31"/>
  <c r="M302" i="31"/>
  <c r="L351" i="31"/>
  <c r="H351" i="31"/>
  <c r="M351" i="31"/>
  <c r="P81" i="62"/>
  <c r="H9" i="7"/>
  <c r="F25" i="57"/>
  <c r="F21" i="7"/>
  <c r="H21" i="7"/>
  <c r="F34" i="57"/>
  <c r="F19" i="7"/>
  <c r="H19" i="7"/>
  <c r="F31" i="62"/>
  <c r="F16" i="62"/>
  <c r="F9" i="62"/>
  <c r="F469" i="57"/>
  <c r="F457" i="57"/>
  <c r="F464" i="57"/>
  <c r="F452" i="57"/>
  <c r="S48" i="57"/>
  <c r="S49" i="57"/>
  <c r="Q49" i="57"/>
  <c r="M89" i="31"/>
  <c r="M296" i="31"/>
  <c r="J369" i="18"/>
  <c r="S270" i="57"/>
  <c r="S510" i="57"/>
  <c r="Q510" i="57"/>
  <c r="F467" i="57"/>
  <c r="F455" i="57"/>
  <c r="F341" i="57"/>
  <c r="F329" i="57"/>
  <c r="F346" i="57"/>
  <c r="F334" i="57"/>
  <c r="F223" i="57"/>
  <c r="F211" i="57"/>
  <c r="F228" i="57"/>
  <c r="F216" i="57"/>
  <c r="F273" i="18"/>
  <c r="K273" i="18"/>
  <c r="E65" i="60"/>
  <c r="O12" i="62"/>
  <c r="D21" i="38"/>
  <c r="Q36" i="57"/>
  <c r="J137" i="18"/>
  <c r="K137" i="18"/>
  <c r="F180" i="18"/>
  <c r="F244" i="31"/>
  <c r="F233" i="31"/>
  <c r="J233" i="31"/>
  <c r="L204" i="31"/>
  <c r="H204" i="31"/>
  <c r="M204" i="31"/>
  <c r="J168" i="31"/>
  <c r="H302" i="18"/>
  <c r="K302" i="18"/>
  <c r="S82" i="57"/>
  <c r="K51" i="18"/>
  <c r="Q48" i="57"/>
  <c r="G48" i="57"/>
  <c r="F32" i="62"/>
  <c r="M46" i="31"/>
  <c r="K183" i="59"/>
  <c r="G33" i="39"/>
  <c r="G42" i="39"/>
  <c r="L22" i="39"/>
  <c r="L24" i="39"/>
  <c r="G45" i="39"/>
  <c r="G39" i="39"/>
  <c r="G41" i="39"/>
  <c r="G36" i="39"/>
  <c r="G24" i="39"/>
  <c r="K370" i="18"/>
  <c r="K371" i="18"/>
  <c r="K62" i="35"/>
  <c r="H110" i="31"/>
  <c r="J110" i="31"/>
  <c r="M110" i="31"/>
  <c r="R131" i="59"/>
  <c r="K168" i="18"/>
  <c r="R132" i="59"/>
  <c r="R137" i="59"/>
  <c r="M166" i="31"/>
  <c r="M48" i="31"/>
  <c r="R150" i="57"/>
  <c r="Q150" i="57"/>
  <c r="F120" i="37"/>
  <c r="H247" i="31"/>
  <c r="J247" i="31"/>
  <c r="R185" i="59"/>
  <c r="R186" i="59"/>
  <c r="R187" i="59"/>
  <c r="R188" i="59"/>
  <c r="R189" i="59"/>
  <c r="R190" i="59"/>
  <c r="R124" i="59"/>
  <c r="R152" i="59"/>
  <c r="R155" i="59"/>
  <c r="R161" i="59"/>
  <c r="R165" i="59"/>
  <c r="R168" i="59"/>
  <c r="R172" i="59"/>
  <c r="R174" i="59"/>
  <c r="R178" i="59"/>
  <c r="R180" i="59"/>
  <c r="R182" i="59"/>
  <c r="R154" i="59"/>
  <c r="R170" i="59"/>
  <c r="R181" i="59"/>
  <c r="R163" i="59"/>
  <c r="R177" i="59"/>
  <c r="R134" i="59"/>
  <c r="R129" i="59"/>
  <c r="R138" i="59"/>
  <c r="R145" i="59"/>
  <c r="R151" i="59"/>
  <c r="R162" i="59"/>
  <c r="R175" i="59"/>
  <c r="R184" i="59"/>
  <c r="R143" i="59"/>
  <c r="R166" i="59"/>
  <c r="R179" i="59"/>
  <c r="R160" i="59"/>
  <c r="R159" i="59"/>
  <c r="R176" i="59"/>
  <c r="R136" i="59"/>
  <c r="R133" i="59"/>
  <c r="R157" i="59"/>
  <c r="R141" i="59"/>
  <c r="R156" i="59"/>
  <c r="R169" i="59"/>
  <c r="R183" i="59"/>
  <c r="R164" i="59"/>
  <c r="R167" i="59"/>
  <c r="R149" i="59"/>
  <c r="R139" i="59"/>
  <c r="R127" i="59"/>
  <c r="R173" i="59"/>
  <c r="R171" i="59"/>
  <c r="R153" i="59"/>
  <c r="R158" i="59"/>
  <c r="R135" i="59"/>
  <c r="K732" i="57"/>
  <c r="K720" i="57"/>
  <c r="K734" i="57"/>
  <c r="K722" i="57"/>
  <c r="K733" i="57"/>
  <c r="K721" i="57"/>
  <c r="K735" i="57"/>
  <c r="K723" i="57"/>
  <c r="K739" i="57"/>
  <c r="K727" i="57"/>
  <c r="K737" i="57"/>
  <c r="K725" i="57"/>
  <c r="K730" i="57"/>
  <c r="K718" i="57"/>
  <c r="K731" i="57"/>
  <c r="K719" i="57"/>
  <c r="K736" i="57"/>
  <c r="K724" i="57"/>
  <c r="K738" i="57"/>
  <c r="K726" i="57"/>
  <c r="M60" i="37"/>
  <c r="Q82" i="57"/>
  <c r="G82" i="57"/>
  <c r="H244" i="31"/>
  <c r="J244" i="31"/>
  <c r="R510" i="57"/>
  <c r="J370" i="18"/>
  <c r="F369" i="18"/>
  <c r="J371" i="18"/>
  <c r="K106" i="18"/>
  <c r="H84" i="37"/>
  <c r="K83" i="37"/>
  <c r="K84" i="37"/>
  <c r="M8" i="39"/>
  <c r="E96" i="35"/>
  <c r="N10" i="39"/>
  <c r="L20" i="40"/>
  <c r="G21" i="40"/>
  <c r="F120" i="57"/>
  <c r="F111" i="57"/>
  <c r="F116" i="57"/>
  <c r="F107" i="57"/>
  <c r="M293" i="31"/>
  <c r="R126" i="59"/>
  <c r="M203" i="31"/>
  <c r="P310" i="59"/>
  <c r="P299" i="59"/>
  <c r="P295" i="59"/>
  <c r="Q184" i="57"/>
  <c r="K265" i="18"/>
  <c r="L16" i="40"/>
  <c r="M16" i="40"/>
  <c r="G18" i="40"/>
  <c r="K166" i="18"/>
  <c r="H87" i="31"/>
  <c r="J87" i="31"/>
  <c r="M87" i="31"/>
  <c r="Q392" i="57"/>
  <c r="J88" i="31"/>
  <c r="H307" i="31"/>
  <c r="I10" i="3"/>
  <c r="E10" i="3"/>
  <c r="I51" i="3"/>
  <c r="K136" i="18"/>
  <c r="K186" i="60"/>
  <c r="K182" i="60"/>
  <c r="K99" i="60"/>
  <c r="K12" i="60"/>
  <c r="K22" i="57"/>
  <c r="K15" i="57"/>
  <c r="K12" i="57"/>
  <c r="I45" i="35"/>
  <c r="L13" i="40"/>
  <c r="H113" i="31"/>
  <c r="M113" i="31"/>
  <c r="J113" i="31"/>
  <c r="J84" i="31"/>
  <c r="H84" i="31"/>
  <c r="M202" i="31"/>
  <c r="R142" i="59"/>
  <c r="R125" i="59"/>
  <c r="R130" i="59"/>
  <c r="K107" i="18"/>
  <c r="P259" i="59"/>
  <c r="P258" i="59"/>
  <c r="M13" i="40"/>
  <c r="L18" i="40"/>
  <c r="E116" i="35"/>
  <c r="G116" i="35"/>
  <c r="M116" i="35"/>
  <c r="G96" i="35"/>
  <c r="M96" i="35"/>
  <c r="I316" i="60"/>
  <c r="I274" i="60"/>
  <c r="I273" i="60"/>
  <c r="I360" i="60"/>
  <c r="I317" i="60"/>
  <c r="I359" i="60"/>
  <c r="L39" i="39"/>
  <c r="G35" i="39"/>
  <c r="L33" i="39"/>
  <c r="K215" i="60"/>
  <c r="M244" i="31"/>
  <c r="M247" i="31"/>
  <c r="H308" i="31"/>
  <c r="M20" i="40"/>
  <c r="L21" i="40"/>
  <c r="L36" i="39"/>
  <c r="M36" i="39"/>
  <c r="N36" i="39"/>
  <c r="F20" i="57"/>
  <c r="F13" i="57"/>
  <c r="N62" i="35"/>
  <c r="M22" i="39"/>
  <c r="M24" i="39"/>
  <c r="L42" i="39"/>
  <c r="M42" i="39"/>
  <c r="M79" i="35"/>
  <c r="N8" i="39"/>
  <c r="K149" i="59"/>
  <c r="M84" i="37"/>
  <c r="F370" i="18"/>
  <c r="K128" i="60"/>
  <c r="K41" i="60"/>
  <c r="L45" i="39"/>
  <c r="K8" i="60"/>
  <c r="M45" i="39"/>
  <c r="N22" i="39"/>
  <c r="N24" i="39"/>
  <c r="M39" i="39"/>
  <c r="N13" i="40"/>
  <c r="K105" i="59"/>
  <c r="M33" i="39"/>
  <c r="E137" i="35"/>
  <c r="N20" i="40"/>
  <c r="N21" i="40"/>
  <c r="M21" i="40"/>
  <c r="K96" i="35"/>
  <c r="I96" i="35"/>
  <c r="N96" i="35"/>
  <c r="N16" i="40"/>
  <c r="N18" i="40"/>
  <c r="M18" i="40"/>
  <c r="G137" i="35"/>
  <c r="K137" i="35"/>
  <c r="N137" i="35"/>
  <c r="E154" i="35"/>
  <c r="K116" i="35"/>
  <c r="N116" i="35"/>
  <c r="G154" i="35"/>
  <c r="M154" i="35"/>
  <c r="N154" i="35"/>
  <c r="E171" i="35"/>
  <c r="G171" i="35"/>
  <c r="K171" i="35"/>
  <c r="E189" i="35"/>
  <c r="G189" i="35"/>
  <c r="I171" i="35"/>
  <c r="N171" i="35"/>
  <c r="E207" i="35"/>
  <c r="G207" i="35"/>
  <c r="M207" i="35"/>
  <c r="N207" i="35"/>
  <c r="K189" i="35"/>
  <c r="I189" i="35"/>
  <c r="N189" i="35"/>
  <c r="N42" i="39"/>
  <c r="N45" i="35"/>
  <c r="F17" i="62"/>
  <c r="F10" i="62"/>
  <c r="F20" i="62"/>
  <c r="F13" i="62"/>
  <c r="M8" i="31"/>
  <c r="N39" i="39"/>
  <c r="M41" i="39"/>
  <c r="K150" i="59"/>
  <c r="K106" i="59"/>
  <c r="K107" i="59"/>
  <c r="K108" i="59"/>
  <c r="Q149" i="57"/>
  <c r="R149" i="57"/>
  <c r="L19" i="39"/>
  <c r="G21" i="39"/>
  <c r="H111" i="18"/>
  <c r="F111" i="18"/>
  <c r="N33" i="39"/>
  <c r="N45" i="39"/>
  <c r="K11" i="57"/>
  <c r="K21" i="57"/>
  <c r="K14" i="57"/>
  <c r="N11" i="39"/>
  <c r="N12" i="39"/>
  <c r="M12" i="39"/>
  <c r="M84" i="31"/>
  <c r="H309" i="31"/>
  <c r="F371" i="18"/>
  <c r="J240" i="31"/>
  <c r="H240" i="31"/>
  <c r="M81" i="31"/>
  <c r="M88" i="31"/>
  <c r="K95" i="60"/>
  <c r="G36" i="57"/>
  <c r="P141" i="57"/>
  <c r="G77" i="57"/>
  <c r="E51" i="3"/>
  <c r="P138" i="57"/>
  <c r="G53" i="57"/>
  <c r="P593" i="57"/>
  <c r="N79" i="35"/>
  <c r="M160" i="31"/>
  <c r="L8" i="40"/>
  <c r="G9" i="40"/>
  <c r="N26" i="35"/>
  <c r="P345" i="57"/>
  <c r="G72" i="57"/>
  <c r="F22" i="57"/>
  <c r="F15" i="57"/>
  <c r="F19" i="57"/>
  <c r="F12" i="57"/>
  <c r="F23" i="57"/>
  <c r="F16" i="57"/>
  <c r="K271" i="57"/>
  <c r="K267" i="57"/>
  <c r="P128" i="57"/>
  <c r="P80" i="59"/>
  <c r="R134" i="57"/>
  <c r="R157" i="57"/>
  <c r="P157" i="57"/>
  <c r="R146" i="57"/>
  <c r="R190" i="57"/>
  <c r="P190" i="57"/>
  <c r="Q29" i="57"/>
  <c r="P757" i="57"/>
  <c r="P616" i="57"/>
  <c r="P626" i="57"/>
  <c r="P401" i="57"/>
  <c r="O237" i="60"/>
  <c r="P63" i="60"/>
  <c r="Q63" i="60"/>
  <c r="Q126" i="57"/>
  <c r="R126" i="57"/>
  <c r="I46" i="3"/>
  <c r="J46" i="3"/>
  <c r="K46" i="3"/>
  <c r="G100" i="35"/>
  <c r="E120" i="35"/>
  <c r="H118" i="18"/>
  <c r="F118" i="18"/>
  <c r="E378" i="31"/>
  <c r="F378" i="31"/>
  <c r="H378" i="31"/>
  <c r="F325" i="31"/>
  <c r="H216" i="18"/>
  <c r="K216" i="18"/>
  <c r="J216" i="18"/>
  <c r="H208" i="18"/>
  <c r="J208" i="18"/>
  <c r="F19" i="62"/>
  <c r="F12" i="62"/>
  <c r="F23" i="62"/>
  <c r="R184" i="57"/>
  <c r="L269" i="31"/>
  <c r="M269" i="31"/>
  <c r="F33" i="57"/>
  <c r="F21" i="57"/>
  <c r="F14" i="57"/>
  <c r="H233" i="31"/>
  <c r="J114" i="31"/>
  <c r="M114" i="31"/>
  <c r="Q38" i="57"/>
  <c r="H320" i="31"/>
  <c r="M173" i="31"/>
  <c r="K13" i="60"/>
  <c r="K9" i="60"/>
  <c r="K100" i="60"/>
  <c r="K96" i="60"/>
  <c r="K187" i="60"/>
  <c r="K183" i="60"/>
  <c r="P187" i="57"/>
  <c r="K170" i="18"/>
  <c r="P440" i="59"/>
  <c r="P428" i="59"/>
  <c r="P272" i="59"/>
  <c r="P255" i="59"/>
  <c r="P252" i="59"/>
  <c r="P390" i="59"/>
  <c r="P386" i="59"/>
  <c r="P382" i="59"/>
  <c r="P369" i="57"/>
  <c r="P350" i="57"/>
  <c r="R182" i="57"/>
  <c r="Q69" i="57"/>
  <c r="P771" i="57"/>
  <c r="P265" i="59"/>
  <c r="P672" i="57"/>
  <c r="F252" i="18"/>
  <c r="F253" i="18"/>
  <c r="G15" i="39"/>
  <c r="L13" i="39"/>
  <c r="L7" i="39"/>
  <c r="G9" i="39"/>
  <c r="O10" i="39"/>
  <c r="O12" i="39"/>
  <c r="M9" i="31"/>
  <c r="K30" i="35"/>
  <c r="N30" i="35"/>
  <c r="M30" i="35"/>
  <c r="Q33" i="57"/>
  <c r="H17" i="31"/>
  <c r="M17" i="31"/>
  <c r="J17" i="31"/>
  <c r="L15" i="31"/>
  <c r="L24" i="31"/>
  <c r="J15" i="31"/>
  <c r="Q750" i="57"/>
  <c r="P750" i="57"/>
  <c r="R750" i="57"/>
  <c r="R358" i="57"/>
  <c r="Q358" i="57"/>
  <c r="R360" i="57"/>
  <c r="Q360" i="57"/>
  <c r="F94" i="18"/>
  <c r="P597" i="57"/>
  <c r="Q671" i="57"/>
  <c r="P671" i="57"/>
  <c r="R671" i="57"/>
  <c r="Q681" i="57"/>
  <c r="P681" i="57"/>
  <c r="R681" i="57"/>
  <c r="Q675" i="57"/>
  <c r="P675" i="57"/>
  <c r="R675" i="57"/>
  <c r="P696" i="57"/>
  <c r="Q688" i="57"/>
  <c r="R688" i="57"/>
  <c r="K235" i="18"/>
  <c r="H251" i="18"/>
  <c r="F350" i="57"/>
  <c r="F338" i="57"/>
  <c r="F345" i="57"/>
  <c r="F333" i="57"/>
  <c r="F348" i="57"/>
  <c r="F336" i="57"/>
  <c r="F343" i="57"/>
  <c r="F331" i="57"/>
  <c r="F226" i="57"/>
  <c r="F214" i="57"/>
  <c r="F221" i="57"/>
  <c r="F209" i="57"/>
  <c r="F119" i="57"/>
  <c r="F110" i="57"/>
  <c r="F123" i="57"/>
  <c r="F114" i="57"/>
  <c r="F18" i="59"/>
  <c r="F11" i="59"/>
  <c r="F21" i="59"/>
  <c r="F14" i="59"/>
  <c r="Q25" i="57"/>
  <c r="P21" i="62"/>
  <c r="P16" i="62"/>
  <c r="P9" i="62"/>
  <c r="P17" i="62"/>
  <c r="P10" i="62"/>
  <c r="P20" i="62"/>
  <c r="P18" i="62"/>
  <c r="P11" i="62"/>
  <c r="R147" i="59"/>
  <c r="R143" i="57"/>
  <c r="P143" i="57"/>
  <c r="R189" i="57"/>
  <c r="P189" i="57"/>
  <c r="R165" i="57"/>
  <c r="P165" i="57"/>
  <c r="R178" i="57"/>
  <c r="R140" i="57"/>
  <c r="P140" i="57"/>
  <c r="R188" i="57"/>
  <c r="P188" i="57"/>
  <c r="R161" i="57"/>
  <c r="R179" i="57"/>
  <c r="P179" i="57"/>
  <c r="R167" i="57"/>
  <c r="R175" i="57"/>
  <c r="P175" i="57"/>
  <c r="R163" i="57"/>
  <c r="P163" i="57"/>
  <c r="R166" i="57"/>
  <c r="R155" i="57"/>
  <c r="R176" i="57"/>
  <c r="P176" i="57"/>
  <c r="R130" i="57"/>
  <c r="P130" i="57"/>
  <c r="R145" i="57"/>
  <c r="R186" i="57"/>
  <c r="P186" i="57"/>
  <c r="R171" i="57"/>
  <c r="P171" i="57"/>
  <c r="R162" i="57"/>
  <c r="R148" i="57"/>
  <c r="R125" i="57"/>
  <c r="P125" i="57"/>
  <c r="R187" i="57"/>
  <c r="R169" i="57"/>
  <c r="R152" i="57"/>
  <c r="P152" i="57"/>
  <c r="R139" i="57"/>
  <c r="R129" i="57"/>
  <c r="P129" i="57"/>
  <c r="R154" i="57"/>
  <c r="P154" i="57"/>
  <c r="R177" i="57"/>
  <c r="P177" i="57"/>
  <c r="R159" i="57"/>
  <c r="P159" i="57"/>
  <c r="R137" i="57"/>
  <c r="R135" i="57"/>
  <c r="R153" i="57"/>
  <c r="P153" i="57"/>
  <c r="R164" i="57"/>
  <c r="P164" i="57"/>
  <c r="R138" i="57"/>
  <c r="R181" i="57"/>
  <c r="P181" i="57"/>
  <c r="R160" i="57"/>
  <c r="P160" i="57"/>
  <c r="R131" i="57"/>
  <c r="R144" i="57"/>
  <c r="R172" i="57"/>
  <c r="P172" i="57"/>
  <c r="R141" i="57"/>
  <c r="R156" i="57"/>
  <c r="P156" i="57"/>
  <c r="R170" i="57"/>
  <c r="R185" i="57"/>
  <c r="Q136" i="57"/>
  <c r="P136" i="57"/>
  <c r="R136" i="57"/>
  <c r="K392" i="57"/>
  <c r="K388" i="57"/>
  <c r="K510" i="57"/>
  <c r="K506" i="57"/>
  <c r="K270" i="57"/>
  <c r="K266" i="57"/>
  <c r="H112" i="31"/>
  <c r="M112" i="31"/>
  <c r="J112" i="31"/>
  <c r="H332" i="18"/>
  <c r="F332" i="18"/>
  <c r="F332" i="31"/>
  <c r="E385" i="31"/>
  <c r="F385" i="31"/>
  <c r="H385" i="31"/>
  <c r="Q32" i="57"/>
  <c r="Q41" i="57"/>
  <c r="Q37" i="57"/>
  <c r="Q88" i="57"/>
  <c r="Q60" i="57"/>
  <c r="Q76" i="57"/>
  <c r="Q84" i="57"/>
  <c r="Q68" i="57"/>
  <c r="Q79" i="57"/>
  <c r="Q74" i="57"/>
  <c r="Q62" i="57"/>
  <c r="Q73" i="57"/>
  <c r="Q87" i="57"/>
  <c r="Q70" i="57"/>
  <c r="Q63" i="57"/>
  <c r="Q75" i="57"/>
  <c r="Q58" i="57"/>
  <c r="Q67" i="57"/>
  <c r="Q39" i="57"/>
  <c r="Q42" i="57"/>
  <c r="Q44" i="57"/>
  <c r="Q46" i="57"/>
  <c r="Q90" i="57"/>
  <c r="Q55" i="57"/>
  <c r="Q78" i="57"/>
  <c r="Q89" i="57"/>
  <c r="Q61" i="57"/>
  <c r="Q56" i="57"/>
  <c r="Q26" i="57"/>
  <c r="Q65" i="57"/>
  <c r="Q86" i="57"/>
  <c r="Q28" i="57"/>
  <c r="Q34" i="57"/>
  <c r="Q31" i="57"/>
  <c r="Q85" i="57"/>
  <c r="Q80" i="57"/>
  <c r="Q71" i="57"/>
  <c r="Q59" i="57"/>
  <c r="Q51" i="57"/>
  <c r="F18" i="57"/>
  <c r="F11" i="57"/>
  <c r="H116" i="18"/>
  <c r="K116" i="18"/>
  <c r="J307" i="31"/>
  <c r="M307" i="31"/>
  <c r="K306" i="18"/>
  <c r="I12" i="3"/>
  <c r="J12" i="3"/>
  <c r="K12" i="3"/>
  <c r="K9" i="18"/>
  <c r="L276" i="31"/>
  <c r="H276" i="31"/>
  <c r="P145" i="57"/>
  <c r="P139" i="57"/>
  <c r="P300" i="59"/>
  <c r="P296" i="59"/>
  <c r="P343" i="59"/>
  <c r="P339" i="59"/>
  <c r="Q106" i="60"/>
  <c r="O106" i="60"/>
  <c r="P374" i="57"/>
  <c r="P373" i="57"/>
  <c r="P363" i="57"/>
  <c r="P527" i="57"/>
  <c r="P511" i="57"/>
  <c r="P507" i="57"/>
  <c r="O274" i="60"/>
  <c r="O270" i="60"/>
  <c r="P27" i="59"/>
  <c r="R142" i="57"/>
  <c r="R191" i="57"/>
  <c r="R158" i="57"/>
  <c r="P158" i="57"/>
  <c r="Q57" i="57"/>
  <c r="P689" i="57"/>
  <c r="P691" i="57"/>
  <c r="O110" i="60"/>
  <c r="O124" i="60"/>
  <c r="I61" i="35"/>
  <c r="G14" i="40"/>
  <c r="O14" i="40"/>
  <c r="O15" i="40"/>
  <c r="O21" i="40"/>
  <c r="F108" i="18"/>
  <c r="H108" i="18"/>
  <c r="H321" i="31"/>
  <c r="M321" i="31"/>
  <c r="J321" i="31"/>
  <c r="J115" i="31"/>
  <c r="H115" i="31"/>
  <c r="K12" i="35"/>
  <c r="N12" i="35"/>
  <c r="M12" i="35"/>
  <c r="K386" i="59"/>
  <c r="K382" i="59"/>
  <c r="K428" i="59"/>
  <c r="K424" i="59"/>
  <c r="K343" i="59"/>
  <c r="K339" i="59"/>
  <c r="E63" i="35"/>
  <c r="G63" i="35"/>
  <c r="K63" i="35"/>
  <c r="N63" i="35"/>
  <c r="E80" i="35"/>
  <c r="G46" i="35"/>
  <c r="K46" i="35"/>
  <c r="G29" i="35"/>
  <c r="E48" i="35"/>
  <c r="H19" i="31"/>
  <c r="L19" i="31"/>
  <c r="J19" i="31"/>
  <c r="L14" i="31"/>
  <c r="H14" i="31"/>
  <c r="M14" i="31"/>
  <c r="J14" i="31"/>
  <c r="Q748" i="57"/>
  <c r="P748" i="57"/>
  <c r="R748" i="57"/>
  <c r="P752" i="57"/>
  <c r="R357" i="57"/>
  <c r="Q357" i="57"/>
  <c r="P357" i="57"/>
  <c r="P346" i="57"/>
  <c r="P334" i="57"/>
  <c r="Q359" i="57"/>
  <c r="R359" i="57"/>
  <c r="Q673" i="57"/>
  <c r="R673" i="57"/>
  <c r="Q683" i="57"/>
  <c r="R683" i="57"/>
  <c r="Q676" i="57"/>
  <c r="R676" i="57"/>
  <c r="Q674" i="57"/>
  <c r="R674" i="57"/>
  <c r="F349" i="57"/>
  <c r="F337" i="57"/>
  <c r="F344" i="57"/>
  <c r="F332" i="57"/>
  <c r="F347" i="57"/>
  <c r="F335" i="57"/>
  <c r="F342" i="57"/>
  <c r="F330" i="57"/>
  <c r="F229" i="57"/>
  <c r="F217" i="57"/>
  <c r="F224" i="57"/>
  <c r="F212" i="57"/>
  <c r="F222" i="57"/>
  <c r="F210" i="57"/>
  <c r="F227" i="57"/>
  <c r="F215" i="57"/>
  <c r="F220" i="57"/>
  <c r="F208" i="57"/>
  <c r="F225" i="57"/>
  <c r="F213" i="57"/>
  <c r="F135" i="57"/>
  <c r="F129" i="62"/>
  <c r="F115" i="59"/>
  <c r="F105" i="59"/>
  <c r="F119" i="59"/>
  <c r="F109" i="59"/>
  <c r="R144" i="59"/>
  <c r="P161" i="57"/>
  <c r="P137" i="57"/>
  <c r="P395" i="59"/>
  <c r="P270" i="59"/>
  <c r="P256" i="59"/>
  <c r="P253" i="59"/>
  <c r="F21" i="62"/>
  <c r="F14" i="62"/>
  <c r="F18" i="62"/>
  <c r="F11" i="62"/>
  <c r="K11" i="62"/>
  <c r="P67" i="59"/>
  <c r="P419" i="57"/>
  <c r="P523" i="57"/>
  <c r="O333" i="60"/>
  <c r="O328" i="60"/>
  <c r="O377" i="60"/>
  <c r="O372" i="60"/>
  <c r="Q46" i="59"/>
  <c r="Q35" i="59"/>
  <c r="P35" i="59"/>
  <c r="Q28" i="59"/>
  <c r="P28" i="59"/>
  <c r="Q72" i="59"/>
  <c r="P72" i="59"/>
  <c r="Q55" i="59"/>
  <c r="P55" i="59"/>
  <c r="P606" i="57"/>
  <c r="P624" i="57"/>
  <c r="P742" i="57"/>
  <c r="O127" i="60"/>
  <c r="O126" i="60"/>
  <c r="P437" i="59"/>
  <c r="P148" i="57"/>
  <c r="P413" i="57"/>
  <c r="P670" i="57"/>
  <c r="P407" i="59"/>
  <c r="O165" i="60"/>
  <c r="P747" i="57"/>
  <c r="P478" i="57"/>
  <c r="K20" i="62"/>
  <c r="K13" i="62"/>
  <c r="K21" i="62"/>
  <c r="K14" i="62"/>
  <c r="K16" i="62"/>
  <c r="K9" i="62"/>
  <c r="K17" i="62"/>
  <c r="K10" i="62"/>
  <c r="K20" i="57"/>
  <c r="H38" i="40"/>
  <c r="J38" i="40"/>
  <c r="Q22" i="39"/>
  <c r="O22" i="39"/>
  <c r="Q7" i="39"/>
  <c r="O7" i="39"/>
  <c r="O9" i="39"/>
  <c r="Q19" i="39"/>
  <c r="O19" i="39"/>
  <c r="O21" i="39"/>
  <c r="Q10" i="39"/>
  <c r="Q16" i="39"/>
  <c r="K11" i="35"/>
  <c r="I11" i="35"/>
  <c r="N11" i="35"/>
  <c r="M11" i="35"/>
  <c r="E380" i="31"/>
  <c r="F380" i="31"/>
  <c r="H380" i="31"/>
  <c r="H47" i="39"/>
  <c r="D35" i="3"/>
  <c r="G17" i="3"/>
  <c r="H206" i="31"/>
  <c r="L206" i="31"/>
  <c r="J206" i="31"/>
  <c r="M201" i="31"/>
  <c r="J199" i="31"/>
  <c r="H199" i="31"/>
  <c r="L199" i="31"/>
  <c r="L197" i="31"/>
  <c r="H197" i="31"/>
  <c r="M197" i="31"/>
  <c r="J185" i="18"/>
  <c r="F185" i="18"/>
  <c r="K185" i="18"/>
  <c r="H185" i="18"/>
  <c r="J181" i="18"/>
  <c r="F181" i="18"/>
  <c r="H181" i="18"/>
  <c r="J167" i="31"/>
  <c r="H167" i="31"/>
  <c r="M167" i="31"/>
  <c r="L167" i="31"/>
  <c r="L165" i="31"/>
  <c r="H165" i="31"/>
  <c r="J163" i="31"/>
  <c r="J176" i="31"/>
  <c r="H163" i="31"/>
  <c r="L163" i="31"/>
  <c r="L176" i="31"/>
  <c r="J27" i="18"/>
  <c r="F27" i="18"/>
  <c r="K27" i="18"/>
  <c r="L51" i="31"/>
  <c r="J51" i="31"/>
  <c r="M51" i="31"/>
  <c r="L49" i="31"/>
  <c r="H49" i="31"/>
  <c r="M49" i="31"/>
  <c r="H45" i="31"/>
  <c r="J45" i="31"/>
  <c r="L45" i="31"/>
  <c r="H90" i="18"/>
  <c r="K90" i="18"/>
  <c r="D119" i="18"/>
  <c r="H119" i="18"/>
  <c r="K119" i="18"/>
  <c r="H79" i="18"/>
  <c r="F79" i="18"/>
  <c r="F90" i="31"/>
  <c r="E116" i="31"/>
  <c r="F116" i="31"/>
  <c r="J144" i="18"/>
  <c r="F144" i="18"/>
  <c r="L134" i="31"/>
  <c r="L147" i="31"/>
  <c r="H134" i="31"/>
  <c r="Q343" i="60"/>
  <c r="P343" i="60"/>
  <c r="Q330" i="60"/>
  <c r="P330" i="60"/>
  <c r="H356" i="31"/>
  <c r="M356" i="31"/>
  <c r="L356" i="31"/>
  <c r="H352" i="31"/>
  <c r="L352" i="31"/>
  <c r="Q386" i="60"/>
  <c r="P386" i="60"/>
  <c r="R236" i="57"/>
  <c r="R268" i="59"/>
  <c r="Q268" i="59"/>
  <c r="P268" i="59"/>
  <c r="P312" i="59"/>
  <c r="Q446" i="59"/>
  <c r="P446" i="59"/>
  <c r="R446" i="59"/>
  <c r="R151" i="57"/>
  <c r="P151" i="57"/>
  <c r="R168" i="57"/>
  <c r="P168" i="57"/>
  <c r="P405" i="59"/>
  <c r="R397" i="59"/>
  <c r="Q397" i="59"/>
  <c r="Q613" i="57"/>
  <c r="P613" i="57"/>
  <c r="R613" i="57"/>
  <c r="R246" i="57"/>
  <c r="Q487" i="57"/>
  <c r="R487" i="57"/>
  <c r="Q52" i="57"/>
  <c r="Q290" i="57"/>
  <c r="Q283" i="57"/>
  <c r="O61" i="60"/>
  <c r="O77" i="60"/>
  <c r="P126" i="60"/>
  <c r="Q126" i="60"/>
  <c r="O169" i="60"/>
  <c r="P161" i="60"/>
  <c r="Q161" i="60"/>
  <c r="P157" i="60"/>
  <c r="Q157" i="60"/>
  <c r="P215" i="60"/>
  <c r="Q215" i="60"/>
  <c r="P211" i="60"/>
  <c r="Q211" i="60"/>
  <c r="O207" i="60"/>
  <c r="O199" i="60"/>
  <c r="P190" i="60"/>
  <c r="Q190" i="60"/>
  <c r="P257" i="60"/>
  <c r="Q257" i="60"/>
  <c r="P241" i="60"/>
  <c r="Q241" i="60"/>
  <c r="P236" i="60"/>
  <c r="Q236" i="60"/>
  <c r="R170" i="60"/>
  <c r="P171" i="60"/>
  <c r="O171" i="60"/>
  <c r="O170" i="60"/>
  <c r="Q171" i="60"/>
  <c r="Q667" i="57"/>
  <c r="P667" i="57"/>
  <c r="Q668" i="57"/>
  <c r="P668" i="57"/>
  <c r="Q669" i="57"/>
  <c r="P669" i="57"/>
  <c r="Q780" i="57"/>
  <c r="P780" i="57"/>
  <c r="P779" i="57"/>
  <c r="Q609" i="57"/>
  <c r="P609" i="57"/>
  <c r="Q621" i="57"/>
  <c r="P621" i="57"/>
  <c r="Q706" i="57"/>
  <c r="P706" i="57"/>
  <c r="P705" i="57"/>
  <c r="Q765" i="57"/>
  <c r="P765" i="57"/>
  <c r="Q608" i="57"/>
  <c r="P608" i="57"/>
  <c r="Q760" i="57"/>
  <c r="P760" i="57"/>
  <c r="Q684" i="57"/>
  <c r="P684" i="57"/>
  <c r="Q705" i="57"/>
  <c r="Q600" i="57"/>
  <c r="P600" i="57"/>
  <c r="Q751" i="57"/>
  <c r="P751" i="57"/>
  <c r="Q743" i="57"/>
  <c r="P743" i="57"/>
  <c r="Q761" i="57"/>
  <c r="P761" i="57"/>
  <c r="Q770" i="57"/>
  <c r="P770" i="57"/>
  <c r="Q777" i="57"/>
  <c r="P777" i="57"/>
  <c r="Q680" i="57"/>
  <c r="P680" i="57"/>
  <c r="Q693" i="57"/>
  <c r="P693" i="57"/>
  <c r="Q700" i="57"/>
  <c r="P700" i="57"/>
  <c r="Q602" i="57"/>
  <c r="P602" i="57"/>
  <c r="Q612" i="57"/>
  <c r="P612" i="57"/>
  <c r="Q622" i="57"/>
  <c r="P622" i="57"/>
  <c r="Q591" i="57"/>
  <c r="P591" i="57"/>
  <c r="Q764" i="57"/>
  <c r="P764" i="57"/>
  <c r="Q779" i="57"/>
  <c r="Q746" i="57"/>
  <c r="P746" i="57"/>
  <c r="Q754" i="57"/>
  <c r="P754" i="57"/>
  <c r="Q695" i="57"/>
  <c r="P695" i="57"/>
  <c r="Q686" i="57"/>
  <c r="P686" i="57"/>
  <c r="Q753" i="57"/>
  <c r="P753" i="57"/>
  <c r="Q766" i="57"/>
  <c r="P766" i="57"/>
  <c r="Q775" i="57"/>
  <c r="P775" i="57"/>
  <c r="Q755" i="57"/>
  <c r="P755" i="57"/>
  <c r="Q687" i="57"/>
  <c r="P687" i="57"/>
  <c r="Q698" i="57"/>
  <c r="P698" i="57"/>
  <c r="Q592" i="57"/>
  <c r="P592" i="57"/>
  <c r="Q605" i="57"/>
  <c r="P605" i="57"/>
  <c r="Q618" i="57"/>
  <c r="P618" i="57"/>
  <c r="Q625" i="57"/>
  <c r="P625" i="57"/>
  <c r="Q611" i="57"/>
  <c r="P611" i="57"/>
  <c r="Q631" i="57"/>
  <c r="P631" i="57"/>
  <c r="P630" i="57"/>
  <c r="Q772" i="57"/>
  <c r="P772" i="57"/>
  <c r="Q630" i="57"/>
  <c r="Q682" i="57"/>
  <c r="P682" i="57"/>
  <c r="Q595" i="57"/>
  <c r="P595" i="57"/>
  <c r="R249" i="57"/>
  <c r="K581" i="57"/>
  <c r="K569" i="57"/>
  <c r="K583" i="57"/>
  <c r="K571" i="57"/>
  <c r="K588" i="57"/>
  <c r="K576" i="57"/>
  <c r="K580" i="57"/>
  <c r="K568" i="57"/>
  <c r="K582" i="57"/>
  <c r="K570" i="57"/>
  <c r="K584" i="57"/>
  <c r="K572" i="57"/>
  <c r="K586" i="57"/>
  <c r="K574" i="57"/>
  <c r="K585" i="57"/>
  <c r="K573" i="57"/>
  <c r="K587" i="57"/>
  <c r="K575" i="57"/>
  <c r="K655" i="57"/>
  <c r="K644" i="57"/>
  <c r="K656" i="57"/>
  <c r="K645" i="57"/>
  <c r="K657" i="57"/>
  <c r="K646" i="57"/>
  <c r="K658" i="57"/>
  <c r="K647" i="57"/>
  <c r="K661" i="57"/>
  <c r="K650" i="57"/>
  <c r="K663" i="57"/>
  <c r="K652" i="57"/>
  <c r="K660" i="57"/>
  <c r="K649" i="57"/>
  <c r="K664" i="57"/>
  <c r="K653" i="57"/>
  <c r="K662" i="57"/>
  <c r="K651" i="57"/>
  <c r="K659" i="57"/>
  <c r="K648" i="57"/>
  <c r="K589" i="57"/>
  <c r="K577" i="57"/>
  <c r="P132" i="57"/>
  <c r="P146" i="57"/>
  <c r="P229" i="59"/>
  <c r="K12" i="62"/>
  <c r="P37" i="59"/>
  <c r="O373" i="60"/>
  <c r="O319" i="60"/>
  <c r="O340" i="60"/>
  <c r="O320" i="60"/>
  <c r="O384" i="60"/>
  <c r="O364" i="60"/>
  <c r="P598" i="57"/>
  <c r="P230" i="59"/>
  <c r="P615" i="57"/>
  <c r="P702" i="57"/>
  <c r="P773" i="57"/>
  <c r="P745" i="57"/>
  <c r="O203" i="60"/>
  <c r="P178" i="57"/>
  <c r="P596" i="57"/>
  <c r="P767" i="57"/>
  <c r="Q83" i="59"/>
  <c r="P83" i="59"/>
  <c r="Q31" i="59"/>
  <c r="P31" i="59"/>
  <c r="Q23" i="59"/>
  <c r="Q87" i="59"/>
  <c r="P87" i="59"/>
  <c r="Q51" i="59"/>
  <c r="P51" i="59"/>
  <c r="Q58" i="59"/>
  <c r="P58" i="59"/>
  <c r="Q68" i="59"/>
  <c r="P68" i="59"/>
  <c r="Q75" i="59"/>
  <c r="P75" i="59"/>
  <c r="Q79" i="59"/>
  <c r="P79" i="59"/>
  <c r="Q29" i="59"/>
  <c r="P29" i="59"/>
  <c r="Q38" i="59"/>
  <c r="P38" i="59"/>
  <c r="Q45" i="59"/>
  <c r="P45" i="59"/>
  <c r="Q43" i="59"/>
  <c r="P43" i="59"/>
  <c r="Q81" i="59"/>
  <c r="Q49" i="59"/>
  <c r="P49" i="59"/>
  <c r="Q48" i="59"/>
  <c r="Q47" i="59"/>
  <c r="Q33" i="59"/>
  <c r="P33" i="59"/>
  <c r="Q82" i="59"/>
  <c r="P82" i="59"/>
  <c r="Q62" i="59"/>
  <c r="Q66" i="59"/>
  <c r="P66" i="59"/>
  <c r="Q77" i="59"/>
  <c r="P77" i="59"/>
  <c r="Q42" i="59"/>
  <c r="P42" i="59"/>
  <c r="Q39" i="59"/>
  <c r="P39" i="59"/>
  <c r="Q56" i="59"/>
  <c r="Q41" i="59"/>
  <c r="P41" i="59"/>
  <c r="Q32" i="59"/>
  <c r="Q85" i="59"/>
  <c r="P85" i="59"/>
  <c r="Q63" i="59"/>
  <c r="P63" i="59"/>
  <c r="Q76" i="59"/>
  <c r="Q78" i="59"/>
  <c r="P78" i="59"/>
  <c r="Q50" i="59"/>
  <c r="P50" i="59"/>
  <c r="Q25" i="59"/>
  <c r="P25" i="59"/>
  <c r="Q40" i="59"/>
  <c r="Q44" i="59"/>
  <c r="P44" i="59"/>
  <c r="Q65" i="59"/>
  <c r="P65" i="59"/>
  <c r="Q60" i="59"/>
  <c r="P60" i="59"/>
  <c r="Q34" i="59"/>
  <c r="P34" i="59"/>
  <c r="Q84" i="59"/>
  <c r="P84" i="59"/>
  <c r="P345" i="59"/>
  <c r="P342" i="59"/>
  <c r="P338" i="59"/>
  <c r="O43" i="40"/>
  <c r="O37" i="40"/>
  <c r="O40" i="40"/>
  <c r="G10" i="40"/>
  <c r="O10" i="40"/>
  <c r="O12" i="40"/>
  <c r="O46" i="39"/>
  <c r="O43" i="39"/>
  <c r="O40" i="39"/>
  <c r="L34" i="40"/>
  <c r="M34" i="40"/>
  <c r="N34" i="40"/>
  <c r="E35" i="40"/>
  <c r="G78" i="35"/>
  <c r="E95" i="35"/>
  <c r="K323" i="18"/>
  <c r="J330" i="31"/>
  <c r="H330" i="31"/>
  <c r="M330" i="31"/>
  <c r="G22" i="40"/>
  <c r="O22" i="40"/>
  <c r="K177" i="62"/>
  <c r="K178" i="62"/>
  <c r="Q23" i="37"/>
  <c r="K183" i="57"/>
  <c r="K184" i="57"/>
  <c r="L40" i="40"/>
  <c r="M40" i="40"/>
  <c r="N40" i="40"/>
  <c r="L46" i="39"/>
  <c r="M46" i="39"/>
  <c r="N46" i="39"/>
  <c r="L40" i="39"/>
  <c r="M40" i="39"/>
  <c r="N40" i="39"/>
  <c r="L34" i="39"/>
  <c r="M34" i="39"/>
  <c r="N34" i="39"/>
  <c r="E35" i="39"/>
  <c r="F25" i="36"/>
  <c r="F29" i="36"/>
  <c r="H22" i="37"/>
  <c r="H23" i="37"/>
  <c r="F22" i="37"/>
  <c r="I226" i="35"/>
  <c r="F387" i="18"/>
  <c r="J327" i="31"/>
  <c r="H327" i="31"/>
  <c r="P17" i="36"/>
  <c r="P14" i="36"/>
  <c r="P15" i="36"/>
  <c r="P12" i="36"/>
  <c r="P18" i="36"/>
  <c r="D44" i="3"/>
  <c r="D45" i="3"/>
  <c r="D49" i="3"/>
  <c r="G41" i="3"/>
  <c r="F25" i="3"/>
  <c r="F19" i="3"/>
  <c r="F13" i="3"/>
  <c r="D52" i="3"/>
  <c r="G37" i="3"/>
  <c r="D39" i="3"/>
  <c r="D26" i="3"/>
  <c r="D23" i="3"/>
  <c r="D20" i="3"/>
  <c r="D11" i="3"/>
  <c r="G11" i="3"/>
  <c r="D34" i="3"/>
  <c r="D43" i="3"/>
  <c r="G51" i="3"/>
  <c r="J51" i="3"/>
  <c r="K51" i="3"/>
  <c r="D40" i="3"/>
  <c r="F22" i="3"/>
  <c r="F14" i="3"/>
  <c r="D50" i="3"/>
  <c r="D19" i="3"/>
  <c r="D15" i="3"/>
  <c r="D9" i="3"/>
  <c r="G13" i="3"/>
  <c r="G22" i="3"/>
  <c r="G50" i="3"/>
  <c r="G44" i="3"/>
  <c r="G45" i="3"/>
  <c r="G35" i="3"/>
  <c r="G43" i="3"/>
  <c r="F26" i="3"/>
  <c r="F18" i="3"/>
  <c r="F10" i="3"/>
  <c r="J10" i="3"/>
  <c r="K10" i="3"/>
  <c r="G38" i="3"/>
  <c r="G21" i="3"/>
  <c r="D17" i="3"/>
  <c r="D13" i="3"/>
  <c r="G9" i="3"/>
  <c r="G18" i="3"/>
  <c r="G24" i="3"/>
  <c r="J24" i="3"/>
  <c r="K24" i="3"/>
  <c r="D47" i="3"/>
  <c r="D8" i="3"/>
  <c r="D48" i="3"/>
  <c r="F21" i="3"/>
  <c r="D25" i="3"/>
  <c r="D18" i="3"/>
  <c r="G23" i="3"/>
  <c r="D54" i="3"/>
  <c r="D38" i="3"/>
  <c r="F28" i="3"/>
  <c r="F12" i="3"/>
  <c r="D41" i="3"/>
  <c r="D21" i="3"/>
  <c r="D14" i="3"/>
  <c r="G15" i="3"/>
  <c r="D37" i="3"/>
  <c r="G47" i="3"/>
  <c r="F15" i="3"/>
  <c r="D36" i="3"/>
  <c r="D28" i="3"/>
  <c r="D22" i="3"/>
  <c r="H246" i="31"/>
  <c r="J246" i="31"/>
  <c r="H186" i="18"/>
  <c r="F186" i="18"/>
  <c r="K186" i="18"/>
  <c r="J183" i="18"/>
  <c r="H183" i="18"/>
  <c r="K183" i="18"/>
  <c r="L168" i="31"/>
  <c r="H168" i="31"/>
  <c r="M168" i="31"/>
  <c r="H48" i="18"/>
  <c r="J48" i="18"/>
  <c r="L52" i="31"/>
  <c r="J52" i="31"/>
  <c r="M52" i="31"/>
  <c r="H47" i="31"/>
  <c r="J47" i="31"/>
  <c r="H84" i="18"/>
  <c r="K84" i="18"/>
  <c r="D113" i="18"/>
  <c r="F92" i="31"/>
  <c r="E118" i="31"/>
  <c r="F118" i="31"/>
  <c r="L142" i="31"/>
  <c r="H142" i="31"/>
  <c r="M142" i="31"/>
  <c r="K305" i="18"/>
  <c r="F294" i="18"/>
  <c r="H294" i="18"/>
  <c r="H310" i="18"/>
  <c r="O325" i="60"/>
  <c r="H360" i="31"/>
  <c r="L360" i="31"/>
  <c r="M358" i="31"/>
  <c r="L354" i="31"/>
  <c r="H354" i="31"/>
  <c r="P380" i="60"/>
  <c r="O380" i="60"/>
  <c r="Q380" i="60"/>
  <c r="Q368" i="60"/>
  <c r="P368" i="60"/>
  <c r="P224" i="59"/>
  <c r="P274" i="59"/>
  <c r="Q317" i="59"/>
  <c r="P317" i="59"/>
  <c r="R317" i="59"/>
  <c r="Q308" i="59"/>
  <c r="P308" i="59"/>
  <c r="R308" i="59"/>
  <c r="Q441" i="59"/>
  <c r="P441" i="59"/>
  <c r="R441" i="59"/>
  <c r="Q66" i="57"/>
  <c r="R174" i="57"/>
  <c r="P174" i="57"/>
  <c r="Q401" i="59"/>
  <c r="R401" i="59"/>
  <c r="P620" i="57"/>
  <c r="R367" i="57"/>
  <c r="Q367" i="57"/>
  <c r="Q64" i="57"/>
  <c r="R305" i="57"/>
  <c r="Q297" i="57"/>
  <c r="Q64" i="60"/>
  <c r="P64" i="60"/>
  <c r="P86" i="60"/>
  <c r="O86" i="60"/>
  <c r="O85" i="60"/>
  <c r="Q86" i="60"/>
  <c r="P82" i="60"/>
  <c r="O82" i="60"/>
  <c r="Q82" i="60"/>
  <c r="P79" i="60"/>
  <c r="O79" i="60"/>
  <c r="Q79" i="60"/>
  <c r="R128" i="60"/>
  <c r="P129" i="60"/>
  <c r="O129" i="60"/>
  <c r="O128" i="60"/>
  <c r="O167" i="60"/>
  <c r="P159" i="60"/>
  <c r="Q159" i="60"/>
  <c r="O151" i="60"/>
  <c r="P205" i="60"/>
  <c r="O205" i="60"/>
  <c r="Q205" i="60"/>
  <c r="Q201" i="60"/>
  <c r="P201" i="60"/>
  <c r="P192" i="60"/>
  <c r="O192" i="60"/>
  <c r="Q192" i="60"/>
  <c r="P255" i="60"/>
  <c r="O255" i="60"/>
  <c r="Q255" i="60"/>
  <c r="P251" i="60"/>
  <c r="O251" i="60"/>
  <c r="Q251" i="60"/>
  <c r="P247" i="60"/>
  <c r="O247" i="60"/>
  <c r="Q247" i="60"/>
  <c r="O239" i="60"/>
  <c r="O375" i="60"/>
  <c r="O331" i="60"/>
  <c r="O376" i="60"/>
  <c r="O117" i="60"/>
  <c r="P397" i="57"/>
  <c r="P392" i="57"/>
  <c r="P388" i="57"/>
  <c r="P399" i="57"/>
  <c r="Q144" i="57"/>
  <c r="P144" i="57"/>
  <c r="Q167" i="57"/>
  <c r="Q166" i="57"/>
  <c r="P166" i="57"/>
  <c r="Q173" i="57"/>
  <c r="P173" i="57"/>
  <c r="Q155" i="57"/>
  <c r="P155" i="57"/>
  <c r="Q180" i="57"/>
  <c r="P180" i="57"/>
  <c r="Q182" i="57"/>
  <c r="P182" i="57"/>
  <c r="Q191" i="57"/>
  <c r="P191" i="57"/>
  <c r="Q162" i="57"/>
  <c r="P162" i="57"/>
  <c r="Q169" i="57"/>
  <c r="Q185" i="57"/>
  <c r="Q170" i="57"/>
  <c r="P170" i="57"/>
  <c r="Q142" i="57"/>
  <c r="P142" i="57"/>
  <c r="Q134" i="57"/>
  <c r="P134" i="57"/>
  <c r="Q135" i="57"/>
  <c r="P135" i="57"/>
  <c r="R23" i="59"/>
  <c r="R32" i="59"/>
  <c r="R50" i="59"/>
  <c r="R56" i="59"/>
  <c r="Q76" i="60"/>
  <c r="O76" i="60"/>
  <c r="Q216" i="60"/>
  <c r="O216" i="60"/>
  <c r="O215" i="60"/>
  <c r="Q114" i="60"/>
  <c r="O114" i="60"/>
  <c r="Q200" i="60"/>
  <c r="O200" i="60"/>
  <c r="Q193" i="60"/>
  <c r="O193" i="60"/>
  <c r="M141" i="31"/>
  <c r="I38" i="40"/>
  <c r="G37" i="39"/>
  <c r="G38" i="39"/>
  <c r="G46" i="39"/>
  <c r="G47" i="39"/>
  <c r="G43" i="39"/>
  <c r="G44" i="39"/>
  <c r="K336" i="18"/>
  <c r="H333" i="31"/>
  <c r="M333" i="31"/>
  <c r="J333" i="31"/>
  <c r="L43" i="39"/>
  <c r="F22" i="36"/>
  <c r="F30" i="36"/>
  <c r="F331" i="18"/>
  <c r="H331" i="18"/>
  <c r="H340" i="18"/>
  <c r="F331" i="31"/>
  <c r="E384" i="31"/>
  <c r="F384" i="31"/>
  <c r="H384" i="31"/>
  <c r="G118" i="35"/>
  <c r="K118" i="35"/>
  <c r="N118" i="35"/>
  <c r="H13" i="31"/>
  <c r="J13" i="31"/>
  <c r="J24" i="31"/>
  <c r="L13" i="31"/>
  <c r="M10" i="31"/>
  <c r="K175" i="18"/>
  <c r="K243" i="18"/>
  <c r="K251" i="18"/>
  <c r="K252" i="18"/>
  <c r="M211" i="31"/>
  <c r="H209" i="31"/>
  <c r="M209" i="31"/>
  <c r="L209" i="31"/>
  <c r="F10" i="18"/>
  <c r="K10" i="18"/>
  <c r="J10" i="18"/>
  <c r="F147" i="18"/>
  <c r="K147" i="18"/>
  <c r="J147" i="18"/>
  <c r="F141" i="18"/>
  <c r="J141" i="18"/>
  <c r="J152" i="18"/>
  <c r="E268" i="31"/>
  <c r="F268" i="31"/>
  <c r="L268" i="31"/>
  <c r="M268" i="31"/>
  <c r="F239" i="31"/>
  <c r="J239" i="31"/>
  <c r="M239" i="31"/>
  <c r="K278" i="18"/>
  <c r="K276" i="18"/>
  <c r="P47" i="62"/>
  <c r="P12" i="62"/>
  <c r="Q701" i="57"/>
  <c r="P701" i="57"/>
  <c r="Q697" i="57"/>
  <c r="P697" i="57"/>
  <c r="Q690" i="57"/>
  <c r="P690" i="57"/>
  <c r="Q677" i="57"/>
  <c r="P677" i="57"/>
  <c r="R147" i="57"/>
  <c r="P147" i="57"/>
  <c r="Q131" i="57"/>
  <c r="P131" i="57"/>
  <c r="Q36" i="59"/>
  <c r="P36" i="59"/>
  <c r="Q59" i="59"/>
  <c r="P59" i="59"/>
  <c r="O35" i="60"/>
  <c r="O29" i="60"/>
  <c r="O22" i="60"/>
  <c r="O12" i="60"/>
  <c r="O8" i="60"/>
  <c r="Q42" i="60"/>
  <c r="O42" i="60"/>
  <c r="O41" i="60"/>
  <c r="R294" i="57"/>
  <c r="Q415" i="57"/>
  <c r="R415" i="57"/>
  <c r="S391" i="57"/>
  <c r="Q50" i="57"/>
  <c r="S83" i="57"/>
  <c r="O336" i="60"/>
  <c r="O324" i="60"/>
  <c r="O382" i="60"/>
  <c r="O369" i="60"/>
  <c r="O150" i="60"/>
  <c r="P515" i="57"/>
  <c r="P510" i="57"/>
  <c r="P506" i="57"/>
  <c r="P408" i="57"/>
  <c r="Q488" i="57"/>
  <c r="P488" i="57"/>
  <c r="Q486" i="57"/>
  <c r="P486" i="57"/>
  <c r="Q485" i="57"/>
  <c r="P485" i="57"/>
  <c r="Q481" i="57"/>
  <c r="P481" i="57"/>
  <c r="Q492" i="57"/>
  <c r="P492" i="57"/>
  <c r="Q494" i="57"/>
  <c r="P494" i="57"/>
  <c r="P493" i="57"/>
  <c r="Q475" i="57"/>
  <c r="P475" i="57"/>
  <c r="F110" i="62"/>
  <c r="F101" i="62"/>
  <c r="F114" i="62"/>
  <c r="F105" i="62"/>
  <c r="J47" i="40"/>
  <c r="K41" i="39"/>
  <c r="L46" i="40"/>
  <c r="M46" i="40"/>
  <c r="N46" i="40"/>
  <c r="K338" i="18"/>
  <c r="G49" i="35"/>
  <c r="K49" i="35"/>
  <c r="N49" i="35"/>
  <c r="N25" i="35"/>
  <c r="M7" i="35"/>
  <c r="I7" i="35"/>
  <c r="F47" i="37"/>
  <c r="K46" i="37"/>
  <c r="K47" i="37"/>
  <c r="F323" i="31"/>
  <c r="E376" i="31"/>
  <c r="F376" i="31"/>
  <c r="H376" i="31"/>
  <c r="H389" i="31"/>
  <c r="F72" i="37"/>
  <c r="K71" i="37"/>
  <c r="K72" i="37"/>
  <c r="K17" i="18"/>
  <c r="K8" i="18"/>
  <c r="Q238" i="57"/>
  <c r="K178" i="18"/>
  <c r="K173" i="18"/>
  <c r="H234" i="31"/>
  <c r="J234" i="31"/>
  <c r="K203" i="18"/>
  <c r="F176" i="18"/>
  <c r="K176" i="18"/>
  <c r="H176" i="18"/>
  <c r="J176" i="18"/>
  <c r="F171" i="18"/>
  <c r="F187" i="18"/>
  <c r="J171" i="18"/>
  <c r="J187" i="18"/>
  <c r="H18" i="18"/>
  <c r="J18" i="18"/>
  <c r="J55" i="18"/>
  <c r="H55" i="18"/>
  <c r="F55" i="18"/>
  <c r="H45" i="18"/>
  <c r="J45" i="18"/>
  <c r="J64" i="18"/>
  <c r="F85" i="31"/>
  <c r="E111" i="31"/>
  <c r="F111" i="31"/>
  <c r="K272" i="18"/>
  <c r="O13" i="62"/>
  <c r="O14" i="62"/>
  <c r="Q30" i="57"/>
  <c r="Q627" i="57"/>
  <c r="P627" i="57"/>
  <c r="Q623" i="57"/>
  <c r="P623" i="57"/>
  <c r="Q617" i="57"/>
  <c r="P617" i="57"/>
  <c r="Q607" i="57"/>
  <c r="P607" i="57"/>
  <c r="Q594" i="57"/>
  <c r="P594" i="57"/>
  <c r="Q679" i="57"/>
  <c r="P679" i="57"/>
  <c r="R127" i="57"/>
  <c r="P127" i="57"/>
  <c r="Q778" i="57"/>
  <c r="P778" i="57"/>
  <c r="Q774" i="57"/>
  <c r="P774" i="57"/>
  <c r="Q768" i="57"/>
  <c r="P768" i="57"/>
  <c r="Q758" i="57"/>
  <c r="P758" i="57"/>
  <c r="Q744" i="57"/>
  <c r="P744" i="57"/>
  <c r="R27" i="59"/>
  <c r="R40" i="59"/>
  <c r="R80" i="59"/>
  <c r="R76" i="59"/>
  <c r="R70" i="59"/>
  <c r="P70" i="59"/>
  <c r="R62" i="59"/>
  <c r="R52" i="59"/>
  <c r="P52" i="59"/>
  <c r="Q86" i="59"/>
  <c r="P86" i="59"/>
  <c r="R183" i="57"/>
  <c r="Q431" i="57"/>
  <c r="P431" i="57"/>
  <c r="R431" i="57"/>
  <c r="Q27" i="57"/>
  <c r="Q361" i="59"/>
  <c r="P361" i="59"/>
  <c r="Q264" i="59"/>
  <c r="P264" i="59"/>
  <c r="Q439" i="59"/>
  <c r="P439" i="59"/>
  <c r="Q236" i="59"/>
  <c r="P236" i="59"/>
  <c r="P211" i="59"/>
  <c r="P208" i="59"/>
  <c r="Q228" i="59"/>
  <c r="P228" i="59"/>
  <c r="P212" i="59"/>
  <c r="P209" i="59"/>
  <c r="Q455" i="59"/>
  <c r="P455" i="59"/>
  <c r="P454" i="59"/>
  <c r="Q403" i="57"/>
  <c r="P403" i="57"/>
  <c r="Q424" i="57"/>
  <c r="P424" i="57"/>
  <c r="Q436" i="57"/>
  <c r="P436" i="57"/>
  <c r="P435" i="57"/>
  <c r="Q396" i="57"/>
  <c r="P396" i="57"/>
  <c r="R412" i="57"/>
  <c r="P412" i="57"/>
  <c r="R407" i="57"/>
  <c r="P407" i="57"/>
  <c r="Q392" i="59"/>
  <c r="P392" i="59"/>
  <c r="P385" i="59"/>
  <c r="P381" i="59"/>
  <c r="P16" i="39"/>
  <c r="O17" i="40"/>
  <c r="O18" i="40"/>
  <c r="G31" i="35"/>
  <c r="M31" i="35"/>
  <c r="N31" i="35"/>
  <c r="F132" i="37"/>
  <c r="H132" i="37"/>
  <c r="H133" i="37"/>
  <c r="H95" i="7"/>
  <c r="H175" i="31"/>
  <c r="M175" i="31"/>
  <c r="K219" i="18"/>
  <c r="J208" i="31"/>
  <c r="H208" i="31"/>
  <c r="J182" i="18"/>
  <c r="F182" i="18"/>
  <c r="F54" i="18"/>
  <c r="K54" i="18"/>
  <c r="J54" i="18"/>
  <c r="L56" i="31"/>
  <c r="H56" i="31"/>
  <c r="H86" i="18"/>
  <c r="K86" i="18"/>
  <c r="D115" i="18"/>
  <c r="F93" i="31"/>
  <c r="E119" i="31"/>
  <c r="F119" i="31"/>
  <c r="J148" i="18"/>
  <c r="F148" i="18"/>
  <c r="J143" i="18"/>
  <c r="F143" i="18"/>
  <c r="F277" i="18"/>
  <c r="J277" i="18"/>
  <c r="J281" i="18"/>
  <c r="Q248" i="57"/>
  <c r="Q35" i="57"/>
  <c r="Q113" i="59"/>
  <c r="Q218" i="57"/>
  <c r="Q249" i="57"/>
  <c r="P249" i="57"/>
  <c r="K114" i="18"/>
  <c r="G27" i="35"/>
  <c r="G8" i="35"/>
  <c r="H243" i="31"/>
  <c r="J243" i="31"/>
  <c r="K207" i="18"/>
  <c r="J184" i="18"/>
  <c r="H184" i="18"/>
  <c r="F184" i="18"/>
  <c r="K184" i="18"/>
  <c r="J180" i="18"/>
  <c r="H180" i="18"/>
  <c r="K180" i="18"/>
  <c r="J58" i="18"/>
  <c r="H58" i="18"/>
  <c r="K58" i="18"/>
  <c r="K146" i="18"/>
  <c r="F236" i="31"/>
  <c r="E265" i="31"/>
  <c r="F265" i="31"/>
  <c r="R15" i="57"/>
  <c r="R218" i="57"/>
  <c r="R654" i="57"/>
  <c r="R666" i="57"/>
  <c r="P666" i="57"/>
  <c r="S511" i="57"/>
  <c r="Q45" i="57"/>
  <c r="Q43" i="57"/>
  <c r="Q40" i="57"/>
  <c r="F43" i="18"/>
  <c r="Q54" i="57"/>
  <c r="J177" i="31"/>
  <c r="J178" i="31"/>
  <c r="F188" i="18"/>
  <c r="F189" i="18"/>
  <c r="P123" i="57"/>
  <c r="P118" i="57"/>
  <c r="P121" i="57"/>
  <c r="P122" i="57"/>
  <c r="J154" i="18"/>
  <c r="J153" i="18"/>
  <c r="M308" i="31"/>
  <c r="M309" i="31"/>
  <c r="H390" i="31"/>
  <c r="H391" i="31"/>
  <c r="J26" i="31"/>
  <c r="J25" i="31"/>
  <c r="O99" i="60"/>
  <c r="O95" i="60"/>
  <c r="O100" i="60"/>
  <c r="O96" i="60"/>
  <c r="L25" i="31"/>
  <c r="L26" i="31"/>
  <c r="I281" i="59"/>
  <c r="I325" i="59"/>
  <c r="I237" i="59"/>
  <c r="P655" i="57"/>
  <c r="P644" i="57"/>
  <c r="P658" i="57"/>
  <c r="P647" i="57"/>
  <c r="P659" i="57"/>
  <c r="P648" i="57"/>
  <c r="J189" i="18"/>
  <c r="I81" i="59"/>
  <c r="J188" i="18"/>
  <c r="H342" i="18"/>
  <c r="H341" i="18"/>
  <c r="G54" i="57"/>
  <c r="R54" i="57"/>
  <c r="P54" i="57"/>
  <c r="R73" i="57"/>
  <c r="P73" i="57"/>
  <c r="R25" i="57"/>
  <c r="R86" i="57"/>
  <c r="R75" i="57"/>
  <c r="R87" i="57"/>
  <c r="P87" i="57"/>
  <c r="R60" i="57"/>
  <c r="R72" i="57"/>
  <c r="P72" i="57"/>
  <c r="R80" i="57"/>
  <c r="R29" i="57"/>
  <c r="P29" i="57"/>
  <c r="R41" i="57"/>
  <c r="R58" i="57"/>
  <c r="R56" i="57"/>
  <c r="R89" i="57"/>
  <c r="R71" i="57"/>
  <c r="R79" i="57"/>
  <c r="R85" i="57"/>
  <c r="R53" i="57"/>
  <c r="P53" i="57"/>
  <c r="R78" i="57"/>
  <c r="R63" i="57"/>
  <c r="P63" i="57"/>
  <c r="R31" i="57"/>
  <c r="R39" i="57"/>
  <c r="P39" i="57"/>
  <c r="R37" i="57"/>
  <c r="R59" i="57"/>
  <c r="P59" i="57"/>
  <c r="R35" i="57"/>
  <c r="R34" i="57"/>
  <c r="R88" i="57"/>
  <c r="R70" i="57"/>
  <c r="R27" i="57"/>
  <c r="R40" i="57"/>
  <c r="P40" i="57"/>
  <c r="R46" i="57"/>
  <c r="R28" i="57"/>
  <c r="P28" i="57"/>
  <c r="R67" i="57"/>
  <c r="R57" i="57"/>
  <c r="P57" i="57"/>
  <c r="R61" i="57"/>
  <c r="R55" i="57"/>
  <c r="R32" i="57"/>
  <c r="R44" i="57"/>
  <c r="P44" i="57"/>
  <c r="R42" i="57"/>
  <c r="R50" i="57"/>
  <c r="P50" i="57"/>
  <c r="R62" i="57"/>
  <c r="R33" i="57"/>
  <c r="P33" i="57"/>
  <c r="R90" i="57"/>
  <c r="R51" i="57"/>
  <c r="P51" i="57"/>
  <c r="R45" i="57"/>
  <c r="R36" i="57"/>
  <c r="P36" i="57"/>
  <c r="R48" i="57"/>
  <c r="R68" i="57"/>
  <c r="P68" i="57"/>
  <c r="R65" i="57"/>
  <c r="R38" i="57"/>
  <c r="R82" i="57"/>
  <c r="R26" i="57"/>
  <c r="R77" i="57"/>
  <c r="P77" i="57"/>
  <c r="R76" i="57"/>
  <c r="P76" i="57"/>
  <c r="R43" i="57"/>
  <c r="R74" i="57"/>
  <c r="R30" i="57"/>
  <c r="R49" i="57"/>
  <c r="R84" i="57"/>
  <c r="P248" i="57"/>
  <c r="H93" i="31"/>
  <c r="J93" i="31"/>
  <c r="G40" i="57"/>
  <c r="J236" i="31"/>
  <c r="J249" i="31"/>
  <c r="H236" i="31"/>
  <c r="M8" i="35"/>
  <c r="M14" i="35"/>
  <c r="I8" i="35"/>
  <c r="K8" i="35"/>
  <c r="K14" i="35"/>
  <c r="Q153" i="59"/>
  <c r="P153" i="59"/>
  <c r="Q136" i="59"/>
  <c r="P136" i="59"/>
  <c r="Q164" i="59"/>
  <c r="P164" i="59"/>
  <c r="Q151" i="59"/>
  <c r="P151" i="59"/>
  <c r="Q183" i="59"/>
  <c r="Q141" i="59"/>
  <c r="P141" i="59"/>
  <c r="Q160" i="59"/>
  <c r="P160" i="59"/>
  <c r="Q156" i="59"/>
  <c r="P156" i="59"/>
  <c r="Q176" i="59"/>
  <c r="P176" i="59"/>
  <c r="Q145" i="59"/>
  <c r="P145" i="59"/>
  <c r="Q167" i="59"/>
  <c r="P167" i="59"/>
  <c r="Q149" i="59"/>
  <c r="Q139" i="59"/>
  <c r="P139" i="59"/>
  <c r="Q143" i="59"/>
  <c r="P143" i="59"/>
  <c r="Q138" i="59"/>
  <c r="P138" i="59"/>
  <c r="Q171" i="59"/>
  <c r="P171" i="59"/>
  <c r="Q137" i="59"/>
  <c r="P137" i="59"/>
  <c r="Q184" i="59"/>
  <c r="P184" i="59"/>
  <c r="Q130" i="59"/>
  <c r="P130" i="59"/>
  <c r="Q124" i="59"/>
  <c r="P124" i="59"/>
  <c r="Q152" i="59"/>
  <c r="P152" i="59"/>
  <c r="Q155" i="59"/>
  <c r="P155" i="59"/>
  <c r="Q161" i="59"/>
  <c r="P161" i="59"/>
  <c r="Q165" i="59"/>
  <c r="P165" i="59"/>
  <c r="Q168" i="59"/>
  <c r="P168" i="59"/>
  <c r="Q172" i="59"/>
  <c r="P172" i="59"/>
  <c r="Q174" i="59"/>
  <c r="P174" i="59"/>
  <c r="Q178" i="59"/>
  <c r="P178" i="59"/>
  <c r="Q180" i="59"/>
  <c r="P180" i="59"/>
  <c r="Q182" i="59"/>
  <c r="P182" i="59"/>
  <c r="Q186" i="59"/>
  <c r="P186" i="59"/>
  <c r="Q188" i="59"/>
  <c r="P188" i="59"/>
  <c r="Q190" i="59"/>
  <c r="P190" i="59"/>
  <c r="Q135" i="59"/>
  <c r="P135" i="59"/>
  <c r="Q142" i="59"/>
  <c r="P142" i="59"/>
  <c r="Q126" i="59"/>
  <c r="P126" i="59"/>
  <c r="Q154" i="59"/>
  <c r="P154" i="59"/>
  <c r="Q157" i="59"/>
  <c r="P157" i="59"/>
  <c r="Q163" i="59"/>
  <c r="P163" i="59"/>
  <c r="Q166" i="59"/>
  <c r="P166" i="59"/>
  <c r="Q170" i="59"/>
  <c r="P170" i="59"/>
  <c r="Q173" i="59"/>
  <c r="P173" i="59"/>
  <c r="Q177" i="59"/>
  <c r="P177" i="59"/>
  <c r="Q179" i="59"/>
  <c r="P179" i="59"/>
  <c r="Q181" i="59"/>
  <c r="P181" i="59"/>
  <c r="Q185" i="59"/>
  <c r="P185" i="59"/>
  <c r="Q187" i="59"/>
  <c r="P187" i="59"/>
  <c r="Q189" i="59"/>
  <c r="P189" i="59"/>
  <c r="Q134" i="59"/>
  <c r="P134" i="59"/>
  <c r="Q159" i="59"/>
  <c r="P159" i="59"/>
  <c r="Q125" i="59"/>
  <c r="P125" i="59"/>
  <c r="Q131" i="59"/>
  <c r="P131" i="59"/>
  <c r="Q127" i="59"/>
  <c r="P127" i="59"/>
  <c r="Q146" i="59"/>
  <c r="P146" i="59"/>
  <c r="Q128" i="59"/>
  <c r="P128" i="59"/>
  <c r="Q132" i="59"/>
  <c r="P132" i="59"/>
  <c r="K277" i="18"/>
  <c r="K281" i="18"/>
  <c r="F281" i="18"/>
  <c r="K231" i="60"/>
  <c r="K56" i="60"/>
  <c r="K143" i="60"/>
  <c r="K57" i="60"/>
  <c r="K144" i="60"/>
  <c r="K230" i="60"/>
  <c r="O16" i="39"/>
  <c r="O18" i="39"/>
  <c r="G16" i="39"/>
  <c r="P30" i="57"/>
  <c r="G30" i="57"/>
  <c r="H111" i="31"/>
  <c r="J111" i="31"/>
  <c r="H64" i="18"/>
  <c r="P238" i="57"/>
  <c r="P470" i="57"/>
  <c r="P458" i="57"/>
  <c r="P465" i="57"/>
  <c r="P453" i="57"/>
  <c r="G50" i="57"/>
  <c r="K141" i="18"/>
  <c r="F152" i="18"/>
  <c r="K45" i="18"/>
  <c r="M43" i="39"/>
  <c r="L44" i="39"/>
  <c r="P297" i="57"/>
  <c r="R64" i="57"/>
  <c r="G66" i="57"/>
  <c r="F113" i="18"/>
  <c r="K113" i="18"/>
  <c r="H113" i="18"/>
  <c r="E14" i="3"/>
  <c r="J14" i="3"/>
  <c r="K14" i="3"/>
  <c r="I14" i="3"/>
  <c r="E18" i="3"/>
  <c r="J18" i="3"/>
  <c r="K18" i="3"/>
  <c r="I18" i="3"/>
  <c r="I8" i="3"/>
  <c r="J8" i="3"/>
  <c r="K8" i="3"/>
  <c r="E8" i="3"/>
  <c r="I15" i="3"/>
  <c r="E15" i="3"/>
  <c r="J15" i="3"/>
  <c r="K15" i="3"/>
  <c r="E34" i="3"/>
  <c r="I34" i="3"/>
  <c r="J34" i="3"/>
  <c r="K34" i="3"/>
  <c r="I23" i="3"/>
  <c r="E23" i="3"/>
  <c r="J23" i="3"/>
  <c r="K23" i="3"/>
  <c r="E52" i="3"/>
  <c r="J52" i="3"/>
  <c r="K52" i="3"/>
  <c r="I52" i="3"/>
  <c r="G18" i="36"/>
  <c r="O18" i="36"/>
  <c r="O30" i="36"/>
  <c r="O17" i="36"/>
  <c r="O29" i="36"/>
  <c r="G17" i="36"/>
  <c r="J9" i="36"/>
  <c r="J10" i="36"/>
  <c r="G95" i="35"/>
  <c r="E115" i="35"/>
  <c r="G12" i="40"/>
  <c r="L10" i="40"/>
  <c r="P62" i="59"/>
  <c r="O317" i="60"/>
  <c r="O313" i="60"/>
  <c r="P582" i="57"/>
  <c r="P570" i="57"/>
  <c r="P584" i="57"/>
  <c r="P572" i="57"/>
  <c r="P581" i="57"/>
  <c r="P569" i="57"/>
  <c r="P583" i="57"/>
  <c r="P571" i="57"/>
  <c r="P580" i="57"/>
  <c r="P568" i="57"/>
  <c r="P663" i="57"/>
  <c r="P652" i="57"/>
  <c r="P662" i="57"/>
  <c r="P651" i="57"/>
  <c r="P660" i="57"/>
  <c r="P649" i="57"/>
  <c r="R52" i="57"/>
  <c r="R69" i="57"/>
  <c r="P69" i="57"/>
  <c r="M352" i="31"/>
  <c r="H361" i="31"/>
  <c r="L148" i="31"/>
  <c r="L149" i="31"/>
  <c r="H90" i="31"/>
  <c r="J90" i="31"/>
  <c r="J212" i="31"/>
  <c r="M206" i="31"/>
  <c r="O33" i="39"/>
  <c r="O35" i="39"/>
  <c r="O36" i="39"/>
  <c r="O38" i="39"/>
  <c r="O42" i="39"/>
  <c r="O44" i="39"/>
  <c r="O24" i="39"/>
  <c r="O45" i="39"/>
  <c r="O47" i="39"/>
  <c r="O39" i="39"/>
  <c r="O41" i="39"/>
  <c r="Q144" i="59"/>
  <c r="P144" i="59"/>
  <c r="F118" i="57"/>
  <c r="F109" i="57"/>
  <c r="F122" i="57"/>
  <c r="F113" i="57"/>
  <c r="M19" i="31"/>
  <c r="G80" i="35"/>
  <c r="M80" i="35"/>
  <c r="N80" i="35"/>
  <c r="E97" i="35"/>
  <c r="K108" i="18"/>
  <c r="N61" i="35"/>
  <c r="H176" i="31"/>
  <c r="G59" i="57"/>
  <c r="G31" i="57"/>
  <c r="P31" i="57"/>
  <c r="G65" i="57"/>
  <c r="P65" i="57"/>
  <c r="P89" i="57"/>
  <c r="G89" i="57"/>
  <c r="G46" i="57"/>
  <c r="P46" i="57"/>
  <c r="G67" i="57"/>
  <c r="P67" i="57"/>
  <c r="P70" i="57"/>
  <c r="G70" i="57"/>
  <c r="P74" i="57"/>
  <c r="G74" i="57"/>
  <c r="G76" i="57"/>
  <c r="G41" i="57"/>
  <c r="P41" i="57"/>
  <c r="H332" i="31"/>
  <c r="M332" i="31"/>
  <c r="J332" i="31"/>
  <c r="Q147" i="59"/>
  <c r="P147" i="59"/>
  <c r="G69" i="57"/>
  <c r="P338" i="57"/>
  <c r="P469" i="57"/>
  <c r="P457" i="57"/>
  <c r="H249" i="31"/>
  <c r="M233" i="31"/>
  <c r="K208" i="18"/>
  <c r="H221" i="18"/>
  <c r="E141" i="35"/>
  <c r="G120" i="35"/>
  <c r="P333" i="57"/>
  <c r="M8" i="40"/>
  <c r="L9" i="40"/>
  <c r="P462" i="57"/>
  <c r="P450" i="57"/>
  <c r="L35" i="39"/>
  <c r="M47" i="39"/>
  <c r="G43" i="57"/>
  <c r="P43" i="57"/>
  <c r="R234" i="57"/>
  <c r="R239" i="57"/>
  <c r="R281" i="57"/>
  <c r="R302" i="57"/>
  <c r="R308" i="57"/>
  <c r="R313" i="57"/>
  <c r="R315" i="57"/>
  <c r="R233" i="57"/>
  <c r="R245" i="57"/>
  <c r="R287" i="57"/>
  <c r="R311" i="57"/>
  <c r="R289" i="57"/>
  <c r="R240" i="57"/>
  <c r="R237" i="57"/>
  <c r="R282" i="57"/>
  <c r="R306" i="57"/>
  <c r="R235" i="57"/>
  <c r="R253" i="57"/>
  <c r="R295" i="57"/>
  <c r="R314" i="57"/>
  <c r="R285" i="57"/>
  <c r="R241" i="57"/>
  <c r="R284" i="57"/>
  <c r="R303" i="57"/>
  <c r="R307" i="57"/>
  <c r="R242" i="57"/>
  <c r="R250" i="57"/>
  <c r="R279" i="57"/>
  <c r="R298" i="57"/>
  <c r="R272" i="57"/>
  <c r="R273" i="57"/>
  <c r="R296" i="57"/>
  <c r="R232" i="57"/>
  <c r="R277" i="57"/>
  <c r="R271" i="57"/>
  <c r="R275" i="57"/>
  <c r="R291" i="57"/>
  <c r="R301" i="57"/>
  <c r="R310" i="57"/>
  <c r="R244" i="57"/>
  <c r="R276" i="57"/>
  <c r="R304" i="57"/>
  <c r="R278" i="57"/>
  <c r="R292" i="57"/>
  <c r="R286" i="57"/>
  <c r="R312" i="57"/>
  <c r="R248" i="57"/>
  <c r="R293" i="57"/>
  <c r="R270" i="57"/>
  <c r="R251" i="57"/>
  <c r="R300" i="57"/>
  <c r="R280" i="57"/>
  <c r="R247" i="57"/>
  <c r="R299" i="57"/>
  <c r="R269" i="57"/>
  <c r="R252" i="57"/>
  <c r="R309" i="57"/>
  <c r="R243" i="57"/>
  <c r="M27" i="35"/>
  <c r="K27" i="35"/>
  <c r="G35" i="57"/>
  <c r="P35" i="57"/>
  <c r="K143" i="18"/>
  <c r="J119" i="31"/>
  <c r="H119" i="31"/>
  <c r="M56" i="31"/>
  <c r="K182" i="18"/>
  <c r="K132" i="37"/>
  <c r="K133" i="37"/>
  <c r="F133" i="37"/>
  <c r="R288" i="57"/>
  <c r="J85" i="31"/>
  <c r="H85" i="31"/>
  <c r="K55" i="18"/>
  <c r="K18" i="18"/>
  <c r="K29" i="18"/>
  <c r="H29" i="18"/>
  <c r="H187" i="18"/>
  <c r="M234" i="31"/>
  <c r="R238" i="57"/>
  <c r="K17" i="59"/>
  <c r="K10" i="59"/>
  <c r="K21" i="59"/>
  <c r="K14" i="59"/>
  <c r="K18" i="59"/>
  <c r="K11" i="59"/>
  <c r="K19" i="59"/>
  <c r="K12" i="59"/>
  <c r="K16" i="59"/>
  <c r="K9" i="59"/>
  <c r="K20" i="59"/>
  <c r="K13" i="59"/>
  <c r="R391" i="57"/>
  <c r="Q391" i="57"/>
  <c r="Q294" i="57"/>
  <c r="P294" i="57"/>
  <c r="Q133" i="59"/>
  <c r="P133" i="59"/>
  <c r="K331" i="18"/>
  <c r="F340" i="18"/>
  <c r="O201" i="60"/>
  <c r="O186" i="60"/>
  <c r="O182" i="60"/>
  <c r="O64" i="60"/>
  <c r="O56" i="60"/>
  <c r="O52" i="60"/>
  <c r="R297" i="57"/>
  <c r="P367" i="57"/>
  <c r="P401" i="59"/>
  <c r="Q162" i="59"/>
  <c r="P162" i="59"/>
  <c r="H311" i="18"/>
  <c r="H312" i="18"/>
  <c r="E22" i="3"/>
  <c r="J22" i="3"/>
  <c r="K22" i="3"/>
  <c r="I22" i="3"/>
  <c r="I21" i="3"/>
  <c r="E21" i="3"/>
  <c r="J21" i="3"/>
  <c r="K21" i="3"/>
  <c r="I38" i="3"/>
  <c r="E38" i="3"/>
  <c r="J38" i="3"/>
  <c r="K38" i="3"/>
  <c r="E25" i="3"/>
  <c r="J25" i="3"/>
  <c r="K25" i="3"/>
  <c r="I25" i="3"/>
  <c r="E47" i="3"/>
  <c r="J47" i="3"/>
  <c r="K47" i="3"/>
  <c r="I47" i="3"/>
  <c r="I13" i="3"/>
  <c r="E13" i="3"/>
  <c r="J13" i="3"/>
  <c r="K13" i="3"/>
  <c r="I19" i="3"/>
  <c r="E19" i="3"/>
  <c r="J19" i="3"/>
  <c r="K19" i="3"/>
  <c r="E40" i="3"/>
  <c r="J40" i="3"/>
  <c r="K40" i="3"/>
  <c r="I40" i="3"/>
  <c r="I26" i="3"/>
  <c r="E26" i="3"/>
  <c r="J26" i="3"/>
  <c r="K26" i="3"/>
  <c r="E49" i="3"/>
  <c r="I49" i="3"/>
  <c r="J49" i="3"/>
  <c r="K49" i="3"/>
  <c r="G12" i="36"/>
  <c r="O12" i="36"/>
  <c r="M327" i="31"/>
  <c r="K22" i="37"/>
  <c r="K23" i="37"/>
  <c r="F23" i="37"/>
  <c r="O24" i="40"/>
  <c r="O39" i="40"/>
  <c r="O41" i="40"/>
  <c r="O33" i="40"/>
  <c r="O35" i="40"/>
  <c r="O36" i="40"/>
  <c r="O38" i="40"/>
  <c r="O45" i="40"/>
  <c r="O47" i="40"/>
  <c r="O42" i="40"/>
  <c r="O44" i="40"/>
  <c r="I78" i="35"/>
  <c r="M78" i="35"/>
  <c r="P32" i="59"/>
  <c r="P81" i="59"/>
  <c r="P23" i="59"/>
  <c r="O236" i="60"/>
  <c r="O161" i="60"/>
  <c r="O144" i="60"/>
  <c r="O140" i="60"/>
  <c r="R290" i="57"/>
  <c r="P52" i="57"/>
  <c r="G52" i="57"/>
  <c r="K144" i="18"/>
  <c r="K79" i="18"/>
  <c r="K94" i="18"/>
  <c r="L60" i="31"/>
  <c r="M165" i="31"/>
  <c r="L212" i="31"/>
  <c r="L37" i="39"/>
  <c r="K13" i="57"/>
  <c r="K23" i="57"/>
  <c r="K16" i="57"/>
  <c r="P674" i="57"/>
  <c r="P657" i="57"/>
  <c r="P646" i="57"/>
  <c r="P683" i="57"/>
  <c r="P359" i="57"/>
  <c r="E65" i="35"/>
  <c r="G65" i="35"/>
  <c r="E82" i="35"/>
  <c r="G48" i="35"/>
  <c r="J336" i="31"/>
  <c r="M276" i="31"/>
  <c r="P71" i="57"/>
  <c r="G71" i="57"/>
  <c r="P34" i="57"/>
  <c r="G34" i="57"/>
  <c r="P26" i="57"/>
  <c r="G26" i="57"/>
  <c r="P78" i="57"/>
  <c r="G78" i="57"/>
  <c r="G44" i="57"/>
  <c r="P58" i="57"/>
  <c r="G58" i="57"/>
  <c r="G87" i="57"/>
  <c r="P79" i="57"/>
  <c r="G79" i="57"/>
  <c r="P60" i="57"/>
  <c r="G60" i="57"/>
  <c r="P32" i="57"/>
  <c r="G32" i="57"/>
  <c r="K332" i="18"/>
  <c r="P688" i="57"/>
  <c r="P358" i="57"/>
  <c r="M15" i="31"/>
  <c r="G33" i="57"/>
  <c r="P341" i="57"/>
  <c r="P329" i="57"/>
  <c r="P467" i="57"/>
  <c r="P455" i="57"/>
  <c r="M320" i="31"/>
  <c r="H212" i="31"/>
  <c r="K118" i="18"/>
  <c r="I100" i="35"/>
  <c r="M100" i="35"/>
  <c r="K100" i="35"/>
  <c r="P126" i="57"/>
  <c r="P119" i="57"/>
  <c r="G29" i="57"/>
  <c r="P461" i="57"/>
  <c r="P449" i="57"/>
  <c r="P429" i="59"/>
  <c r="P425" i="59"/>
  <c r="M240" i="31"/>
  <c r="H41" i="60"/>
  <c r="H215" i="60"/>
  <c r="H128" i="60"/>
  <c r="N47" i="39"/>
  <c r="L41" i="39"/>
  <c r="K112" i="59"/>
  <c r="K111" i="59"/>
  <c r="K110" i="59"/>
  <c r="K109" i="59"/>
  <c r="N41" i="39"/>
  <c r="G45" i="57"/>
  <c r="P45" i="57"/>
  <c r="G27" i="57"/>
  <c r="P27" i="57"/>
  <c r="J65" i="18"/>
  <c r="J66" i="18"/>
  <c r="N7" i="35"/>
  <c r="I14" i="35"/>
  <c r="P128" i="60"/>
  <c r="Q128" i="60"/>
  <c r="Q175" i="59"/>
  <c r="P175" i="59"/>
  <c r="K294" i="18"/>
  <c r="K310" i="18"/>
  <c r="F310" i="18"/>
  <c r="H118" i="31"/>
  <c r="J118" i="31"/>
  <c r="I28" i="3"/>
  <c r="J28" i="3"/>
  <c r="K28" i="3"/>
  <c r="E28" i="3"/>
  <c r="I37" i="3"/>
  <c r="J37" i="3"/>
  <c r="K37" i="3"/>
  <c r="E37" i="3"/>
  <c r="E41" i="3"/>
  <c r="J41" i="3"/>
  <c r="K41" i="3"/>
  <c r="I41" i="3"/>
  <c r="E54" i="3"/>
  <c r="I54" i="3"/>
  <c r="J54" i="3"/>
  <c r="K54" i="3"/>
  <c r="E17" i="3"/>
  <c r="J17" i="3"/>
  <c r="K17" i="3"/>
  <c r="I17" i="3"/>
  <c r="J50" i="3"/>
  <c r="K50" i="3"/>
  <c r="E50" i="3"/>
  <c r="I50" i="3"/>
  <c r="E11" i="3"/>
  <c r="J11" i="3"/>
  <c r="K11" i="3"/>
  <c r="I11" i="3"/>
  <c r="E39" i="3"/>
  <c r="J39" i="3"/>
  <c r="K39" i="3"/>
  <c r="I39" i="3"/>
  <c r="E45" i="3"/>
  <c r="J45" i="3"/>
  <c r="K45" i="3"/>
  <c r="I45" i="3"/>
  <c r="G15" i="36"/>
  <c r="O15" i="36"/>
  <c r="K149" i="57"/>
  <c r="K150" i="57"/>
  <c r="K143" i="62"/>
  <c r="K144" i="62"/>
  <c r="O23" i="37"/>
  <c r="G33" i="40"/>
  <c r="G42" i="40"/>
  <c r="L22" i="40"/>
  <c r="G45" i="40"/>
  <c r="G36" i="40"/>
  <c r="G39" i="40"/>
  <c r="G24" i="40"/>
  <c r="P40" i="59"/>
  <c r="P76" i="59"/>
  <c r="P47" i="59"/>
  <c r="O359" i="60"/>
  <c r="O355" i="60"/>
  <c r="O360" i="60"/>
  <c r="O356" i="60"/>
  <c r="O316" i="60"/>
  <c r="O312" i="60"/>
  <c r="P738" i="57"/>
  <c r="P726" i="57"/>
  <c r="P739" i="57"/>
  <c r="P727" i="57"/>
  <c r="P735" i="57"/>
  <c r="P723" i="57"/>
  <c r="P736" i="57"/>
  <c r="P724" i="57"/>
  <c r="P737" i="57"/>
  <c r="P725" i="57"/>
  <c r="P290" i="57"/>
  <c r="Q158" i="59"/>
  <c r="P158" i="59"/>
  <c r="H94" i="18"/>
  <c r="J60" i="31"/>
  <c r="L177" i="31"/>
  <c r="L178" i="31"/>
  <c r="E35" i="3"/>
  <c r="I35" i="3"/>
  <c r="J35" i="3"/>
  <c r="K35" i="3"/>
  <c r="M29" i="35"/>
  <c r="K29" i="35"/>
  <c r="I29" i="35"/>
  <c r="J308" i="31"/>
  <c r="J309" i="31"/>
  <c r="P80" i="57"/>
  <c r="G80" i="57"/>
  <c r="G28" i="57"/>
  <c r="P56" i="57"/>
  <c r="G56" i="57"/>
  <c r="G55" i="57"/>
  <c r="P55" i="57"/>
  <c r="G42" i="57"/>
  <c r="P42" i="57"/>
  <c r="P75" i="57"/>
  <c r="G75" i="57"/>
  <c r="G73" i="57"/>
  <c r="G68" i="57"/>
  <c r="P88" i="57"/>
  <c r="G88" i="57"/>
  <c r="P184" i="57"/>
  <c r="P183" i="57"/>
  <c r="P14" i="62"/>
  <c r="H253" i="18"/>
  <c r="H252" i="18"/>
  <c r="F96" i="18"/>
  <c r="F95" i="18"/>
  <c r="M7" i="39"/>
  <c r="L9" i="39"/>
  <c r="P466" i="57"/>
  <c r="P454" i="57"/>
  <c r="P424" i="59"/>
  <c r="P38" i="57"/>
  <c r="G38" i="57"/>
  <c r="P464" i="57"/>
  <c r="P452" i="57"/>
  <c r="L47" i="39"/>
  <c r="N35" i="39"/>
  <c r="M19" i="39"/>
  <c r="L21" i="39"/>
  <c r="M35" i="39"/>
  <c r="K43" i="18"/>
  <c r="F64" i="18"/>
  <c r="Q511" i="57"/>
  <c r="R511" i="57"/>
  <c r="H265" i="31"/>
  <c r="L265" i="31"/>
  <c r="L278" i="31"/>
  <c r="M243" i="31"/>
  <c r="Q243" i="57"/>
  <c r="Q242" i="57"/>
  <c r="P242" i="57"/>
  <c r="Q233" i="57"/>
  <c r="Q244" i="57"/>
  <c r="P244" i="57"/>
  <c r="Q291" i="57"/>
  <c r="P291" i="57"/>
  <c r="Q280" i="57"/>
  <c r="Q301" i="57"/>
  <c r="Q307" i="57"/>
  <c r="P307" i="57"/>
  <c r="Q312" i="57"/>
  <c r="Q232" i="57"/>
  <c r="P232" i="57"/>
  <c r="Q304" i="57"/>
  <c r="Q293" i="57"/>
  <c r="P293" i="57"/>
  <c r="Q285" i="57"/>
  <c r="P285" i="57"/>
  <c r="Q272" i="57"/>
  <c r="P272" i="57"/>
  <c r="Q250" i="57"/>
  <c r="P250" i="57"/>
  <c r="Q239" i="57"/>
  <c r="P239" i="57"/>
  <c r="Q273" i="57"/>
  <c r="P273" i="57"/>
  <c r="Q296" i="57"/>
  <c r="Q308" i="57"/>
  <c r="P308" i="57"/>
  <c r="Q310" i="57"/>
  <c r="P310" i="57"/>
  <c r="Q315" i="57"/>
  <c r="P315" i="57"/>
  <c r="P314" i="57"/>
  <c r="Q276" i="57"/>
  <c r="P276" i="57"/>
  <c r="Q292" i="57"/>
  <c r="Q314" i="57"/>
  <c r="Q298" i="57"/>
  <c r="P298" i="57"/>
  <c r="Q240" i="57"/>
  <c r="P240" i="57"/>
  <c r="Q275" i="57"/>
  <c r="Q235" i="57"/>
  <c r="P235" i="57"/>
  <c r="Q299" i="57"/>
  <c r="Q309" i="57"/>
  <c r="P309" i="57"/>
  <c r="Q295" i="57"/>
  <c r="P295" i="57"/>
  <c r="Q277" i="57"/>
  <c r="P277" i="57"/>
  <c r="Q278" i="57"/>
  <c r="P278" i="57"/>
  <c r="Q237" i="57"/>
  <c r="P237" i="57"/>
  <c r="Q284" i="57"/>
  <c r="P284" i="57"/>
  <c r="Q303" i="57"/>
  <c r="P303" i="57"/>
  <c r="Q313" i="57"/>
  <c r="Q287" i="57"/>
  <c r="P287" i="57"/>
  <c r="Q246" i="57"/>
  <c r="P246" i="57"/>
  <c r="Q270" i="57"/>
  <c r="Q288" i="57"/>
  <c r="Q281" i="57"/>
  <c r="P281" i="57"/>
  <c r="Q247" i="57"/>
  <c r="P247" i="57"/>
  <c r="Q274" i="57"/>
  <c r="P274" i="57"/>
  <c r="Q289" i="57"/>
  <c r="Q269" i="57"/>
  <c r="Q253" i="57"/>
  <c r="Q252" i="57"/>
  <c r="Q245" i="57"/>
  <c r="P245" i="57"/>
  <c r="Q286" i="57"/>
  <c r="P286" i="57"/>
  <c r="Q241" i="57"/>
  <c r="Q282" i="57"/>
  <c r="P282" i="57"/>
  <c r="Q302" i="57"/>
  <c r="Q306" i="57"/>
  <c r="P306" i="57"/>
  <c r="Q305" i="57"/>
  <c r="P305" i="57"/>
  <c r="Q236" i="57"/>
  <c r="P236" i="57"/>
  <c r="Q279" i="57"/>
  <c r="Q234" i="57"/>
  <c r="P234" i="57"/>
  <c r="Q311" i="57"/>
  <c r="P311" i="57"/>
  <c r="Q271" i="57"/>
  <c r="J282" i="18"/>
  <c r="J283" i="18"/>
  <c r="K148" i="18"/>
  <c r="H115" i="18"/>
  <c r="H123" i="18"/>
  <c r="F115" i="18"/>
  <c r="M208" i="31"/>
  <c r="F128" i="62"/>
  <c r="F134" i="57"/>
  <c r="Q129" i="59"/>
  <c r="P129" i="59"/>
  <c r="K171" i="18"/>
  <c r="J323" i="31"/>
  <c r="H323" i="31"/>
  <c r="M323" i="31"/>
  <c r="Q83" i="57"/>
  <c r="R83" i="57"/>
  <c r="P415" i="57"/>
  <c r="P391" i="57"/>
  <c r="P387" i="57"/>
  <c r="J29" i="18"/>
  <c r="H24" i="31"/>
  <c r="M13" i="31"/>
  <c r="H331" i="31"/>
  <c r="M331" i="31"/>
  <c r="J331" i="31"/>
  <c r="P169" i="57"/>
  <c r="P149" i="57"/>
  <c r="P167" i="57"/>
  <c r="Q251" i="57"/>
  <c r="P251" i="57"/>
  <c r="O159" i="60"/>
  <c r="R274" i="57"/>
  <c r="P64" i="57"/>
  <c r="G64" i="57"/>
  <c r="R66" i="57"/>
  <c r="P66" i="57"/>
  <c r="O368" i="60"/>
  <c r="M354" i="31"/>
  <c r="M360" i="31"/>
  <c r="H92" i="31"/>
  <c r="J92" i="31"/>
  <c r="M47" i="31"/>
  <c r="K48" i="18"/>
  <c r="M246" i="31"/>
  <c r="E36" i="3"/>
  <c r="I36" i="3"/>
  <c r="J36" i="3"/>
  <c r="K36" i="3"/>
  <c r="I48" i="3"/>
  <c r="E48" i="3"/>
  <c r="J48" i="3"/>
  <c r="K48" i="3"/>
  <c r="I9" i="3"/>
  <c r="J9" i="3"/>
  <c r="K9" i="3"/>
  <c r="E9" i="3"/>
  <c r="I43" i="3"/>
  <c r="J43" i="3"/>
  <c r="K43" i="3"/>
  <c r="E43" i="3"/>
  <c r="I20" i="3"/>
  <c r="E20" i="3"/>
  <c r="J20" i="3"/>
  <c r="K20" i="3"/>
  <c r="I44" i="3"/>
  <c r="J44" i="3"/>
  <c r="K44" i="3"/>
  <c r="E44" i="3"/>
  <c r="G14" i="36"/>
  <c r="O14" i="36"/>
  <c r="F388" i="18"/>
  <c r="F389" i="18"/>
  <c r="K340" i="18"/>
  <c r="P56" i="59"/>
  <c r="P48" i="59"/>
  <c r="P589" i="57"/>
  <c r="P577" i="57"/>
  <c r="P587" i="57"/>
  <c r="P575" i="57"/>
  <c r="P586" i="57"/>
  <c r="P574" i="57"/>
  <c r="P588" i="57"/>
  <c r="P576" i="57"/>
  <c r="P585" i="57"/>
  <c r="P573" i="57"/>
  <c r="P170" i="60"/>
  <c r="Q170" i="60"/>
  <c r="O241" i="60"/>
  <c r="O190" i="60"/>
  <c r="O211" i="60"/>
  <c r="O157" i="60"/>
  <c r="R283" i="57"/>
  <c r="P283" i="57"/>
  <c r="Q300" i="57"/>
  <c r="P300" i="57"/>
  <c r="P487" i="57"/>
  <c r="P397" i="59"/>
  <c r="Q169" i="59"/>
  <c r="P169" i="59"/>
  <c r="L361" i="31"/>
  <c r="O330" i="60"/>
  <c r="M134" i="31"/>
  <c r="H147" i="31"/>
  <c r="J116" i="31"/>
  <c r="H116" i="31"/>
  <c r="M116" i="31"/>
  <c r="M45" i="31"/>
  <c r="H60" i="31"/>
  <c r="M163" i="31"/>
  <c r="K181" i="18"/>
  <c r="K187" i="18"/>
  <c r="M199" i="31"/>
  <c r="P730" i="57"/>
  <c r="P718" i="57"/>
  <c r="P733" i="57"/>
  <c r="P721" i="57"/>
  <c r="P734" i="57"/>
  <c r="P722" i="57"/>
  <c r="P731" i="57"/>
  <c r="P719" i="57"/>
  <c r="P732" i="57"/>
  <c r="P720" i="57"/>
  <c r="F116" i="62"/>
  <c r="F107" i="62"/>
  <c r="F112" i="62"/>
  <c r="F103" i="62"/>
  <c r="P676" i="57"/>
  <c r="P664" i="57"/>
  <c r="P653" i="57"/>
  <c r="P673" i="57"/>
  <c r="P661" i="57"/>
  <c r="P650" i="57"/>
  <c r="N46" i="35"/>
  <c r="M115" i="31"/>
  <c r="L14" i="40"/>
  <c r="G15" i="40"/>
  <c r="G57" i="57"/>
  <c r="F29" i="18"/>
  <c r="G51" i="57"/>
  <c r="P85" i="57"/>
  <c r="G85" i="57"/>
  <c r="P86" i="57"/>
  <c r="G86" i="57"/>
  <c r="P61" i="57"/>
  <c r="G61" i="57"/>
  <c r="G90" i="57"/>
  <c r="P90" i="57"/>
  <c r="G39" i="57"/>
  <c r="G63" i="57"/>
  <c r="P62" i="57"/>
  <c r="G62" i="57"/>
  <c r="G84" i="57"/>
  <c r="P84" i="57"/>
  <c r="G37" i="57"/>
  <c r="P37" i="57"/>
  <c r="P150" i="57"/>
  <c r="Q140" i="59"/>
  <c r="P140" i="59"/>
  <c r="P13" i="62"/>
  <c r="G25" i="57"/>
  <c r="P25" i="57"/>
  <c r="P360" i="57"/>
  <c r="M13" i="39"/>
  <c r="L15" i="39"/>
  <c r="P468" i="57"/>
  <c r="P456" i="57"/>
  <c r="J325" i="31"/>
  <c r="H325" i="31"/>
  <c r="M325" i="31"/>
  <c r="O63" i="60"/>
  <c r="O13" i="60"/>
  <c r="O9" i="60"/>
  <c r="P463" i="57"/>
  <c r="P451" i="57"/>
  <c r="I388" i="60"/>
  <c r="I302" i="60"/>
  <c r="I345" i="60"/>
  <c r="K111" i="18"/>
  <c r="M24" i="31"/>
  <c r="L180" i="31"/>
  <c r="H81" i="59"/>
  <c r="L182" i="31"/>
  <c r="L181" i="31"/>
  <c r="H125" i="18"/>
  <c r="H124" i="18"/>
  <c r="F72" i="7"/>
  <c r="H72" i="7"/>
  <c r="F591" i="7"/>
  <c r="H591" i="7"/>
  <c r="E83" i="59"/>
  <c r="E81" i="59"/>
  <c r="L81" i="59"/>
  <c r="F150" i="7"/>
  <c r="H150" i="7"/>
  <c r="F778" i="7"/>
  <c r="H778" i="7"/>
  <c r="E349" i="59"/>
  <c r="F148" i="7"/>
  <c r="H148" i="7"/>
  <c r="F672" i="7"/>
  <c r="H672" i="7"/>
  <c r="E189" i="59"/>
  <c r="F70" i="7"/>
  <c r="H70" i="7"/>
  <c r="F668" i="7"/>
  <c r="H668" i="7"/>
  <c r="E185" i="59"/>
  <c r="E183" i="59"/>
  <c r="L183" i="59"/>
  <c r="F812" i="7"/>
  <c r="H812" i="7"/>
  <c r="E393" i="59"/>
  <c r="F671" i="7"/>
  <c r="H671" i="7"/>
  <c r="E188" i="59"/>
  <c r="F669" i="7"/>
  <c r="H669" i="7"/>
  <c r="E186" i="59"/>
  <c r="F596" i="7"/>
  <c r="H596" i="7"/>
  <c r="E88" i="59"/>
  <c r="F146" i="7"/>
  <c r="H146" i="7"/>
  <c r="F69" i="7"/>
  <c r="H69" i="7"/>
  <c r="F73" i="7"/>
  <c r="H73" i="7"/>
  <c r="F595" i="7"/>
  <c r="H595" i="7"/>
  <c r="E87" i="59"/>
  <c r="F844" i="7"/>
  <c r="H844" i="7"/>
  <c r="E435" i="59"/>
  <c r="F240" i="7"/>
  <c r="H240" i="7"/>
  <c r="E358" i="57"/>
  <c r="F149" i="7"/>
  <c r="H149" i="7"/>
  <c r="F592" i="7"/>
  <c r="H592" i="7"/>
  <c r="E84" i="59"/>
  <c r="F164" i="7"/>
  <c r="H164" i="7"/>
  <c r="E237" i="57"/>
  <c r="F673" i="7"/>
  <c r="H673" i="7"/>
  <c r="E190" i="59"/>
  <c r="F594" i="7"/>
  <c r="H594" i="7"/>
  <c r="E86" i="59"/>
  <c r="F74" i="7"/>
  <c r="H74" i="7"/>
  <c r="F145" i="7"/>
  <c r="H145" i="7"/>
  <c r="F316" i="7"/>
  <c r="H316" i="7"/>
  <c r="E478" i="57"/>
  <c r="P110" i="57"/>
  <c r="I100" i="60"/>
  <c r="I12" i="60"/>
  <c r="I187" i="60"/>
  <c r="I186" i="60"/>
  <c r="I99" i="60"/>
  <c r="I13" i="60"/>
  <c r="F420" i="7"/>
  <c r="H420" i="7"/>
  <c r="E624" i="57"/>
  <c r="F468" i="7"/>
  <c r="H468" i="7"/>
  <c r="E700" i="57"/>
  <c r="F418" i="7"/>
  <c r="H418" i="7"/>
  <c r="E622" i="57"/>
  <c r="F466" i="7"/>
  <c r="H466" i="7"/>
  <c r="E698" i="57"/>
  <c r="F421" i="7"/>
  <c r="H421" i="7"/>
  <c r="E625" i="57"/>
  <c r="F465" i="7"/>
  <c r="H465" i="7"/>
  <c r="E697" i="57"/>
  <c r="F419" i="7"/>
  <c r="H419" i="7"/>
  <c r="E623" i="57"/>
  <c r="F467" i="7"/>
  <c r="H467" i="7"/>
  <c r="E699" i="57"/>
  <c r="F1032" i="7"/>
  <c r="H1032" i="7"/>
  <c r="E342" i="60"/>
  <c r="F826" i="7"/>
  <c r="H826" i="7"/>
  <c r="E407" i="59"/>
  <c r="F138" i="7"/>
  <c r="H138" i="7"/>
  <c r="F730" i="7"/>
  <c r="H730" i="7"/>
  <c r="E276" i="59"/>
  <c r="F294" i="7"/>
  <c r="H294" i="7"/>
  <c r="E427" i="57"/>
  <c r="F583" i="7"/>
  <c r="H583" i="7"/>
  <c r="E75" i="59"/>
  <c r="F512" i="7"/>
  <c r="H512" i="7"/>
  <c r="E773" i="57"/>
  <c r="F1031" i="7"/>
  <c r="H1031" i="7"/>
  <c r="E341" i="60"/>
  <c r="F927" i="7"/>
  <c r="H927" i="7"/>
  <c r="F219" i="7"/>
  <c r="H219" i="7"/>
  <c r="E307" i="57"/>
  <c r="F996" i="7"/>
  <c r="H996" i="7"/>
  <c r="E297" i="60"/>
  <c r="F857" i="7"/>
  <c r="H857" i="7"/>
  <c r="E448" i="59"/>
  <c r="F760" i="7"/>
  <c r="H760" i="7"/>
  <c r="E319" i="59"/>
  <c r="F1029" i="7"/>
  <c r="H1029" i="7"/>
  <c r="E339" i="60"/>
  <c r="F1030" i="7"/>
  <c r="H1030" i="7"/>
  <c r="E340" i="60"/>
  <c r="F930" i="7"/>
  <c r="H930" i="7"/>
  <c r="F860" i="7"/>
  <c r="H860" i="7"/>
  <c r="E451" i="59"/>
  <c r="F220" i="7"/>
  <c r="H220" i="7"/>
  <c r="E308" i="57"/>
  <c r="F586" i="7"/>
  <c r="H586" i="7"/>
  <c r="E78" i="59"/>
  <c r="F515" i="7"/>
  <c r="H515" i="7"/>
  <c r="E776" i="57"/>
  <c r="F1063" i="7"/>
  <c r="H1063" i="7"/>
  <c r="E383" i="60"/>
  <c r="F1062" i="7"/>
  <c r="H1062" i="7"/>
  <c r="E382" i="60"/>
  <c r="F928" i="7"/>
  <c r="H928" i="7"/>
  <c r="F858" i="7"/>
  <c r="H858" i="7"/>
  <c r="E449" i="59"/>
  <c r="F218" i="7"/>
  <c r="H218" i="7"/>
  <c r="E306" i="57"/>
  <c r="F584" i="7"/>
  <c r="H584" i="7"/>
  <c r="E76" i="59"/>
  <c r="F513" i="7"/>
  <c r="H513" i="7"/>
  <c r="E774" i="57"/>
  <c r="F964" i="7"/>
  <c r="H964" i="7"/>
  <c r="F895" i="7"/>
  <c r="H895" i="7"/>
  <c r="F372" i="7"/>
  <c r="H372" i="7"/>
  <c r="E548" i="57"/>
  <c r="F732" i="7"/>
  <c r="H732" i="7"/>
  <c r="E278" i="59"/>
  <c r="F792" i="7"/>
  <c r="H792" i="7"/>
  <c r="E363" i="59"/>
  <c r="F63" i="7"/>
  <c r="H63" i="7"/>
  <c r="F998" i="7"/>
  <c r="H998" i="7"/>
  <c r="E299" i="60"/>
  <c r="F763" i="7"/>
  <c r="H763" i="7"/>
  <c r="E322" i="59"/>
  <c r="F699" i="7"/>
  <c r="H699" i="7"/>
  <c r="E233" i="59"/>
  <c r="F661" i="7"/>
  <c r="H661" i="7"/>
  <c r="E178" i="59"/>
  <c r="F371" i="7"/>
  <c r="H371" i="7"/>
  <c r="E547" i="57"/>
  <c r="F791" i="7"/>
  <c r="H791" i="7"/>
  <c r="E362" i="59"/>
  <c r="F1064" i="7"/>
  <c r="H1064" i="7"/>
  <c r="E384" i="60"/>
  <c r="F296" i="7"/>
  <c r="H296" i="7"/>
  <c r="E429" i="57"/>
  <c r="F140" i="7"/>
  <c r="H140" i="7"/>
  <c r="F585" i="7"/>
  <c r="H585" i="7"/>
  <c r="E77" i="59"/>
  <c r="F962" i="7"/>
  <c r="H962" i="7"/>
  <c r="F64" i="7"/>
  <c r="H64" i="7"/>
  <c r="F963" i="7"/>
  <c r="H963" i="7"/>
  <c r="F139" i="7"/>
  <c r="H139" i="7"/>
  <c r="F731" i="7"/>
  <c r="H731" i="7"/>
  <c r="E277" i="59"/>
  <c r="F660" i="7"/>
  <c r="H660" i="7"/>
  <c r="E177" i="59"/>
  <c r="F894" i="7"/>
  <c r="H894" i="7"/>
  <c r="F825" i="7"/>
  <c r="H825" i="7"/>
  <c r="E406" i="59"/>
  <c r="F295" i="7"/>
  <c r="H295" i="7"/>
  <c r="E428" i="57"/>
  <c r="F1065" i="7"/>
  <c r="H1065" i="7"/>
  <c r="E385" i="60"/>
  <c r="F997" i="7"/>
  <c r="H997" i="7"/>
  <c r="E298" i="60"/>
  <c r="F929" i="7"/>
  <c r="H929" i="7"/>
  <c r="F221" i="7"/>
  <c r="H221" i="7"/>
  <c r="E309" i="57"/>
  <c r="F794" i="7"/>
  <c r="H794" i="7"/>
  <c r="E365" i="59"/>
  <c r="F762" i="7"/>
  <c r="H762" i="7"/>
  <c r="E321" i="59"/>
  <c r="F370" i="7"/>
  <c r="H370" i="7"/>
  <c r="E546" i="57"/>
  <c r="F827" i="7"/>
  <c r="H827" i="7"/>
  <c r="E408" i="59"/>
  <c r="F61" i="7"/>
  <c r="H61" i="7"/>
  <c r="F697" i="7"/>
  <c r="H697" i="7"/>
  <c r="E231" i="59"/>
  <c r="F859" i="7"/>
  <c r="H859" i="7"/>
  <c r="E450" i="59"/>
  <c r="F514" i="7"/>
  <c r="H514" i="7"/>
  <c r="E775" i="57"/>
  <c r="F662" i="7"/>
  <c r="H662" i="7"/>
  <c r="E179" i="59"/>
  <c r="F896" i="7"/>
  <c r="H896" i="7"/>
  <c r="F297" i="7"/>
  <c r="H297" i="7"/>
  <c r="E430" i="57"/>
  <c r="F995" i="7"/>
  <c r="H995" i="7"/>
  <c r="E296" i="60"/>
  <c r="F761" i="7"/>
  <c r="H761" i="7"/>
  <c r="E320" i="59"/>
  <c r="F893" i="7"/>
  <c r="H893" i="7"/>
  <c r="F698" i="7"/>
  <c r="H698" i="7"/>
  <c r="E232" i="59"/>
  <c r="F62" i="7"/>
  <c r="H62" i="7"/>
  <c r="F961" i="7"/>
  <c r="H961" i="7"/>
  <c r="F137" i="7"/>
  <c r="H137" i="7"/>
  <c r="F729" i="7"/>
  <c r="H729" i="7"/>
  <c r="E275" i="59"/>
  <c r="F700" i="7"/>
  <c r="H700" i="7"/>
  <c r="E234" i="59"/>
  <c r="F793" i="7"/>
  <c r="H793" i="7"/>
  <c r="E364" i="59"/>
  <c r="F663" i="7"/>
  <c r="H663" i="7"/>
  <c r="E180" i="59"/>
  <c r="F828" i="7"/>
  <c r="H828" i="7"/>
  <c r="E409" i="59"/>
  <c r="F373" i="7"/>
  <c r="H373" i="7"/>
  <c r="E549" i="57"/>
  <c r="J250" i="31"/>
  <c r="J251" i="31"/>
  <c r="P48" i="57"/>
  <c r="H9" i="36"/>
  <c r="H10" i="36"/>
  <c r="I16" i="59"/>
  <c r="I20" i="59"/>
  <c r="I17" i="59"/>
  <c r="I18" i="59"/>
  <c r="I19" i="59"/>
  <c r="I21" i="59"/>
  <c r="K30" i="18"/>
  <c r="K31" i="18"/>
  <c r="K283" i="18"/>
  <c r="K282" i="18"/>
  <c r="L29" i="31"/>
  <c r="Q29" i="31"/>
  <c r="L28" i="31"/>
  <c r="L30" i="31"/>
  <c r="Q30" i="31"/>
  <c r="K188" i="18"/>
  <c r="K189" i="18"/>
  <c r="H186" i="60"/>
  <c r="H182" i="60"/>
  <c r="H100" i="60"/>
  <c r="H96" i="60"/>
  <c r="H99" i="60"/>
  <c r="H95" i="60"/>
  <c r="H13" i="60"/>
  <c r="H9" i="60"/>
  <c r="H12" i="60"/>
  <c r="H8" i="60"/>
  <c r="H187" i="60"/>
  <c r="H183" i="60"/>
  <c r="F403" i="7"/>
  <c r="H403" i="7"/>
  <c r="E607" i="57"/>
  <c r="F413" i="7"/>
  <c r="H413" i="7"/>
  <c r="E617" i="57"/>
  <c r="F434" i="7"/>
  <c r="H434" i="7"/>
  <c r="E666" i="57"/>
  <c r="F435" i="7"/>
  <c r="H435" i="7"/>
  <c r="E667" i="57"/>
  <c r="F387" i="7"/>
  <c r="H387" i="7"/>
  <c r="E591" i="57"/>
  <c r="F422" i="7"/>
  <c r="H422" i="7"/>
  <c r="E626" i="57"/>
  <c r="F447" i="7"/>
  <c r="H447" i="7"/>
  <c r="E679" i="57"/>
  <c r="F460" i="7"/>
  <c r="H460" i="7"/>
  <c r="E692" i="57"/>
  <c r="F470" i="7"/>
  <c r="H470" i="7"/>
  <c r="E702" i="57"/>
  <c r="F474" i="7"/>
  <c r="H474" i="7"/>
  <c r="E706" i="57"/>
  <c r="E705" i="57"/>
  <c r="L705" i="57"/>
  <c r="F414" i="7"/>
  <c r="H414" i="7"/>
  <c r="E618" i="57"/>
  <c r="F448" i="7"/>
  <c r="H448" i="7"/>
  <c r="E680" i="57"/>
  <c r="F411" i="7"/>
  <c r="H411" i="7"/>
  <c r="E615" i="57"/>
  <c r="F401" i="7"/>
  <c r="H401" i="7"/>
  <c r="E605" i="57"/>
  <c r="F461" i="7"/>
  <c r="H461" i="7"/>
  <c r="E693" i="57"/>
  <c r="F389" i="7"/>
  <c r="H389" i="7"/>
  <c r="E593" i="57"/>
  <c r="F400" i="7"/>
  <c r="H400" i="7"/>
  <c r="E604" i="57"/>
  <c r="F427" i="7"/>
  <c r="H427" i="7"/>
  <c r="E631" i="57"/>
  <c r="E630" i="57"/>
  <c r="L630" i="57"/>
  <c r="F423" i="7"/>
  <c r="H423" i="7"/>
  <c r="E627" i="57"/>
  <c r="F469" i="7"/>
  <c r="H469" i="7"/>
  <c r="E701" i="57"/>
  <c r="F436" i="7"/>
  <c r="H436" i="7"/>
  <c r="E668" i="57"/>
  <c r="F388" i="7"/>
  <c r="H388" i="7"/>
  <c r="E592" i="57"/>
  <c r="F458" i="7"/>
  <c r="H458" i="7"/>
  <c r="E690" i="57"/>
  <c r="F57" i="7"/>
  <c r="H57" i="7"/>
  <c r="F14" i="7"/>
  <c r="H14" i="7"/>
  <c r="F90" i="7"/>
  <c r="H90" i="7"/>
  <c r="F656" i="7"/>
  <c r="H656" i="7"/>
  <c r="E173" i="59"/>
  <c r="F968" i="7"/>
  <c r="H968" i="7"/>
  <c r="F1054" i="7"/>
  <c r="H1054" i="7"/>
  <c r="E374" i="60"/>
  <c r="F848" i="7"/>
  <c r="H848" i="7"/>
  <c r="E439" i="59"/>
  <c r="F187" i="7"/>
  <c r="H187" i="7"/>
  <c r="E275" i="57"/>
  <c r="F781" i="7"/>
  <c r="H781" i="7"/>
  <c r="E352" i="59"/>
  <c r="F702" i="7"/>
  <c r="H702" i="7"/>
  <c r="E236" i="59"/>
  <c r="F943" i="7"/>
  <c r="H943" i="7"/>
  <c r="F957" i="7"/>
  <c r="H957" i="7"/>
  <c r="F922" i="7"/>
  <c r="H922" i="7"/>
  <c r="F886" i="7"/>
  <c r="H886" i="7"/>
  <c r="F340" i="7"/>
  <c r="H340" i="7"/>
  <c r="E516" i="57"/>
  <c r="F267" i="7"/>
  <c r="H267" i="7"/>
  <c r="E400" i="57"/>
  <c r="F733" i="7"/>
  <c r="H733" i="7"/>
  <c r="E279" i="59"/>
  <c r="F257" i="7"/>
  <c r="H257" i="7"/>
  <c r="E371" i="57"/>
  <c r="F508" i="7"/>
  <c r="H508" i="7"/>
  <c r="E769" i="57"/>
  <c r="F109" i="7"/>
  <c r="H109" i="7"/>
  <c r="F653" i="7"/>
  <c r="H653" i="7"/>
  <c r="E170" i="59"/>
  <c r="F934" i="7"/>
  <c r="H934" i="7"/>
  <c r="F1069" i="7"/>
  <c r="H1069" i="7"/>
  <c r="E389" i="60"/>
  <c r="E388" i="60"/>
  <c r="L388" i="60"/>
  <c r="F1049" i="7"/>
  <c r="H1049" i="7"/>
  <c r="E369" i="60"/>
  <c r="F820" i="7"/>
  <c r="H820" i="7"/>
  <c r="E401" i="59"/>
  <c r="F289" i="7"/>
  <c r="H289" i="7"/>
  <c r="E422" i="57"/>
  <c r="F114" i="7"/>
  <c r="H114" i="7"/>
  <c r="F132" i="7"/>
  <c r="H132" i="7"/>
  <c r="F764" i="7"/>
  <c r="H764" i="7"/>
  <c r="E323" i="59"/>
  <c r="F631" i="7"/>
  <c r="H631" i="7"/>
  <c r="E146" i="59"/>
  <c r="F948" i="7"/>
  <c r="H948" i="7"/>
  <c r="F941" i="7"/>
  <c r="H941" i="7"/>
  <c r="F900" i="7"/>
  <c r="H900" i="7"/>
  <c r="F888" i="7"/>
  <c r="H888" i="7"/>
  <c r="F819" i="7"/>
  <c r="H819" i="7"/>
  <c r="E400" i="59"/>
  <c r="F363" i="7"/>
  <c r="H363" i="7"/>
  <c r="E539" i="57"/>
  <c r="F800" i="7"/>
  <c r="H800" i="7"/>
  <c r="E371" i="59"/>
  <c r="E370" i="59"/>
  <c r="L370" i="59"/>
  <c r="F564" i="7"/>
  <c r="H564" i="7"/>
  <c r="E56" i="59"/>
  <c r="F723" i="7"/>
  <c r="H723" i="7"/>
  <c r="E269" i="59"/>
  <c r="F235" i="7"/>
  <c r="H235" i="7"/>
  <c r="E354" i="57"/>
  <c r="F517" i="7"/>
  <c r="H517" i="7"/>
  <c r="E778" i="57"/>
  <c r="F8" i="7"/>
  <c r="H8" i="7"/>
  <c r="F1034" i="7"/>
  <c r="H1034" i="7"/>
  <c r="E344" i="60"/>
  <c r="E343" i="60"/>
  <c r="L343" i="60"/>
  <c r="F647" i="7"/>
  <c r="H647" i="7"/>
  <c r="E164" i="59"/>
  <c r="F983" i="7"/>
  <c r="H983" i="7"/>
  <c r="E284" i="60"/>
  <c r="F337" i="7"/>
  <c r="H337" i="7"/>
  <c r="E513" i="57"/>
  <c r="F263" i="7"/>
  <c r="F207" i="7"/>
  <c r="H207" i="7"/>
  <c r="E295" i="57"/>
  <c r="F576" i="7"/>
  <c r="H576" i="7"/>
  <c r="E68" i="59"/>
  <c r="F680" i="7"/>
  <c r="H680" i="7"/>
  <c r="E214" i="59"/>
  <c r="F182" i="7"/>
  <c r="H182" i="7"/>
  <c r="E251" i="57"/>
  <c r="F988" i="7"/>
  <c r="H988" i="7"/>
  <c r="E289" i="60"/>
  <c r="F301" i="7"/>
  <c r="H301" i="7"/>
  <c r="E434" i="57"/>
  <c r="F213" i="7"/>
  <c r="H213" i="7"/>
  <c r="E301" i="57"/>
  <c r="F126" i="7"/>
  <c r="H126" i="7"/>
  <c r="F775" i="7"/>
  <c r="H775" i="7"/>
  <c r="E346" i="59"/>
  <c r="F701" i="7"/>
  <c r="H701" i="7"/>
  <c r="E235" i="59"/>
  <c r="F506" i="7"/>
  <c r="H506" i="7"/>
  <c r="E767" i="57"/>
  <c r="F339" i="7"/>
  <c r="H339" i="7"/>
  <c r="E515" i="57"/>
  <c r="F798" i="7"/>
  <c r="H798" i="7"/>
  <c r="E369" i="59"/>
  <c r="E368" i="59"/>
  <c r="L368" i="59"/>
  <c r="F724" i="7"/>
  <c r="H724" i="7"/>
  <c r="E270" i="59"/>
  <c r="F191" i="7"/>
  <c r="H191" i="7"/>
  <c r="E279" i="57"/>
  <c r="F575" i="7"/>
  <c r="H575" i="7"/>
  <c r="E67" i="59"/>
  <c r="F945" i="7"/>
  <c r="H945" i="7"/>
  <c r="F682" i="7"/>
  <c r="H682" i="7"/>
  <c r="E216" i="59"/>
  <c r="F211" i="7"/>
  <c r="H211" i="7"/>
  <c r="E299" i="57"/>
  <c r="F314" i="7"/>
  <c r="H314" i="7"/>
  <c r="E477" i="57"/>
  <c r="F349" i="7"/>
  <c r="H349" i="7"/>
  <c r="E525" i="57"/>
  <c r="F734" i="7"/>
  <c r="H734" i="7"/>
  <c r="E280" i="59"/>
  <c r="F119" i="7"/>
  <c r="H119" i="7"/>
  <c r="F82" i="7"/>
  <c r="H82" i="7"/>
  <c r="F851" i="7"/>
  <c r="H851" i="7"/>
  <c r="E442" i="59"/>
  <c r="F185" i="7"/>
  <c r="H185" i="7"/>
  <c r="E273" i="57"/>
  <c r="F1079" i="7"/>
  <c r="H1079" i="7"/>
  <c r="E18" i="36"/>
  <c r="F579" i="7"/>
  <c r="H579" i="7"/>
  <c r="E71" i="59"/>
  <c r="F44" i="7"/>
  <c r="H44" i="7"/>
  <c r="F16" i="7"/>
  <c r="H16" i="7"/>
  <c r="F142" i="7"/>
  <c r="H142" i="7"/>
  <c r="F736" i="7"/>
  <c r="H736" i="7"/>
  <c r="E282" i="59"/>
  <c r="E281" i="59"/>
  <c r="L281" i="59"/>
  <c r="F640" i="7"/>
  <c r="H640" i="7"/>
  <c r="E157" i="59"/>
  <c r="F1021" i="7"/>
  <c r="H1021" i="7"/>
  <c r="E331" i="60"/>
  <c r="F636" i="7"/>
  <c r="H636" i="7"/>
  <c r="E153" i="59"/>
  <c r="F1002" i="7"/>
  <c r="H1002" i="7"/>
  <c r="E303" i="60"/>
  <c r="E302" i="60"/>
  <c r="L302" i="60"/>
  <c r="F1000" i="7"/>
  <c r="H1000" i="7"/>
  <c r="E301" i="60"/>
  <c r="E300" i="60"/>
  <c r="L300" i="60"/>
  <c r="F272" i="7"/>
  <c r="H272" i="7"/>
  <c r="E405" i="57"/>
  <c r="F224" i="7"/>
  <c r="H224" i="7"/>
  <c r="E312" i="57"/>
  <c r="F743" i="7"/>
  <c r="H743" i="7"/>
  <c r="E302" i="59"/>
  <c r="F534" i="7"/>
  <c r="H534" i="7"/>
  <c r="E27" i="59"/>
  <c r="F953" i="7"/>
  <c r="H953" i="7"/>
  <c r="F909" i="7"/>
  <c r="H909" i="7"/>
  <c r="F874" i="7"/>
  <c r="H874" i="7"/>
  <c r="F864" i="7"/>
  <c r="H864" i="7"/>
  <c r="E455" i="59"/>
  <c r="E454" i="59"/>
  <c r="L454" i="59"/>
  <c r="F852" i="7"/>
  <c r="H852" i="7"/>
  <c r="E443" i="59"/>
  <c r="F359" i="7"/>
  <c r="H359" i="7"/>
  <c r="E535" i="57"/>
  <c r="F559" i="7"/>
  <c r="H559" i="7"/>
  <c r="E51" i="59"/>
  <c r="F404" i="7"/>
  <c r="H404" i="7"/>
  <c r="E608" i="57"/>
  <c r="F481" i="7"/>
  <c r="H481" i="7"/>
  <c r="E742" i="57"/>
  <c r="F88" i="7"/>
  <c r="H88" i="7"/>
  <c r="F635" i="7"/>
  <c r="H635" i="7"/>
  <c r="E152" i="59"/>
  <c r="F1067" i="7"/>
  <c r="H1067" i="7"/>
  <c r="E387" i="60"/>
  <c r="E386" i="60"/>
  <c r="L386" i="60"/>
  <c r="F1016" i="7"/>
  <c r="H1016" i="7"/>
  <c r="E326" i="60"/>
  <c r="F110" i="7"/>
  <c r="H110" i="7"/>
  <c r="F641" i="7"/>
  <c r="H641" i="7"/>
  <c r="E158" i="59"/>
  <c r="F987" i="7"/>
  <c r="H987" i="7"/>
  <c r="E288" i="60"/>
  <c r="F364" i="7"/>
  <c r="H364" i="7"/>
  <c r="E540" i="57"/>
  <c r="F190" i="7"/>
  <c r="H190" i="7"/>
  <c r="E278" i="57"/>
  <c r="F125" i="7"/>
  <c r="H125" i="7"/>
  <c r="F776" i="7"/>
  <c r="H776" i="7"/>
  <c r="E347" i="59"/>
  <c r="F694" i="7"/>
  <c r="H694" i="7"/>
  <c r="E228" i="59"/>
  <c r="F459" i="7"/>
  <c r="H459" i="7"/>
  <c r="E691" i="57"/>
  <c r="F955" i="7"/>
  <c r="H955" i="7"/>
  <c r="F919" i="7"/>
  <c r="H919" i="7"/>
  <c r="F881" i="7"/>
  <c r="H881" i="7"/>
  <c r="F862" i="7"/>
  <c r="H862" i="7"/>
  <c r="E453" i="59"/>
  <c r="F342" i="7"/>
  <c r="H342" i="7"/>
  <c r="E518" i="57"/>
  <c r="F273" i="7"/>
  <c r="H273" i="7"/>
  <c r="E406" i="57"/>
  <c r="F745" i="7"/>
  <c r="H745" i="7"/>
  <c r="E304" i="59"/>
  <c r="F312" i="7"/>
  <c r="H312" i="7"/>
  <c r="E475" i="57"/>
  <c r="F483" i="7"/>
  <c r="H483" i="7"/>
  <c r="E744" i="57"/>
  <c r="F92" i="7"/>
  <c r="F540" i="7"/>
  <c r="H540" i="7"/>
  <c r="E32" i="59"/>
  <c r="F238" i="7"/>
  <c r="H238" i="7"/>
  <c r="E357" i="57"/>
  <c r="F1022" i="7"/>
  <c r="H1022" i="7"/>
  <c r="E332" i="60"/>
  <c r="F810" i="7"/>
  <c r="H810" i="7"/>
  <c r="E391" i="59"/>
  <c r="F365" i="7"/>
  <c r="H365" i="7"/>
  <c r="E541" i="57"/>
  <c r="F558" i="7"/>
  <c r="H558" i="7"/>
  <c r="E50" i="59"/>
  <c r="F751" i="7"/>
  <c r="H751" i="7"/>
  <c r="E310" i="59"/>
  <c r="F311" i="7"/>
  <c r="H311" i="7"/>
  <c r="E474" i="57"/>
  <c r="F497" i="7"/>
  <c r="H497" i="7"/>
  <c r="E758" i="57"/>
  <c r="F280" i="7"/>
  <c r="H280" i="7"/>
  <c r="E413" i="57"/>
  <c r="F196" i="7"/>
  <c r="H196" i="7"/>
  <c r="E284" i="57"/>
  <c r="F115" i="7"/>
  <c r="H115" i="7"/>
  <c r="F133" i="7"/>
  <c r="H133" i="7"/>
  <c r="F757" i="7"/>
  <c r="H757" i="7"/>
  <c r="E316" i="59"/>
  <c r="F535" i="7"/>
  <c r="H535" i="7"/>
  <c r="E28" i="59"/>
  <c r="F288" i="7"/>
  <c r="H288" i="7"/>
  <c r="E421" i="57"/>
  <c r="F158" i="7"/>
  <c r="H158" i="7"/>
  <c r="E232" i="57"/>
  <c r="F691" i="7"/>
  <c r="H691" i="7"/>
  <c r="E225" i="59"/>
  <c r="F18" i="7"/>
  <c r="F1023" i="7"/>
  <c r="H1023" i="7"/>
  <c r="E333" i="60"/>
  <c r="F505" i="7"/>
  <c r="H505" i="7"/>
  <c r="E766" i="57"/>
  <c r="F652" i="7"/>
  <c r="H652" i="7"/>
  <c r="E169" i="59"/>
  <c r="F212" i="7"/>
  <c r="H212" i="7"/>
  <c r="E300" i="57"/>
  <c r="F282" i="7"/>
  <c r="H282" i="7"/>
  <c r="E415" i="57"/>
  <c r="F720" i="7"/>
  <c r="H720" i="7"/>
  <c r="E266" i="59"/>
  <c r="F617" i="7"/>
  <c r="H617" i="7"/>
  <c r="E134" i="59"/>
  <c r="F834" i="7"/>
  <c r="H834" i="7"/>
  <c r="E415" i="59"/>
  <c r="E414" i="59"/>
  <c r="L414" i="59"/>
  <c r="F222" i="7"/>
  <c r="H222" i="7"/>
  <c r="E310" i="57"/>
  <c r="F1076" i="7"/>
  <c r="H1076" i="7"/>
  <c r="E15" i="36"/>
  <c r="F516" i="7"/>
  <c r="H516" i="7"/>
  <c r="E777" i="57"/>
  <c r="F538" i="7"/>
  <c r="H538" i="7"/>
  <c r="E31" i="59"/>
  <c r="F1073" i="7"/>
  <c r="H1073" i="7"/>
  <c r="E12" i="36"/>
  <c r="F50" i="7"/>
  <c r="H50" i="7"/>
  <c r="F942" i="7"/>
  <c r="H942" i="7"/>
  <c r="F921" i="7"/>
  <c r="H921" i="7"/>
  <c r="F889" i="7"/>
  <c r="H889" i="7"/>
  <c r="F358" i="7"/>
  <c r="H358" i="7"/>
  <c r="E534" i="57"/>
  <c r="F611" i="7"/>
  <c r="H611" i="7"/>
  <c r="E130" i="59"/>
  <c r="F348" i="7"/>
  <c r="H348" i="7"/>
  <c r="E524" i="57"/>
  <c r="F181" i="7"/>
  <c r="H181" i="7"/>
  <c r="E250" i="57"/>
  <c r="F65" i="7"/>
  <c r="H65" i="7"/>
  <c r="F38" i="7"/>
  <c r="H38" i="7"/>
  <c r="F1036" i="7"/>
  <c r="H1036" i="7"/>
  <c r="E346" i="60"/>
  <c r="E345" i="60"/>
  <c r="L345" i="60"/>
  <c r="F920" i="7"/>
  <c r="H920" i="7"/>
  <c r="F887" i="7"/>
  <c r="H887" i="7"/>
  <c r="F300" i="7"/>
  <c r="H300" i="7"/>
  <c r="E433" i="57"/>
  <c r="F714" i="7"/>
  <c r="H714" i="7"/>
  <c r="E260" i="59"/>
  <c r="F377" i="7"/>
  <c r="H377" i="7"/>
  <c r="E553" i="57"/>
  <c r="F578" i="7"/>
  <c r="H578" i="7"/>
  <c r="E70" i="59"/>
  <c r="F160" i="7"/>
  <c r="H160" i="7"/>
  <c r="E234" i="57"/>
  <c r="F1051" i="7"/>
  <c r="H1051" i="7"/>
  <c r="E371" i="60"/>
  <c r="F343" i="7"/>
  <c r="H343" i="7"/>
  <c r="E519" i="57"/>
  <c r="F796" i="7"/>
  <c r="H796" i="7"/>
  <c r="E367" i="59"/>
  <c r="F687" i="7"/>
  <c r="H687" i="7"/>
  <c r="E221" i="59"/>
  <c r="F809" i="7"/>
  <c r="H809" i="7"/>
  <c r="E390" i="59"/>
  <c r="F225" i="7"/>
  <c r="H225" i="7"/>
  <c r="E313" i="57"/>
  <c r="F610" i="7"/>
  <c r="H610" i="7"/>
  <c r="E129" i="59"/>
  <c r="F159" i="7"/>
  <c r="H159" i="7"/>
  <c r="E233" i="57"/>
  <c r="F162" i="7"/>
  <c r="H162" i="7"/>
  <c r="E236" i="57"/>
  <c r="F130" i="7"/>
  <c r="H130" i="7"/>
  <c r="F1050" i="7"/>
  <c r="H1050" i="7"/>
  <c r="E370" i="60"/>
  <c r="F494" i="7"/>
  <c r="H494" i="7"/>
  <c r="E755" i="57"/>
  <c r="F236" i="7"/>
  <c r="H236" i="7"/>
  <c r="E355" i="57"/>
  <c r="F602" i="7"/>
  <c r="H602" i="7"/>
  <c r="E124" i="59"/>
  <c r="F692" i="7"/>
  <c r="H692" i="7"/>
  <c r="E226" i="59"/>
  <c r="F555" i="7"/>
  <c r="H555" i="7"/>
  <c r="E45" i="59"/>
  <c r="F1075" i="7"/>
  <c r="H1075" i="7"/>
  <c r="E14" i="36"/>
  <c r="F55" i="7"/>
  <c r="H55" i="7"/>
  <c r="F89" i="7"/>
  <c r="H89" i="7"/>
  <c r="F982" i="7"/>
  <c r="H982" i="7"/>
  <c r="E283" i="60"/>
  <c r="F908" i="7"/>
  <c r="H908" i="7"/>
  <c r="F875" i="7"/>
  <c r="H875" i="7"/>
  <c r="F197" i="7"/>
  <c r="H197" i="7"/>
  <c r="E285" i="57"/>
  <c r="F131" i="7"/>
  <c r="H131" i="7"/>
  <c r="F754" i="7"/>
  <c r="H754" i="7"/>
  <c r="E313" i="59"/>
  <c r="F842" i="7"/>
  <c r="H842" i="7"/>
  <c r="E433" i="59"/>
  <c r="F795" i="7"/>
  <c r="H795" i="7"/>
  <c r="E366" i="59"/>
  <c r="F688" i="7"/>
  <c r="H688" i="7"/>
  <c r="E222" i="59"/>
  <c r="F39" i="7"/>
  <c r="H39" i="7"/>
  <c r="F665" i="7"/>
  <c r="H665" i="7"/>
  <c r="E182" i="59"/>
  <c r="F664" i="7"/>
  <c r="H664" i="7"/>
  <c r="E181" i="59"/>
  <c r="F1055" i="7"/>
  <c r="H1055" i="7"/>
  <c r="E375" i="60"/>
  <c r="F49" i="7"/>
  <c r="H49" i="7"/>
  <c r="F588" i="7"/>
  <c r="H588" i="7"/>
  <c r="E80" i="59"/>
  <c r="F1017" i="7"/>
  <c r="H1017" i="7"/>
  <c r="E327" i="60"/>
  <c r="F956" i="7"/>
  <c r="H956" i="7"/>
  <c r="F873" i="7"/>
  <c r="H873" i="7"/>
  <c r="F356" i="7"/>
  <c r="H356" i="7"/>
  <c r="E532" i="57"/>
  <c r="F536" i="7"/>
  <c r="H536" i="7"/>
  <c r="E29" i="59"/>
  <c r="F808" i="7"/>
  <c r="H808" i="7"/>
  <c r="E389" i="59"/>
  <c r="F681" i="7"/>
  <c r="H681" i="7"/>
  <c r="E215" i="59"/>
  <c r="F877" i="7"/>
  <c r="H877" i="7"/>
  <c r="F619" i="7"/>
  <c r="H619" i="7"/>
  <c r="E135" i="59"/>
  <c r="F613" i="7"/>
  <c r="H613" i="7"/>
  <c r="E132" i="59"/>
  <c r="F840" i="7"/>
  <c r="H840" i="7"/>
  <c r="E431" i="59"/>
  <c r="F587" i="7"/>
  <c r="H587" i="7"/>
  <c r="E79" i="59"/>
  <c r="F482" i="7"/>
  <c r="H482" i="7"/>
  <c r="E743" i="57"/>
  <c r="F188" i="7"/>
  <c r="H188" i="7"/>
  <c r="E276" i="57"/>
  <c r="F570" i="7"/>
  <c r="H570" i="7"/>
  <c r="E62" i="59"/>
  <c r="F832" i="7"/>
  <c r="H832" i="7"/>
  <c r="E413" i="59"/>
  <c r="E412" i="59"/>
  <c r="L412" i="59"/>
  <c r="F374" i="7"/>
  <c r="H374" i="7"/>
  <c r="E550" i="57"/>
  <c r="F113" i="7"/>
  <c r="H113" i="7"/>
  <c r="F765" i="7"/>
  <c r="H765" i="7"/>
  <c r="E324" i="59"/>
  <c r="F333" i="7"/>
  <c r="H333" i="7"/>
  <c r="E491" i="57"/>
  <c r="F261" i="7"/>
  <c r="H261" i="7"/>
  <c r="E394" i="57"/>
  <c r="F521" i="7"/>
  <c r="H521" i="7"/>
  <c r="E782" i="57"/>
  <c r="E781" i="57"/>
  <c r="L781" i="57"/>
  <c r="F43" i="7"/>
  <c r="H43" i="7"/>
  <c r="F907" i="7"/>
  <c r="H907" i="7"/>
  <c r="F120" i="7"/>
  <c r="H120" i="7"/>
  <c r="F719" i="7"/>
  <c r="H719" i="7"/>
  <c r="E265" i="59"/>
  <c r="F767" i="7"/>
  <c r="H767" i="7"/>
  <c r="E326" i="59"/>
  <c r="E325" i="59"/>
  <c r="L325" i="59"/>
  <c r="F1078" i="7"/>
  <c r="H1078" i="7"/>
  <c r="E17" i="36"/>
  <c r="F954" i="7"/>
  <c r="H954" i="7"/>
  <c r="F774" i="7"/>
  <c r="H774" i="7"/>
  <c r="E345" i="59"/>
  <c r="F366" i="7"/>
  <c r="H366" i="7"/>
  <c r="E542" i="57"/>
  <c r="F33" i="7"/>
  <c r="H33" i="7"/>
  <c r="F37" i="7"/>
  <c r="H37" i="7"/>
  <c r="F923" i="7"/>
  <c r="H923" i="7"/>
  <c r="F786" i="7"/>
  <c r="H786" i="7"/>
  <c r="E357" i="59"/>
  <c r="F234" i="7"/>
  <c r="H234" i="7"/>
  <c r="E353" i="57"/>
  <c r="F911" i="7"/>
  <c r="H911" i="7"/>
  <c r="F1018" i="7"/>
  <c r="H1018" i="7"/>
  <c r="E328" i="60"/>
  <c r="F726" i="7"/>
  <c r="H726" i="7"/>
  <c r="E272" i="59"/>
  <c r="F206" i="7"/>
  <c r="H206" i="7"/>
  <c r="E294" i="57"/>
  <c r="F744" i="7"/>
  <c r="H744" i="7"/>
  <c r="E303" i="59"/>
  <c r="F412" i="7"/>
  <c r="H412" i="7"/>
  <c r="E616" i="57"/>
  <c r="F632" i="7"/>
  <c r="H632" i="7"/>
  <c r="E147" i="59"/>
  <c r="F528" i="7"/>
  <c r="H528" i="7"/>
  <c r="E23" i="59"/>
  <c r="F66" i="7"/>
  <c r="H66" i="7"/>
  <c r="F915" i="7"/>
  <c r="H915" i="7"/>
  <c r="F298" i="7"/>
  <c r="H298" i="7"/>
  <c r="E431" i="57"/>
  <c r="F554" i="7"/>
  <c r="H554" i="7"/>
  <c r="E44" i="59"/>
  <c r="F495" i="7"/>
  <c r="H495" i="7"/>
  <c r="E756" i="57"/>
  <c r="F56" i="7"/>
  <c r="H56" i="7"/>
  <c r="F655" i="7"/>
  <c r="H655" i="7"/>
  <c r="E172" i="59"/>
  <c r="F880" i="7"/>
  <c r="H880" i="7"/>
  <c r="F214" i="7"/>
  <c r="H214" i="7"/>
  <c r="E302" i="57"/>
  <c r="F785" i="7"/>
  <c r="H785" i="7"/>
  <c r="E356" i="59"/>
  <c r="F755" i="7"/>
  <c r="H755" i="7"/>
  <c r="E314" i="59"/>
  <c r="F615" i="7"/>
  <c r="H615" i="7"/>
  <c r="E133" i="59"/>
  <c r="F376" i="7"/>
  <c r="H376" i="7"/>
  <c r="E552" i="57"/>
  <c r="F569" i="7"/>
  <c r="H569" i="7"/>
  <c r="E61" i="59"/>
  <c r="F287" i="7"/>
  <c r="H287" i="7"/>
  <c r="E420" i="57"/>
  <c r="F451" i="7"/>
  <c r="H451" i="7"/>
  <c r="E683" i="57"/>
  <c r="F782" i="7"/>
  <c r="H782" i="7"/>
  <c r="E353" i="59"/>
  <c r="F203" i="7"/>
  <c r="H203" i="7"/>
  <c r="E291" i="57"/>
  <c r="F279" i="7"/>
  <c r="H279" i="7"/>
  <c r="E412" i="57"/>
  <c r="F141" i="7"/>
  <c r="H141" i="7"/>
  <c r="F750" i="7"/>
  <c r="H750" i="7"/>
  <c r="E309" i="59"/>
  <c r="F54" i="7"/>
  <c r="H54" i="7"/>
  <c r="F841" i="7"/>
  <c r="H841" i="7"/>
  <c r="E432" i="59"/>
  <c r="F989" i="7"/>
  <c r="H989" i="7"/>
  <c r="E290" i="60"/>
  <c r="F258" i="7"/>
  <c r="H258" i="7"/>
  <c r="E372" i="57"/>
  <c r="F34" i="7"/>
  <c r="H34" i="7"/>
  <c r="F885" i="7"/>
  <c r="H885" i="7"/>
  <c r="F829" i="7"/>
  <c r="H829" i="7"/>
  <c r="E410" i="59"/>
  <c r="F334" i="7"/>
  <c r="H334" i="7"/>
  <c r="E492" i="57"/>
  <c r="F15" i="7"/>
  <c r="H15" i="7"/>
  <c r="F949" i="7"/>
  <c r="H949" i="7"/>
  <c r="F266" i="7"/>
  <c r="H266" i="7"/>
  <c r="E399" i="57"/>
  <c r="F310" i="7"/>
  <c r="H310" i="7"/>
  <c r="E473" i="57"/>
  <c r="F830" i="7"/>
  <c r="H830" i="7"/>
  <c r="E411" i="59"/>
  <c r="F507" i="7"/>
  <c r="H507" i="7"/>
  <c r="E768" i="57"/>
  <c r="F542" i="7"/>
  <c r="H542" i="7"/>
  <c r="E33" i="59"/>
  <c r="F712" i="7"/>
  <c r="H712" i="7"/>
  <c r="E258" i="59"/>
  <c r="F847" i="7"/>
  <c r="H847" i="7"/>
  <c r="E438" i="59"/>
  <c r="F498" i="7"/>
  <c r="H498" i="7"/>
  <c r="E759" i="57"/>
  <c r="F574" i="7"/>
  <c r="H574" i="7"/>
  <c r="E66" i="59"/>
  <c r="F704" i="7"/>
  <c r="H704" i="7"/>
  <c r="E238" i="59"/>
  <c r="E237" i="59"/>
  <c r="L237" i="59"/>
  <c r="F1056" i="7"/>
  <c r="H1056" i="7"/>
  <c r="E376" i="60"/>
  <c r="F646" i="7"/>
  <c r="H646" i="7"/>
  <c r="E163" i="59"/>
  <c r="F609" i="7"/>
  <c r="H609" i="7"/>
  <c r="E128" i="59"/>
  <c r="F651" i="7"/>
  <c r="H651" i="7"/>
  <c r="E168" i="59"/>
  <c r="F866" i="7"/>
  <c r="H866" i="7"/>
  <c r="E457" i="59"/>
  <c r="E456" i="59"/>
  <c r="L456" i="59"/>
  <c r="F450" i="7"/>
  <c r="H450" i="7"/>
  <c r="E682" i="57"/>
  <c r="F713" i="7"/>
  <c r="H713" i="7"/>
  <c r="E259" i="59"/>
  <c r="F563" i="7"/>
  <c r="H563" i="7"/>
  <c r="E55" i="59"/>
  <c r="F355" i="7"/>
  <c r="H355" i="7"/>
  <c r="E531" i="57"/>
  <c r="F283" i="7"/>
  <c r="H283" i="7"/>
  <c r="E416" i="57"/>
  <c r="F204" i="7"/>
  <c r="H204" i="7"/>
  <c r="E292" i="57"/>
  <c r="F290" i="7"/>
  <c r="H290" i="7"/>
  <c r="E423" i="57"/>
  <c r="F984" i="7"/>
  <c r="H984" i="7"/>
  <c r="E285" i="60"/>
  <c r="F861" i="7"/>
  <c r="H861" i="7"/>
  <c r="E452" i="59"/>
  <c r="F914" i="7"/>
  <c r="H914" i="7"/>
  <c r="F816" i="7"/>
  <c r="H816" i="7"/>
  <c r="E397" i="59"/>
  <c r="F815" i="7"/>
  <c r="H815" i="7"/>
  <c r="E396" i="59"/>
  <c r="I183" i="57"/>
  <c r="I184" i="57"/>
  <c r="I177" i="62"/>
  <c r="I178" i="62"/>
  <c r="I10" i="36"/>
  <c r="I9" i="36"/>
  <c r="F166" i="7"/>
  <c r="H166" i="7"/>
  <c r="E238" i="57"/>
  <c r="F318" i="7"/>
  <c r="H318" i="7"/>
  <c r="E479" i="57"/>
  <c r="F242" i="7"/>
  <c r="H242" i="7"/>
  <c r="E359" i="57"/>
  <c r="J80" i="62"/>
  <c r="J81" i="62"/>
  <c r="T14" i="35"/>
  <c r="J82" i="57"/>
  <c r="J83" i="57"/>
  <c r="I355" i="60"/>
  <c r="I356" i="60"/>
  <c r="K342" i="18"/>
  <c r="K341" i="18"/>
  <c r="F322" i="7"/>
  <c r="H322" i="7"/>
  <c r="E481" i="57"/>
  <c r="F246" i="7"/>
  <c r="H246" i="7"/>
  <c r="E361" i="57"/>
  <c r="F170" i="7"/>
  <c r="H170" i="7"/>
  <c r="E240" i="57"/>
  <c r="F121" i="57"/>
  <c r="F112" i="57"/>
  <c r="F117" i="57"/>
  <c r="F108" i="57"/>
  <c r="I222" i="57"/>
  <c r="I210" i="57"/>
  <c r="I341" i="57"/>
  <c r="I329" i="57"/>
  <c r="I349" i="57"/>
  <c r="I337" i="57"/>
  <c r="I469" i="57"/>
  <c r="I457" i="57"/>
  <c r="I467" i="57"/>
  <c r="I455" i="57"/>
  <c r="I465" i="57"/>
  <c r="I453" i="57"/>
  <c r="I227" i="57"/>
  <c r="I215" i="57"/>
  <c r="I220" i="57"/>
  <c r="I208" i="57"/>
  <c r="I348" i="57"/>
  <c r="I336" i="57"/>
  <c r="I226" i="57"/>
  <c r="I214" i="57"/>
  <c r="I343" i="57"/>
  <c r="I331" i="57"/>
  <c r="I468" i="57"/>
  <c r="I456" i="57"/>
  <c r="I221" i="57"/>
  <c r="I209" i="57"/>
  <c r="I228" i="57"/>
  <c r="I216" i="57"/>
  <c r="I350" i="57"/>
  <c r="I338" i="57"/>
  <c r="I229" i="57"/>
  <c r="I217" i="57"/>
  <c r="I345" i="57"/>
  <c r="I333" i="57"/>
  <c r="I342" i="57"/>
  <c r="I330" i="57"/>
  <c r="I223" i="57"/>
  <c r="I211" i="57"/>
  <c r="I461" i="57"/>
  <c r="I449" i="57"/>
  <c r="I466" i="57"/>
  <c r="I454" i="57"/>
  <c r="I464" i="57"/>
  <c r="I452" i="57"/>
  <c r="I347" i="57"/>
  <c r="I335" i="57"/>
  <c r="I225" i="57"/>
  <c r="I213" i="57"/>
  <c r="I463" i="57"/>
  <c r="I451" i="57"/>
  <c r="I224" i="57"/>
  <c r="I212" i="57"/>
  <c r="I462" i="57"/>
  <c r="I450" i="57"/>
  <c r="I470" i="57"/>
  <c r="I458" i="57"/>
  <c r="I346" i="57"/>
  <c r="I334" i="57"/>
  <c r="I344" i="57"/>
  <c r="I332" i="57"/>
  <c r="I313" i="60"/>
  <c r="I312" i="60"/>
  <c r="P344" i="57"/>
  <c r="P332" i="57"/>
  <c r="P349" i="57"/>
  <c r="P337" i="57"/>
  <c r="H61" i="31"/>
  <c r="H62" i="31"/>
  <c r="M60" i="31"/>
  <c r="M147" i="31"/>
  <c r="H148" i="31"/>
  <c r="H149" i="31"/>
  <c r="F104" i="7"/>
  <c r="H104" i="7"/>
  <c r="F328" i="7"/>
  <c r="H328" i="7"/>
  <c r="E486" i="57"/>
  <c r="F28" i="7"/>
  <c r="H28" i="7"/>
  <c r="F176" i="7"/>
  <c r="H176" i="7"/>
  <c r="E245" i="57"/>
  <c r="F252" i="7"/>
  <c r="H252" i="7"/>
  <c r="E366" i="57"/>
  <c r="H26" i="31"/>
  <c r="H25" i="31"/>
  <c r="I343" i="59"/>
  <c r="I386" i="59"/>
  <c r="I428" i="59"/>
  <c r="I342" i="59"/>
  <c r="I385" i="59"/>
  <c r="I429" i="59"/>
  <c r="P296" i="57"/>
  <c r="P224" i="57"/>
  <c r="P222" i="57"/>
  <c r="P210" i="57"/>
  <c r="P221" i="57"/>
  <c r="P220" i="57"/>
  <c r="P208" i="57"/>
  <c r="P223" i="57"/>
  <c r="P280" i="57"/>
  <c r="P271" i="57"/>
  <c r="P267" i="57"/>
  <c r="M265" i="31"/>
  <c r="H278" i="31"/>
  <c r="K64" i="18"/>
  <c r="N7" i="39"/>
  <c r="N9" i="39"/>
  <c r="M9" i="39"/>
  <c r="I211" i="59"/>
  <c r="I208" i="59"/>
  <c r="I212" i="59"/>
  <c r="I209" i="59"/>
  <c r="I255" i="59"/>
  <c r="I252" i="59"/>
  <c r="I299" i="59"/>
  <c r="I295" i="59"/>
  <c r="I300" i="59"/>
  <c r="I296" i="59"/>
  <c r="I256" i="59"/>
  <c r="I253" i="59"/>
  <c r="N29" i="35"/>
  <c r="I32" i="35"/>
  <c r="J61" i="31"/>
  <c r="J62" i="31"/>
  <c r="O57" i="60"/>
  <c r="O53" i="60"/>
  <c r="G41" i="40"/>
  <c r="L39" i="40"/>
  <c r="G44" i="40"/>
  <c r="L42" i="40"/>
  <c r="F311" i="18"/>
  <c r="F312" i="18"/>
  <c r="N100" i="35"/>
  <c r="H336" i="31"/>
  <c r="G82" i="35"/>
  <c r="E99" i="35"/>
  <c r="L213" i="31"/>
  <c r="L214" i="31"/>
  <c r="O10" i="36"/>
  <c r="O9" i="36"/>
  <c r="F341" i="18"/>
  <c r="F342" i="18"/>
  <c r="M120" i="35"/>
  <c r="K120" i="35"/>
  <c r="N120" i="35"/>
  <c r="H362" i="31"/>
  <c r="H363" i="31"/>
  <c r="M361" i="31"/>
  <c r="G115" i="35"/>
  <c r="E136" i="35"/>
  <c r="J120" i="31"/>
  <c r="L16" i="39"/>
  <c r="G18" i="39"/>
  <c r="K53" i="60"/>
  <c r="F282" i="18"/>
  <c r="F283" i="18"/>
  <c r="P183" i="59"/>
  <c r="I144" i="60"/>
  <c r="I57" i="60"/>
  <c r="I143" i="60"/>
  <c r="I56" i="60"/>
  <c r="I230" i="60"/>
  <c r="I231" i="60"/>
  <c r="P656" i="57"/>
  <c r="P645" i="57"/>
  <c r="I580" i="57"/>
  <c r="I582" i="57"/>
  <c r="I584" i="57"/>
  <c r="I586" i="57"/>
  <c r="I581" i="57"/>
  <c r="I583" i="57"/>
  <c r="I588" i="57"/>
  <c r="I587" i="57"/>
  <c r="I655" i="57"/>
  <c r="I656" i="57"/>
  <c r="I657" i="57"/>
  <c r="I658" i="57"/>
  <c r="I659" i="57"/>
  <c r="I589" i="57"/>
  <c r="I660" i="57"/>
  <c r="I662" i="57"/>
  <c r="I664" i="57"/>
  <c r="I585" i="57"/>
  <c r="I663" i="57"/>
  <c r="I661" i="57"/>
  <c r="I730" i="57"/>
  <c r="I733" i="57"/>
  <c r="I737" i="57"/>
  <c r="I735" i="57"/>
  <c r="I738" i="57"/>
  <c r="I736" i="57"/>
  <c r="I734" i="57"/>
  <c r="I731" i="57"/>
  <c r="I739" i="57"/>
  <c r="I732" i="57"/>
  <c r="P113" i="57"/>
  <c r="P109" i="57"/>
  <c r="I269" i="60"/>
  <c r="I270" i="60"/>
  <c r="P20" i="57"/>
  <c r="P19" i="57"/>
  <c r="P12" i="57"/>
  <c r="P22" i="57"/>
  <c r="P18" i="57"/>
  <c r="P23" i="57"/>
  <c r="P21" i="57"/>
  <c r="P14" i="57"/>
  <c r="P83" i="57"/>
  <c r="P82" i="57"/>
  <c r="M92" i="31"/>
  <c r="J30" i="18"/>
  <c r="J31" i="18"/>
  <c r="K115" i="18"/>
  <c r="K123" i="18"/>
  <c r="P279" i="57"/>
  <c r="P302" i="57"/>
  <c r="P289" i="57"/>
  <c r="P288" i="57"/>
  <c r="P313" i="57"/>
  <c r="P299" i="57"/>
  <c r="P312" i="57"/>
  <c r="P243" i="57"/>
  <c r="H95" i="18"/>
  <c r="H96" i="18"/>
  <c r="G38" i="40"/>
  <c r="L36" i="40"/>
  <c r="G35" i="40"/>
  <c r="L33" i="40"/>
  <c r="K311" i="18"/>
  <c r="K312" i="18"/>
  <c r="J18" i="57"/>
  <c r="J18" i="62"/>
  <c r="J19" i="62"/>
  <c r="J20" i="57"/>
  <c r="J21" i="62"/>
  <c r="J17" i="62"/>
  <c r="J16" i="62"/>
  <c r="J20" i="62"/>
  <c r="J19" i="57"/>
  <c r="P14" i="35"/>
  <c r="K65" i="35"/>
  <c r="K67" i="35"/>
  <c r="I65" i="35"/>
  <c r="O230" i="60"/>
  <c r="O226" i="60"/>
  <c r="O231" i="60"/>
  <c r="O227" i="60"/>
  <c r="K110" i="62"/>
  <c r="K111" i="62"/>
  <c r="K112" i="62"/>
  <c r="K117" i="57"/>
  <c r="M23" i="37"/>
  <c r="K118" i="57"/>
  <c r="K116" i="57"/>
  <c r="K119" i="57"/>
  <c r="K113" i="62"/>
  <c r="G9" i="36"/>
  <c r="G10" i="36"/>
  <c r="K85" i="60"/>
  <c r="K172" i="60"/>
  <c r="K139" i="60"/>
  <c r="K259" i="60"/>
  <c r="M119" i="31"/>
  <c r="M9" i="40"/>
  <c r="N8" i="40"/>
  <c r="N9" i="40"/>
  <c r="E158" i="35"/>
  <c r="G141" i="35"/>
  <c r="K141" i="35"/>
  <c r="N141" i="35"/>
  <c r="M249" i="31"/>
  <c r="H250" i="31"/>
  <c r="H251" i="31"/>
  <c r="H177" i="31"/>
  <c r="H178" i="31"/>
  <c r="M176" i="31"/>
  <c r="F123" i="18"/>
  <c r="M90" i="31"/>
  <c r="M95" i="35"/>
  <c r="I95" i="35"/>
  <c r="K95" i="35"/>
  <c r="N43" i="39"/>
  <c r="N44" i="39"/>
  <c r="M44" i="39"/>
  <c r="M111" i="31"/>
  <c r="H120" i="31"/>
  <c r="P149" i="59"/>
  <c r="P150" i="59"/>
  <c r="M236" i="31"/>
  <c r="K253" i="18"/>
  <c r="O143" i="60"/>
  <c r="O139" i="60"/>
  <c r="P117" i="57"/>
  <c r="P108" i="57"/>
  <c r="P116" i="57"/>
  <c r="P107" i="57"/>
  <c r="M26" i="31"/>
  <c r="M25" i="31"/>
  <c r="F392" i="7"/>
  <c r="H392" i="7"/>
  <c r="E596" i="57"/>
  <c r="F440" i="7"/>
  <c r="H440" i="7"/>
  <c r="E672" i="57"/>
  <c r="F455" i="7"/>
  <c r="H455" i="7"/>
  <c r="E687" i="57"/>
  <c r="F462" i="7"/>
  <c r="H462" i="7"/>
  <c r="E694" i="57"/>
  <c r="F441" i="7"/>
  <c r="H441" i="7"/>
  <c r="E673" i="57"/>
  <c r="F443" i="7"/>
  <c r="H443" i="7"/>
  <c r="E675" i="57"/>
  <c r="F398" i="7"/>
  <c r="H398" i="7"/>
  <c r="E602" i="57"/>
  <c r="F408" i="7"/>
  <c r="H408" i="7"/>
  <c r="E612" i="57"/>
  <c r="F415" i="7"/>
  <c r="H415" i="7"/>
  <c r="E619" i="57"/>
  <c r="F425" i="7"/>
  <c r="H425" i="7"/>
  <c r="E629" i="57"/>
  <c r="E628" i="57"/>
  <c r="L628" i="57"/>
  <c r="F406" i="7"/>
  <c r="H406" i="7"/>
  <c r="E610" i="57"/>
  <c r="F437" i="7"/>
  <c r="H437" i="7"/>
  <c r="E669" i="57"/>
  <c r="F442" i="7"/>
  <c r="H442" i="7"/>
  <c r="E674" i="57"/>
  <c r="F444" i="7"/>
  <c r="H444" i="7"/>
  <c r="E676" i="57"/>
  <c r="F393" i="7"/>
  <c r="H393" i="7"/>
  <c r="E597" i="57"/>
  <c r="F445" i="7"/>
  <c r="H445" i="7"/>
  <c r="E677" i="57"/>
  <c r="F390" i="7"/>
  <c r="H390" i="7"/>
  <c r="E594" i="57"/>
  <c r="F439" i="7"/>
  <c r="H439" i="7"/>
  <c r="E671" i="57"/>
  <c r="F395" i="7"/>
  <c r="H395" i="7"/>
  <c r="E599" i="57"/>
  <c r="F454" i="7"/>
  <c r="H454" i="7"/>
  <c r="E686" i="57"/>
  <c r="F472" i="7"/>
  <c r="H472" i="7"/>
  <c r="E704" i="57"/>
  <c r="E703" i="57"/>
  <c r="L703" i="57"/>
  <c r="F453" i="7"/>
  <c r="H453" i="7"/>
  <c r="E685" i="57"/>
  <c r="F397" i="7"/>
  <c r="H397" i="7"/>
  <c r="E601" i="57"/>
  <c r="F396" i="7"/>
  <c r="H396" i="7"/>
  <c r="E600" i="57"/>
  <c r="F407" i="7"/>
  <c r="H407" i="7"/>
  <c r="E611" i="57"/>
  <c r="F394" i="7"/>
  <c r="H394" i="7"/>
  <c r="E598" i="57"/>
  <c r="F200" i="7"/>
  <c r="H200" i="7"/>
  <c r="E288" i="57"/>
  <c r="F491" i="7"/>
  <c r="H491" i="7"/>
  <c r="E752" i="57"/>
  <c r="F501" i="7"/>
  <c r="H501" i="7"/>
  <c r="E762" i="57"/>
  <c r="F208" i="7"/>
  <c r="H208" i="7"/>
  <c r="E296" i="57"/>
  <c r="F787" i="7"/>
  <c r="H787" i="7"/>
  <c r="E358" i="59"/>
  <c r="F237" i="7"/>
  <c r="H237" i="7"/>
  <c r="E356" i="57"/>
  <c r="F571" i="7"/>
  <c r="H571" i="7"/>
  <c r="E63" i="59"/>
  <c r="F1047" i="7"/>
  <c r="H1047" i="7"/>
  <c r="E367" i="60"/>
  <c r="F51" i="7"/>
  <c r="H51" i="7"/>
  <c r="F102" i="7"/>
  <c r="H102" i="7"/>
  <c r="F17" i="7"/>
  <c r="H17" i="7"/>
  <c r="F537" i="7"/>
  <c r="H537" i="7"/>
  <c r="E30" i="59"/>
  <c r="F552" i="7"/>
  <c r="H552" i="7"/>
  <c r="E42" i="59"/>
  <c r="F192" i="7"/>
  <c r="H192" i="7"/>
  <c r="E280" i="57"/>
  <c r="F629" i="7"/>
  <c r="H629" i="7"/>
  <c r="E144" i="59"/>
  <c r="F122" i="7"/>
  <c r="H122" i="7"/>
  <c r="F331" i="7"/>
  <c r="H331" i="7"/>
  <c r="E489" i="57"/>
  <c r="F58" i="7"/>
  <c r="H58" i="7"/>
  <c r="F103" i="7"/>
  <c r="H103" i="7"/>
  <c r="F648" i="7"/>
  <c r="H648" i="7"/>
  <c r="E165" i="59"/>
  <c r="F41" i="7"/>
  <c r="H41" i="7"/>
  <c r="F606" i="7"/>
  <c r="H606" i="7"/>
  <c r="E126" i="59"/>
  <c r="F519" i="7"/>
  <c r="H519" i="7"/>
  <c r="E780" i="57"/>
  <c r="E779" i="57"/>
  <c r="L779" i="57"/>
  <c r="F275" i="7"/>
  <c r="H275" i="7"/>
  <c r="E408" i="57"/>
  <c r="F721" i="7"/>
  <c r="H721" i="7"/>
  <c r="E267" i="59"/>
  <c r="F173" i="7"/>
  <c r="H173" i="7"/>
  <c r="E242" i="57"/>
  <c r="F725" i="7"/>
  <c r="H725" i="7"/>
  <c r="E271" i="59"/>
  <c r="F630" i="7"/>
  <c r="H630" i="7"/>
  <c r="E145" i="59"/>
  <c r="F327" i="7"/>
  <c r="H327" i="7"/>
  <c r="E485" i="57"/>
  <c r="F269" i="7"/>
  <c r="H269" i="7"/>
  <c r="E402" i="57"/>
  <c r="F47" i="7"/>
  <c r="H47" i="7"/>
  <c r="F85" i="7"/>
  <c r="H85" i="7"/>
  <c r="F1043" i="7"/>
  <c r="H1043" i="7"/>
  <c r="E363" i="60"/>
  <c r="F946" i="7"/>
  <c r="H946" i="7"/>
  <c r="F843" i="7"/>
  <c r="H843" i="7"/>
  <c r="E434" i="59"/>
  <c r="F345" i="7"/>
  <c r="H345" i="7"/>
  <c r="E521" i="57"/>
  <c r="F174" i="7"/>
  <c r="H174" i="7"/>
  <c r="E243" i="57"/>
  <c r="F898" i="7"/>
  <c r="H898" i="7"/>
  <c r="F209" i="7"/>
  <c r="H209" i="7"/>
  <c r="E297" i="57"/>
  <c r="F326" i="7"/>
  <c r="H326" i="7"/>
  <c r="E484" i="57"/>
  <c r="F811" i="7"/>
  <c r="H811" i="7"/>
  <c r="E392" i="59"/>
  <c r="F1014" i="7"/>
  <c r="H1014" i="7"/>
  <c r="E324" i="60"/>
  <c r="F882" i="7"/>
  <c r="H882" i="7"/>
  <c r="F367" i="7"/>
  <c r="F30" i="7"/>
  <c r="H30" i="7"/>
  <c r="F1019" i="7"/>
  <c r="H1019" i="7"/>
  <c r="E329" i="60"/>
  <c r="F250" i="7"/>
  <c r="H250" i="7"/>
  <c r="E364" i="57"/>
  <c r="F924" i="7"/>
  <c r="H924" i="7"/>
  <c r="F644" i="7"/>
  <c r="H644" i="7"/>
  <c r="E161" i="59"/>
  <c r="F484" i="7"/>
  <c r="H484" i="7"/>
  <c r="E745" i="57"/>
  <c r="F492" i="7"/>
  <c r="H492" i="7"/>
  <c r="E753" i="57"/>
  <c r="F276" i="7"/>
  <c r="H276" i="7"/>
  <c r="E409" i="57"/>
  <c r="F251" i="7"/>
  <c r="H251" i="7"/>
  <c r="E365" i="57"/>
  <c r="F580" i="7"/>
  <c r="H580" i="7"/>
  <c r="E72" i="59"/>
  <c r="F26" i="7"/>
  <c r="H26" i="7"/>
  <c r="F637" i="7"/>
  <c r="H637" i="7"/>
  <c r="E154" i="59"/>
  <c r="F530" i="7"/>
  <c r="H530" i="7"/>
  <c r="E24" i="59"/>
  <c r="F643" i="7"/>
  <c r="H643" i="7"/>
  <c r="E160" i="59"/>
  <c r="F1044" i="7"/>
  <c r="H1044" i="7"/>
  <c r="E364" i="60"/>
  <c r="F992" i="7"/>
  <c r="H992" i="7"/>
  <c r="E293" i="60"/>
  <c r="F11" i="7"/>
  <c r="H11" i="7"/>
  <c r="F1059" i="7"/>
  <c r="H1059" i="7"/>
  <c r="E379" i="60"/>
  <c r="F32" i="7"/>
  <c r="H32" i="7"/>
  <c r="F845" i="7"/>
  <c r="H845" i="7"/>
  <c r="E436" i="59"/>
  <c r="F746" i="7"/>
  <c r="H746" i="7"/>
  <c r="E305" i="59"/>
  <c r="F717" i="7"/>
  <c r="H717" i="7"/>
  <c r="E263" i="59"/>
  <c r="F627" i="7"/>
  <c r="H627" i="7"/>
  <c r="E142" i="59"/>
  <c r="F332" i="7"/>
  <c r="H332" i="7"/>
  <c r="E490" i="57"/>
  <c r="F128" i="7"/>
  <c r="H128" i="7"/>
  <c r="E161" i="62"/>
  <c r="F27" i="7"/>
  <c r="H27" i="7"/>
  <c r="F284" i="7"/>
  <c r="H284" i="7"/>
  <c r="E417" i="57"/>
  <c r="F546" i="7"/>
  <c r="H546" i="7"/>
  <c r="E36" i="59"/>
  <c r="F756" i="7"/>
  <c r="H756" i="7"/>
  <c r="E315" i="59"/>
  <c r="F351" i="7"/>
  <c r="H351" i="7"/>
  <c r="E527" i="57"/>
  <c r="F1057" i="7"/>
  <c r="H1057" i="7"/>
  <c r="E377" i="60"/>
  <c r="F194" i="7"/>
  <c r="H194" i="7"/>
  <c r="E282" i="57"/>
  <c r="F980" i="7"/>
  <c r="H980" i="7"/>
  <c r="E281" i="60"/>
  <c r="F268" i="7"/>
  <c r="H268" i="7"/>
  <c r="E401" i="57"/>
  <c r="F958" i="7"/>
  <c r="H958" i="7"/>
  <c r="F1009" i="7"/>
  <c r="H1009" i="7"/>
  <c r="E319" i="60"/>
  <c r="F486" i="7"/>
  <c r="H486" i="7"/>
  <c r="E747" i="57"/>
  <c r="F976" i="7"/>
  <c r="H976" i="7"/>
  <c r="E277" i="60"/>
  <c r="F788" i="7"/>
  <c r="H788" i="7"/>
  <c r="E359" i="59"/>
  <c r="F249" i="7"/>
  <c r="H249" i="7"/>
  <c r="E363" i="57"/>
  <c r="F254" i="7"/>
  <c r="H254" i="7"/>
  <c r="E368" i="57"/>
  <c r="F566" i="7"/>
  <c r="H566" i="7"/>
  <c r="E58" i="59"/>
  <c r="F91" i="7"/>
  <c r="H91" i="7"/>
  <c r="F1045" i="7"/>
  <c r="H1045" i="7"/>
  <c r="E365" i="60"/>
  <c r="F531" i="7"/>
  <c r="H531" i="7"/>
  <c r="E25" i="59"/>
  <c r="F748" i="7"/>
  <c r="H748" i="7"/>
  <c r="E307" i="59"/>
  <c r="F193" i="7"/>
  <c r="H193" i="7"/>
  <c r="E281" i="57"/>
  <c r="F567" i="7"/>
  <c r="H567" i="7"/>
  <c r="E59" i="59"/>
  <c r="F161" i="7"/>
  <c r="H161" i="7"/>
  <c r="E235" i="57"/>
  <c r="F638" i="7"/>
  <c r="H638" i="7"/>
  <c r="E155" i="59"/>
  <c r="F1024" i="7"/>
  <c r="H1024" i="7"/>
  <c r="E334" i="60"/>
  <c r="F52" i="7"/>
  <c r="H52" i="7"/>
  <c r="F101" i="7"/>
  <c r="H101" i="7"/>
  <c r="F352" i="7"/>
  <c r="H352" i="7"/>
  <c r="E528" i="57"/>
  <c r="F175" i="7"/>
  <c r="H175" i="7"/>
  <c r="E244" i="57"/>
  <c r="F199" i="7"/>
  <c r="H199" i="7"/>
  <c r="E287" i="57"/>
  <c r="F822" i="7"/>
  <c r="H822" i="7"/>
  <c r="E403" i="59"/>
  <c r="F46" i="7"/>
  <c r="H46" i="7"/>
  <c r="F752" i="7"/>
  <c r="H752" i="7"/>
  <c r="E311" i="59"/>
  <c r="F622" i="7"/>
  <c r="H622" i="7"/>
  <c r="E137" i="59"/>
  <c r="F978" i="7"/>
  <c r="H978" i="7"/>
  <c r="E279" i="60"/>
  <c r="F683" i="7"/>
  <c r="H683" i="7"/>
  <c r="E217" i="59"/>
  <c r="F291" i="7"/>
  <c r="F346" i="7"/>
  <c r="H346" i="7"/>
  <c r="E522" i="57"/>
  <c r="F117" i="7"/>
  <c r="H117" i="7"/>
  <c r="F684" i="7"/>
  <c r="H684" i="7"/>
  <c r="E218" i="59"/>
  <c r="F502" i="7"/>
  <c r="H502" i="7"/>
  <c r="E763" i="57"/>
  <c r="F783" i="7"/>
  <c r="H783" i="7"/>
  <c r="E354" i="59"/>
  <c r="F561" i="7"/>
  <c r="H561" i="7"/>
  <c r="E53" i="59"/>
  <c r="F623" i="7"/>
  <c r="H623" i="7"/>
  <c r="E138" i="59"/>
  <c r="F979" i="7"/>
  <c r="H979" i="7"/>
  <c r="E280" i="60"/>
  <c r="F550" i="7"/>
  <c r="H550" i="7"/>
  <c r="E40" i="59"/>
  <c r="F127" i="7"/>
  <c r="H127" i="7"/>
  <c r="F180" i="7"/>
  <c r="H180" i="7"/>
  <c r="E249" i="57"/>
  <c r="F716" i="7"/>
  <c r="H716" i="7"/>
  <c r="E262" i="59"/>
  <c r="F657" i="7"/>
  <c r="H657" i="7"/>
  <c r="E174" i="59"/>
  <c r="F1012" i="7"/>
  <c r="H1012" i="7"/>
  <c r="E322" i="60"/>
  <c r="F626" i="7"/>
  <c r="H626" i="7"/>
  <c r="E141" i="59"/>
  <c r="F883" i="7"/>
  <c r="H883" i="7"/>
  <c r="F612" i="7"/>
  <c r="H612" i="7"/>
  <c r="E131" i="59"/>
  <c r="F179" i="7"/>
  <c r="H179" i="7"/>
  <c r="E248" i="57"/>
  <c r="F1058" i="7"/>
  <c r="H1058" i="7"/>
  <c r="E378" i="60"/>
  <c r="F1013" i="7"/>
  <c r="H1013" i="7"/>
  <c r="E323" i="60"/>
  <c r="F1042" i="7"/>
  <c r="H1042" i="7"/>
  <c r="E362" i="60"/>
  <c r="F503" i="7"/>
  <c r="H503" i="7"/>
  <c r="E764" i="57"/>
  <c r="F1046" i="7"/>
  <c r="H1046" i="7"/>
  <c r="E366" i="60"/>
  <c r="F917" i="7"/>
  <c r="H917" i="7"/>
  <c r="F84" i="7"/>
  <c r="H84" i="7"/>
  <c r="F360" i="7"/>
  <c r="H360" i="7"/>
  <c r="E536" i="57"/>
  <c r="F256" i="7"/>
  <c r="H256" i="7"/>
  <c r="E370" i="57"/>
  <c r="F509" i="7"/>
  <c r="H509" i="7"/>
  <c r="E770" i="57"/>
  <c r="F572" i="7"/>
  <c r="H572" i="7"/>
  <c r="E64" i="59"/>
  <c r="F116" i="7"/>
  <c r="H116" i="7"/>
  <c r="F108" i="7"/>
  <c r="H108" i="7"/>
  <c r="F500" i="7"/>
  <c r="H500" i="7"/>
  <c r="E761" i="57"/>
  <c r="F1011" i="7"/>
  <c r="H1011" i="7"/>
  <c r="E321" i="60"/>
  <c r="F991" i="7"/>
  <c r="H991" i="7"/>
  <c r="E292" i="60"/>
  <c r="F123" i="7"/>
  <c r="H123" i="7"/>
  <c r="F178" i="7"/>
  <c r="H178" i="7"/>
  <c r="E247" i="57"/>
  <c r="F344" i="7"/>
  <c r="H344" i="7"/>
  <c r="E520" i="57"/>
  <c r="F625" i="7"/>
  <c r="H625" i="7"/>
  <c r="E140" i="59"/>
  <c r="F456" i="7"/>
  <c r="H456" i="7"/>
  <c r="E688" i="57"/>
  <c r="F821" i="7"/>
  <c r="H821" i="7"/>
  <c r="E402" i="59"/>
  <c r="F932" i="7"/>
  <c r="H932" i="7"/>
  <c r="F975" i="7"/>
  <c r="H975" i="7"/>
  <c r="E276" i="60"/>
  <c r="F849" i="7"/>
  <c r="H849" i="7"/>
  <c r="E440" i="59"/>
  <c r="F693" i="7"/>
  <c r="H693" i="7"/>
  <c r="E227" i="59"/>
  <c r="F944" i="7"/>
  <c r="H944" i="7"/>
  <c r="F813" i="7"/>
  <c r="H813" i="7"/>
  <c r="E394" i="59"/>
  <c r="F107" i="7"/>
  <c r="H107" i="7"/>
  <c r="F985" i="7"/>
  <c r="H985" i="7"/>
  <c r="E286" i="60"/>
  <c r="F977" i="7"/>
  <c r="H977" i="7"/>
  <c r="E278" i="60"/>
  <c r="F560" i="7"/>
  <c r="H560" i="7"/>
  <c r="E52" i="59"/>
  <c r="F779" i="7"/>
  <c r="H779" i="7"/>
  <c r="E350" i="59"/>
  <c r="F1010" i="7"/>
  <c r="H1010" i="7"/>
  <c r="E320" i="60"/>
  <c r="E317" i="60"/>
  <c r="F549" i="7"/>
  <c r="H549" i="7"/>
  <c r="E39" i="59"/>
  <c r="F916" i="7"/>
  <c r="H916" i="7"/>
  <c r="F604" i="7"/>
  <c r="H604" i="7"/>
  <c r="E125" i="59"/>
  <c r="F685" i="7"/>
  <c r="H685" i="7"/>
  <c r="E219" i="59"/>
  <c r="F330" i="7"/>
  <c r="H330" i="7"/>
  <c r="E488" i="57"/>
  <c r="F1025" i="7"/>
  <c r="H1025" i="7"/>
  <c r="E335" i="60"/>
  <c r="F854" i="7"/>
  <c r="H854" i="7"/>
  <c r="E445" i="59"/>
  <c r="F134" i="7"/>
  <c r="H134" i="7"/>
  <c r="F215" i="7"/>
  <c r="F950" i="7"/>
  <c r="H950" i="7"/>
  <c r="F990" i="7"/>
  <c r="H990" i="7"/>
  <c r="E291" i="60"/>
  <c r="F31" i="7"/>
  <c r="H31" i="7"/>
  <c r="F545" i="7"/>
  <c r="H545" i="7"/>
  <c r="E35" i="59"/>
  <c r="F409" i="7"/>
  <c r="H409" i="7"/>
  <c r="E613" i="57"/>
  <c r="F490" i="7"/>
  <c r="H490" i="7"/>
  <c r="E751" i="57"/>
  <c r="F747" i="7"/>
  <c r="H747" i="7"/>
  <c r="E306" i="59"/>
  <c r="F876" i="7"/>
  <c r="H876" i="7"/>
  <c r="F285" i="7"/>
  <c r="H285" i="7"/>
  <c r="E418" i="57"/>
  <c r="F487" i="7"/>
  <c r="H487" i="7"/>
  <c r="E748" i="57"/>
  <c r="F890" i="7"/>
  <c r="H890" i="7"/>
  <c r="F777" i="7"/>
  <c r="H777" i="7"/>
  <c r="E348" i="59"/>
  <c r="F951" i="7"/>
  <c r="H951" i="7"/>
  <c r="F361" i="7"/>
  <c r="H361" i="7"/>
  <c r="E537" i="57"/>
  <c r="F325" i="7"/>
  <c r="H325" i="7"/>
  <c r="E483" i="57"/>
  <c r="F817" i="7"/>
  <c r="H817" i="7"/>
  <c r="E398" i="59"/>
  <c r="F553" i="7"/>
  <c r="H553" i="7"/>
  <c r="E43" i="59"/>
  <c r="F488" i="7"/>
  <c r="H488" i="7"/>
  <c r="E749" i="57"/>
  <c r="F853" i="7"/>
  <c r="H853" i="7"/>
  <c r="E444" i="59"/>
  <c r="F1026" i="7"/>
  <c r="H1026" i="7"/>
  <c r="E336" i="60"/>
  <c r="F313" i="7"/>
  <c r="H313" i="7"/>
  <c r="E476" i="57"/>
  <c r="F25" i="7"/>
  <c r="H25" i="7"/>
  <c r="F966" i="7"/>
  <c r="H966" i="7"/>
  <c r="F270" i="7"/>
  <c r="H270" i="7"/>
  <c r="E403" i="57"/>
  <c r="F878" i="7"/>
  <c r="H878" i="7"/>
  <c r="F10" i="7"/>
  <c r="H10" i="7"/>
  <c r="F910" i="7"/>
  <c r="H910" i="7"/>
  <c r="F40" i="7"/>
  <c r="H40" i="7"/>
  <c r="F548" i="7"/>
  <c r="H548" i="7"/>
  <c r="E38" i="59"/>
  <c r="F489" i="7"/>
  <c r="H489" i="7"/>
  <c r="E750" i="57"/>
  <c r="F715" i="7"/>
  <c r="H715" i="7"/>
  <c r="E261" i="59"/>
  <c r="F255" i="7"/>
  <c r="H255" i="7"/>
  <c r="E369" i="57"/>
  <c r="F912" i="7"/>
  <c r="H912" i="7"/>
  <c r="F106" i="7"/>
  <c r="H106" i="7"/>
  <c r="F1052" i="7"/>
  <c r="H1052" i="7"/>
  <c r="E372" i="60"/>
  <c r="F649" i="7"/>
  <c r="H649" i="7"/>
  <c r="E166" i="59"/>
  <c r="F689" i="7"/>
  <c r="H689" i="7"/>
  <c r="E223" i="59"/>
  <c r="G47" i="40"/>
  <c r="L45" i="40"/>
  <c r="F244" i="7"/>
  <c r="H244" i="7"/>
  <c r="E360" i="57"/>
  <c r="F320" i="7"/>
  <c r="H320" i="7"/>
  <c r="E480" i="57"/>
  <c r="F168" i="7"/>
  <c r="H168" i="7"/>
  <c r="E239" i="57"/>
  <c r="N14" i="35"/>
  <c r="G22" i="57"/>
  <c r="G15" i="57"/>
  <c r="G21" i="57"/>
  <c r="G14" i="57"/>
  <c r="G23" i="57"/>
  <c r="G16" i="57"/>
  <c r="H214" i="31"/>
  <c r="H213" i="31"/>
  <c r="M212" i="31"/>
  <c r="P347" i="57"/>
  <c r="P335" i="57"/>
  <c r="P342" i="57"/>
  <c r="P330" i="57"/>
  <c r="J337" i="31"/>
  <c r="J338" i="31"/>
  <c r="P343" i="57"/>
  <c r="P331" i="57"/>
  <c r="P348" i="57"/>
  <c r="P336" i="57"/>
  <c r="L61" i="31"/>
  <c r="L62" i="31"/>
  <c r="P49" i="57"/>
  <c r="P21" i="59"/>
  <c r="P14" i="59"/>
  <c r="P20" i="59"/>
  <c r="P13" i="59"/>
  <c r="P16" i="59"/>
  <c r="P9" i="59"/>
  <c r="P19" i="59"/>
  <c r="P12" i="59"/>
  <c r="P18" i="59"/>
  <c r="P11" i="59"/>
  <c r="P17" i="59"/>
  <c r="P10" i="59"/>
  <c r="N78" i="35"/>
  <c r="H188" i="18"/>
  <c r="H189" i="18"/>
  <c r="M85" i="31"/>
  <c r="H94" i="31"/>
  <c r="N27" i="35"/>
  <c r="N32" i="35"/>
  <c r="K32" i="35"/>
  <c r="K221" i="18"/>
  <c r="J221" i="18"/>
  <c r="H222" i="18"/>
  <c r="H223" i="18"/>
  <c r="G19" i="57"/>
  <c r="G12" i="57"/>
  <c r="G18" i="57"/>
  <c r="G11" i="57"/>
  <c r="G20" i="57"/>
  <c r="G13" i="57"/>
  <c r="G97" i="35"/>
  <c r="E117" i="35"/>
  <c r="H585" i="57"/>
  <c r="H589" i="57"/>
  <c r="H655" i="57"/>
  <c r="H657" i="57"/>
  <c r="H659" i="57"/>
  <c r="H587" i="57"/>
  <c r="H656" i="57"/>
  <c r="H658" i="57"/>
  <c r="H660" i="57"/>
  <c r="H662" i="57"/>
  <c r="H664" i="57"/>
  <c r="H586" i="57"/>
  <c r="H583" i="57"/>
  <c r="H588" i="57"/>
  <c r="H661" i="57"/>
  <c r="H581" i="57"/>
  <c r="H580" i="57"/>
  <c r="H584" i="57"/>
  <c r="H582" i="57"/>
  <c r="H663" i="57"/>
  <c r="H738" i="57"/>
  <c r="H731" i="57"/>
  <c r="H736" i="57"/>
  <c r="H733" i="57"/>
  <c r="H732" i="57"/>
  <c r="H739" i="57"/>
  <c r="H730" i="57"/>
  <c r="H735" i="57"/>
  <c r="S149" i="31"/>
  <c r="H737" i="57"/>
  <c r="H734" i="57"/>
  <c r="L12" i="40"/>
  <c r="M10" i="40"/>
  <c r="J30" i="36"/>
  <c r="J22" i="36"/>
  <c r="J26" i="36"/>
  <c r="K226" i="60"/>
  <c r="K52" i="60"/>
  <c r="P120" i="59"/>
  <c r="P110" i="59"/>
  <c r="P117" i="59"/>
  <c r="P107" i="59"/>
  <c r="P116" i="59"/>
  <c r="P106" i="59"/>
  <c r="P115" i="59"/>
  <c r="P105" i="59"/>
  <c r="P122" i="59"/>
  <c r="P112" i="59"/>
  <c r="P118" i="59"/>
  <c r="P108" i="59"/>
  <c r="P121" i="59"/>
  <c r="P111" i="59"/>
  <c r="P119" i="59"/>
  <c r="J46" i="62"/>
  <c r="J47" i="62"/>
  <c r="J48" i="57"/>
  <c r="J49" i="57"/>
  <c r="R14" i="35"/>
  <c r="J30" i="31"/>
  <c r="P30" i="31"/>
  <c r="J28" i="31"/>
  <c r="J29" i="31"/>
  <c r="P29" i="31"/>
  <c r="P112" i="57"/>
  <c r="P114" i="57"/>
  <c r="J180" i="31"/>
  <c r="J181" i="31"/>
  <c r="J182" i="31"/>
  <c r="N13" i="39"/>
  <c r="N15" i="39"/>
  <c r="M15" i="39"/>
  <c r="F30" i="18"/>
  <c r="F31" i="18"/>
  <c r="M14" i="40"/>
  <c r="L15" i="40"/>
  <c r="L362" i="31"/>
  <c r="L363" i="31"/>
  <c r="O187" i="60"/>
  <c r="O183" i="60"/>
  <c r="F115" i="62"/>
  <c r="F106" i="62"/>
  <c r="F111" i="62"/>
  <c r="F102" i="62"/>
  <c r="P241" i="57"/>
  <c r="P253" i="57"/>
  <c r="P252" i="57"/>
  <c r="P275" i="57"/>
  <c r="P270" i="57"/>
  <c r="P266" i="57"/>
  <c r="P292" i="57"/>
  <c r="P304" i="57"/>
  <c r="P301" i="57"/>
  <c r="P233" i="57"/>
  <c r="L279" i="31"/>
  <c r="L280" i="31"/>
  <c r="F65" i="18"/>
  <c r="F66" i="18"/>
  <c r="N19" i="39"/>
  <c r="N21" i="39"/>
  <c r="M21" i="39"/>
  <c r="L24" i="40"/>
  <c r="M22" i="40"/>
  <c r="M118" i="31"/>
  <c r="I48" i="35"/>
  <c r="K48" i="35"/>
  <c r="K50" i="35"/>
  <c r="R50" i="35"/>
  <c r="M37" i="39"/>
  <c r="L38" i="39"/>
  <c r="K96" i="18"/>
  <c r="K95" i="18"/>
  <c r="H30" i="18"/>
  <c r="H31" i="18"/>
  <c r="J94" i="31"/>
  <c r="M32" i="35"/>
  <c r="J214" i="31"/>
  <c r="J213" i="31"/>
  <c r="J25" i="36"/>
  <c r="J29" i="36"/>
  <c r="J21" i="36"/>
  <c r="F153" i="18"/>
  <c r="F154" i="18"/>
  <c r="K152" i="18"/>
  <c r="H66" i="18"/>
  <c r="H65" i="18"/>
  <c r="K140" i="60"/>
  <c r="K227" i="60"/>
  <c r="N8" i="35"/>
  <c r="M93" i="31"/>
  <c r="P120" i="57"/>
  <c r="P111" i="57"/>
  <c r="I630" i="57"/>
  <c r="I705" i="57"/>
  <c r="I645" i="57"/>
  <c r="I781" i="57"/>
  <c r="I20" i="57"/>
  <c r="I18" i="62"/>
  <c r="I17" i="62"/>
  <c r="I10" i="62"/>
  <c r="I19" i="57"/>
  <c r="I20" i="62"/>
  <c r="I21" i="62"/>
  <c r="I18" i="57"/>
  <c r="I16" i="62"/>
  <c r="M31" i="18"/>
  <c r="I19" i="62"/>
  <c r="I48" i="59"/>
  <c r="I13" i="59"/>
  <c r="I47" i="59"/>
  <c r="H428" i="59"/>
  <c r="H385" i="59"/>
  <c r="H342" i="59"/>
  <c r="H429" i="59"/>
  <c r="H386" i="59"/>
  <c r="H343" i="59"/>
  <c r="Q280" i="31"/>
  <c r="O251" i="31"/>
  <c r="H237" i="59"/>
  <c r="H325" i="59"/>
  <c r="H281" i="59"/>
  <c r="K124" i="18"/>
  <c r="K125" i="18"/>
  <c r="L219" i="31"/>
  <c r="L217" i="31"/>
  <c r="L218" i="31"/>
  <c r="L216" i="31"/>
  <c r="J65" i="31"/>
  <c r="J66" i="31"/>
  <c r="J67" i="31"/>
  <c r="J64" i="31"/>
  <c r="H211" i="59"/>
  <c r="H208" i="59"/>
  <c r="Q251" i="31"/>
  <c r="H300" i="59"/>
  <c r="H296" i="59"/>
  <c r="H256" i="59"/>
  <c r="H299" i="59"/>
  <c r="H295" i="59"/>
  <c r="H255" i="59"/>
  <c r="H212" i="59"/>
  <c r="H209" i="59"/>
  <c r="I46" i="62"/>
  <c r="I47" i="62"/>
  <c r="I48" i="57"/>
  <c r="I49" i="57"/>
  <c r="O31" i="18"/>
  <c r="H230" i="60"/>
  <c r="H231" i="60"/>
  <c r="H143" i="60"/>
  <c r="H56" i="60"/>
  <c r="H57" i="60"/>
  <c r="H144" i="60"/>
  <c r="I80" i="62"/>
  <c r="I81" i="62"/>
  <c r="I82" i="57"/>
  <c r="I83" i="57"/>
  <c r="Q31" i="18"/>
  <c r="I172" i="60"/>
  <c r="I85" i="60"/>
  <c r="I53" i="60"/>
  <c r="I259" i="60"/>
  <c r="H317" i="60"/>
  <c r="H313" i="60"/>
  <c r="H273" i="60"/>
  <c r="H360" i="60"/>
  <c r="H356" i="60"/>
  <c r="H274" i="60"/>
  <c r="H316" i="60"/>
  <c r="H312" i="60"/>
  <c r="H359" i="60"/>
  <c r="I149" i="59"/>
  <c r="M223" i="18"/>
  <c r="L65" i="31"/>
  <c r="L64" i="31"/>
  <c r="L66" i="31"/>
  <c r="L67" i="31"/>
  <c r="H180" i="31"/>
  <c r="H182" i="31"/>
  <c r="H181" i="31"/>
  <c r="H388" i="60"/>
  <c r="H302" i="60"/>
  <c r="H345" i="60"/>
  <c r="J95" i="31"/>
  <c r="J96" i="31"/>
  <c r="Q96" i="31"/>
  <c r="N48" i="35"/>
  <c r="N50" i="35"/>
  <c r="I50" i="35"/>
  <c r="N10" i="40"/>
  <c r="N12" i="40"/>
  <c r="M12" i="40"/>
  <c r="H649" i="57"/>
  <c r="M45" i="40"/>
  <c r="L47" i="40"/>
  <c r="E214" i="60"/>
  <c r="E213" i="60"/>
  <c r="L213" i="60"/>
  <c r="E258" i="60"/>
  <c r="E257" i="60"/>
  <c r="L257" i="60"/>
  <c r="E76" i="60"/>
  <c r="E32" i="60"/>
  <c r="E41" i="62"/>
  <c r="E43" i="57"/>
  <c r="E173" i="57"/>
  <c r="E167" i="62"/>
  <c r="F303" i="7"/>
  <c r="H303" i="7"/>
  <c r="H291" i="7"/>
  <c r="E424" i="57"/>
  <c r="I143" i="62"/>
  <c r="I144" i="62"/>
  <c r="I149" i="57"/>
  <c r="I150" i="57"/>
  <c r="J218" i="31"/>
  <c r="J216" i="31"/>
  <c r="J217" i="31"/>
  <c r="J219" i="31"/>
  <c r="N37" i="39"/>
  <c r="N38" i="39"/>
  <c r="M38" i="39"/>
  <c r="N22" i="40"/>
  <c r="N24" i="40"/>
  <c r="M24" i="40"/>
  <c r="I119" i="57"/>
  <c r="I110" i="62"/>
  <c r="I112" i="62"/>
  <c r="I117" i="57"/>
  <c r="I113" i="62"/>
  <c r="I118" i="57"/>
  <c r="I111" i="62"/>
  <c r="M66" i="18"/>
  <c r="I116" i="57"/>
  <c r="P226" i="57"/>
  <c r="P214" i="57"/>
  <c r="P225" i="57"/>
  <c r="P213" i="57"/>
  <c r="P228" i="57"/>
  <c r="P216" i="57"/>
  <c r="P229" i="57"/>
  <c r="P217" i="57"/>
  <c r="P227" i="57"/>
  <c r="P215" i="57"/>
  <c r="H47" i="59"/>
  <c r="H48" i="59"/>
  <c r="H46" i="62"/>
  <c r="H47" i="62"/>
  <c r="H48" i="57"/>
  <c r="H49" i="57"/>
  <c r="P28" i="31"/>
  <c r="H650" i="57"/>
  <c r="H645" i="57"/>
  <c r="I97" i="35"/>
  <c r="N97" i="35"/>
  <c r="K97" i="35"/>
  <c r="K223" i="18"/>
  <c r="I183" i="59"/>
  <c r="K222" i="18"/>
  <c r="M213" i="31"/>
  <c r="M214" i="31"/>
  <c r="E107" i="60"/>
  <c r="E151" i="60"/>
  <c r="E64" i="60"/>
  <c r="E20" i="60"/>
  <c r="E199" i="60"/>
  <c r="E243" i="60"/>
  <c r="E242" i="60"/>
  <c r="E198" i="60"/>
  <c r="E111" i="60"/>
  <c r="E155" i="60"/>
  <c r="E273" i="60"/>
  <c r="E155" i="57"/>
  <c r="E149" i="62"/>
  <c r="E166" i="57"/>
  <c r="E160" i="62"/>
  <c r="E150" i="62"/>
  <c r="E156" i="57"/>
  <c r="E138" i="57"/>
  <c r="E132" i="62"/>
  <c r="E25" i="62"/>
  <c r="E27" i="57"/>
  <c r="E42" i="57"/>
  <c r="E40" i="62"/>
  <c r="E360" i="60"/>
  <c r="E55" i="57"/>
  <c r="E53" i="62"/>
  <c r="E65" i="57"/>
  <c r="E63" i="62"/>
  <c r="G26" i="36"/>
  <c r="G30" i="36"/>
  <c r="G22" i="36"/>
  <c r="K120" i="57"/>
  <c r="K111" i="57"/>
  <c r="K107" i="57"/>
  <c r="K116" i="62"/>
  <c r="K107" i="62"/>
  <c r="K103" i="62"/>
  <c r="J10" i="62"/>
  <c r="J11" i="62"/>
  <c r="L35" i="40"/>
  <c r="M33" i="40"/>
  <c r="P11" i="57"/>
  <c r="I720" i="57"/>
  <c r="I724" i="57"/>
  <c r="I721" i="57"/>
  <c r="I573" i="57"/>
  <c r="I577" i="57"/>
  <c r="I571" i="57"/>
  <c r="I570" i="57"/>
  <c r="I226" i="60"/>
  <c r="I140" i="60"/>
  <c r="G136" i="35"/>
  <c r="K136" i="35"/>
  <c r="E153" i="35"/>
  <c r="H338" i="31"/>
  <c r="H337" i="31"/>
  <c r="M336" i="31"/>
  <c r="L44" i="40"/>
  <c r="M42" i="40"/>
  <c r="H705" i="57"/>
  <c r="H644" i="57"/>
  <c r="H630" i="57"/>
  <c r="H570" i="57"/>
  <c r="O149" i="31"/>
  <c r="H781" i="57"/>
  <c r="H719" i="57"/>
  <c r="H66" i="31"/>
  <c r="H64" i="31"/>
  <c r="H67" i="31"/>
  <c r="H65" i="31"/>
  <c r="I30" i="36"/>
  <c r="I22" i="36"/>
  <c r="I26" i="36"/>
  <c r="M237" i="59"/>
  <c r="N237" i="59"/>
  <c r="U237" i="59"/>
  <c r="E255" i="59"/>
  <c r="E463" i="57"/>
  <c r="E464" i="57"/>
  <c r="E462" i="57"/>
  <c r="E461" i="57"/>
  <c r="E465" i="57"/>
  <c r="E78" i="62"/>
  <c r="E80" i="57"/>
  <c r="E300" i="59"/>
  <c r="E150" i="60"/>
  <c r="E106" i="60"/>
  <c r="E51" i="57"/>
  <c r="E49" i="62"/>
  <c r="E246" i="60"/>
  <c r="E202" i="60"/>
  <c r="E153" i="62"/>
  <c r="E159" i="57"/>
  <c r="E391" i="57"/>
  <c r="E736" i="57"/>
  <c r="E737" i="57"/>
  <c r="E739" i="57"/>
  <c r="E738" i="57"/>
  <c r="E735" i="57"/>
  <c r="E124" i="62"/>
  <c r="E130" i="57"/>
  <c r="E73" i="60"/>
  <c r="E29" i="60"/>
  <c r="E77" i="62"/>
  <c r="E79" i="57"/>
  <c r="E62" i="62"/>
  <c r="E64" i="57"/>
  <c r="E224" i="57"/>
  <c r="E223" i="57"/>
  <c r="E221" i="57"/>
  <c r="E220" i="57"/>
  <c r="E222" i="57"/>
  <c r="E166" i="62"/>
  <c r="E172" i="57"/>
  <c r="E67" i="60"/>
  <c r="E23" i="60"/>
  <c r="E732" i="57"/>
  <c r="E730" i="57"/>
  <c r="E733" i="57"/>
  <c r="E734" i="57"/>
  <c r="E731" i="57"/>
  <c r="E201" i="60"/>
  <c r="E245" i="60"/>
  <c r="E31" i="57"/>
  <c r="E29" i="62"/>
  <c r="M370" i="59"/>
  <c r="N370" i="59"/>
  <c r="U370" i="59"/>
  <c r="E86" i="60"/>
  <c r="E85" i="60"/>
  <c r="L85" i="60"/>
  <c r="E42" i="60"/>
  <c r="E41" i="60"/>
  <c r="L41" i="60"/>
  <c r="E161" i="60"/>
  <c r="E117" i="60"/>
  <c r="E216" i="60"/>
  <c r="E215" i="60"/>
  <c r="L215" i="60"/>
  <c r="E260" i="60"/>
  <c r="E259" i="60"/>
  <c r="L259" i="60"/>
  <c r="E69" i="62"/>
  <c r="E71" i="57"/>
  <c r="E661" i="57"/>
  <c r="E663" i="57"/>
  <c r="E662" i="57"/>
  <c r="E660" i="57"/>
  <c r="E664" i="57"/>
  <c r="I9" i="59"/>
  <c r="E170" i="62"/>
  <c r="E176" i="57"/>
  <c r="E35" i="60"/>
  <c r="E79" i="60"/>
  <c r="E38" i="60"/>
  <c r="E82" i="60"/>
  <c r="E80" i="60"/>
  <c r="E36" i="60"/>
  <c r="E255" i="60"/>
  <c r="E211" i="60"/>
  <c r="E173" i="62"/>
  <c r="E179" i="57"/>
  <c r="E190" i="57"/>
  <c r="E184" i="62"/>
  <c r="E89" i="57"/>
  <c r="E87" i="62"/>
  <c r="E86" i="57"/>
  <c r="E84" i="62"/>
  <c r="E191" i="57"/>
  <c r="E185" i="62"/>
  <c r="I271" i="57"/>
  <c r="I267" i="57"/>
  <c r="I391" i="57"/>
  <c r="I387" i="57"/>
  <c r="I510" i="57"/>
  <c r="I506" i="57"/>
  <c r="I270" i="57"/>
  <c r="I266" i="57"/>
  <c r="I511" i="57"/>
  <c r="I507" i="57"/>
  <c r="I392" i="57"/>
  <c r="I388" i="57"/>
  <c r="K154" i="18"/>
  <c r="K153" i="18"/>
  <c r="J177" i="62"/>
  <c r="J178" i="62"/>
  <c r="J183" i="57"/>
  <c r="J184" i="57"/>
  <c r="N14" i="40"/>
  <c r="N15" i="40"/>
  <c r="M15" i="40"/>
  <c r="P109" i="59"/>
  <c r="H572" i="57"/>
  <c r="H651" i="57"/>
  <c r="H577" i="57"/>
  <c r="J149" i="57"/>
  <c r="J150" i="57"/>
  <c r="J143" i="62"/>
  <c r="J144" i="62"/>
  <c r="E54" i="57"/>
  <c r="E52" i="62"/>
  <c r="E18" i="60"/>
  <c r="E62" i="60"/>
  <c r="F227" i="7"/>
  <c r="H227" i="7"/>
  <c r="H215" i="7"/>
  <c r="E303" i="57"/>
  <c r="E271" i="57"/>
  <c r="E192" i="60"/>
  <c r="E236" i="60"/>
  <c r="E127" i="60"/>
  <c r="E126" i="60"/>
  <c r="L126" i="60"/>
  <c r="E171" i="60"/>
  <c r="E170" i="60"/>
  <c r="L170" i="60"/>
  <c r="E120" i="62"/>
  <c r="E126" i="57"/>
  <c r="E359" i="60"/>
  <c r="E66" i="57"/>
  <c r="E64" i="62"/>
  <c r="E316" i="60"/>
  <c r="E163" i="60"/>
  <c r="E119" i="60"/>
  <c r="H367" i="7"/>
  <c r="E543" i="57"/>
  <c r="F379" i="7"/>
  <c r="H379" i="7"/>
  <c r="E127" i="57"/>
  <c r="E121" i="62"/>
  <c r="E161" i="57"/>
  <c r="E155" i="62"/>
  <c r="M628" i="57"/>
  <c r="N628" i="57"/>
  <c r="U628" i="57"/>
  <c r="H121" i="31"/>
  <c r="H122" i="31"/>
  <c r="M120" i="31"/>
  <c r="F124" i="18"/>
  <c r="F125" i="18"/>
  <c r="E175" i="35"/>
  <c r="G158" i="35"/>
  <c r="M158" i="35"/>
  <c r="N158" i="35"/>
  <c r="G25" i="36"/>
  <c r="G21" i="36"/>
  <c r="G29" i="36"/>
  <c r="K122" i="57"/>
  <c r="K113" i="57"/>
  <c r="K109" i="57"/>
  <c r="K102" i="62"/>
  <c r="K115" i="62"/>
  <c r="K106" i="62"/>
  <c r="J22" i="57"/>
  <c r="J15" i="57"/>
  <c r="J12" i="57"/>
  <c r="J14" i="62"/>
  <c r="J21" i="57"/>
  <c r="J14" i="57"/>
  <c r="J11" i="57"/>
  <c r="P15" i="57"/>
  <c r="I727" i="57"/>
  <c r="I726" i="57"/>
  <c r="I718" i="57"/>
  <c r="I648" i="57"/>
  <c r="I569" i="57"/>
  <c r="I568" i="57"/>
  <c r="I52" i="60"/>
  <c r="M115" i="35"/>
  <c r="K115" i="35"/>
  <c r="K65" i="18"/>
  <c r="K66" i="18"/>
  <c r="P211" i="57"/>
  <c r="P212" i="57"/>
  <c r="E38" i="62"/>
  <c r="E40" i="57"/>
  <c r="E109" i="60"/>
  <c r="E153" i="60"/>
  <c r="E256" i="59"/>
  <c r="E174" i="62"/>
  <c r="E180" i="57"/>
  <c r="E22" i="60"/>
  <c r="E66" i="60"/>
  <c r="E19" i="59"/>
  <c r="E21" i="59"/>
  <c r="E20" i="59"/>
  <c r="E18" i="59"/>
  <c r="E17" i="59"/>
  <c r="E16" i="59"/>
  <c r="E342" i="57"/>
  <c r="E341" i="57"/>
  <c r="E345" i="57"/>
  <c r="E343" i="57"/>
  <c r="E344" i="57"/>
  <c r="E43" i="62"/>
  <c r="E45" i="57"/>
  <c r="E146" i="60"/>
  <c r="E102" i="60"/>
  <c r="N412" i="59"/>
  <c r="U412" i="59"/>
  <c r="M412" i="59"/>
  <c r="E63" i="60"/>
  <c r="E19" i="60"/>
  <c r="E17" i="60"/>
  <c r="E61" i="60"/>
  <c r="E67" i="62"/>
  <c r="E69" i="57"/>
  <c r="E116" i="59"/>
  <c r="E122" i="59"/>
  <c r="E120" i="59"/>
  <c r="E117" i="59"/>
  <c r="E119" i="59"/>
  <c r="E115" i="59"/>
  <c r="E118" i="59"/>
  <c r="E121" i="59"/>
  <c r="E163" i="62"/>
  <c r="E169" i="57"/>
  <c r="E115" i="60"/>
  <c r="E159" i="60"/>
  <c r="E31" i="60"/>
  <c r="E75" i="60"/>
  <c r="E10" i="36"/>
  <c r="E9" i="36"/>
  <c r="E148" i="62"/>
  <c r="E154" i="57"/>
  <c r="E467" i="57"/>
  <c r="E468" i="57"/>
  <c r="E466" i="57"/>
  <c r="E470" i="57"/>
  <c r="E469" i="57"/>
  <c r="H92" i="7"/>
  <c r="F96" i="7"/>
  <c r="H96" i="7"/>
  <c r="F98" i="7"/>
  <c r="H98" i="7"/>
  <c r="F94" i="7"/>
  <c r="H94" i="7"/>
  <c r="E114" i="60"/>
  <c r="E158" i="60"/>
  <c r="M386" i="60"/>
  <c r="N386" i="60"/>
  <c r="M454" i="59"/>
  <c r="N454" i="59"/>
  <c r="U454" i="59"/>
  <c r="M300" i="60"/>
  <c r="N300" i="60"/>
  <c r="E56" i="62"/>
  <c r="E58" i="57"/>
  <c r="E193" i="60"/>
  <c r="E237" i="60"/>
  <c r="M368" i="59"/>
  <c r="N368" i="59"/>
  <c r="U368" i="59"/>
  <c r="E343" i="59"/>
  <c r="E346" i="57"/>
  <c r="E347" i="57"/>
  <c r="E350" i="57"/>
  <c r="E349" i="57"/>
  <c r="E348" i="57"/>
  <c r="E233" i="60"/>
  <c r="E189" i="60"/>
  <c r="E165" i="62"/>
  <c r="E171" i="57"/>
  <c r="E146" i="57"/>
  <c r="E140" i="62"/>
  <c r="E205" i="60"/>
  <c r="E249" i="60"/>
  <c r="E655" i="57"/>
  <c r="E656" i="57"/>
  <c r="E657" i="57"/>
  <c r="E658" i="57"/>
  <c r="E659" i="57"/>
  <c r="Q28" i="31"/>
  <c r="H82" i="57"/>
  <c r="H83" i="57"/>
  <c r="H80" i="62"/>
  <c r="H81" i="62"/>
  <c r="I11" i="59"/>
  <c r="H26" i="36"/>
  <c r="H30" i="36"/>
  <c r="H22" i="36"/>
  <c r="E209" i="60"/>
  <c r="E253" i="60"/>
  <c r="E73" i="62"/>
  <c r="E75" i="57"/>
  <c r="E76" i="62"/>
  <c r="E78" i="57"/>
  <c r="E75" i="62"/>
  <c r="E77" i="57"/>
  <c r="E37" i="60"/>
  <c r="E81" i="60"/>
  <c r="E166" i="60"/>
  <c r="E122" i="60"/>
  <c r="E85" i="57"/>
  <c r="E83" i="62"/>
  <c r="M81" i="59"/>
  <c r="N81" i="59"/>
  <c r="U81" i="59"/>
  <c r="H726" i="57"/>
  <c r="H648" i="57"/>
  <c r="H219" i="31"/>
  <c r="H217" i="31"/>
  <c r="H216" i="31"/>
  <c r="E149" i="60"/>
  <c r="E105" i="60"/>
  <c r="L317" i="60"/>
  <c r="E313" i="60"/>
  <c r="E156" i="60"/>
  <c r="E112" i="60"/>
  <c r="E25" i="60"/>
  <c r="E69" i="60"/>
  <c r="E126" i="62"/>
  <c r="E132" i="57"/>
  <c r="E250" i="60"/>
  <c r="E206" i="60"/>
  <c r="E42" i="62"/>
  <c r="E44" i="57"/>
  <c r="E36" i="62"/>
  <c r="E38" i="57"/>
  <c r="E24" i="60"/>
  <c r="E68" i="60"/>
  <c r="E61" i="57"/>
  <c r="E59" i="62"/>
  <c r="M779" i="57"/>
  <c r="N779" i="57"/>
  <c r="U779" i="57"/>
  <c r="E134" i="62"/>
  <c r="E140" i="57"/>
  <c r="E30" i="62"/>
  <c r="E32" i="57"/>
  <c r="M703" i="57"/>
  <c r="N703" i="57"/>
  <c r="U703" i="57"/>
  <c r="N95" i="35"/>
  <c r="M177" i="31"/>
  <c r="M178" i="31"/>
  <c r="M250" i="31"/>
  <c r="M251" i="31"/>
  <c r="K117" i="62"/>
  <c r="K108" i="62"/>
  <c r="K104" i="62"/>
  <c r="K114" i="62"/>
  <c r="K105" i="62"/>
  <c r="K101" i="62"/>
  <c r="N65" i="35"/>
  <c r="N67" i="35"/>
  <c r="I67" i="35"/>
  <c r="J13" i="62"/>
  <c r="J13" i="57"/>
  <c r="J23" i="57"/>
  <c r="J16" i="57"/>
  <c r="L38" i="40"/>
  <c r="M36" i="40"/>
  <c r="I719" i="57"/>
  <c r="I723" i="57"/>
  <c r="I650" i="57"/>
  <c r="I647" i="57"/>
  <c r="I575" i="57"/>
  <c r="I574" i="57"/>
  <c r="I139" i="60"/>
  <c r="I456" i="59"/>
  <c r="I424" i="59"/>
  <c r="I414" i="59"/>
  <c r="I381" i="59"/>
  <c r="I370" i="59"/>
  <c r="I339" i="59"/>
  <c r="M16" i="39"/>
  <c r="L18" i="39"/>
  <c r="M362" i="31"/>
  <c r="M363" i="31"/>
  <c r="O25" i="36"/>
  <c r="O21" i="36"/>
  <c r="G99" i="35"/>
  <c r="E119" i="35"/>
  <c r="I128" i="60"/>
  <c r="I215" i="60"/>
  <c r="I182" i="60"/>
  <c r="I41" i="60"/>
  <c r="I8" i="60"/>
  <c r="L41" i="40"/>
  <c r="M39" i="40"/>
  <c r="H279" i="31"/>
  <c r="M278" i="31"/>
  <c r="H280" i="31"/>
  <c r="H29" i="31"/>
  <c r="H28" i="31"/>
  <c r="H30" i="31"/>
  <c r="M148" i="31"/>
  <c r="M149" i="31"/>
  <c r="E241" i="60"/>
  <c r="E197" i="60"/>
  <c r="E27" i="60"/>
  <c r="E71" i="60"/>
  <c r="E429" i="59"/>
  <c r="M325" i="59"/>
  <c r="N325" i="59"/>
  <c r="U325" i="59"/>
  <c r="E55" i="62"/>
  <c r="E57" i="57"/>
  <c r="E428" i="59"/>
  <c r="E212" i="59"/>
  <c r="E59" i="60"/>
  <c r="E15" i="60"/>
  <c r="E63" i="57"/>
  <c r="E61" i="62"/>
  <c r="E53" i="57"/>
  <c r="E51" i="62"/>
  <c r="E147" i="60"/>
  <c r="E103" i="60"/>
  <c r="E386" i="59"/>
  <c r="M345" i="60"/>
  <c r="N345" i="60"/>
  <c r="E160" i="60"/>
  <c r="E116" i="60"/>
  <c r="M414" i="59"/>
  <c r="N414" i="59"/>
  <c r="U414" i="59"/>
  <c r="F20" i="7"/>
  <c r="H20" i="7"/>
  <c r="H18" i="7"/>
  <c r="F22" i="7"/>
  <c r="H22" i="7"/>
  <c r="E247" i="60"/>
  <c r="E203" i="60"/>
  <c r="E164" i="57"/>
  <c r="E158" i="62"/>
  <c r="E149" i="59"/>
  <c r="L149" i="59"/>
  <c r="E48" i="59"/>
  <c r="L48" i="59"/>
  <c r="E16" i="60"/>
  <c r="E60" i="60"/>
  <c r="E299" i="59"/>
  <c r="M302" i="60"/>
  <c r="N302" i="60"/>
  <c r="M281" i="59"/>
  <c r="N281" i="59"/>
  <c r="U281" i="59"/>
  <c r="E125" i="57"/>
  <c r="E119" i="62"/>
  <c r="E159" i="62"/>
  <c r="E165" i="57"/>
  <c r="H263" i="7"/>
  <c r="E396" i="57"/>
  <c r="F264" i="7"/>
  <c r="H264" i="7"/>
  <c r="E397" i="57"/>
  <c r="E392" i="57"/>
  <c r="M343" i="60"/>
  <c r="N343" i="60"/>
  <c r="E196" i="60"/>
  <c r="E240" i="60"/>
  <c r="E147" i="62"/>
  <c r="E153" i="57"/>
  <c r="M388" i="60"/>
  <c r="N388" i="60"/>
  <c r="E235" i="60"/>
  <c r="E191" i="60"/>
  <c r="E131" i="57"/>
  <c r="E125" i="62"/>
  <c r="E586" i="57"/>
  <c r="E588" i="57"/>
  <c r="E585" i="57"/>
  <c r="E587" i="57"/>
  <c r="E589" i="57"/>
  <c r="M630" i="57"/>
  <c r="N630" i="57"/>
  <c r="U630" i="57"/>
  <c r="N705" i="57"/>
  <c r="U705" i="57"/>
  <c r="M705" i="57"/>
  <c r="I10" i="59"/>
  <c r="H29" i="36"/>
  <c r="H25" i="36"/>
  <c r="H21" i="36"/>
  <c r="E76" i="57"/>
  <c r="E74" i="62"/>
  <c r="E254" i="60"/>
  <c r="E210" i="60"/>
  <c r="E256" i="60"/>
  <c r="E212" i="60"/>
  <c r="E169" i="60"/>
  <c r="E125" i="60"/>
  <c r="I9" i="60"/>
  <c r="E186" i="57"/>
  <c r="E180" i="62"/>
  <c r="E181" i="62"/>
  <c r="E187" i="57"/>
  <c r="E189" i="57"/>
  <c r="E183" i="62"/>
  <c r="E88" i="57"/>
  <c r="E86" i="62"/>
  <c r="H723" i="57"/>
  <c r="H652" i="57"/>
  <c r="H574" i="57"/>
  <c r="H647" i="57"/>
  <c r="H646" i="57"/>
  <c r="E138" i="35"/>
  <c r="G117" i="35"/>
  <c r="K117" i="35"/>
  <c r="N117" i="35"/>
  <c r="J222" i="18"/>
  <c r="J223" i="18"/>
  <c r="O223" i="18"/>
  <c r="M94" i="31"/>
  <c r="H95" i="31"/>
  <c r="H96" i="31"/>
  <c r="E143" i="57"/>
  <c r="E137" i="62"/>
  <c r="E26" i="57"/>
  <c r="E24" i="62"/>
  <c r="E37" i="57"/>
  <c r="E35" i="62"/>
  <c r="E144" i="57"/>
  <c r="E138" i="62"/>
  <c r="E156" i="62"/>
  <c r="E162" i="57"/>
  <c r="E139" i="62"/>
  <c r="E145" i="57"/>
  <c r="E58" i="62"/>
  <c r="E60" i="57"/>
  <c r="E274" i="60"/>
  <c r="E37" i="62"/>
  <c r="E39" i="57"/>
  <c r="E40" i="60"/>
  <c r="E39" i="60"/>
  <c r="L39" i="60"/>
  <c r="E84" i="60"/>
  <c r="E83" i="60"/>
  <c r="L83" i="60"/>
  <c r="E238" i="60"/>
  <c r="E194" i="60"/>
  <c r="E72" i="57"/>
  <c r="E70" i="62"/>
  <c r="E133" i="62"/>
  <c r="E139" i="57"/>
  <c r="K110" i="57"/>
  <c r="K123" i="57"/>
  <c r="K114" i="57"/>
  <c r="K121" i="57"/>
  <c r="K112" i="57"/>
  <c r="K108" i="57"/>
  <c r="J392" i="57"/>
  <c r="J388" i="57"/>
  <c r="J270" i="57"/>
  <c r="J266" i="57"/>
  <c r="J511" i="57"/>
  <c r="J507" i="57"/>
  <c r="J510" i="57"/>
  <c r="J506" i="57"/>
  <c r="J391" i="57"/>
  <c r="J387" i="57"/>
  <c r="J271" i="57"/>
  <c r="J267" i="57"/>
  <c r="J9" i="62"/>
  <c r="J12" i="62"/>
  <c r="P16" i="57"/>
  <c r="P13" i="57"/>
  <c r="I722" i="57"/>
  <c r="I725" i="57"/>
  <c r="I649" i="57"/>
  <c r="I576" i="57"/>
  <c r="I572" i="57"/>
  <c r="I227" i="60"/>
  <c r="J122" i="31"/>
  <c r="J121" i="31"/>
  <c r="O26" i="36"/>
  <c r="O22" i="36"/>
  <c r="I82" i="35"/>
  <c r="M82" i="35"/>
  <c r="M84" i="35"/>
  <c r="J117" i="57"/>
  <c r="J112" i="62"/>
  <c r="J119" i="57"/>
  <c r="J113" i="62"/>
  <c r="J110" i="62"/>
  <c r="J118" i="57"/>
  <c r="J116" i="57"/>
  <c r="J111" i="62"/>
  <c r="P32" i="35"/>
  <c r="P209" i="57"/>
  <c r="I425" i="59"/>
  <c r="I382" i="59"/>
  <c r="E141" i="57"/>
  <c r="E135" i="62"/>
  <c r="M61" i="31"/>
  <c r="M62" i="31"/>
  <c r="I21" i="36"/>
  <c r="I25" i="36"/>
  <c r="I29" i="36"/>
  <c r="M456" i="59"/>
  <c r="N456" i="59"/>
  <c r="U456" i="59"/>
  <c r="E30" i="57"/>
  <c r="E28" i="62"/>
  <c r="E44" i="62"/>
  <c r="E46" i="57"/>
  <c r="E68" i="57"/>
  <c r="E66" i="62"/>
  <c r="E68" i="62"/>
  <c r="E70" i="57"/>
  <c r="E154" i="60"/>
  <c r="E110" i="60"/>
  <c r="E162" i="60"/>
  <c r="E118" i="60"/>
  <c r="E342" i="59"/>
  <c r="M781" i="57"/>
  <c r="N781" i="57"/>
  <c r="U781" i="57"/>
  <c r="E146" i="62"/>
  <c r="E143" i="62"/>
  <c r="L143" i="62"/>
  <c r="E152" i="57"/>
  <c r="E385" i="59"/>
  <c r="E248" i="60"/>
  <c r="E204" i="60"/>
  <c r="E170" i="57"/>
  <c r="E164" i="62"/>
  <c r="E228" i="57"/>
  <c r="E226" i="57"/>
  <c r="E229" i="57"/>
  <c r="E225" i="57"/>
  <c r="E227" i="57"/>
  <c r="E50" i="62"/>
  <c r="E47" i="62"/>
  <c r="E52" i="57"/>
  <c r="E234" i="60"/>
  <c r="E190" i="60"/>
  <c r="E47" i="59"/>
  <c r="L47" i="59"/>
  <c r="E141" i="62"/>
  <c r="E147" i="57"/>
  <c r="E129" i="57"/>
  <c r="E123" i="62"/>
  <c r="E104" i="60"/>
  <c r="E148" i="60"/>
  <c r="E150" i="59"/>
  <c r="L150" i="59"/>
  <c r="E181" i="57"/>
  <c r="E175" i="62"/>
  <c r="E158" i="57"/>
  <c r="E152" i="62"/>
  <c r="E211" i="59"/>
  <c r="E510" i="57"/>
  <c r="E511" i="57"/>
  <c r="E23" i="62"/>
  <c r="E25" i="57"/>
  <c r="E74" i="60"/>
  <c r="E30" i="60"/>
  <c r="E173" i="60"/>
  <c r="E172" i="60"/>
  <c r="L172" i="60"/>
  <c r="E129" i="60"/>
  <c r="E128" i="60"/>
  <c r="L128" i="60"/>
  <c r="E28" i="60"/>
  <c r="E72" i="60"/>
  <c r="E27" i="62"/>
  <c r="E29" i="57"/>
  <c r="E580" i="57"/>
  <c r="E582" i="57"/>
  <c r="E584" i="57"/>
  <c r="E581" i="57"/>
  <c r="E583" i="57"/>
  <c r="I14" i="59"/>
  <c r="E168" i="60"/>
  <c r="E124" i="60"/>
  <c r="E172" i="62"/>
  <c r="E178" i="57"/>
  <c r="E123" i="60"/>
  <c r="E167" i="60"/>
  <c r="E177" i="57"/>
  <c r="E171" i="62"/>
  <c r="I95" i="60"/>
  <c r="I96" i="60"/>
  <c r="E88" i="62"/>
  <c r="E90" i="57"/>
  <c r="N183" i="59"/>
  <c r="U183" i="59"/>
  <c r="M183" i="59"/>
  <c r="H225" i="57"/>
  <c r="H213" i="57"/>
  <c r="H465" i="57"/>
  <c r="H453" i="57"/>
  <c r="H221" i="57"/>
  <c r="H209" i="57"/>
  <c r="H344" i="57"/>
  <c r="H332" i="57"/>
  <c r="H467" i="57"/>
  <c r="H455" i="57"/>
  <c r="H222" i="57"/>
  <c r="H210" i="57"/>
  <c r="H223" i="57"/>
  <c r="H211" i="57"/>
  <c r="H348" i="57"/>
  <c r="H336" i="57"/>
  <c r="H350" i="57"/>
  <c r="H338" i="57"/>
  <c r="O96" i="31"/>
  <c r="H345" i="57"/>
  <c r="H333" i="57"/>
  <c r="H227" i="57"/>
  <c r="H215" i="57"/>
  <c r="H463" i="57"/>
  <c r="H451" i="57"/>
  <c r="H229" i="57"/>
  <c r="H217" i="57"/>
  <c r="H461" i="57"/>
  <c r="H449" i="57"/>
  <c r="H469" i="57"/>
  <c r="H457" i="57"/>
  <c r="H347" i="57"/>
  <c r="H335" i="57"/>
  <c r="H349" i="57"/>
  <c r="H337" i="57"/>
  <c r="H341" i="57"/>
  <c r="H329" i="57"/>
  <c r="H220" i="57"/>
  <c r="H208" i="57"/>
  <c r="H466" i="57"/>
  <c r="H454" i="57"/>
  <c r="H228" i="57"/>
  <c r="H216" i="57"/>
  <c r="H346" i="57"/>
  <c r="H334" i="57"/>
  <c r="H462" i="57"/>
  <c r="H450" i="57"/>
  <c r="H224" i="57"/>
  <c r="H212" i="57"/>
  <c r="H470" i="57"/>
  <c r="H458" i="57"/>
  <c r="H468" i="57"/>
  <c r="H456" i="57"/>
  <c r="H343" i="57"/>
  <c r="H331" i="57"/>
  <c r="H226" i="57"/>
  <c r="H214" i="57"/>
  <c r="H342" i="57"/>
  <c r="H330" i="57"/>
  <c r="H464" i="57"/>
  <c r="H452" i="57"/>
  <c r="L392" i="57"/>
  <c r="L271" i="57"/>
  <c r="L581" i="57"/>
  <c r="E569" i="57"/>
  <c r="E208" i="59"/>
  <c r="L211" i="59"/>
  <c r="L226" i="57"/>
  <c r="J121" i="57"/>
  <c r="J112" i="57"/>
  <c r="J108" i="57"/>
  <c r="L588" i="57"/>
  <c r="E576" i="57"/>
  <c r="E295" i="59"/>
  <c r="L299" i="59"/>
  <c r="L582" i="57"/>
  <c r="E570" i="57"/>
  <c r="L511" i="57"/>
  <c r="E231" i="60"/>
  <c r="L225" i="57"/>
  <c r="L385" i="59"/>
  <c r="E381" i="59"/>
  <c r="J120" i="57"/>
  <c r="J111" i="57"/>
  <c r="J107" i="57"/>
  <c r="J123" i="57"/>
  <c r="J114" i="57"/>
  <c r="J110" i="57"/>
  <c r="N82" i="35"/>
  <c r="N84" i="35"/>
  <c r="I84" i="35"/>
  <c r="H391" i="57"/>
  <c r="H387" i="57"/>
  <c r="H392" i="57"/>
  <c r="H388" i="57"/>
  <c r="H271" i="57"/>
  <c r="H267" i="57"/>
  <c r="H270" i="57"/>
  <c r="H266" i="57"/>
  <c r="H511" i="57"/>
  <c r="H507" i="57"/>
  <c r="H510" i="57"/>
  <c r="H506" i="57"/>
  <c r="M39" i="60"/>
  <c r="N39" i="60"/>
  <c r="E183" i="57"/>
  <c r="L183" i="57"/>
  <c r="E184" i="57"/>
  <c r="L184" i="57"/>
  <c r="L587" i="57"/>
  <c r="E575" i="57"/>
  <c r="E110" i="62"/>
  <c r="E112" i="62"/>
  <c r="E116" i="62"/>
  <c r="E114" i="62"/>
  <c r="E13" i="60"/>
  <c r="E33" i="57"/>
  <c r="E21" i="57"/>
  <c r="E31" i="62"/>
  <c r="L386" i="59"/>
  <c r="E382" i="59"/>
  <c r="E56" i="60"/>
  <c r="M29" i="31"/>
  <c r="H17" i="62"/>
  <c r="H19" i="57"/>
  <c r="O29" i="31"/>
  <c r="H122" i="59"/>
  <c r="M219" i="31"/>
  <c r="H118" i="59"/>
  <c r="E82" i="57"/>
  <c r="L82" i="57"/>
  <c r="E83" i="57"/>
  <c r="L656" i="57"/>
  <c r="E645" i="57"/>
  <c r="E186" i="60"/>
  <c r="L350" i="57"/>
  <c r="E129" i="62"/>
  <c r="E135" i="57"/>
  <c r="E122" i="57"/>
  <c r="L466" i="57"/>
  <c r="E454" i="57"/>
  <c r="E109" i="59"/>
  <c r="L119" i="59"/>
  <c r="E106" i="59"/>
  <c r="L116" i="59"/>
  <c r="L341" i="57"/>
  <c r="E11" i="59"/>
  <c r="L18" i="59"/>
  <c r="L256" i="59"/>
  <c r="E253" i="59"/>
  <c r="E494" i="57"/>
  <c r="E493" i="57"/>
  <c r="L493" i="57"/>
  <c r="E555" i="57"/>
  <c r="E554" i="57"/>
  <c r="L554" i="57"/>
  <c r="L316" i="60"/>
  <c r="E312" i="60"/>
  <c r="H727" i="57"/>
  <c r="L662" i="57"/>
  <c r="E651" i="57"/>
  <c r="E722" i="57"/>
  <c r="L734" i="57"/>
  <c r="L222" i="57"/>
  <c r="L224" i="57"/>
  <c r="E725" i="57"/>
  <c r="L737" i="57"/>
  <c r="E46" i="62"/>
  <c r="L46" i="62"/>
  <c r="E296" i="59"/>
  <c r="L300" i="59"/>
  <c r="L461" i="57"/>
  <c r="E449" i="57"/>
  <c r="L255" i="59"/>
  <c r="E252" i="59"/>
  <c r="H116" i="57"/>
  <c r="M64" i="31"/>
  <c r="O64" i="31"/>
  <c r="H110" i="62"/>
  <c r="N42" i="40"/>
  <c r="N44" i="40"/>
  <c r="M44" i="40"/>
  <c r="H85" i="60"/>
  <c r="H172" i="60"/>
  <c r="H139" i="60"/>
  <c r="H259" i="60"/>
  <c r="H724" i="57"/>
  <c r="I109" i="57"/>
  <c r="I122" i="57"/>
  <c r="I113" i="57"/>
  <c r="I114" i="62"/>
  <c r="I105" i="62"/>
  <c r="I101" i="62"/>
  <c r="H149" i="59"/>
  <c r="O216" i="31"/>
  <c r="M257" i="60"/>
  <c r="N257" i="60"/>
  <c r="H17" i="59"/>
  <c r="H10" i="59"/>
  <c r="M181" i="31"/>
  <c r="I105" i="59"/>
  <c r="I106" i="59"/>
  <c r="I150" i="59"/>
  <c r="I108" i="59"/>
  <c r="I107" i="59"/>
  <c r="H424" i="59"/>
  <c r="I13" i="62"/>
  <c r="I23" i="57"/>
  <c r="I16" i="57"/>
  <c r="I13" i="57"/>
  <c r="L583" i="57"/>
  <c r="E571" i="57"/>
  <c r="L580" i="57"/>
  <c r="E568" i="57"/>
  <c r="L510" i="57"/>
  <c r="E49" i="57"/>
  <c r="L229" i="57"/>
  <c r="E149" i="57"/>
  <c r="L149" i="57"/>
  <c r="E338" i="59"/>
  <c r="L342" i="59"/>
  <c r="J122" i="57"/>
  <c r="J113" i="57"/>
  <c r="J109" i="57"/>
  <c r="J116" i="62"/>
  <c r="J107" i="62"/>
  <c r="J103" i="62"/>
  <c r="I646" i="57"/>
  <c r="M95" i="31"/>
  <c r="M96" i="31"/>
  <c r="E155" i="35"/>
  <c r="G138" i="35"/>
  <c r="K138" i="35"/>
  <c r="N138" i="35"/>
  <c r="E156" i="35"/>
  <c r="G156" i="35"/>
  <c r="M156" i="35"/>
  <c r="N156" i="35"/>
  <c r="H569" i="57"/>
  <c r="L585" i="57"/>
  <c r="E573" i="57"/>
  <c r="E123" i="57"/>
  <c r="E116" i="57"/>
  <c r="M48" i="59"/>
  <c r="N48" i="59"/>
  <c r="U48" i="59"/>
  <c r="E32" i="62"/>
  <c r="E34" i="57"/>
  <c r="E19" i="57"/>
  <c r="E100" i="60"/>
  <c r="L212" i="59"/>
  <c r="E209" i="59"/>
  <c r="N39" i="40"/>
  <c r="N41" i="40"/>
  <c r="M41" i="40"/>
  <c r="N16" i="39"/>
  <c r="N18" i="39"/>
  <c r="M18" i="39"/>
  <c r="I651" i="57"/>
  <c r="M38" i="40"/>
  <c r="N36" i="40"/>
  <c r="N38" i="40"/>
  <c r="H573" i="57"/>
  <c r="I183" i="60"/>
  <c r="L659" i="57"/>
  <c r="E648" i="57"/>
  <c r="L655" i="57"/>
  <c r="E644" i="57"/>
  <c r="E230" i="60"/>
  <c r="L347" i="57"/>
  <c r="E133" i="57"/>
  <c r="E120" i="57"/>
  <c r="E127" i="62"/>
  <c r="L468" i="57"/>
  <c r="E456" i="57"/>
  <c r="E25" i="36"/>
  <c r="L25" i="36"/>
  <c r="M25" i="36"/>
  <c r="N25" i="36"/>
  <c r="L9" i="36"/>
  <c r="M9" i="36"/>
  <c r="N9" i="36"/>
  <c r="E21" i="36"/>
  <c r="L21" i="36"/>
  <c r="M21" i="36"/>
  <c r="N21" i="36"/>
  <c r="E29" i="36"/>
  <c r="L29" i="36"/>
  <c r="M29" i="36"/>
  <c r="N29" i="36"/>
  <c r="L121" i="59"/>
  <c r="E111" i="59"/>
  <c r="E107" i="59"/>
  <c r="L117" i="59"/>
  <c r="E99" i="60"/>
  <c r="L344" i="57"/>
  <c r="L342" i="57"/>
  <c r="E13" i="59"/>
  <c r="L20" i="59"/>
  <c r="I338" i="59"/>
  <c r="I653" i="57"/>
  <c r="H576" i="57"/>
  <c r="H725" i="57"/>
  <c r="I12" i="59"/>
  <c r="L663" i="57"/>
  <c r="E652" i="57"/>
  <c r="M259" i="60"/>
  <c r="N259" i="60"/>
  <c r="M41" i="60"/>
  <c r="N41" i="60"/>
  <c r="E270" i="57"/>
  <c r="E721" i="57"/>
  <c r="L733" i="57"/>
  <c r="L220" i="57"/>
  <c r="E723" i="57"/>
  <c r="L735" i="57"/>
  <c r="E724" i="57"/>
  <c r="L736" i="57"/>
  <c r="E48" i="57"/>
  <c r="L48" i="57"/>
  <c r="E450" i="57"/>
  <c r="L462" i="57"/>
  <c r="H118" i="57"/>
  <c r="M66" i="31"/>
  <c r="H112" i="62"/>
  <c r="O66" i="31"/>
  <c r="E170" i="35"/>
  <c r="G153" i="35"/>
  <c r="M153" i="35"/>
  <c r="E356" i="60"/>
  <c r="L360" i="60"/>
  <c r="H653" i="57"/>
  <c r="H718" i="57"/>
  <c r="I107" i="57"/>
  <c r="I120" i="57"/>
  <c r="I111" i="57"/>
  <c r="I117" i="62"/>
  <c r="I108" i="62"/>
  <c r="I104" i="62"/>
  <c r="I110" i="57"/>
  <c r="I123" i="57"/>
  <c r="I114" i="57"/>
  <c r="M218" i="31"/>
  <c r="E374" i="57"/>
  <c r="E373" i="57"/>
  <c r="L373" i="57"/>
  <c r="E436" i="57"/>
  <c r="E435" i="57"/>
  <c r="L435" i="57"/>
  <c r="N213" i="60"/>
  <c r="M213" i="60"/>
  <c r="H568" i="57"/>
  <c r="J225" i="57"/>
  <c r="J213" i="57"/>
  <c r="J227" i="57"/>
  <c r="J215" i="57"/>
  <c r="J221" i="57"/>
  <c r="J209" i="57"/>
  <c r="J223" i="57"/>
  <c r="J211" i="57"/>
  <c r="J344" i="57"/>
  <c r="J332" i="57"/>
  <c r="J468" i="57"/>
  <c r="J456" i="57"/>
  <c r="J345" i="57"/>
  <c r="J333" i="57"/>
  <c r="J466" i="57"/>
  <c r="J454" i="57"/>
  <c r="J224" i="57"/>
  <c r="J212" i="57"/>
  <c r="J346" i="57"/>
  <c r="J334" i="57"/>
  <c r="J348" i="57"/>
  <c r="J336" i="57"/>
  <c r="J350" i="57"/>
  <c r="J338" i="57"/>
  <c r="J462" i="57"/>
  <c r="J450" i="57"/>
  <c r="J229" i="57"/>
  <c r="J217" i="57"/>
  <c r="J467" i="57"/>
  <c r="J455" i="57"/>
  <c r="J220" i="57"/>
  <c r="J208" i="57"/>
  <c r="J226" i="57"/>
  <c r="J214" i="57"/>
  <c r="J228" i="57"/>
  <c r="J216" i="57"/>
  <c r="J222" i="57"/>
  <c r="J210" i="57"/>
  <c r="J342" i="57"/>
  <c r="J330" i="57"/>
  <c r="J463" i="57"/>
  <c r="J451" i="57"/>
  <c r="J343" i="57"/>
  <c r="J331" i="57"/>
  <c r="J465" i="57"/>
  <c r="J453" i="57"/>
  <c r="J470" i="57"/>
  <c r="J458" i="57"/>
  <c r="J341" i="57"/>
  <c r="J329" i="57"/>
  <c r="J347" i="57"/>
  <c r="J335" i="57"/>
  <c r="J349" i="57"/>
  <c r="J337" i="57"/>
  <c r="J461" i="57"/>
  <c r="J449" i="57"/>
  <c r="J469" i="57"/>
  <c r="J457" i="57"/>
  <c r="J464" i="57"/>
  <c r="J452" i="57"/>
  <c r="P50" i="35"/>
  <c r="H18" i="59"/>
  <c r="H11" i="59"/>
  <c r="M182" i="31"/>
  <c r="H183" i="57"/>
  <c r="H184" i="57"/>
  <c r="H177" i="62"/>
  <c r="H178" i="62"/>
  <c r="H355" i="60"/>
  <c r="H269" i="60"/>
  <c r="H140" i="60"/>
  <c r="H227" i="60"/>
  <c r="H253" i="59"/>
  <c r="H143" i="62"/>
  <c r="H144" i="62"/>
  <c r="H149" i="57"/>
  <c r="H150" i="57"/>
  <c r="Q216" i="31"/>
  <c r="H183" i="59"/>
  <c r="I9" i="62"/>
  <c r="I22" i="57"/>
  <c r="I15" i="57"/>
  <c r="I12" i="57"/>
  <c r="M128" i="60"/>
  <c r="N128" i="60"/>
  <c r="E22" i="57"/>
  <c r="E18" i="57"/>
  <c r="E23" i="57"/>
  <c r="M47" i="59"/>
  <c r="N47" i="59"/>
  <c r="U47" i="59"/>
  <c r="M143" i="62"/>
  <c r="N143" i="62"/>
  <c r="J101" i="62"/>
  <c r="J114" i="62"/>
  <c r="J105" i="62"/>
  <c r="E150" i="57"/>
  <c r="L150" i="57"/>
  <c r="N149" i="59"/>
  <c r="U149" i="59"/>
  <c r="M149" i="59"/>
  <c r="E144" i="60"/>
  <c r="E424" i="59"/>
  <c r="L428" i="59"/>
  <c r="H20" i="57"/>
  <c r="M30" i="31"/>
  <c r="H18" i="62"/>
  <c r="O30" i="31"/>
  <c r="P280" i="31"/>
  <c r="H370" i="59"/>
  <c r="H338" i="59"/>
  <c r="H456" i="59"/>
  <c r="H425" i="59"/>
  <c r="H414" i="59"/>
  <c r="H382" i="59"/>
  <c r="G119" i="35"/>
  <c r="E139" i="35"/>
  <c r="G139" i="35"/>
  <c r="K139" i="35"/>
  <c r="N139" i="35"/>
  <c r="E140" i="35"/>
  <c r="H119" i="59"/>
  <c r="M216" i="31"/>
  <c r="H115" i="59"/>
  <c r="L658" i="57"/>
  <c r="E647" i="57"/>
  <c r="L348" i="57"/>
  <c r="L346" i="57"/>
  <c r="E334" i="57"/>
  <c r="E128" i="62"/>
  <c r="E115" i="62"/>
  <c r="E134" i="57"/>
  <c r="E121" i="57"/>
  <c r="E457" i="57"/>
  <c r="L469" i="57"/>
  <c r="E455" i="57"/>
  <c r="L467" i="57"/>
  <c r="L10" i="36"/>
  <c r="M10" i="36"/>
  <c r="N10" i="36"/>
  <c r="E22" i="36"/>
  <c r="L22" i="36"/>
  <c r="M22" i="36"/>
  <c r="N22" i="36"/>
  <c r="E30" i="36"/>
  <c r="L30" i="36"/>
  <c r="M30" i="36"/>
  <c r="N30" i="36"/>
  <c r="E26" i="36"/>
  <c r="L26" i="36"/>
  <c r="M26" i="36"/>
  <c r="N26" i="36"/>
  <c r="E108" i="59"/>
  <c r="L118" i="59"/>
  <c r="E110" i="59"/>
  <c r="L120" i="59"/>
  <c r="E143" i="60"/>
  <c r="L343" i="57"/>
  <c r="E9" i="59"/>
  <c r="L16" i="59"/>
  <c r="L21" i="59"/>
  <c r="E14" i="59"/>
  <c r="N115" i="35"/>
  <c r="N170" i="60"/>
  <c r="M170" i="60"/>
  <c r="L664" i="57"/>
  <c r="E653" i="57"/>
  <c r="L661" i="57"/>
  <c r="E650" i="57"/>
  <c r="N215" i="60"/>
  <c r="M215" i="60"/>
  <c r="M85" i="60"/>
  <c r="N85" i="60"/>
  <c r="E718" i="57"/>
  <c r="L730" i="57"/>
  <c r="L221" i="57"/>
  <c r="L738" i="57"/>
  <c r="E726" i="57"/>
  <c r="L391" i="57"/>
  <c r="E387" i="57"/>
  <c r="L464" i="57"/>
  <c r="E452" i="57"/>
  <c r="H111" i="62"/>
  <c r="O65" i="31"/>
  <c r="H117" i="57"/>
  <c r="M65" i="31"/>
  <c r="M338" i="31"/>
  <c r="M337" i="31"/>
  <c r="N136" i="35"/>
  <c r="N142" i="35"/>
  <c r="M35" i="40"/>
  <c r="N33" i="40"/>
  <c r="N35" i="40"/>
  <c r="E269" i="60"/>
  <c r="L273" i="60"/>
  <c r="H722" i="57"/>
  <c r="H12" i="59"/>
  <c r="H13" i="59"/>
  <c r="H14" i="59"/>
  <c r="I121" i="57"/>
  <c r="I112" i="57"/>
  <c r="I108" i="57"/>
  <c r="H720" i="57"/>
  <c r="M180" i="31"/>
  <c r="H16" i="59"/>
  <c r="H9" i="59"/>
  <c r="H53" i="60"/>
  <c r="H226" i="60"/>
  <c r="I21" i="57"/>
  <c r="I14" i="57"/>
  <c r="I11" i="57"/>
  <c r="L584" i="57"/>
  <c r="E572" i="57"/>
  <c r="M172" i="60"/>
  <c r="N172" i="60"/>
  <c r="M150" i="59"/>
  <c r="N150" i="59"/>
  <c r="U150" i="59"/>
  <c r="E187" i="60"/>
  <c r="L227" i="57"/>
  <c r="L228" i="57"/>
  <c r="J102" i="62"/>
  <c r="J115" i="62"/>
  <c r="J106" i="62"/>
  <c r="J104" i="62"/>
  <c r="J117" i="62"/>
  <c r="J108" i="62"/>
  <c r="J587" i="57"/>
  <c r="J575" i="57"/>
  <c r="J656" i="57"/>
  <c r="J645" i="57"/>
  <c r="J658" i="57"/>
  <c r="J647" i="57"/>
  <c r="J585" i="57"/>
  <c r="J573" i="57"/>
  <c r="J589" i="57"/>
  <c r="J577" i="57"/>
  <c r="J655" i="57"/>
  <c r="J644" i="57"/>
  <c r="J657" i="57"/>
  <c r="J646" i="57"/>
  <c r="J580" i="57"/>
  <c r="J568" i="57"/>
  <c r="J581" i="57"/>
  <c r="J569" i="57"/>
  <c r="J582" i="57"/>
  <c r="J570" i="57"/>
  <c r="J583" i="57"/>
  <c r="J571" i="57"/>
  <c r="J584" i="57"/>
  <c r="J572" i="57"/>
  <c r="J661" i="57"/>
  <c r="J650" i="57"/>
  <c r="J663" i="57"/>
  <c r="J652" i="57"/>
  <c r="J659" i="57"/>
  <c r="J648" i="57"/>
  <c r="J586" i="57"/>
  <c r="J574" i="57"/>
  <c r="J662" i="57"/>
  <c r="J651" i="57"/>
  <c r="J588" i="57"/>
  <c r="J576" i="57"/>
  <c r="J660" i="57"/>
  <c r="J649" i="57"/>
  <c r="J664" i="57"/>
  <c r="J653" i="57"/>
  <c r="J731" i="57"/>
  <c r="J719" i="57"/>
  <c r="J737" i="57"/>
  <c r="J725" i="57"/>
  <c r="J739" i="57"/>
  <c r="J727" i="57"/>
  <c r="J736" i="57"/>
  <c r="J724" i="57"/>
  <c r="J734" i="57"/>
  <c r="J722" i="57"/>
  <c r="J738" i="57"/>
  <c r="J726" i="57"/>
  <c r="J732" i="57"/>
  <c r="J720" i="57"/>
  <c r="J735" i="57"/>
  <c r="J723" i="57"/>
  <c r="P84" i="35"/>
  <c r="J733" i="57"/>
  <c r="J721" i="57"/>
  <c r="J730" i="57"/>
  <c r="J718" i="57"/>
  <c r="I652" i="57"/>
  <c r="M83" i="60"/>
  <c r="N83" i="60"/>
  <c r="L274" i="60"/>
  <c r="E270" i="60"/>
  <c r="H721" i="57"/>
  <c r="E178" i="62"/>
  <c r="L178" i="62"/>
  <c r="E177" i="62"/>
  <c r="L177" i="62"/>
  <c r="L589" i="57"/>
  <c r="E577" i="57"/>
  <c r="L586" i="57"/>
  <c r="E574" i="57"/>
  <c r="E144" i="62"/>
  <c r="L144" i="62"/>
  <c r="E57" i="60"/>
  <c r="E35" i="57"/>
  <c r="E20" i="57"/>
  <c r="E33" i="62"/>
  <c r="E18" i="62"/>
  <c r="E12" i="60"/>
  <c r="L429" i="59"/>
  <c r="E425" i="59"/>
  <c r="H16" i="62"/>
  <c r="O28" i="31"/>
  <c r="H18" i="57"/>
  <c r="M28" i="31"/>
  <c r="M279" i="31"/>
  <c r="M280" i="31"/>
  <c r="K99" i="35"/>
  <c r="K102" i="35"/>
  <c r="M99" i="35"/>
  <c r="M102" i="35"/>
  <c r="J81" i="59"/>
  <c r="I99" i="35"/>
  <c r="L313" i="60"/>
  <c r="M317" i="60"/>
  <c r="M313" i="60"/>
  <c r="H120" i="59"/>
  <c r="M217" i="31"/>
  <c r="H116" i="59"/>
  <c r="H571" i="57"/>
  <c r="E80" i="62"/>
  <c r="L80" i="62"/>
  <c r="E81" i="62"/>
  <c r="L657" i="57"/>
  <c r="E646" i="57"/>
  <c r="L349" i="57"/>
  <c r="E337" i="57"/>
  <c r="L343" i="59"/>
  <c r="E339" i="59"/>
  <c r="E136" i="57"/>
  <c r="E119" i="57"/>
  <c r="E130" i="62"/>
  <c r="E117" i="62"/>
  <c r="E458" i="57"/>
  <c r="L470" i="57"/>
  <c r="L115" i="59"/>
  <c r="E105" i="59"/>
  <c r="L122" i="59"/>
  <c r="E112" i="59"/>
  <c r="L345" i="57"/>
  <c r="E333" i="57"/>
  <c r="E10" i="59"/>
  <c r="L17" i="59"/>
  <c r="L19" i="59"/>
  <c r="E12" i="59"/>
  <c r="I644" i="57"/>
  <c r="G175" i="35"/>
  <c r="K175" i="35"/>
  <c r="N175" i="35"/>
  <c r="E193" i="35"/>
  <c r="M121" i="31"/>
  <c r="M122" i="31"/>
  <c r="L359" i="60"/>
  <c r="E355" i="60"/>
  <c r="M126" i="60"/>
  <c r="N126" i="60"/>
  <c r="E315" i="57"/>
  <c r="E314" i="57"/>
  <c r="L314" i="57"/>
  <c r="E253" i="57"/>
  <c r="E252" i="57"/>
  <c r="L252" i="57"/>
  <c r="H575" i="57"/>
  <c r="L660" i="57"/>
  <c r="E649" i="57"/>
  <c r="E20" i="62"/>
  <c r="E21" i="62"/>
  <c r="E17" i="62"/>
  <c r="E19" i="62"/>
  <c r="E16" i="62"/>
  <c r="E719" i="57"/>
  <c r="L731" i="57"/>
  <c r="L732" i="57"/>
  <c r="E720" i="57"/>
  <c r="L223" i="57"/>
  <c r="E727" i="57"/>
  <c r="L739" i="57"/>
  <c r="L465" i="57"/>
  <c r="E453" i="57"/>
  <c r="L463" i="57"/>
  <c r="E451" i="57"/>
  <c r="M67" i="31"/>
  <c r="H119" i="57"/>
  <c r="O67" i="31"/>
  <c r="H113" i="62"/>
  <c r="I115" i="62"/>
  <c r="I106" i="62"/>
  <c r="I102" i="62"/>
  <c r="I116" i="62"/>
  <c r="I107" i="62"/>
  <c r="I103" i="62"/>
  <c r="M47" i="40"/>
  <c r="N45" i="40"/>
  <c r="N47" i="40"/>
  <c r="H270" i="60"/>
  <c r="H52" i="60"/>
  <c r="H252" i="59"/>
  <c r="H381" i="59"/>
  <c r="I12" i="62"/>
  <c r="I14" i="62"/>
  <c r="I11" i="62"/>
  <c r="E106" i="62"/>
  <c r="L115" i="62"/>
  <c r="L18" i="62"/>
  <c r="E11" i="62"/>
  <c r="L19" i="57"/>
  <c r="E12" i="57"/>
  <c r="L21" i="57"/>
  <c r="E14" i="57"/>
  <c r="E108" i="62"/>
  <c r="L117" i="62"/>
  <c r="E13" i="57"/>
  <c r="L20" i="57"/>
  <c r="E111" i="57"/>
  <c r="L120" i="57"/>
  <c r="L122" i="57"/>
  <c r="E113" i="57"/>
  <c r="L119" i="57"/>
  <c r="E110" i="57"/>
  <c r="L121" i="57"/>
  <c r="E112" i="57"/>
  <c r="M732" i="57"/>
  <c r="M720" i="57"/>
  <c r="L720" i="57"/>
  <c r="N732" i="57"/>
  <c r="L20" i="62"/>
  <c r="E13" i="62"/>
  <c r="M144" i="62"/>
  <c r="N144" i="62"/>
  <c r="E216" i="57"/>
  <c r="L453" i="57"/>
  <c r="M465" i="57"/>
  <c r="N223" i="57"/>
  <c r="M223" i="57"/>
  <c r="L211" i="57"/>
  <c r="E14" i="62"/>
  <c r="L21" i="62"/>
  <c r="M660" i="57"/>
  <c r="M649" i="57"/>
  <c r="N660" i="57"/>
  <c r="L649" i="57"/>
  <c r="M17" i="59"/>
  <c r="M10" i="59"/>
  <c r="L10" i="59"/>
  <c r="M470" i="57"/>
  <c r="L458" i="57"/>
  <c r="M586" i="57"/>
  <c r="M574" i="57"/>
  <c r="L574" i="57"/>
  <c r="M178" i="62"/>
  <c r="N178" i="62"/>
  <c r="E215" i="57"/>
  <c r="M584" i="57"/>
  <c r="M572" i="57"/>
  <c r="L572" i="57"/>
  <c r="H121" i="57"/>
  <c r="H112" i="57"/>
  <c r="H108" i="57"/>
  <c r="M464" i="57"/>
  <c r="M452" i="57"/>
  <c r="L452" i="57"/>
  <c r="M738" i="57"/>
  <c r="M726" i="57"/>
  <c r="L726" i="57"/>
  <c r="M664" i="57"/>
  <c r="M653" i="57"/>
  <c r="N664" i="57"/>
  <c r="L653" i="57"/>
  <c r="M120" i="59"/>
  <c r="M110" i="59"/>
  <c r="N120" i="59"/>
  <c r="L110" i="59"/>
  <c r="M467" i="57"/>
  <c r="M455" i="57"/>
  <c r="L455" i="57"/>
  <c r="N467" i="57"/>
  <c r="E336" i="57"/>
  <c r="H105" i="59"/>
  <c r="L144" i="60"/>
  <c r="E140" i="60"/>
  <c r="L18" i="57"/>
  <c r="E11" i="57"/>
  <c r="M360" i="60"/>
  <c r="M356" i="60"/>
  <c r="L356" i="60"/>
  <c r="L450" i="57"/>
  <c r="M462" i="57"/>
  <c r="N462" i="57"/>
  <c r="E208" i="57"/>
  <c r="E332" i="57"/>
  <c r="L230" i="60"/>
  <c r="E226" i="60"/>
  <c r="M659" i="57"/>
  <c r="M648" i="57"/>
  <c r="L648" i="57"/>
  <c r="M212" i="59"/>
  <c r="M209" i="59"/>
  <c r="L209" i="59"/>
  <c r="E117" i="57"/>
  <c r="M580" i="57"/>
  <c r="M568" i="57"/>
  <c r="L568" i="57"/>
  <c r="M46" i="62"/>
  <c r="M47" i="62"/>
  <c r="L47" i="62"/>
  <c r="M224" i="57"/>
  <c r="L212" i="57"/>
  <c r="N224" i="57"/>
  <c r="E329" i="57"/>
  <c r="N119" i="59"/>
  <c r="M119" i="59"/>
  <c r="M109" i="59"/>
  <c r="L109" i="59"/>
  <c r="E182" i="60"/>
  <c r="L186" i="60"/>
  <c r="M82" i="57"/>
  <c r="M83" i="57"/>
  <c r="L83" i="57"/>
  <c r="E52" i="60"/>
  <c r="L56" i="60"/>
  <c r="E103" i="62"/>
  <c r="L112" i="62"/>
  <c r="E113" i="62"/>
  <c r="M184" i="57"/>
  <c r="N184" i="57"/>
  <c r="U184" i="57"/>
  <c r="L231" i="60"/>
  <c r="E227" i="60"/>
  <c r="M582" i="57"/>
  <c r="M570" i="57"/>
  <c r="N582" i="57"/>
  <c r="L570" i="57"/>
  <c r="M588" i="57"/>
  <c r="M576" i="57"/>
  <c r="L576" i="57"/>
  <c r="E214" i="57"/>
  <c r="M581" i="57"/>
  <c r="M569" i="57"/>
  <c r="L569" i="57"/>
  <c r="M392" i="57"/>
  <c r="N392" i="57"/>
  <c r="L388" i="57"/>
  <c r="H117" i="62"/>
  <c r="H108" i="62"/>
  <c r="H104" i="62"/>
  <c r="M739" i="57"/>
  <c r="M727" i="57"/>
  <c r="L727" i="57"/>
  <c r="E9" i="62"/>
  <c r="L16" i="62"/>
  <c r="N122" i="59"/>
  <c r="L112" i="59"/>
  <c r="M122" i="59"/>
  <c r="M112" i="59"/>
  <c r="L339" i="59"/>
  <c r="M343" i="59"/>
  <c r="M339" i="59"/>
  <c r="M657" i="57"/>
  <c r="M646" i="57"/>
  <c r="L646" i="57"/>
  <c r="H106" i="59"/>
  <c r="N317" i="60"/>
  <c r="N313" i="60"/>
  <c r="J47" i="59"/>
  <c r="J48" i="59"/>
  <c r="H21" i="57"/>
  <c r="H14" i="57"/>
  <c r="H11" i="57"/>
  <c r="M429" i="59"/>
  <c r="M425" i="59"/>
  <c r="L425" i="59"/>
  <c r="N429" i="59"/>
  <c r="E53" i="60"/>
  <c r="L57" i="60"/>
  <c r="N227" i="57"/>
  <c r="L215" i="57"/>
  <c r="M227" i="57"/>
  <c r="E209" i="57"/>
  <c r="E331" i="57"/>
  <c r="N348" i="57"/>
  <c r="M348" i="57"/>
  <c r="L336" i="57"/>
  <c r="K119" i="35"/>
  <c r="M119" i="35"/>
  <c r="M123" i="35"/>
  <c r="H23" i="57"/>
  <c r="H16" i="57"/>
  <c r="H13" i="57"/>
  <c r="M435" i="57"/>
  <c r="N435" i="57"/>
  <c r="U435" i="57"/>
  <c r="H103" i="62"/>
  <c r="H116" i="62"/>
  <c r="H107" i="62"/>
  <c r="M735" i="57"/>
  <c r="M723" i="57"/>
  <c r="L723" i="57"/>
  <c r="L721" i="57"/>
  <c r="M733" i="57"/>
  <c r="M721" i="57"/>
  <c r="N733" i="57"/>
  <c r="M663" i="57"/>
  <c r="M652" i="57"/>
  <c r="L652" i="57"/>
  <c r="E330" i="57"/>
  <c r="E95" i="60"/>
  <c r="L99" i="60"/>
  <c r="N121" i="59"/>
  <c r="L111" i="59"/>
  <c r="M121" i="59"/>
  <c r="M111" i="59"/>
  <c r="E96" i="60"/>
  <c r="L100" i="60"/>
  <c r="E118" i="57"/>
  <c r="M149" i="57"/>
  <c r="N149" i="57"/>
  <c r="U149" i="57"/>
  <c r="E506" i="57"/>
  <c r="H120" i="57"/>
  <c r="H111" i="57"/>
  <c r="H107" i="57"/>
  <c r="L449" i="57"/>
  <c r="M461" i="57"/>
  <c r="N461" i="57"/>
  <c r="M737" i="57"/>
  <c r="M725" i="57"/>
  <c r="L725" i="57"/>
  <c r="N737" i="57"/>
  <c r="E210" i="57"/>
  <c r="M316" i="60"/>
  <c r="M312" i="60"/>
  <c r="L312" i="60"/>
  <c r="N316" i="60"/>
  <c r="N312" i="60"/>
  <c r="L253" i="59"/>
  <c r="M256" i="59"/>
  <c r="M253" i="59"/>
  <c r="N256" i="59"/>
  <c r="N341" i="57"/>
  <c r="L329" i="57"/>
  <c r="M341" i="57"/>
  <c r="H108" i="59"/>
  <c r="H12" i="57"/>
  <c r="H22" i="57"/>
  <c r="H15" i="57"/>
  <c r="L13" i="60"/>
  <c r="E9" i="60"/>
  <c r="E111" i="62"/>
  <c r="N183" i="57"/>
  <c r="U183" i="57"/>
  <c r="M183" i="57"/>
  <c r="N385" i="59"/>
  <c r="M385" i="59"/>
  <c r="M381" i="59"/>
  <c r="L381" i="59"/>
  <c r="E507" i="57"/>
  <c r="N299" i="59"/>
  <c r="M299" i="59"/>
  <c r="M295" i="59"/>
  <c r="L295" i="59"/>
  <c r="L208" i="59"/>
  <c r="M211" i="59"/>
  <c r="M208" i="59"/>
  <c r="E267" i="57"/>
  <c r="M463" i="57"/>
  <c r="N463" i="57"/>
  <c r="L451" i="57"/>
  <c r="E12" i="62"/>
  <c r="L19" i="62"/>
  <c r="M252" i="57"/>
  <c r="N252" i="57"/>
  <c r="U252" i="57"/>
  <c r="E211" i="35"/>
  <c r="G211" i="35"/>
  <c r="M211" i="35"/>
  <c r="N211" i="35"/>
  <c r="G193" i="35"/>
  <c r="K193" i="35"/>
  <c r="N193" i="35"/>
  <c r="E8" i="60"/>
  <c r="L12" i="60"/>
  <c r="N589" i="57"/>
  <c r="M589" i="57"/>
  <c r="M577" i="57"/>
  <c r="L577" i="57"/>
  <c r="L187" i="60"/>
  <c r="E183" i="60"/>
  <c r="H102" i="62"/>
  <c r="H115" i="62"/>
  <c r="H106" i="62"/>
  <c r="L387" i="57"/>
  <c r="M391" i="57"/>
  <c r="M387" i="57"/>
  <c r="M221" i="57"/>
  <c r="M209" i="57"/>
  <c r="L209" i="57"/>
  <c r="M661" i="57"/>
  <c r="M650" i="57"/>
  <c r="L650" i="57"/>
  <c r="N21" i="59"/>
  <c r="L14" i="59"/>
  <c r="M21" i="59"/>
  <c r="M14" i="59"/>
  <c r="M343" i="57"/>
  <c r="M331" i="57"/>
  <c r="L331" i="57"/>
  <c r="L108" i="59"/>
  <c r="M118" i="59"/>
  <c r="M108" i="59"/>
  <c r="L457" i="57"/>
  <c r="M469" i="57"/>
  <c r="M457" i="57"/>
  <c r="H109" i="59"/>
  <c r="L424" i="59"/>
  <c r="N428" i="59"/>
  <c r="M428" i="59"/>
  <c r="M424" i="59"/>
  <c r="E16" i="57"/>
  <c r="L23" i="57"/>
  <c r="L22" i="57"/>
  <c r="E15" i="57"/>
  <c r="N373" i="57"/>
  <c r="U373" i="57"/>
  <c r="M373" i="57"/>
  <c r="N153" i="35"/>
  <c r="L49" i="57"/>
  <c r="M48" i="57"/>
  <c r="M49" i="57"/>
  <c r="N48" i="57"/>
  <c r="M342" i="57"/>
  <c r="M330" i="57"/>
  <c r="L330" i="57"/>
  <c r="L107" i="59"/>
  <c r="M117" i="59"/>
  <c r="M107" i="59"/>
  <c r="L335" i="57"/>
  <c r="M347" i="57"/>
  <c r="M335" i="57"/>
  <c r="N655" i="57"/>
  <c r="M655" i="57"/>
  <c r="M644" i="57"/>
  <c r="L644" i="57"/>
  <c r="L116" i="57"/>
  <c r="E107" i="57"/>
  <c r="L123" i="57"/>
  <c r="E114" i="57"/>
  <c r="E217" i="57"/>
  <c r="N510" i="57"/>
  <c r="M510" i="57"/>
  <c r="L506" i="57"/>
  <c r="M583" i="57"/>
  <c r="M571" i="57"/>
  <c r="N583" i="57"/>
  <c r="L571" i="57"/>
  <c r="H114" i="62"/>
  <c r="H105" i="62"/>
  <c r="H101" i="62"/>
  <c r="L296" i="59"/>
  <c r="M300" i="59"/>
  <c r="M296" i="59"/>
  <c r="N300" i="59"/>
  <c r="L210" i="57"/>
  <c r="M222" i="57"/>
  <c r="M210" i="57"/>
  <c r="M662" i="57"/>
  <c r="M651" i="57"/>
  <c r="L651" i="57"/>
  <c r="M554" i="57"/>
  <c r="N554" i="57"/>
  <c r="U554" i="57"/>
  <c r="L11" i="59"/>
  <c r="M18" i="59"/>
  <c r="M11" i="59"/>
  <c r="M116" i="59"/>
  <c r="M106" i="59"/>
  <c r="L106" i="59"/>
  <c r="E338" i="57"/>
  <c r="N656" i="57"/>
  <c r="M656" i="57"/>
  <c r="M645" i="57"/>
  <c r="L645" i="57"/>
  <c r="H20" i="62"/>
  <c r="H13" i="62"/>
  <c r="H10" i="62"/>
  <c r="M386" i="59"/>
  <c r="M382" i="59"/>
  <c r="N386" i="59"/>
  <c r="L382" i="59"/>
  <c r="E105" i="62"/>
  <c r="L114" i="62"/>
  <c r="L110" i="62"/>
  <c r="E101" i="62"/>
  <c r="M225" i="57"/>
  <c r="M213" i="57"/>
  <c r="L213" i="57"/>
  <c r="N225" i="57"/>
  <c r="M511" i="57"/>
  <c r="L507" i="57"/>
  <c r="N511" i="57"/>
  <c r="N271" i="57"/>
  <c r="M271" i="57"/>
  <c r="L267" i="57"/>
  <c r="H339" i="59"/>
  <c r="H110" i="57"/>
  <c r="H123" i="57"/>
  <c r="H114" i="57"/>
  <c r="E211" i="57"/>
  <c r="M731" i="57"/>
  <c r="M719" i="57"/>
  <c r="L719" i="57"/>
  <c r="E10" i="62"/>
  <c r="L17" i="62"/>
  <c r="N314" i="57"/>
  <c r="U314" i="57"/>
  <c r="M314" i="57"/>
  <c r="L355" i="60"/>
  <c r="M359" i="60"/>
  <c r="M355" i="60"/>
  <c r="N359" i="60"/>
  <c r="N355" i="60"/>
  <c r="M19" i="59"/>
  <c r="M12" i="59"/>
  <c r="N19" i="59"/>
  <c r="L12" i="59"/>
  <c r="M345" i="57"/>
  <c r="M333" i="57"/>
  <c r="L333" i="57"/>
  <c r="L105" i="59"/>
  <c r="N115" i="59"/>
  <c r="M115" i="59"/>
  <c r="M105" i="59"/>
  <c r="M349" i="57"/>
  <c r="M337" i="57"/>
  <c r="L337" i="57"/>
  <c r="N349" i="57"/>
  <c r="M80" i="62"/>
  <c r="M81" i="62"/>
  <c r="L81" i="62"/>
  <c r="N80" i="62"/>
  <c r="N81" i="62"/>
  <c r="H110" i="59"/>
  <c r="N99" i="35"/>
  <c r="N102" i="35"/>
  <c r="I102" i="35"/>
  <c r="H19" i="62"/>
  <c r="H12" i="62"/>
  <c r="H9" i="62"/>
  <c r="M177" i="62"/>
  <c r="N177" i="62"/>
  <c r="M274" i="60"/>
  <c r="M270" i="60"/>
  <c r="L270" i="60"/>
  <c r="L216" i="57"/>
  <c r="M228" i="57"/>
  <c r="N228" i="57"/>
  <c r="M273" i="60"/>
  <c r="M269" i="60"/>
  <c r="L269" i="60"/>
  <c r="N273" i="60"/>
  <c r="N269" i="60"/>
  <c r="K142" i="35"/>
  <c r="L718" i="57"/>
  <c r="N730" i="57"/>
  <c r="M730" i="57"/>
  <c r="M718" i="57"/>
  <c r="L9" i="59"/>
  <c r="M16" i="59"/>
  <c r="M9" i="59"/>
  <c r="N16" i="59"/>
  <c r="L143" i="60"/>
  <c r="E139" i="60"/>
  <c r="M346" i="57"/>
  <c r="M334" i="57"/>
  <c r="L334" i="57"/>
  <c r="N658" i="57"/>
  <c r="M658" i="57"/>
  <c r="M647" i="57"/>
  <c r="L647" i="57"/>
  <c r="G140" i="35"/>
  <c r="E157" i="35"/>
  <c r="H11" i="62"/>
  <c r="H21" i="62"/>
  <c r="H14" i="62"/>
  <c r="M150" i="57"/>
  <c r="N150" i="57"/>
  <c r="U150" i="57"/>
  <c r="E188" i="35"/>
  <c r="G170" i="35"/>
  <c r="H122" i="57"/>
  <c r="H113" i="57"/>
  <c r="H109" i="57"/>
  <c r="M736" i="57"/>
  <c r="M724" i="57"/>
  <c r="L724" i="57"/>
  <c r="N736" i="57"/>
  <c r="M220" i="57"/>
  <c r="M208" i="57"/>
  <c r="L208" i="57"/>
  <c r="L270" i="57"/>
  <c r="E266" i="57"/>
  <c r="M20" i="59"/>
  <c r="M13" i="59"/>
  <c r="L13" i="59"/>
  <c r="N20" i="59"/>
  <c r="N344" i="57"/>
  <c r="M344" i="57"/>
  <c r="M332" i="57"/>
  <c r="L332" i="57"/>
  <c r="N468" i="57"/>
  <c r="L456" i="57"/>
  <c r="M468" i="57"/>
  <c r="E335" i="57"/>
  <c r="M585" i="57"/>
  <c r="M573" i="57"/>
  <c r="L573" i="57"/>
  <c r="E172" i="35"/>
  <c r="E173" i="35"/>
  <c r="G173" i="35"/>
  <c r="K173" i="35"/>
  <c r="N173" i="35"/>
  <c r="G155" i="35"/>
  <c r="M155" i="35"/>
  <c r="N155" i="35"/>
  <c r="L338" i="59"/>
  <c r="N342" i="59"/>
  <c r="M342" i="59"/>
  <c r="M338" i="59"/>
  <c r="M229" i="57"/>
  <c r="M217" i="57"/>
  <c r="L217" i="57"/>
  <c r="I112" i="59"/>
  <c r="I110" i="59"/>
  <c r="I109" i="59"/>
  <c r="I111" i="59"/>
  <c r="H150" i="59"/>
  <c r="H111" i="59"/>
  <c r="H107" i="59"/>
  <c r="L252" i="59"/>
  <c r="M255" i="59"/>
  <c r="M252" i="59"/>
  <c r="E212" i="57"/>
  <c r="L722" i="57"/>
  <c r="N734" i="57"/>
  <c r="M734" i="57"/>
  <c r="M722" i="57"/>
  <c r="N493" i="57"/>
  <c r="U493" i="57"/>
  <c r="M493" i="57"/>
  <c r="M466" i="57"/>
  <c r="M454" i="57"/>
  <c r="L454" i="57"/>
  <c r="N466" i="57"/>
  <c r="M350" i="57"/>
  <c r="M338" i="57"/>
  <c r="N350" i="57"/>
  <c r="L338" i="57"/>
  <c r="H112" i="59"/>
  <c r="E107" i="62"/>
  <c r="L116" i="62"/>
  <c r="M587" i="57"/>
  <c r="M575" i="57"/>
  <c r="L575" i="57"/>
  <c r="E213" i="57"/>
  <c r="M226" i="57"/>
  <c r="L214" i="57"/>
  <c r="E388" i="57"/>
  <c r="U466" i="57"/>
  <c r="N454" i="57"/>
  <c r="U454" i="57"/>
  <c r="N647" i="57"/>
  <c r="U647" i="57"/>
  <c r="U658" i="57"/>
  <c r="M110" i="62"/>
  <c r="M101" i="62"/>
  <c r="N110" i="62"/>
  <c r="N101" i="62"/>
  <c r="L101" i="62"/>
  <c r="U510" i="57"/>
  <c r="N506" i="57"/>
  <c r="U506" i="57"/>
  <c r="N14" i="59"/>
  <c r="U14" i="59"/>
  <c r="U21" i="59"/>
  <c r="N577" i="57"/>
  <c r="U577" i="57"/>
  <c r="U589" i="57"/>
  <c r="U461" i="57"/>
  <c r="N449" i="57"/>
  <c r="U449" i="57"/>
  <c r="L118" i="57"/>
  <c r="E109" i="57"/>
  <c r="N721" i="57"/>
  <c r="U721" i="57"/>
  <c r="U733" i="57"/>
  <c r="R123" i="35"/>
  <c r="J183" i="59"/>
  <c r="U348" i="57"/>
  <c r="N336" i="57"/>
  <c r="U336" i="57"/>
  <c r="N425" i="59"/>
  <c r="U425" i="59"/>
  <c r="U429" i="59"/>
  <c r="N570" i="57"/>
  <c r="U570" i="57"/>
  <c r="U582" i="57"/>
  <c r="U224" i="57"/>
  <c r="N212" i="57"/>
  <c r="U212" i="57"/>
  <c r="N450" i="57"/>
  <c r="U450" i="57"/>
  <c r="U462" i="57"/>
  <c r="N455" i="57"/>
  <c r="U455" i="57"/>
  <c r="U467" i="57"/>
  <c r="U120" i="59"/>
  <c r="N110" i="59"/>
  <c r="U110" i="59"/>
  <c r="N653" i="57"/>
  <c r="U653" i="57"/>
  <c r="U664" i="57"/>
  <c r="N21" i="62"/>
  <c r="M21" i="62"/>
  <c r="M14" i="62"/>
  <c r="L14" i="62"/>
  <c r="N211" i="57"/>
  <c r="U211" i="57"/>
  <c r="U223" i="57"/>
  <c r="M20" i="62"/>
  <c r="M13" i="62"/>
  <c r="L13" i="62"/>
  <c r="N20" i="62"/>
  <c r="N20" i="57"/>
  <c r="L13" i="57"/>
  <c r="M20" i="57"/>
  <c r="M13" i="57"/>
  <c r="M214" i="57"/>
  <c r="N587" i="57"/>
  <c r="N585" i="57"/>
  <c r="U468" i="57"/>
  <c r="N456" i="57"/>
  <c r="U456" i="57"/>
  <c r="N13" i="59"/>
  <c r="U13" i="59"/>
  <c r="U20" i="59"/>
  <c r="L266" i="57"/>
  <c r="M270" i="57"/>
  <c r="M266" i="57"/>
  <c r="N724" i="57"/>
  <c r="U724" i="57"/>
  <c r="U736" i="57"/>
  <c r="L139" i="60"/>
  <c r="N143" i="60"/>
  <c r="N139" i="60"/>
  <c r="M143" i="60"/>
  <c r="M139" i="60"/>
  <c r="M216" i="57"/>
  <c r="N274" i="60"/>
  <c r="N270" i="60"/>
  <c r="L10" i="62"/>
  <c r="M17" i="62"/>
  <c r="M10" i="62"/>
  <c r="N17" i="62"/>
  <c r="N731" i="57"/>
  <c r="U511" i="57"/>
  <c r="N507" i="57"/>
  <c r="U507" i="57"/>
  <c r="M114" i="62"/>
  <c r="M105" i="62"/>
  <c r="L105" i="62"/>
  <c r="N114" i="62"/>
  <c r="N105" i="62"/>
  <c r="N116" i="59"/>
  <c r="N662" i="57"/>
  <c r="M116" i="57"/>
  <c r="M107" i="57"/>
  <c r="L107" i="57"/>
  <c r="N347" i="57"/>
  <c r="N159" i="35"/>
  <c r="N469" i="57"/>
  <c r="N221" i="57"/>
  <c r="L183" i="60"/>
  <c r="M187" i="60"/>
  <c r="M183" i="60"/>
  <c r="L8" i="60"/>
  <c r="N12" i="60"/>
  <c r="N8" i="60"/>
  <c r="M12" i="60"/>
  <c r="M8" i="60"/>
  <c r="E102" i="62"/>
  <c r="L111" i="62"/>
  <c r="U341" i="57"/>
  <c r="N329" i="57"/>
  <c r="U329" i="57"/>
  <c r="U737" i="57"/>
  <c r="N725" i="57"/>
  <c r="U725" i="57"/>
  <c r="M449" i="57"/>
  <c r="M100" i="60"/>
  <c r="M96" i="60"/>
  <c r="L96" i="60"/>
  <c r="U121" i="59"/>
  <c r="N111" i="59"/>
  <c r="U111" i="59"/>
  <c r="N119" i="35"/>
  <c r="N123" i="35"/>
  <c r="K123" i="35"/>
  <c r="U227" i="57"/>
  <c r="N215" i="57"/>
  <c r="U215" i="57"/>
  <c r="U122" i="59"/>
  <c r="N112" i="59"/>
  <c r="U112" i="59"/>
  <c r="N739" i="57"/>
  <c r="N581" i="57"/>
  <c r="N588" i="57"/>
  <c r="M56" i="60"/>
  <c r="M52" i="60"/>
  <c r="N56" i="60"/>
  <c r="N52" i="60"/>
  <c r="L52" i="60"/>
  <c r="L117" i="57"/>
  <c r="E108" i="57"/>
  <c r="M230" i="60"/>
  <c r="M226" i="60"/>
  <c r="L226" i="60"/>
  <c r="N230" i="60"/>
  <c r="N226" i="60"/>
  <c r="M450" i="57"/>
  <c r="L140" i="60"/>
  <c r="M144" i="60"/>
  <c r="M140" i="60"/>
  <c r="N144" i="60"/>
  <c r="N140" i="60"/>
  <c r="N586" i="57"/>
  <c r="M458" i="57"/>
  <c r="M453" i="57"/>
  <c r="N720" i="57"/>
  <c r="U720" i="57"/>
  <c r="U732" i="57"/>
  <c r="L112" i="57"/>
  <c r="M121" i="57"/>
  <c r="M112" i="57"/>
  <c r="N121" i="57"/>
  <c r="L113" i="57"/>
  <c r="N122" i="57"/>
  <c r="M122" i="57"/>
  <c r="M113" i="57"/>
  <c r="N21" i="57"/>
  <c r="L14" i="57"/>
  <c r="M21" i="57"/>
  <c r="M14" i="57"/>
  <c r="L11" i="62"/>
  <c r="M18" i="62"/>
  <c r="M11" i="62"/>
  <c r="U344" i="57"/>
  <c r="N332" i="57"/>
  <c r="U332" i="57"/>
  <c r="E174" i="35"/>
  <c r="G157" i="35"/>
  <c r="M157" i="35"/>
  <c r="N157" i="35"/>
  <c r="J255" i="59"/>
  <c r="J252" i="59"/>
  <c r="Q142" i="35"/>
  <c r="J211" i="59"/>
  <c r="J208" i="59"/>
  <c r="J300" i="59"/>
  <c r="J296" i="59"/>
  <c r="J256" i="59"/>
  <c r="J253" i="59"/>
  <c r="J299" i="59"/>
  <c r="J295" i="59"/>
  <c r="J212" i="59"/>
  <c r="J209" i="59"/>
  <c r="N216" i="57"/>
  <c r="U216" i="57"/>
  <c r="U228" i="57"/>
  <c r="U349" i="57"/>
  <c r="N337" i="57"/>
  <c r="U337" i="57"/>
  <c r="N105" i="59"/>
  <c r="U105" i="59"/>
  <c r="U115" i="59"/>
  <c r="U271" i="57"/>
  <c r="N267" i="57"/>
  <c r="U267" i="57"/>
  <c r="U225" i="57"/>
  <c r="N213" i="57"/>
  <c r="U213" i="57"/>
  <c r="U386" i="59"/>
  <c r="N382" i="59"/>
  <c r="U382" i="59"/>
  <c r="N571" i="57"/>
  <c r="U571" i="57"/>
  <c r="U583" i="57"/>
  <c r="N644" i="57"/>
  <c r="U644" i="57"/>
  <c r="U655" i="57"/>
  <c r="L107" i="62"/>
  <c r="N116" i="62"/>
  <c r="N107" i="62"/>
  <c r="M116" i="62"/>
  <c r="M107" i="62"/>
  <c r="U350" i="57"/>
  <c r="N338" i="57"/>
  <c r="U338" i="57"/>
  <c r="U734" i="57"/>
  <c r="N722" i="57"/>
  <c r="U722" i="57"/>
  <c r="N338" i="59"/>
  <c r="U338" i="59"/>
  <c r="U342" i="59"/>
  <c r="G172" i="35"/>
  <c r="K172" i="35"/>
  <c r="N172" i="35"/>
  <c r="E190" i="35"/>
  <c r="E191" i="35"/>
  <c r="N220" i="57"/>
  <c r="K170" i="35"/>
  <c r="I170" i="35"/>
  <c r="U16" i="59"/>
  <c r="N9" i="59"/>
  <c r="U9" i="59"/>
  <c r="N718" i="57"/>
  <c r="U718" i="57"/>
  <c r="U730" i="57"/>
  <c r="J18" i="59"/>
  <c r="J11" i="59"/>
  <c r="J21" i="59"/>
  <c r="J14" i="59"/>
  <c r="J17" i="59"/>
  <c r="J10" i="59"/>
  <c r="J20" i="59"/>
  <c r="J13" i="59"/>
  <c r="J16" i="59"/>
  <c r="J9" i="59"/>
  <c r="J19" i="59"/>
  <c r="J12" i="59"/>
  <c r="N345" i="57"/>
  <c r="N12" i="59"/>
  <c r="U12" i="59"/>
  <c r="U19" i="59"/>
  <c r="N645" i="57"/>
  <c r="U645" i="57"/>
  <c r="U656" i="57"/>
  <c r="N296" i="59"/>
  <c r="U296" i="59"/>
  <c r="U300" i="59"/>
  <c r="N117" i="59"/>
  <c r="N49" i="57"/>
  <c r="U49" i="57"/>
  <c r="U48" i="57"/>
  <c r="M159" i="35"/>
  <c r="M22" i="57"/>
  <c r="M15" i="57"/>
  <c r="L15" i="57"/>
  <c r="N22" i="57"/>
  <c r="N424" i="59"/>
  <c r="U424" i="59"/>
  <c r="U428" i="59"/>
  <c r="N118" i="59"/>
  <c r="N451" i="57"/>
  <c r="U451" i="57"/>
  <c r="U463" i="57"/>
  <c r="U299" i="59"/>
  <c r="N295" i="59"/>
  <c r="U295" i="59"/>
  <c r="N381" i="59"/>
  <c r="U381" i="59"/>
  <c r="U385" i="59"/>
  <c r="U256" i="59"/>
  <c r="N253" i="59"/>
  <c r="U253" i="59"/>
  <c r="M99" i="60"/>
  <c r="M95" i="60"/>
  <c r="L95" i="60"/>
  <c r="L53" i="60"/>
  <c r="M57" i="60"/>
  <c r="M53" i="60"/>
  <c r="N57" i="60"/>
  <c r="N53" i="60"/>
  <c r="N343" i="59"/>
  <c r="L9" i="62"/>
  <c r="M16" i="62"/>
  <c r="M9" i="62"/>
  <c r="N16" i="62"/>
  <c r="U392" i="57"/>
  <c r="N388" i="57"/>
  <c r="U388" i="57"/>
  <c r="L113" i="62"/>
  <c r="E104" i="62"/>
  <c r="L182" i="60"/>
  <c r="M186" i="60"/>
  <c r="M182" i="60"/>
  <c r="N109" i="59"/>
  <c r="U109" i="59"/>
  <c r="U119" i="59"/>
  <c r="M212" i="57"/>
  <c r="N738" i="57"/>
  <c r="N17" i="59"/>
  <c r="N649" i="57"/>
  <c r="U649" i="57"/>
  <c r="U660" i="57"/>
  <c r="M120" i="57"/>
  <c r="M111" i="57"/>
  <c r="L111" i="57"/>
  <c r="M117" i="62"/>
  <c r="M108" i="62"/>
  <c r="L108" i="62"/>
  <c r="N117" i="62"/>
  <c r="N108" i="62"/>
  <c r="L106" i="62"/>
  <c r="N115" i="62"/>
  <c r="N106" i="62"/>
  <c r="M115" i="62"/>
  <c r="M106" i="62"/>
  <c r="N226" i="57"/>
  <c r="N255" i="59"/>
  <c r="N229" i="57"/>
  <c r="M456" i="57"/>
  <c r="G188" i="35"/>
  <c r="E206" i="35"/>
  <c r="G206" i="35"/>
  <c r="M206" i="35"/>
  <c r="N346" i="57"/>
  <c r="M267" i="57"/>
  <c r="M507" i="57"/>
  <c r="N18" i="59"/>
  <c r="N222" i="57"/>
  <c r="M506" i="57"/>
  <c r="L114" i="57"/>
  <c r="M123" i="57"/>
  <c r="M114" i="57"/>
  <c r="N342" i="57"/>
  <c r="L16" i="57"/>
  <c r="M23" i="57"/>
  <c r="M16" i="57"/>
  <c r="N23" i="57"/>
  <c r="N343" i="57"/>
  <c r="N661" i="57"/>
  <c r="N391" i="57"/>
  <c r="N19" i="62"/>
  <c r="M19" i="62"/>
  <c r="M12" i="62"/>
  <c r="L12" i="62"/>
  <c r="M451" i="57"/>
  <c r="N211" i="59"/>
  <c r="M13" i="60"/>
  <c r="M9" i="60"/>
  <c r="L9" i="60"/>
  <c r="M329" i="57"/>
  <c r="N663" i="57"/>
  <c r="N735" i="57"/>
  <c r="M336" i="57"/>
  <c r="M215" i="57"/>
  <c r="N657" i="57"/>
  <c r="M388" i="57"/>
  <c r="L227" i="60"/>
  <c r="N231" i="60"/>
  <c r="N227" i="60"/>
  <c r="M231" i="60"/>
  <c r="M227" i="60"/>
  <c r="N112" i="62"/>
  <c r="N103" i="62"/>
  <c r="M112" i="62"/>
  <c r="M103" i="62"/>
  <c r="L103" i="62"/>
  <c r="N82" i="57"/>
  <c r="N46" i="62"/>
  <c r="N47" i="62"/>
  <c r="N580" i="57"/>
  <c r="N212" i="59"/>
  <c r="N659" i="57"/>
  <c r="N360" i="60"/>
  <c r="N356" i="60"/>
  <c r="M18" i="57"/>
  <c r="M11" i="57"/>
  <c r="L11" i="57"/>
  <c r="N464" i="57"/>
  <c r="N584" i="57"/>
  <c r="N470" i="57"/>
  <c r="M211" i="57"/>
  <c r="N465" i="57"/>
  <c r="M119" i="57"/>
  <c r="M110" i="57"/>
  <c r="L110" i="57"/>
  <c r="N119" i="57"/>
  <c r="L12" i="57"/>
  <c r="M19" i="57"/>
  <c r="M12" i="57"/>
  <c r="U735" i="57"/>
  <c r="N723" i="57"/>
  <c r="U723" i="57"/>
  <c r="N650" i="57"/>
  <c r="U650" i="57"/>
  <c r="U661" i="57"/>
  <c r="N214" i="57"/>
  <c r="U214" i="57"/>
  <c r="U226" i="57"/>
  <c r="U17" i="59"/>
  <c r="N10" i="59"/>
  <c r="U10" i="59"/>
  <c r="N9" i="62"/>
  <c r="J428" i="59"/>
  <c r="J424" i="59"/>
  <c r="Q159" i="35"/>
  <c r="J385" i="59"/>
  <c r="J381" i="59"/>
  <c r="J386" i="59"/>
  <c r="J382" i="59"/>
  <c r="J342" i="59"/>
  <c r="J338" i="59"/>
  <c r="J343" i="59"/>
  <c r="J339" i="59"/>
  <c r="J429" i="59"/>
  <c r="J425" i="59"/>
  <c r="E209" i="35"/>
  <c r="G209" i="35"/>
  <c r="M209" i="35"/>
  <c r="N209" i="35"/>
  <c r="G191" i="35"/>
  <c r="K191" i="35"/>
  <c r="N191" i="35"/>
  <c r="U470" i="57"/>
  <c r="N458" i="57"/>
  <c r="U458" i="57"/>
  <c r="U212" i="59"/>
  <c r="N209" i="59"/>
  <c r="U209" i="59"/>
  <c r="U211" i="59"/>
  <c r="N208" i="59"/>
  <c r="U208" i="59"/>
  <c r="N12" i="62"/>
  <c r="U23" i="57"/>
  <c r="N210" i="57"/>
  <c r="U210" i="57"/>
  <c r="U222" i="57"/>
  <c r="U346" i="57"/>
  <c r="N334" i="57"/>
  <c r="U334" i="57"/>
  <c r="U229" i="57"/>
  <c r="N217" i="57"/>
  <c r="U217" i="57"/>
  <c r="N108" i="59"/>
  <c r="U108" i="59"/>
  <c r="U118" i="59"/>
  <c r="U345" i="57"/>
  <c r="N333" i="57"/>
  <c r="U333" i="57"/>
  <c r="U122" i="57"/>
  <c r="N113" i="57"/>
  <c r="U113" i="57"/>
  <c r="N727" i="57"/>
  <c r="U727" i="57"/>
  <c r="U739" i="57"/>
  <c r="N335" i="57"/>
  <c r="U335" i="57"/>
  <c r="U347" i="57"/>
  <c r="N651" i="57"/>
  <c r="U651" i="57"/>
  <c r="U662" i="57"/>
  <c r="N10" i="62"/>
  <c r="L109" i="57"/>
  <c r="M118" i="57"/>
  <c r="M109" i="57"/>
  <c r="N118" i="57"/>
  <c r="N19" i="57"/>
  <c r="N572" i="57"/>
  <c r="U572" i="57"/>
  <c r="U584" i="57"/>
  <c r="N18" i="57"/>
  <c r="N568" i="57"/>
  <c r="U568" i="57"/>
  <c r="U580" i="57"/>
  <c r="N387" i="57"/>
  <c r="U387" i="57"/>
  <c r="U391" i="57"/>
  <c r="N123" i="57"/>
  <c r="U18" i="59"/>
  <c r="N11" i="59"/>
  <c r="U11" i="59"/>
  <c r="N206" i="35"/>
  <c r="N252" i="59"/>
  <c r="U252" i="59"/>
  <c r="U255" i="59"/>
  <c r="N186" i="60"/>
  <c r="N182" i="60"/>
  <c r="N339" i="59"/>
  <c r="U339" i="59"/>
  <c r="U343" i="59"/>
  <c r="N99" i="60"/>
  <c r="N95" i="60"/>
  <c r="N107" i="59"/>
  <c r="U107" i="59"/>
  <c r="U117" i="59"/>
  <c r="N208" i="57"/>
  <c r="U208" i="57"/>
  <c r="U220" i="57"/>
  <c r="N18" i="62"/>
  <c r="N11" i="62"/>
  <c r="N574" i="57"/>
  <c r="U574" i="57"/>
  <c r="U586" i="57"/>
  <c r="J149" i="59"/>
  <c r="P123" i="35"/>
  <c r="N100" i="60"/>
  <c r="N96" i="60"/>
  <c r="L102" i="62"/>
  <c r="M111" i="62"/>
  <c r="M102" i="62"/>
  <c r="U221" i="57"/>
  <c r="N209" i="57"/>
  <c r="U209" i="57"/>
  <c r="U116" i="59"/>
  <c r="N106" i="59"/>
  <c r="U106" i="59"/>
  <c r="N573" i="57"/>
  <c r="U573" i="57"/>
  <c r="U585" i="57"/>
  <c r="N453" i="57"/>
  <c r="U453" i="57"/>
  <c r="U465" i="57"/>
  <c r="U464" i="57"/>
  <c r="N452" i="57"/>
  <c r="U452" i="57"/>
  <c r="K188" i="35"/>
  <c r="I188" i="35"/>
  <c r="G174" i="35"/>
  <c r="E192" i="35"/>
  <c r="U21" i="57"/>
  <c r="N112" i="57"/>
  <c r="U112" i="57"/>
  <c r="U121" i="57"/>
  <c r="L108" i="57"/>
  <c r="M117" i="57"/>
  <c r="M108" i="57"/>
  <c r="N576" i="57"/>
  <c r="U576" i="57"/>
  <c r="U588" i="57"/>
  <c r="N457" i="57"/>
  <c r="U457" i="57"/>
  <c r="U469" i="57"/>
  <c r="N575" i="57"/>
  <c r="U575" i="57"/>
  <c r="U587" i="57"/>
  <c r="N13" i="57"/>
  <c r="U13" i="57"/>
  <c r="U20" i="57"/>
  <c r="N14" i="62"/>
  <c r="U119" i="57"/>
  <c r="N110" i="57"/>
  <c r="U110" i="57"/>
  <c r="N648" i="57"/>
  <c r="U648" i="57"/>
  <c r="U659" i="57"/>
  <c r="U82" i="57"/>
  <c r="N83" i="57"/>
  <c r="U83" i="57"/>
  <c r="N646" i="57"/>
  <c r="U646" i="57"/>
  <c r="U657" i="57"/>
  <c r="N652" i="57"/>
  <c r="U652" i="57"/>
  <c r="U663" i="57"/>
  <c r="N13" i="60"/>
  <c r="N9" i="60"/>
  <c r="N331" i="57"/>
  <c r="U331" i="57"/>
  <c r="U343" i="57"/>
  <c r="N330" i="57"/>
  <c r="U330" i="57"/>
  <c r="U342" i="57"/>
  <c r="N120" i="57"/>
  <c r="N726" i="57"/>
  <c r="U726" i="57"/>
  <c r="U738" i="57"/>
  <c r="N113" i="62"/>
  <c r="N104" i="62"/>
  <c r="L104" i="62"/>
  <c r="M113" i="62"/>
  <c r="M104" i="62"/>
  <c r="U22" i="57"/>
  <c r="N170" i="35"/>
  <c r="G190" i="35"/>
  <c r="K190" i="35"/>
  <c r="N190" i="35"/>
  <c r="E208" i="35"/>
  <c r="G208" i="35"/>
  <c r="M208" i="35"/>
  <c r="N208" i="35"/>
  <c r="N569" i="57"/>
  <c r="U569" i="57"/>
  <c r="U581" i="57"/>
  <c r="N187" i="60"/>
  <c r="N183" i="60"/>
  <c r="N116" i="57"/>
  <c r="U731" i="57"/>
  <c r="N719" i="57"/>
  <c r="U719" i="57"/>
  <c r="N270" i="57"/>
  <c r="N13" i="62"/>
  <c r="U116" i="57"/>
  <c r="N107" i="57"/>
  <c r="U107" i="57"/>
  <c r="N15" i="57"/>
  <c r="U15" i="57"/>
  <c r="N117" i="57"/>
  <c r="I174" i="35"/>
  <c r="K174" i="35"/>
  <c r="K176" i="35"/>
  <c r="M212" i="35"/>
  <c r="N114" i="57"/>
  <c r="U114" i="57"/>
  <c r="U123" i="57"/>
  <c r="N12" i="57"/>
  <c r="U12" i="57"/>
  <c r="U19" i="57"/>
  <c r="N16" i="57"/>
  <c r="U16" i="57"/>
  <c r="U120" i="57"/>
  <c r="N111" i="57"/>
  <c r="U111" i="57"/>
  <c r="G192" i="35"/>
  <c r="E210" i="35"/>
  <c r="G210" i="35"/>
  <c r="M210" i="35"/>
  <c r="N210" i="35"/>
  <c r="U270" i="57"/>
  <c r="N266" i="57"/>
  <c r="U266" i="57"/>
  <c r="N14" i="57"/>
  <c r="U14" i="57"/>
  <c r="N188" i="35"/>
  <c r="N212" i="35"/>
  <c r="U18" i="57"/>
  <c r="N11" i="57"/>
  <c r="U11" i="57"/>
  <c r="N109" i="57"/>
  <c r="U109" i="57"/>
  <c r="U118" i="57"/>
  <c r="N111" i="62"/>
  <c r="N102" i="62"/>
  <c r="J105" i="59"/>
  <c r="J150" i="59"/>
  <c r="J108" i="59"/>
  <c r="J107" i="59"/>
  <c r="J106" i="59"/>
  <c r="K192" i="35"/>
  <c r="K194" i="35"/>
  <c r="I192" i="35"/>
  <c r="J273" i="60"/>
  <c r="J269" i="60"/>
  <c r="J360" i="60"/>
  <c r="J356" i="60"/>
  <c r="J317" i="60"/>
  <c r="J313" i="60"/>
  <c r="J359" i="60"/>
  <c r="J355" i="60"/>
  <c r="J316" i="60"/>
  <c r="J312" i="60"/>
  <c r="J274" i="60"/>
  <c r="J270" i="60"/>
  <c r="J110" i="59"/>
  <c r="J109" i="59"/>
  <c r="J112" i="59"/>
  <c r="J111" i="59"/>
  <c r="J100" i="60"/>
  <c r="J13" i="60"/>
  <c r="J12" i="60"/>
  <c r="J186" i="60"/>
  <c r="J187" i="60"/>
  <c r="J99" i="60"/>
  <c r="N174" i="35"/>
  <c r="N176" i="35"/>
  <c r="I176" i="35"/>
  <c r="U117" i="57"/>
  <c r="N108" i="57"/>
  <c r="U108" i="57"/>
  <c r="J8" i="60"/>
  <c r="J9" i="60"/>
  <c r="N192" i="35"/>
  <c r="N194" i="35"/>
  <c r="I194" i="35"/>
  <c r="J41" i="60"/>
  <c r="J128" i="60"/>
  <c r="J95" i="60"/>
  <c r="J215" i="60"/>
  <c r="J182" i="60"/>
  <c r="J183" i="60"/>
  <c r="J230" i="60"/>
  <c r="J231" i="60"/>
  <c r="J143" i="60"/>
  <c r="J56" i="60"/>
  <c r="J144" i="60"/>
  <c r="J57" i="60"/>
  <c r="J140" i="60"/>
  <c r="J96" i="60"/>
  <c r="J139" i="60"/>
  <c r="J259" i="60"/>
  <c r="J226" i="60"/>
  <c r="J172" i="60"/>
  <c r="J85" i="60"/>
  <c r="J52" i="60"/>
  <c r="J227" i="60"/>
  <c r="J53" i="60"/>
</calcChain>
</file>

<file path=xl/comments1.xml><?xml version="1.0" encoding="utf-8"?>
<comments xmlns="http://schemas.openxmlformats.org/spreadsheetml/2006/main">
  <authors>
    <author>lamhong</author>
  </authors>
  <commentList>
    <comment ref="A561" authorId="0">
      <text>
        <r>
          <rPr>
            <sz val="9"/>
            <color indexed="81"/>
            <rFont val="Tahoma"/>
            <family val="2"/>
          </rPr>
          <t xml:space="preserve">MUC IV
</t>
        </r>
      </text>
    </comment>
  </commentList>
</comments>
</file>

<file path=xl/comments2.xml><?xml version="1.0" encoding="utf-8"?>
<comments xmlns="http://schemas.openxmlformats.org/spreadsheetml/2006/main">
  <authors>
    <author>lamhong</author>
  </authors>
  <commentList>
    <comment ref="E17" authorId="0">
      <text>
        <r>
          <rPr>
            <b/>
            <sz val="9"/>
            <color indexed="81"/>
            <rFont val="Tahoma"/>
            <family val="2"/>
          </rPr>
          <t>lamhong:</t>
        </r>
        <r>
          <rPr>
            <sz val="9"/>
            <color indexed="81"/>
            <rFont val="Tahoma"/>
            <family val="2"/>
          </rPr>
          <t xml:space="preserve">
</t>
        </r>
      </text>
    </comment>
    <comment ref="P17" authorId="0">
      <text>
        <r>
          <rPr>
            <b/>
            <sz val="9"/>
            <color indexed="81"/>
            <rFont val="Tahoma"/>
            <family val="2"/>
          </rPr>
          <t>lamhong:</t>
        </r>
        <r>
          <rPr>
            <sz val="9"/>
            <color indexed="81"/>
            <rFont val="Tahoma"/>
            <family val="2"/>
          </rPr>
          <t xml:space="preserve">
</t>
        </r>
      </text>
    </comment>
    <comment ref="E20" authorId="0">
      <text>
        <r>
          <rPr>
            <b/>
            <sz val="9"/>
            <color indexed="81"/>
            <rFont val="Tahoma"/>
            <family val="2"/>
          </rPr>
          <t>lamhong:</t>
        </r>
        <r>
          <rPr>
            <sz val="9"/>
            <color indexed="81"/>
            <rFont val="Tahoma"/>
            <family val="2"/>
          </rPr>
          <t xml:space="preserve">
</t>
        </r>
      </text>
    </comment>
    <comment ref="P20" authorId="0">
      <text>
        <r>
          <rPr>
            <b/>
            <sz val="9"/>
            <color indexed="81"/>
            <rFont val="Tahoma"/>
            <family val="2"/>
          </rPr>
          <t>lamhong:</t>
        </r>
        <r>
          <rPr>
            <sz val="9"/>
            <color indexed="81"/>
            <rFont val="Tahoma"/>
            <family val="2"/>
          </rPr>
          <t xml:space="preserve">
</t>
        </r>
      </text>
    </comment>
  </commentList>
</comments>
</file>

<file path=xl/comments3.xml><?xml version="1.0" encoding="utf-8"?>
<comments xmlns="http://schemas.openxmlformats.org/spreadsheetml/2006/main">
  <authors>
    <author>lamhong</author>
  </authors>
  <commentList>
    <comment ref="T2" authorId="0">
      <text>
        <r>
          <rPr>
            <sz val="9"/>
            <color indexed="81"/>
            <rFont val="Tahoma"/>
            <family val="2"/>
          </rPr>
          <t xml:space="preserve">MỤC V
</t>
        </r>
      </text>
    </comment>
    <comment ref="T201" authorId="0">
      <text>
        <r>
          <rPr>
            <b/>
            <sz val="9"/>
            <color indexed="81"/>
            <rFont val="Tahoma"/>
            <family val="2"/>
          </rPr>
          <t>MUC VII</t>
        </r>
        <r>
          <rPr>
            <sz val="9"/>
            <color indexed="81"/>
            <rFont val="Tahoma"/>
            <family val="2"/>
          </rPr>
          <t xml:space="preserve">
</t>
        </r>
      </text>
    </comment>
    <comment ref="A421" authorId="0">
      <text>
        <r>
          <rPr>
            <b/>
            <sz val="9"/>
            <color indexed="81"/>
            <rFont val="Tahoma"/>
            <charset val="1"/>
          </rPr>
          <t>lamhong:</t>
        </r>
        <r>
          <rPr>
            <sz val="9"/>
            <color indexed="81"/>
            <rFont val="Tahoma"/>
            <charset val="1"/>
          </rPr>
          <t xml:space="preserve">
</t>
        </r>
      </text>
    </comment>
  </commentList>
</comments>
</file>

<file path=xl/sharedStrings.xml><?xml version="1.0" encoding="utf-8"?>
<sst xmlns="http://schemas.openxmlformats.org/spreadsheetml/2006/main" count="11276" uniqueCount="1091">
  <si>
    <t>6- Trường hợp phải chuẩn bị hợp đồng cho thuê đất, mức dụng cụ tính bằng 0,003% mức dụng cụ của VPĐK cấp huyện, mức vật liệu được tính là: 0,02 Ram giấy A4 và 0,004 hộp mực A4, giá vật liệu được lây theo bảng giá trong phần "Phụ lục đơn giá". (Các mức này được áp dụng chung cho các trường hợp lập hợp đồng cho thuê đất)</t>
  </si>
  <si>
    <t>Nhận lại hồ sơ, GCN, nhập thông tin vào Sổ cấp giấy (đối với trường hợp phải cấp GCN); chỉnh lý hồ sơ địa chính; gửi cho cơ quan quản lý tài sản (nếu có); gửi thông báo biến động cho cấp tỉnh, xã, thị trấn; trả GCN, thu phí, lệ phí, nộp kho bạc</t>
  </si>
  <si>
    <t>Nhận hồ sơ, ký GCN, chuyển hồ sơ, GCN cho cấp huyện</t>
  </si>
  <si>
    <t>Địa bàn xã, thị trấn nhận thông báo biến động, chỉnh lý vào HSĐC</t>
  </si>
  <si>
    <t>Hướng dẫn lập hồ sơ đăng ký biếnđộng đất đai</t>
  </si>
  <si>
    <t>VI- ĐĂNG KÝ, CẤP ĐỔI GIẤY CHỨNG NHẬN ĐỒNG LOẠT TẠI PHƯỜNG (bảng 11)</t>
  </si>
  <si>
    <t>VII.1- ĐĂNG KÝ, CẤP ĐỔI, CẤP LẠI GIẤY CHỨNG NHẬN QSD ĐẤT RIÊNG LẺ ĐỐI VỚI HỘ GIA ĐÌNH CÁ NHÂN(bảng 12)</t>
  </si>
  <si>
    <t>VII.2- ĐĂNG KÝ, CẤP ĐỔI, CẤP LẠI GIẤY CHỨNG NHẬN ĐỐI VỚI TÀI SẢN RIÊNG LẺ ĐỐI VỚI HỘ GIA ĐÌNH CÁ NHÂN (bảng 12)</t>
  </si>
  <si>
    <t>VI.3- ĐĂNG KÝ, CẤP ĐỔI, CẤP LẠI GIẤY CHỨNG NHẬN ĐỒNG THỜI CẢ ĐẤT VÀ TÀI SẢN THỰC HIỆN RIÊNG LẺ ĐỐI VỚI HỘ GIA ĐÌNH CÁ NHÂN(bảng 12)</t>
  </si>
  <si>
    <t>IX.1- ĐĂNG KÝ BIẾN ĐỘNG VỀ ĐẤT ĐỐI VỚI HỘ GIA ĐÌNH, CÁ NHÂN (bảng 14)</t>
  </si>
  <si>
    <t>IX.2- ĐĂNG KÝ BIẾN ĐỘNG VỀ TÀI SẢN ĐỐI VỚI HỘ GIA ĐÌNH CÁ NHÂN (bảng 14)</t>
  </si>
  <si>
    <t>IX.3- ĐĂNG KÝ BIẾN ĐỘNG ĐỒNG THỜI ĐẤT VÀ TÀI SẢN ĐỐI VỚI HỘ GIA ĐÌNH CÁ NHÂN (bảng 14)</t>
  </si>
  <si>
    <t>Hướng dẫn lập hồ sơ đăng ký biến động đất đai</t>
  </si>
  <si>
    <t>Nhóm 2 (1KS3, 1KS2)</t>
  </si>
  <si>
    <t>Nhận lại hồ sơ, GCN, nhập thông tin vào Sổ cấp giấy (đối với trường hợp phải cấp GCN); chỉnh lý hồ sơ địa chính; gửi cho cơ quan quản lý tài sản (nếu có); gửi thông báo biến động cho cấp huyện, xã, thị trấn; trả GCN, thu phí, lệ phí, nộp kho bạc</t>
  </si>
  <si>
    <t>X.1- ĐĂNG KÝ BIẾN ĐỘNG VỀ ĐẤT VỚI TỔ CHỨC (bảng 16)</t>
  </si>
  <si>
    <t>X.2- ĐĂNG KÝ BIẾN ĐỘNG VỀ TÀI SẢN VỚI TỔ CHỨC (bảng 16)</t>
  </si>
  <si>
    <t>X.3- ĐĂNG KÝ BIẾN ĐỘNG ĐỒNG THỜI VỀ ĐẤT VÀ TÀI SẢN VỚI TỔ CHỨC (bảng 16)</t>
  </si>
  <si>
    <t>I- ĐĂNG KÝ, CẤP GIẤY CHỨNG NHẬN LẦN ĐẦU ĐỒNG LOẠT ĐỐI VỚI HỘ GIA ĐÌNH, CÁ NHÂN Ở XÃ, THỊ TRẤN (BẢNG 64)</t>
  </si>
  <si>
    <t>TỔNG HỢP ĐƠN GIÁ SẢN PHẨM ĐĂNG KÝ, CẤP GIẤY CHỨNG NHẬN LẦN ĐẦU ĐỒNG THỜI CẢ ĐẤT VÀ TÀI SẢN THỰC HIỆN ĐƠN LẺ TỪNG HỘ GIA ĐÌNH, CÁ NHÂN - TRƯỜNG HỢP NỘP HỒ SƠ TẠI XÃ</t>
  </si>
  <si>
    <t>1- Tổng hợp đơn giá cho công việc trích lục thửa đất, viết GCN bằng công nghệ tin học, khi thực hiện bằng công nghệ khác thì được tính lại theo đơn giá của công nghệ tương ứng.</t>
  </si>
  <si>
    <t>Chuẩn bị địa điểm đăng ký</t>
  </si>
  <si>
    <t>Điểm</t>
  </si>
  <si>
    <t>Nhóm 2 (1KS2, 1KTV4)</t>
  </si>
  <si>
    <t>Chuẩn bị các tài liệu, bản đồ, mẫu đơn đề nghị đăng ký, cấp GCN, danh sách các trường hợp sử dụng đất theo địa điểm (theo xã, thị trấn)</t>
  </si>
  <si>
    <t>Bộ tài liệu</t>
  </si>
  <si>
    <t>Nhóm 3 (1KS3, 1KS2, 1KTV4)</t>
  </si>
  <si>
    <t>Tổ chức phổ biến, tuyên truyền chủ trương, chính sách về đăng ký, cấp GCN</t>
  </si>
  <si>
    <t>Cuộc</t>
  </si>
  <si>
    <t>1KS3</t>
  </si>
  <si>
    <t>1.4</t>
  </si>
  <si>
    <t>Hướng dẫn lập hồ sơ đề nghị đăng ký, cấp GCN</t>
  </si>
  <si>
    <t>1.4.1</t>
  </si>
  <si>
    <t>Theo hình thức trực tiếp</t>
  </si>
  <si>
    <t>1KS2</t>
  </si>
  <si>
    <t>1.4.2</t>
  </si>
  <si>
    <t>Theo hình thức trực tuyến</t>
  </si>
  <si>
    <t>Nhận, kiểm tra tính đầy đủ, hợp lệ và viết giấy biên nhận hoặc trả lại hồ sơ, vào sổ theo dõi nhận, trả hồ sơ (theo hình thức trực tiếp, trực tuyến)</t>
  </si>
  <si>
    <t>Tạo tệp (File) dữ liệu hồ sơ số và nhập thông tin do người sử dụng đất kê khai, đăng ký</t>
  </si>
  <si>
    <t>Kiểm tra, xác minh, lấy ý kiến khu dân cư (nếu có) hồ sơ đề nghị đăng ký, cấp GCN</t>
  </si>
  <si>
    <t>III.2- ĐĂNG KÝ, CẤP GIẤY CHỨNG NHẬN LẦN ĐẦU ĐƠN LẺ TỪNG HỘ GIA ĐÌNH, CÁ NHÂN - TRƯỜNG HỢP NỘP HỒ SƠ TẠI VPĐK CẤP HUYỆN (Bảng 72)</t>
  </si>
  <si>
    <t>1- Tổng hợp đơn giá cho công việc viết GCN bằng công nghệ tin học, khi thực hiện bằng công nghệ khác thì được tính lại theo đơn giá của công nghệ tương ứng.</t>
  </si>
  <si>
    <t>TỔNG HỢP ĐƠN GIÁ SẢN PHẨM ĐĂNG KÝ, CẤP ĐỔI GIẤY CHỨNG NHẬN ĐỒNG LOẠT TẠI XÃ, THỊ TRẤN</t>
  </si>
  <si>
    <t>TỔNG HỢP ĐƠN GIÁ SẢN PHẨM ĐĂNG KÝ, CẤP GIẤY CHỨNG NHẬN LẦN ĐẦU ĐỒNG LOẠT ĐỐI VỚI HỘ GIA ĐÌNH, CÁ NHÂN Ở PHƯỜNG</t>
  </si>
  <si>
    <t>TỔNG HỢP ĐƠN GIÁ SẢN PHẨM ĐĂNG KÝ, CẤP GIẤY CHỨNG NHẬN QUYỀN SỬ DỤNG ĐẤT LẦN ĐẦU ĐỐI VỚI TỔ CHỨC</t>
  </si>
  <si>
    <t>TỔNG HỢP ĐƠN GIÁ SẢN PHẨM ĐĂNG KÝ, CẤP GIẤY CHỨNG NHẬN QUYỀN SỞ HỮU TÀI SẢN LẦN ĐẦU ĐỐI VỚI TỔ CHỨC</t>
  </si>
  <si>
    <t>TỔNG HỢP ĐƠN GIÁ SẢN PHẨM ĐĂNG KÝ, CẤP GIẤY CHỨNG NHẬN LẦN ĐẦU ĐỒNG THỜI CẢ ĐẤT VÀ TÀI SẢN ĐỐI VỚI TỔ CHỨC</t>
  </si>
  <si>
    <t>14.1</t>
  </si>
  <si>
    <t>Xử lý các tệp tin quét thành tệp (File) hồ sơ quét dạng số của thửa đất, lưu trữ dưới khuôn dạng tệp tin PDF</t>
  </si>
  <si>
    <t>14.3</t>
  </si>
  <si>
    <t>Tạo liên kết hồ sơ quét dạng số với thửa đất trong cơ sở dữ liệu</t>
  </si>
  <si>
    <t xml:space="preserve">Máy photocopy </t>
  </si>
  <si>
    <t xml:space="preserve"> - Định mức tính cho 1 hồ sơ</t>
  </si>
  <si>
    <t xml:space="preserve"> - Định mức tính cho 1 xã, thị trấn trung bình 8000 hồ sơ</t>
  </si>
  <si>
    <r>
      <t xml:space="preserve">Ghi chú: </t>
    </r>
    <r>
      <rPr>
        <sz val="10"/>
        <rFont val="Arial"/>
        <family val="2"/>
      </rPr>
      <t>Định mức tính cho 1 hồ sơ</t>
    </r>
  </si>
  <si>
    <t>tờ</t>
  </si>
  <si>
    <t>đồng/phường</t>
  </si>
  <si>
    <t>đ/phường</t>
  </si>
  <si>
    <t>Cộng                      thành tiền (đồng/xã)</t>
  </si>
  <si>
    <t>Dụng             cụ</t>
  </si>
  <si>
    <t>Đơn vị tính: đồng/thửa</t>
  </si>
  <si>
    <t>Hòm sắt đựng tài liệu</t>
  </si>
  <si>
    <t>Ống đựng bản đồ</t>
  </si>
  <si>
    <t>Quy phạm</t>
  </si>
  <si>
    <t>CÁC NỘI DUNG THỰC HIỆN TẠI ĐỊABÀN PHƯỜNG</t>
  </si>
  <si>
    <t>Chuẩn bị các tài liệu, bản đồ, mẫu đơn đề nghị đăng ký, cấp GCN, danh sách các trường hợp sử dụng đất theo địa điểm (theo phường)</t>
  </si>
  <si>
    <t>Nhập ý kiến xác nhận của phường vào tệp (File) dữ liệu hồ sơ số</t>
  </si>
  <si>
    <t>Nhận thông báo, chuyển thông báo nghĩa vụ tài chính cho người sử dụng đất (sau khi cấp huyện xác định nghĩa vụ tài chính và gửi cho phường để thông báo cho người sử dụng đất)</t>
  </si>
  <si>
    <t>Tiếp nhận hồ sơ đề nghị đăng ký, cấp GCN của người sử dụng đất từ phường chuyển đến</t>
  </si>
  <si>
    <t>Nhập ý kiến nội dung xác nhận của cấp huyện vào tệp (File) dữ liệu hồ sơ số</t>
  </si>
  <si>
    <t>Theo hình thức trực tiếp (gửi về phường để thông báo cho người sử dụng đất)</t>
  </si>
  <si>
    <t>Quét giấy tờ pháp lý và xử lý tệp tin</t>
  </si>
  <si>
    <t>Mức lương cơ sở</t>
  </si>
  <si>
    <t>4.5.1</t>
  </si>
  <si>
    <t>4.5.2</t>
  </si>
  <si>
    <t>Nhận lại hồ sơ, GCN, hợp đồng thuê đất; lập và sao sổ cấp GCN; gửi cơ quan quản lý tài sản (nếu có)</t>
  </si>
  <si>
    <t>12.1</t>
  </si>
  <si>
    <t>12.1.1</t>
  </si>
  <si>
    <t>12.1.2</t>
  </si>
  <si>
    <t>12.2</t>
  </si>
  <si>
    <t>12.3</t>
  </si>
  <si>
    <t>CÁC NỘI DUNG THỰC HIỆN TẠI ĐỊA BÀN CẤP TỈNH</t>
  </si>
  <si>
    <t xml:space="preserve"> -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</si>
  <si>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 xml:space="preserve"> - Trường hợp đăng ký biến động đất đai mà thực hiện cấp mới GCN thì áp dụng mức thiết bị của Bảng 96. Trường hợp đăng ký biến động đất đai mà không thực hiện cấp mới GCN thì được tính bằng 0,6 lần mức thiết bị của Bảng  trên</t>
  </si>
  <si>
    <t xml:space="preserve"> - Đối với xã, thị trấn xây dựng cơ sở dữ liệu địa chính thì trong công việc đăng ký, cấp đổi GCN không được tính mức thiết bị tại địa bàn cấp tỉnh quy định tại bảng trên</t>
  </si>
  <si>
    <t xml:space="preserve"> - Trường hợp nhiều thửa đất nông nghiệp được cấp chung trong một GCN thì ngoài mức được tính ở trên cứ mỗi thửa đất tăng thêm được tính bằng 0,20 đối với các nội dung thực hiện tại địa bàn xã, thị trấn và 0,30 đối với các nội dung thực hiện tại địa bàn cấp huyện.</t>
  </si>
  <si>
    <t>- Trường hợp đăng ký nhưng không có nhu cầu đổi GCN hoặc không đủ điều kiện cấp đổi GCN thì được tính mức bằng 90% mức quy định tại bảng trên</t>
  </si>
  <si>
    <r>
      <t>CÁC NỘI DUNG THỰC HIỆN TẠI</t>
    </r>
    <r>
      <rPr>
        <sz val="11"/>
        <color indexed="8"/>
        <rFont val="Arial"/>
        <family val="2"/>
      </rPr>
      <t> </t>
    </r>
    <r>
      <rPr>
        <b/>
        <sz val="11"/>
        <color indexed="8"/>
        <rFont val="Arial"/>
        <family val="2"/>
      </rPr>
      <t>ĐỊA BÀN CẤP HUYỆN</t>
    </r>
  </si>
  <si>
    <r>
      <t>CÁC NỘI DUNG THỰC HIỆN TẠI</t>
    </r>
    <r>
      <rPr>
        <sz val="11"/>
        <color indexed="8"/>
        <rFont val="Arial"/>
        <family val="2"/>
      </rPr>
      <t> </t>
    </r>
    <r>
      <rPr>
        <b/>
        <sz val="11"/>
        <color indexed="8"/>
        <rFont val="Arial"/>
        <family val="2"/>
      </rPr>
      <t>ĐỊA BÀN XÃ, THỊ TRẤN</t>
    </r>
  </si>
  <si>
    <t>Quy định tại Thông tư liên tịch số 136/2017/TT-BTC ngày 22/12/2017</t>
  </si>
  <si>
    <t>Áp dụng từ 01/7/2018</t>
  </si>
  <si>
    <r>
      <t>CÁC NỘI DUNG THỰC HIỆN TẠI</t>
    </r>
    <r>
      <rPr>
        <sz val="9"/>
        <rFont val="Arial"/>
        <family val="2"/>
      </rPr>
      <t> </t>
    </r>
    <r>
      <rPr>
        <b/>
        <sz val="9"/>
        <rFont val="Arial"/>
        <family val="2"/>
      </rPr>
      <t>ĐỊA BÀN CẤP TỈNH</t>
    </r>
  </si>
  <si>
    <r>
      <t>CÁC NỘI DUNG THỰC HIỆN TẠI</t>
    </r>
    <r>
      <rPr>
        <sz val="9"/>
        <rFont val="Arial"/>
        <family val="2"/>
      </rPr>
      <t> </t>
    </r>
    <r>
      <rPr>
        <b/>
        <sz val="9"/>
        <rFont val="Arial"/>
        <family val="2"/>
      </rPr>
      <t>ĐỊA BÀN CẤP HUYỆN</t>
    </r>
  </si>
  <si>
    <r>
      <t>CÁC NỘI DUNG THỰC HIỆN TẠI</t>
    </r>
    <r>
      <rPr>
        <sz val="9"/>
        <rFont val="Arial"/>
        <family val="2"/>
      </rPr>
      <t> </t>
    </r>
    <r>
      <rPr>
        <b/>
        <sz val="9"/>
        <rFont val="Arial"/>
        <family val="2"/>
      </rPr>
      <t>ĐỊA BÀN XÃ, THỊ TRẤN</t>
    </r>
  </si>
  <si>
    <r>
      <t>Ghi chú</t>
    </r>
    <r>
      <rPr>
        <sz val="9"/>
        <rFont val="Arial"/>
        <family val="2"/>
      </rPr>
      <t>:</t>
    </r>
  </si>
  <si>
    <t>TRÍCH LỤC TỪ HỒ SƠ ĐỊA CHÍNH SỐ (TÍNH CHO 01 THỬA)</t>
  </si>
  <si>
    <t>TRÍCH SAO TỪ HỒ SƠ ĐỊA CHÍNH GIẤY (TÍNH CHO 01 THỬA)</t>
  </si>
  <si>
    <t xml:space="preserve"> Cặp để tài liệu </t>
  </si>
  <si>
    <t xml:space="preserve"> Cái </t>
  </si>
  <si>
    <t xml:space="preserve"> Ghim vòng </t>
  </si>
  <si>
    <t xml:space="preserve"> Hộp </t>
  </si>
  <si>
    <t xml:space="preserve"> Ghim dập </t>
  </si>
  <si>
    <t xml:space="preserve"> Mực in Laser (A4) </t>
  </si>
  <si>
    <t xml:space="preserve"> Mực máy Photocopy </t>
  </si>
  <si>
    <t xml:space="preserve"> Xã </t>
  </si>
  <si>
    <t xml:space="preserve"> Mực in Laser (A3) </t>
  </si>
  <si>
    <t xml:space="preserve"> Mẫu trích lục bản đồ </t>
  </si>
  <si>
    <t xml:space="preserve"> Tờ </t>
  </si>
  <si>
    <t xml:space="preserve"> Bộ </t>
  </si>
  <si>
    <t xml:space="preserve"> Giấy A4 </t>
  </si>
  <si>
    <t xml:space="preserve"> Ram </t>
  </si>
  <si>
    <t xml:space="preserve"> Giấy A3 </t>
  </si>
  <si>
    <t xml:space="preserve"> Sổ công tác </t>
  </si>
  <si>
    <t xml:space="preserve"> Quyển </t>
  </si>
  <si>
    <t xml:space="preserve"> Bút bi </t>
  </si>
  <si>
    <t xml:space="preserve"> Bút xóa </t>
  </si>
  <si>
    <t xml:space="preserve"> Bút đánh dấu </t>
  </si>
  <si>
    <t xml:space="preserve"> Bìa sổ (2 tờ/sổ = cặp) </t>
  </si>
  <si>
    <t xml:space="preserve"> Cặp </t>
  </si>
  <si>
    <t xml:space="preserve"> Đĩa mềm </t>
  </si>
  <si>
    <t xml:space="preserve"> Đĩa </t>
  </si>
  <si>
    <t xml:space="preserve"> Giấy làm bìa hồ sơ (A3) </t>
  </si>
  <si>
    <t xml:space="preserve"> Mực in cho máy Plotter (4 màu) </t>
  </si>
  <si>
    <t xml:space="preserve"> Giấy in bản đồ A0 (100 gram/m2) </t>
  </si>
  <si>
    <t xml:space="preserve"> Tờ  </t>
  </si>
  <si>
    <t xml:space="preserve"> Đơn xin đăng ký biến động </t>
  </si>
  <si>
    <t xml:space="preserve"> Đĩa CD </t>
  </si>
  <si>
    <t xml:space="preserve"> Túi đựng hồ sơ </t>
  </si>
  <si>
    <t xml:space="preserve"> Mực photocoppy A0 </t>
  </si>
  <si>
    <t>Máy toàn đạc điện tử</t>
  </si>
  <si>
    <t>cái</t>
  </si>
  <si>
    <t>Máy tính xách tay</t>
  </si>
  <si>
    <t>Sổ điện tử</t>
  </si>
  <si>
    <t>Máy vi tính</t>
  </si>
  <si>
    <t>Máy in phun Ao</t>
  </si>
  <si>
    <t>Máy điều hòa</t>
  </si>
  <si>
    <t>Máy pho to Ao</t>
  </si>
  <si>
    <t>Phần mềm vẽ BĐ</t>
  </si>
  <si>
    <t>Xe ô tô 9-12 chỗ</t>
  </si>
  <si>
    <t>Bộ máy GPS 3 máy</t>
  </si>
  <si>
    <t>Máy bộ đàm (bộ 3 máy)</t>
  </si>
  <si>
    <t>Máy in Laser A3</t>
  </si>
  <si>
    <t>Máy Photocopy  A3</t>
  </si>
  <si>
    <t>Máy in Laser A4</t>
  </si>
  <si>
    <t>BẢNG GIÁ DỤNG CỤ</t>
  </si>
  <si>
    <t>BẢNG GIÁ VẬT LIỆU</t>
  </si>
  <si>
    <t>BẢNG GIÁ MÁY MÓC THIẾT BỊ</t>
  </si>
  <si>
    <t>Số</t>
  </si>
  <si>
    <t xml:space="preserve">Danh mục </t>
  </si>
  <si>
    <t>ĐV</t>
  </si>
  <si>
    <t xml:space="preserve"> đơn giá </t>
  </si>
  <si>
    <t>Dụng cụ</t>
  </si>
  <si>
    <t>tính</t>
  </si>
  <si>
    <t xml:space="preserve"> (đ) </t>
  </si>
  <si>
    <t xml:space="preserve"> (đ/ca) </t>
  </si>
  <si>
    <t>Vật liệu</t>
  </si>
  <si>
    <t>Thiết bị</t>
  </si>
  <si>
    <t>(năm)</t>
  </si>
  <si>
    <t>STT</t>
  </si>
  <si>
    <t>Nội dung</t>
  </si>
  <si>
    <t>Đơn vị tính</t>
  </si>
  <si>
    <t>Mức áp dụng</t>
  </si>
  <si>
    <t>Ghi chú</t>
  </si>
  <si>
    <t>đồng/tháng</t>
  </si>
  <si>
    <t>Lương phụ</t>
  </si>
  <si>
    <t>%</t>
  </si>
  <si>
    <t>Trên lương cấp bậc</t>
  </si>
  <si>
    <t>Phụ cấp lưu động</t>
  </si>
  <si>
    <t>Trên lương tối thiểu chung</t>
  </si>
  <si>
    <t>Phụ cấp trách nhiệm</t>
  </si>
  <si>
    <t>Trên lương tối thiểu, tính cho tổ 5 người</t>
  </si>
  <si>
    <t>Phụ cấp độc hại, nguy hiểm</t>
  </si>
  <si>
    <t>Số ngày làm việc trong tháng</t>
  </si>
  <si>
    <t>ngày</t>
  </si>
  <si>
    <t>đồng/ngày</t>
  </si>
  <si>
    <t xml:space="preserve"> đồng </t>
  </si>
  <si>
    <t>Số TT</t>
  </si>
  <si>
    <t>Bậc lương</t>
  </si>
  <si>
    <t>Hệ số</t>
  </si>
  <si>
    <t>I</t>
  </si>
  <si>
    <t>Ngoại nghiệp</t>
  </si>
  <si>
    <t xml:space="preserve"> Kỹ sư </t>
  </si>
  <si>
    <t>Kỹ thuật viên</t>
  </si>
  <si>
    <t>Lái xe</t>
  </si>
  <si>
    <t>II</t>
  </si>
  <si>
    <t>Nội nghiệp</t>
  </si>
  <si>
    <t>3- Trường hợp cấp đổi GCN đối với thửa đất có biến động khác về quyền sử dụng đất, tài sản gắn liền với đất (chuyển quyền sử dụng đất, thay đổi về tài sản gắn liền với đất, v.v...) thì định mức lao động quy định tại Mục 4 các nội dung  thực hiện tại địa bàn cấp huyện Bảng 12 được tính bằng 1,5lần</t>
  </si>
  <si>
    <t>4- Trường hợp có kê khai đăng ký, nhưng người sử dụng đất không đổi GCN thì định mức được tính bằng 90% định mức quy định đối với trường hợp cấp đổi GCN</t>
  </si>
  <si>
    <t xml:space="preserve"> - Định mức tại bảng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</si>
  <si>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nhiều thửa đất nông nghiệp được cấp chung trong một GCN thì ngoài mức được tính ở trên cứ mỗi thửa đất tăng thêm được tính bằng 0,20 đối với các nội dung thực hiện tại địa bàn xã, thị trấn, thị trấn và 0,30 đối với các nội dung thực hiện tại địa bàn cấp huyện.</t>
  </si>
  <si>
    <t xml:space="preserve"> - Đối với xã, thị trấn xây dựng cơ sở dữ liệu địa chính thì trong công việc đăng ký, cấp GCN không được tính mức thiết bị cho các nội dung thực hiện tại địa bàn cấp tỉnh quy định tại bảng trên</t>
  </si>
  <si>
    <t xml:space="preserve"> - Trường hợp đăng ký nhưng không thuộc trường hợp phải cấp GCN thì được tính mức bằng 50% mức quy định quy định tại bảng trên.
Trường hợp đăng ký nhưng không có nhu cầu cấp GCN hoặc không đủ điều kiện được cấp GCN thì được tính mức bằng 90% mức quy định tại bảng trên</t>
  </si>
  <si>
    <t>-  Định mức thiết bị trên áp dụng cho trường hợp đăng ký đất hoặc trường hợp đăng ký tài sản; trường hợp đăng ký cả đất và tài sản thì mức thiết bị được tính bằng hệ số là 1,3 mức thiết bị ở bảng trên</t>
  </si>
  <si>
    <t xml:space="preserve"> - Mức thiết bị được tính chung cho các loại khó khăn.</t>
  </si>
  <si>
    <t>Lưu điện</t>
  </si>
  <si>
    <t>Chuột máy tính</t>
  </si>
  <si>
    <t>Đầu ghi CD</t>
  </si>
  <si>
    <t>USB 1GB</t>
  </si>
  <si>
    <t>Mực in Lazer A3</t>
  </si>
  <si>
    <t>Danh mục dụng cụ</t>
  </si>
  <si>
    <t>Phụ cấp khu vực      0,1</t>
  </si>
  <si>
    <t>Đơn giá sản phẩm</t>
  </si>
  <si>
    <t>Phụ cấp  khu vực      0,1</t>
  </si>
  <si>
    <t>Đơn giá  sản phẩm</t>
  </si>
  <si>
    <t>BẢNG GIÁ DỤNG CỤ VÀ ĐƠN GIÁ CA MÁY</t>
  </si>
  <si>
    <r>
      <t>Máy toàn đạc điện tử (ĐCX</t>
    </r>
    <r>
      <rPr>
        <sz val="10"/>
        <color indexed="8"/>
        <rFont val="Times New Roman"/>
        <family val="1"/>
      </rPr>
      <t xml:space="preserve"> </t>
    </r>
    <r>
      <rPr>
        <sz val="10"/>
        <color indexed="8"/>
        <rFont val="Symbol"/>
        <family val="1"/>
        <charset val="2"/>
      </rPr>
      <t>³ 5</t>
    </r>
    <r>
      <rPr>
        <sz val="10"/>
        <color indexed="8"/>
        <rFont val="Arial"/>
        <family val="2"/>
      </rPr>
      <t>')</t>
    </r>
  </si>
  <si>
    <t>Máy toàn đạc điện tử (ĐCX &lt; 5')</t>
  </si>
  <si>
    <t>Bảng thống kê hiện trạng đo đạc địa chính</t>
  </si>
  <si>
    <t xml:space="preserve">Bút bi </t>
  </si>
  <si>
    <t xml:space="preserve">Bút đánh dấu </t>
  </si>
  <si>
    <t xml:space="preserve">Bút xóa </t>
  </si>
  <si>
    <t>Nhập thông tin về nghĩa vụ tài chính, đăng ký vào hồ sơ địa chính</t>
  </si>
  <si>
    <t>Hợp đồng</t>
  </si>
  <si>
    <t>In GCN</t>
  </si>
  <si>
    <t>10.1</t>
  </si>
  <si>
    <t>Trực tiếp từ cơ sở dữ liệu dạng số</t>
  </si>
  <si>
    <t>10.2</t>
  </si>
  <si>
    <t>Đối với những nơi chưa có bản đồ dạng số</t>
  </si>
  <si>
    <t>Lập và gửi hồ sơ trình ký GCN, lập hồ sơ theo dõi việc gửi tài liệu</t>
  </si>
  <si>
    <t>Nhận lại hồ sơ, GCN, hợp đồng thuê đất; lập và sao sổ cấp GCN; gửi tài liệu về cấp tỉnh để lập hồ sơ địa chính</t>
  </si>
  <si>
    <t>Nhập bổ sung thông tin dữ liệu về GCN</t>
  </si>
  <si>
    <t>Quét giấy tờ pháp lý và xử lý tập tin</t>
  </si>
  <si>
    <t xml:space="preserve"> - Trường hợp đăng ký biến động đất đai mà thực hiện cấp mới GCN thì áp dụng mức vật liệu của bảng trên. Trường hợp đăng ký biến động đất đai mà không thực hiện cấp mới GCN thì được tính bằng 0,6 lần mức vật liệu của bảng trên và không được tính vật liệu là mẫu trích lục bản đồ và GCN, trừ trường hợp biến động có thay đổi diện tích mà cần phải trích lục bản đồ</t>
  </si>
  <si>
    <t>- Trường hợp đăng ký biến động đất đai mà thực hiện cấp mới GCN thì áp dụng mức vật liệu của bảng trên. Trường hợp đăng ký biến động đất đai mà không thực hiện cấp mới GCN thì được tính bằng 0,6 lần mức vật liệu của bảng trên và không được tính vật liệu là mẫu trích lục bản đồ và GCN, trừ trường hợp biến động có thay đổi diện tích mà cần phải trích lục bản đồ</t>
  </si>
  <si>
    <t>Trường hợp trích lục hồ sơ cho 01 khu đất (gồm nhiều thửa) mức áp dụng như sau:
- Dưới 05 thửa: Mức cho một thửa tính bằng 0,80 mức quy định tại Bảng 100.
- Từ 05 thửa đến 10 thửa: Mức cho một thửa tính bằng 0,65 mức quy định
tại Bảng 100.
- Trên 10 thửa: Mức cho một thửa tính bằng 0,50 mức quy định tại Bảng 100</t>
  </si>
  <si>
    <t xml:space="preserve">  - Mức dụng cụ được tính chung cho các loại khó khăn.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</si>
  <si>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</si>
  <si>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IX- ĐĂNG KÝ, CẤP ĐỔI, CẤP LẠI GIẤY CHỨNG NHẬN RIÊNG LẺ ĐỐI VỚI TỔ CHỨC</t>
  </si>
  <si>
    <t xml:space="preserve"> - Trường hợp đăng ký biến động đất đai mà thực hiện cấp mới GCN thì áp dụng mức dụng cụ của bảng trên. Trường hợp đăng ký biến động đất đai mà không thực hiện cấp mới GCN thì được tính bằng 0,6 lần mức dụng cụ của bảng trên</t>
  </si>
  <si>
    <t xml:space="preserve"> - Mức dụng cụ được tính chung cho các loại khó khăn</t>
  </si>
  <si>
    <t>3- Đối với các hồ sơ không đủ điều kiện cấp GCN thì được tính định mức đối với Mục 1, 2, 3, 4, 5, 6, 7, 8, 9 các nội dung thực hiện tại địa bàn xã, thị trấn; Mục 1, 2, 3, 4, 8, 12, 14, 16 các nội dung thực hiện tại địa bàn cấp huyện; Mục 1, 2, 3 các nội dung thực hiện tại địa bàn cấp tỉnh</t>
  </si>
  <si>
    <t>Kiểm tra hồ sơ đề nghị đăng ký, cấp đổi GCN và xác nhận vào đơn, căn cứ pháp lý</t>
  </si>
  <si>
    <t>Lập (xuất) phiếu và chuyển thông tin địa chính đến cơ quan thuế để xác định nghĩa vụ tài chính (nếu có), nhận thông báo nghĩa vụ tài chính</t>
  </si>
  <si>
    <t>Chuyển thông tin nghĩa vụ tài chính để người sử dụng đất thực hiện nghĩa vụ tài chính (nếu có) và nhận lại hóa đơn nghĩa vụ tài chính đã thực hiện</t>
  </si>
  <si>
    <t>Nhận lại hồ sơ, GCN, hợp đồng thuê đất (nếu có); lập và sao sổ cấp GCN; gửi cho cơ quan quản lý tài sản</t>
  </si>
  <si>
    <t>Thông báo danh sách các trường hợp làm thủ tục cấp đổi GCN cho tổ chức tín dụng nơi nhận thế chấp quyền sử dụng đất, tài sản gắn liền với đất; xác nhận việc đăng ký thế chấp vào GCN sau khi được cơ quan có thẩm quyền ký cấp đổi</t>
  </si>
  <si>
    <t>Văn phòng đăng ký đất đai nhận lại GCN cũ đang thế chấp từ tổ chức tín dụng và trao GCN mới</t>
  </si>
  <si>
    <t>13.1</t>
  </si>
  <si>
    <t>13.1.1</t>
  </si>
  <si>
    <t>13.1.2</t>
  </si>
  <si>
    <t>13.2</t>
  </si>
  <si>
    <t>13.3</t>
  </si>
  <si>
    <t>Nhận hồ sơ địa chính từ cấp tỉnh và gửi về xã, thị trấn (01 bộ)</t>
  </si>
  <si>
    <t>Bộ/xã , thị trấn</t>
  </si>
  <si>
    <t>Sao Sổ địa chính, Sổ mục kê</t>
  </si>
  <si>
    <t>Bàn giao HSĐC cho cấp huyện/ xã, thị trấn để quản lý và khai thác sử dụng</t>
  </si>
  <si>
    <t xml:space="preserve"> - Trường hợp đăng ký nhưng không thuộc trường hợp phải cấp GCN thì được tính mức bằng 50% mức quy định tại bảng trên. Trường hợp đăng ký nhưng không có nhu cầu cấp GCN hoặc không đủ điều kiện được cấp GCN thì được tính mức bằng 90% mức quy định tại bảng trên.</t>
  </si>
  <si>
    <t>- Trường hợp nhiều thửa đất nông nghiệp được cấp chung trong một GCN thì ngoài mức được tính ở trên cứ mỗi thửa đất tăng thêm được tính thêm 0,30 lần định mức cho các nội dung thực hiện tại địa bàn phường và các nội dung thực hiện tại địa bàn cấp huyện.</t>
  </si>
  <si>
    <t xml:space="preserve"> - Định mức thiết bị được tính chung cho các loại khó khăn,</t>
  </si>
  <si>
    <t xml:space="preserve"> - Định mức thiết bị trên áp dụng cho trường hợp đăng ký đất hoặc trường hợp đăng ký tài sản; trường hợp đăng ký cả đất và tài sản thì mức thiết bị được tính bằng hệ số là 1,3 mức thiết bị ở bảng trên</t>
  </si>
  <si>
    <t xml:space="preserve"> -  Định mức thiết bị được tính chung cho các loại khó khăn,</t>
  </si>
  <si>
    <t>4.1</t>
  </si>
  <si>
    <t>4.2</t>
  </si>
  <si>
    <t>3-  Trường hợp nhiều thửa đất nông nghiệp lập chung trong 1 hồ sơ và cấp chung trong một GCN thì ngoài mức được tính ở trên, mỗi thửa đất tăng thêm được tính mức bằng 0,30 lần định mức quy định đối với Mục 2, 3, 4, 5, 6, 7, 8, 9 các nội dung thực hiện tại địa bàn phường; Mục 1, 2, 3, 4 các nội dung thực hiện tại địa bàn cấp huyện; Mục 1, 2 các nội dung thực hiện tại địa bàn cấp tỉnh</t>
  </si>
  <si>
    <t>TỔNG HỢP ĐƠN GIÁ SẢN PHẨM ĐĂNG KÝ, CẤP ĐỔI, CẤP LẠI GIẤY CHỨNG NHẬN QSD TÀI SẢN  RIÊNG LẺ - ĐỐI VỚI TỔ CHỨC</t>
  </si>
  <si>
    <t>TỔNG HỢP ĐƠN GIÁ SẢN PHẨM ĐĂNG KÝ, CẤP ĐỔI, CẤP LẠI GIẤY CHỨNG NHẬN QSD ĐỒNG THỜI CẢ ĐẤT VÀ TÀI SẢN  RIÊNG LẺ - ĐỐI VỚI TỔ CHỨC</t>
  </si>
  <si>
    <t>6- Đơn giá trên đây tính đối với việc đăng ký, cấp GCN về quyền sử dụng đất. Trường hợp đăng ký, cấp GCN đối với cả đất và tài sản gắn liền với đất thì các chi phí nhân công, dụng cụ, thiết bị, năng lượng được tính bằng 1,6 lần mức đơn giá 1 hồ sơ đăng ký đối với đất, chi phí vật liệu được tính bằng với trường hợp đăng ký đối với đất. Trường hợp đăng ký riêng đối với tài sản thì đơn giá tính cho 1 hồ sơ đăng ký đối với tài sản bằng đơn giá bình quân 1 hồ sơ đăng ký đối với đất.</t>
  </si>
  <si>
    <t>Chuyển hồ sơ đề nghị đăng ký cấp đổi GCN về cấp huyện để xét duyệt điều kiện cấp đổi GCN</t>
  </si>
  <si>
    <t>Tiếp nhận hồ sơ đề nghị đăng ký, cấp đổi GCN của người sử dụng đất từ xã, thị trấn chuyển đến</t>
  </si>
  <si>
    <t>3- Đối với các hồ sơ không đủ điều kiện cấp GCN thì được tính định mức đối với Mục 1, 2, 3, 4, 5, 6, 7, 8,9 các nội dung thực hiện tại địa bàn phường; Mục 1, 2, 3, 4, 8, 12, 14, 16 các nội dung thực hiện tại địa bàn cấp huyện; Mục 1, 2, 3 các nội dung thực hiện tại địa bàn cấp tỉnh</t>
  </si>
  <si>
    <t>5- Trường hợp người sử dụng đất đã đăng ký đất đai theo quy định của pháp luật mà có nhu cầu cấp GCN thì được tính định mức đối với Mục 2, 3, 10, 11 các nội dung thực hiện tại địa bàn phường; Mục 1, 2, 6, 7, 8, 9, 10, 11, 12, 13, 14, 15, 16 các nội dung thực hiện tại địa bàn cấp huyện; Mục 1, 2, 3 các nội dung thực hiện tại địa bàn cấp tỉnh</t>
  </si>
  <si>
    <t>4- Trường hợp nhiều thửa đất nông nghiệp lập chung trong 1 hồ sơ và cấp chung trong một GCN thì ngoài mức được tính ở trên, mỗi thửa đất tăng thêm được tính mức bằng 0,30 lần định mức quy định đối với Mục 2, 3, 4, 5, 6, 7, 8, 9 các nội dung thực hiện tại địa bàn xã, thị trấn; Mục 1, 2, 3, 4 các nội dung thực hiện tại địa bàn cấp huyện;Mục1,2 các nội dung thực hiện tại địa bàn cấp tỉnh</t>
  </si>
  <si>
    <t>2-Trường hợp có kê khai đăng ký, nhưng người sử dụng đất không đổi GCN thì định mức được tính bằng 90% định mức đối với trường hợp cấp GCN.</t>
  </si>
  <si>
    <t>ĐĂNG KÝ BIẾN ĐỘNG VỀ ĐẤT ĐỐI VỚI HỘ GIA ĐÌNH CÁ NHÂN - TRƯỜNG HỢP NỘP HỒ SƠ TẠI CẤP XÃ</t>
  </si>
  <si>
    <t>TỔNG HỢP ĐƠN GIÁ SẢN PHẨM ĐĂNG KÝ BIẾN ĐỘNG VỀ ĐẤT ĐỐI VỚI HỘ GIA ĐÌNH CÁ NHÂN  - TRƯỜNG HỢP NỘP HỒ SƠ TẠI CẤP XÃ</t>
  </si>
  <si>
    <t>TỔNG HỢP ĐƠN GIÁ SẢN PHẨM ĐĂNG KÝ BIẾN ĐỘNG VỀ ĐẤT ĐỐI VỚI HỘ GIA ĐÌNH CÁ NHÂN  - TRƯỜNG HỢP NỘP HỒ SƠ TẠI VĂN PHÒNG ĐĂNG KÝ QUYỀN SỬ DỤNG ĐẤT CẤP HUYỆN</t>
  </si>
  <si>
    <t>ĐĂNG KÝ BIẾN ĐỘNG VỀ TÀI SẢN ĐỐI VỚI HỘ GIA ĐÌNH CÁ NHÂN -  TRƯỜNG HỢP NỘP HỒ SƠ TẠI CẤP XÃ</t>
  </si>
  <si>
    <t>TỔNG HỢP ĐƠN GIÁ SẢN PHẨM ĐĂNG KÝ BIẾN ĐỘNG VỀ TÀI SẢN ĐỐI VỚI HỘ GIA ĐÌNH CÁ NHÂN  - TRƯỜNG HỢP NỘP HỒ SƠ TẠI CẤP XÃ</t>
  </si>
  <si>
    <t>ĐĂNG KÝ BIẾN ĐỘNG VỀ TÀI SẢN  ĐỐI VỚI HỘ GIA ĐÌNH CÁ NHÂN - TRƯỜNG HỢP NỘP HỒ SƠ TẠI VĂN PHÒNG ĐĂNG KÝ QUYỀN SỬ DỤNG ĐẤT CẤP HUYỆN</t>
  </si>
  <si>
    <t>TỔNG HỢP ĐƠN GIÁ SẢN PHẨM ĐĂNG KÝ BIẾN ĐỘNG VỀ TÀI SẢN ĐỐI VỚI HỘ GIA ĐÌNH CÁ NHÂN  - TRƯỜNG HỢP NỘP HỒ SƠ TẠI VĂN PHÒNG ĐĂNG KÝ QUYỀN SỬ DỤNG ĐẤT CẤP HUYỆN</t>
  </si>
  <si>
    <t>ĐĂNG KÝ BIẾN ĐỘNG ĐỒNG THỜI CẢ ĐẤT VÀ TÀI SẢN ĐỐI VỚI HỘ GIA ĐÌNH CÁ NHÂN  - TRƯỜNG HỢP NỘP HỒ SƠ TẠI CẤP XÃ</t>
  </si>
  <si>
    <t>TỔNG HỢP ĐƠN GIÁ SẢN PHẨM ĐĂNG KÝ BIẾN ĐỘNG ĐỒNG THỜI CẢ ĐẤT VÀ TÀI SẢN ĐỐI VỚI HỘ GIA ĐÌNH CÁ NHÂN  - TRƯỜNG HỢP NỘP HỒ SƠ TẠI CẤP XÃ</t>
  </si>
  <si>
    <t>KIỂM TRA NHÂN CÔNG CHƯA TÁCH ĐƯỢC NỘP Ở TAIH XÃ HAY VPDK CẤP HUYỆN</t>
  </si>
  <si>
    <t>Chuyển GCN đã ký về phường để trao cho người sử dụng đất, bản sao sổ cấp GCN, nhận phí, lệ phí cấp GCN, nộp kho bạc</t>
  </si>
  <si>
    <t>Nhận hồ sơ địa chính từ cấp tỉnh và gửi về phường (01 bộ)</t>
  </si>
  <si>
    <t>Bộ/Phường</t>
  </si>
  <si>
    <t>Bộ/ đĩa</t>
  </si>
  <si>
    <t>Sao, in ấn hồ sơ địa chính để cung cấp cho phường quản lý và khai thác sử dụng</t>
  </si>
  <si>
    <t>Bàn giao HSĐC cho cấp huyện/phường để quản lý và khai thác sử dụng</t>
  </si>
  <si>
    <t>Lập hồ sơ địa chính</t>
  </si>
  <si>
    <t xml:space="preserve">Thiết bị                     </t>
  </si>
  <si>
    <t>hồ sơ</t>
  </si>
  <si>
    <t>Ghi chú:</t>
  </si>
  <si>
    <t>Danh mục</t>
  </si>
  <si>
    <t>ĐVT</t>
  </si>
  <si>
    <t xml:space="preserve"> TH (tháng) </t>
  </si>
  <si>
    <t>Đơn giá dụng cụ (đồng)</t>
  </si>
  <si>
    <t>Đơn giá       ca máy    (đ/ca)</t>
  </si>
  <si>
    <t xml:space="preserve">Định mức sử dụng </t>
  </si>
  <si>
    <t>Cấp xã</t>
  </si>
  <si>
    <t>Văn phòng ĐKQSD đất  cấp huyện</t>
  </si>
  <si>
    <t>Văn phòng ĐKQSD đất cấp tỉnh</t>
  </si>
  <si>
    <t>đồng/xã</t>
  </si>
  <si>
    <t>Áo blu</t>
  </si>
  <si>
    <t>Cộng dụng cụ chính (A)</t>
  </si>
  <si>
    <t xml:space="preserve"> Tổng cộng </t>
  </si>
  <si>
    <t>Khó khăn 1</t>
  </si>
  <si>
    <t>Khó khăn 2</t>
  </si>
  <si>
    <t>Khó khăn 3</t>
  </si>
  <si>
    <t xml:space="preserve">Ghi chú: </t>
  </si>
  <si>
    <t>Khó khăn 4</t>
  </si>
  <si>
    <t>Khó khăn 5</t>
  </si>
  <si>
    <t xml:space="preserve"> Khó khăn 1 </t>
  </si>
  <si>
    <t xml:space="preserve"> Khó khăn 2 </t>
  </si>
  <si>
    <t xml:space="preserve"> Khó khăn 3 </t>
  </si>
  <si>
    <t>Đơn giá           vật liệu        (đồng)</t>
  </si>
  <si>
    <t>ĐĂNG KÝ BIẾN ĐỘNG ĐỒNG THỜI CẢ ĐẤT VÀ TÀI SẢN ĐỐI VỚI HỘ GIA ĐÌNH CÁ NHÂN - TRƯỜNG HỢP NỘP HỒ SƠ TẠI VĂN PHÒNG ĐĂNG KÝ QUYỀN SỬ DỤNG ĐẤT CẤP HUYỆN</t>
  </si>
  <si>
    <t>TỔNG HỢP ĐƠN GIÁ SẢN PHẨM ĐĂNG KÝ BIẾN ĐỘNG ĐỒNG THỜI CẢ ĐẤT VÀ TÀI SẢN ĐỐI VỚI HỘ GIA ĐÌNH CÁ NHÂN  - TRƯỜNG HỢP NỘP HỒ SƠ TẠI VĂN PHÒNG ĐĂNG KÝ QUYỀN SỬ DỤNG ĐẤT CẤP HUYỆN</t>
  </si>
  <si>
    <t>Trích sao từ hồ sơ địa chính giấy</t>
  </si>
  <si>
    <t>Trích sao thông tin địa chính</t>
  </si>
  <si>
    <t>Trích sao từ hồ sơ địa chính số</t>
  </si>
  <si>
    <t xml:space="preserve"> Mực máy Photocopy (A3)</t>
  </si>
  <si>
    <t xml:space="preserve">Văn phòng ĐKQSD đất  cấp huyện </t>
  </si>
  <si>
    <t xml:space="preserve">Văn phòng ĐKQSD đất cấp tỉnh </t>
  </si>
  <si>
    <t xml:space="preserve"> Khó khăn 4</t>
  </si>
  <si>
    <t xml:space="preserve"> Khó khăn 5</t>
  </si>
  <si>
    <t xml:space="preserve"> Tổng cộng (KK 1 - 5)</t>
  </si>
  <si>
    <t>Văn phòng ĐKQSD                       đất cấp huyện</t>
  </si>
  <si>
    <t xml:space="preserve"> Đơn đề nghị cấp GCN</t>
  </si>
  <si>
    <t xml:space="preserve"> GCN</t>
  </si>
  <si>
    <t>GCN</t>
  </si>
  <si>
    <t xml:space="preserve"> Đĩa CD</t>
  </si>
  <si>
    <t xml:space="preserve">Văn phòng ĐKQSD đất cấp huyện </t>
  </si>
  <si>
    <t>Đơn đề nghị cấp GCN</t>
  </si>
  <si>
    <t>Bìa sổ A3</t>
  </si>
  <si>
    <t>Cặp</t>
  </si>
  <si>
    <t>Túi đựng hồ sơ</t>
  </si>
  <si>
    <t>Mực in cho máy Plotter</t>
  </si>
  <si>
    <t>Giấy in bản đồ A0</t>
  </si>
  <si>
    <t>Mực photocoppy A0</t>
  </si>
  <si>
    <t>Đĩa</t>
  </si>
  <si>
    <t xml:space="preserve">Văn phòng ĐKQSD           đất cấp tỉnh </t>
  </si>
  <si>
    <t>Đơn đăng ký biến động</t>
  </si>
  <si>
    <t>Máy scan A3</t>
  </si>
  <si>
    <t>Máy quét (Scan) A3</t>
  </si>
  <si>
    <t>Máy photocopy A3</t>
  </si>
  <si>
    <t>Máy photocopy A0</t>
  </si>
  <si>
    <t xml:space="preserve"> - Định mức tính cho 1 phường 5000 hồ sơ</t>
  </si>
  <si>
    <t xml:space="preserve"> - Định mức tính cho 1 xã 8000 hồ sơ</t>
  </si>
  <si>
    <t>III- ĐĂNG KÝ, CẤP GIẤY CHỨNG NHẬN LẦN ĐẦU ĐƠN LẺ TỪNG HỘ GIA ĐÌNH, CÁ NHÂN TRƯỜNG HỢP NỘP HỒ SƠ TẠI XÃ</t>
  </si>
  <si>
    <t>Xác nhận vào đơn đề nghị đăng ký, cấp GCN, sơ đồ tài sản (nếu có)</t>
  </si>
  <si>
    <t>Nhập ý kiến xác nhận của cấp xã, thị trấn vào tệp (File) dữ liệu hồ sơ số</t>
  </si>
  <si>
    <t xml:space="preserve"> - Trường hợp nhiều thửa đất nông nghiệp được cấp chung trong một GCN thì ngoài mức được tính ở trên cứ mỗi thửa đất tăng thêm được tính thêm 0,20 lần định mức tại địa bàn cấp huyện.</t>
  </si>
  <si>
    <t xml:space="preserve"> - Trường hợp đăng ký nhưng không có nhu cầu đổi GCN hoặc không đủ điều kiện cấp đổi GCN thì được tính mức bằng 90% mức quy định tại 2 bảng trên</t>
  </si>
  <si>
    <t>Trường hợp trích lục hồ sơ cho 01 khu đất (gồm nhiều thửa) mức áp dụng như sau:
- Dưới 05 thửa: Mức cho một thửa tính bằng 0,80 mức quy định tại bảng trên.
- Từ 05 thửa đến 10 thửa: Mức cho một thửa tính bằng 0,65 mức quy định tại bảng trên
- Trên 10 thửa: Mức cho một thửa tính bằng 0,50 mức quy định tại bảng trên</t>
  </si>
  <si>
    <t>Cấp xã, thị trấn</t>
  </si>
  <si>
    <t xml:space="preserve"> - Mức dụng cụ được tính chung cho các loại khó khăn.</t>
  </si>
  <si>
    <t>II- ĐĂNG KÝ, CẤP GIẤY CHỨNG NHẬN LẦN ĐẦU ĐỒNG LOẠT ĐỐI VỚI HỘ GIA ĐÌNH, CÁ NHÂN Ở PHƯỜNG</t>
  </si>
  <si>
    <t>Nhận các ý kiến góp ý, xem xét các ý kiến góp ý, trả lời ý kiến góp ý</t>
  </si>
  <si>
    <t>- Định mức vật liệu trên áp dụng cho các trường hợp đăng ký đất hoặc đăng ký tài sản hoặc đăng ký cả đất và tài sản.</t>
  </si>
  <si>
    <t>- Định mức vật liệu trên tính cho trường hợp đăng ký đất hoặc trường hợp đăng ký đồng thời cả đất và tài sản.</t>
  </si>
  <si>
    <t>- Đối với xã, thị trấn xây dựng cơ sở dữ liệu địa chính thì trong công việc đăng ký, cấp đổi GCN không được tính mức vật liệu tại địa bàn cấp tỉnh quy định tại bảng trên.</t>
  </si>
  <si>
    <t>Ca/hồ sơ</t>
  </si>
  <si>
    <t>đ/hồ sơ</t>
  </si>
  <si>
    <t>II- ĐĂNG KÝ, CẤP GIẤY CHỨNG NHẬN LẦN ĐẦU ĐỒNG LOẠT ĐỐI VỚI HỘ GIA ĐÌNH, CÁ NHÂN Ở PHƯỜNG (Bảng 68)</t>
  </si>
  <si>
    <t>III,1- ĐĂNG KÝ, CẤP GIẤY CHỨNG NHẬN LẦN ĐẦU ĐƠN LẺ TỪNG HỘ GIA ĐÌNH, CÁ NHÂN TRƯỜNG HỢP NỘP TẠI XÃ (Bảng 72)</t>
  </si>
  <si>
    <t>IV- ĐĂNG KÝ, CẤP GIẤY CHỨNG NHẬN LẦN ĐẦU ĐỐI VỚI TỔ CHỨC (Bảng 75)</t>
  </si>
  <si>
    <t>V- ĐĂNG KÝ, CẤP ĐỔI GIẤY CHỨNG NHẬN ĐỒNG LOẠT TẠI XÃ, THỊ TRẤN (Bảng 78)</t>
  </si>
  <si>
    <t>VI- ĐĂNG KÝ, CẤP ĐỔI GIẤY CHỨNG NHẬN ĐỒNG LOẠT TẠI PHƯỜNG (Bảng 82)</t>
  </si>
  <si>
    <t>VII- ĐĂNG KÝ, CẤP ĐỔI, CẤP LẠI GIẤY CHỨNG NHẬN RIÊNG LẺ ĐỐI VỚI HỘ GIA ĐÌNH CÁ NHÂN (Bảng 86)</t>
  </si>
  <si>
    <r>
      <t xml:space="preserve">IX- ĐĂNG KÝ, CẤP ĐỔI, CẤP LẠI GIẤY CHỨNG NHẬN RIÊNG LẺ ĐỐI VỚI TỔ CHỨC </t>
    </r>
    <r>
      <rPr>
        <sz val="11"/>
        <rFont val="Arial"/>
        <family val="2"/>
      </rPr>
      <t>(Bảng 89)</t>
    </r>
  </si>
  <si>
    <t>IX.1- ĐĂNG KÝ BIẾN ĐỘNG ĐỐI VỚI HỘ GIA ĐÌNH, CÁ NHÂN - TRƯỜNG HỢP NỘP HỒ SƠ TẠI XÃ (Bảng 92)</t>
  </si>
  <si>
    <t>XI.2- ĐĂNG KÝ BIẾN ĐỘNG ĐỐI VỚI HỘ GIA ĐÌNH, CÁ NHÂN - TRƯỜNG HỢP NỘP HỒ SƠ TẠI VĂN PHÒNG ĐĂNG KÝ CẤP HUYỆN (Bảng 92)</t>
  </si>
  <si>
    <t>XII- ĐĂNG KÝ BIẾN ĐỘNG ĐỐI VỚI TỔ CHỨC (Bảng 95)</t>
  </si>
  <si>
    <t>VII- ĐĂNG KÝ, CẤP ĐỔI, CẤP LẠI GIẤY CHỨNG NHẬN RIÊNG LẺ ĐỐI VỚI HỘ GIA ĐÌNH, CÁ NHÂN (Bảng 87)</t>
  </si>
  <si>
    <t>VIII- ĐĂNG KÝ, CẤP ĐỔI, CẤP LẠI GIẤY CHỨNG NHẬN RIÊNG LẺ ĐỐI VỚI TỔ CHỨC(Bảng 90)</t>
  </si>
  <si>
    <t>IX.1- ĐĂNG KÝ BIẾN ĐỘNG ĐỐI VỚI HỘ GIA ĐÌNH, CÁ NHÂN - TRƯỜNG HỢP NỘP HỒ SƠ TẠI XÃ (Bảng 93)</t>
  </si>
  <si>
    <t>IX.2- ĐĂNG KÝ BIẾN ĐỘNG ĐỐI VỚI HỘ GIA ĐÌNH, CÁ NHÂN - TRƯỜNG HỢP NỘP HỒ SƠ TẠI VĂN PHÒNG ĐĂNG KÝ CẤP HUYỆN (Bảng 93)</t>
  </si>
  <si>
    <t>X- ĐĂNG KÝ BIẾN ĐỘNG ĐỐI VỚI TỔ CHỨC (Bảng 96)</t>
  </si>
  <si>
    <t xml:space="preserve">CHƯA THẤY </t>
  </si>
  <si>
    <t>1-3</t>
  </si>
  <si>
    <t>6</t>
  </si>
  <si>
    <t>7</t>
  </si>
  <si>
    <t>8</t>
  </si>
  <si>
    <t>8.1</t>
  </si>
  <si>
    <t>8.2</t>
  </si>
  <si>
    <t>9</t>
  </si>
  <si>
    <t>10</t>
  </si>
  <si>
    <t>11</t>
  </si>
  <si>
    <t>12</t>
  </si>
  <si>
    <t>13</t>
  </si>
  <si>
    <t>Nội dung công việc</t>
  </si>
  <si>
    <t>Loại KK</t>
  </si>
  <si>
    <t>Thành tiền            (đồng)</t>
  </si>
  <si>
    <t>Đồng hồ treo tường</t>
  </si>
  <si>
    <t>Cái</t>
  </si>
  <si>
    <t>Ghế tựa</t>
  </si>
  <si>
    <t>Bàn làm việc</t>
  </si>
  <si>
    <t>Tủ tài liệu</t>
  </si>
  <si>
    <t>Thước nhựa 30 cm</t>
  </si>
  <si>
    <t>Máy tính tay</t>
  </si>
  <si>
    <t>Bàn đục lỗ</t>
  </si>
  <si>
    <t>Bàn dập ghim bé</t>
  </si>
  <si>
    <t>Bàn dập ghim to</t>
  </si>
  <si>
    <t>Kéo cắt giấy</t>
  </si>
  <si>
    <t>áo blu</t>
  </si>
  <si>
    <t>Dép xốp</t>
  </si>
  <si>
    <t>III.2- ĐĂNG KÝ, CẤP GIẤY CHỨNG NHẬN LẦN ĐẦU ĐƠN LẺ TỪNG HỘ GIA ĐÌNH, CÁ NHÂN - TRƯỜNG HỢP NỘP HỒ SƠ TẠI VPĐK CẤP HUYỆN (Bảng 74)</t>
  </si>
  <si>
    <t>V- ĐĂNG KÝ, CẤP GIẤY CHỨNG NHẬN LẦN ĐẦU ĐỐI VỚI TỔ CHỨC (Bảng 77)</t>
  </si>
  <si>
    <t>V- ĐĂNG KÝ, CẤP ĐỔI GIẤY CHỨNG NHẬN ĐỒNG LOẠT TẠI XÃ, THỊ TRẤN (Bảng 81)</t>
  </si>
  <si>
    <t>VI- ĐĂNG KÝ, CẤP ĐỔI GIẤY CHỨNG NHẬN ĐỒNG LOẠT TẠI PHƯỜNG(Bảng 85)</t>
  </si>
  <si>
    <t>VII- ĐĂNG KÝ, CẤP ĐỔI, CẤP LẠI GIẤY CHỨNG NHẬN RIÊNG LẺ HỘ GIA ĐÌNH CÁ NHÂN (Bảng 88)</t>
  </si>
  <si>
    <t>IX- ĐĂNG KÝ, CẤP ĐỔI, CẤP LẠI GIẤY CHỨNG NHẬN RIÊNG LẺ ĐỐI VỚI TỔ CHỨC (Bảng 91)</t>
  </si>
  <si>
    <t>IX.1- ĐĂNG KÝ BIẾN ĐỘNG ĐỐI VỚI HỘ GIA ĐÌNH, CÁ NHÂN - TRƯỜNG HỢP NỘP HỒ SƠ TẠI XÃ, THỊ TRẤN (Bảng 94)</t>
  </si>
  <si>
    <t>XI.2- ĐĂNG KÝ BIẾN ĐỘNG ĐỐI VỚI HỘ GIA ĐÌNH, CÁ NHÂN - TRƯỜNG HỢP NỘP HỒ SƠ TẠI VĂN PHÒNG ĐĂNG KÝ CẤP HUYỆN (Bảng 94)</t>
  </si>
  <si>
    <t>X- ĐĂNG KÝ BIẾN ĐỘNG ĐỐI VỚI TỔ CHỨC (Bảng 97)</t>
  </si>
  <si>
    <t>CHƯA THẤY</t>
  </si>
  <si>
    <t>I- ĐĂNG KÝ, CẤP GIẤY CHỨNG NHẬN LẦN ĐẦU ĐỒNG LOẠT ĐỐI VỚI HỘ GIA ĐÌNH, CÁ NHÂN Ở XÃ, THỊ TRẤN (Bảng 66)</t>
  </si>
  <si>
    <t>Cộng thành tiền (đồng/xã)</t>
  </si>
  <si>
    <t>Cộng thành tiền (đồng/hồ sơ)</t>
  </si>
  <si>
    <t xml:space="preserve">  - Mức dụng cụ được tính chung cho các loại khó khăn.
</t>
  </si>
  <si>
    <t>Hệ số mức do thời tiết cho công tác ngoại nghiệp</t>
  </si>
  <si>
    <t>Hệ số mức do thời tiết cho công tác nội nghiệp</t>
  </si>
  <si>
    <t>(Không phân loại khó khăn)</t>
  </si>
  <si>
    <t>Đơn vị tính: đồng</t>
  </si>
  <si>
    <t>TRÍCH LỤC HỒ SƠ ĐỊA CHÍNH (TÍNH CHO HỒ SƠ CHỈ CÓ 01 THỬA ĐẤT)</t>
  </si>
  <si>
    <t>CHI PHÍ NHÂN CÔNG ĐĂNG KÝ ĐẤT ĐAI, TÀI SẢN GẮN LIỀN VỚI ĐẤT;
LẬP, CHỈNH LÝ, CẬP NHẬT HỒ SƠ ĐỊA CHÍNH; CẤP GIẤY CHỨNG NHẬN</t>
  </si>
  <si>
    <r>
      <t xml:space="preserve">Ghi chú: </t>
    </r>
    <r>
      <rPr>
        <sz val="10"/>
        <rFont val="Arial"/>
        <family val="2"/>
        <charset val="163"/>
      </rPr>
      <t>Định mức tính cho 1 hồ sơ</t>
    </r>
  </si>
  <si>
    <t>Thời hạn
sử dụng
(năm)</t>
  </si>
  <si>
    <t>Danh mục
máy móc thiết bị</t>
  </si>
  <si>
    <t>Đơn vị
tính</t>
  </si>
  <si>
    <t>Đơn giá
thiết bị
(đồng)</t>
  </si>
  <si>
    <t>Đơn giá
ca máy
(đồng/ca)</t>
  </si>
  <si>
    <t>Đơn giá
(đồng)</t>
  </si>
  <si>
    <t>Thời hạn
sử dụng
(tháng)</t>
  </si>
  <si>
    <t>Đơn giá
dụng cụ
(đồng)</t>
  </si>
  <si>
    <t>Bản đồ ĐGHC 364/CT (photocoppy)</t>
  </si>
  <si>
    <t xml:space="preserve">Bìa đóng sổ (2 tờ/sổ = cặp) </t>
  </si>
  <si>
    <t>Cát xây</t>
  </si>
  <si>
    <t>Giấy A4 (ngoại)</t>
  </si>
  <si>
    <t>Giấy CN</t>
  </si>
  <si>
    <t>Mực máy Photocopy A3</t>
  </si>
  <si>
    <t>Sổ mục kê</t>
  </si>
  <si>
    <t>Tại Đông Hà</t>
  </si>
  <si>
    <t>Đá dăm 1 x 2</t>
  </si>
  <si>
    <t>Tại Đầu Mầu</t>
  </si>
  <si>
    <t xml:space="preserve">Dầu nhờn </t>
  </si>
  <si>
    <t>Castrol Activ 4T</t>
  </si>
  <si>
    <t>Tisco</t>
  </si>
  <si>
    <t>Sông Giang (PCB30)</t>
  </si>
  <si>
    <t>Rồng Vàng</t>
  </si>
  <si>
    <t>Bóng đèn 100w</t>
  </si>
  <si>
    <t>8.2.1</t>
  </si>
  <si>
    <t>8.2.2</t>
  </si>
  <si>
    <t>6.1</t>
  </si>
  <si>
    <t>6.2</t>
  </si>
  <si>
    <t>9.1</t>
  </si>
  <si>
    <t>9.2</t>
  </si>
  <si>
    <t>I- ĐĂNG KÝ, CẤP GIẤY CHỨNG NHẬN LẦN ĐẦU ĐỒNG LOẠT ĐỐI VỚI HỘ GIA ĐÌNH, CÁ NHÂN Ở XÃ, THỊ TRẤN (bảng 6)</t>
  </si>
  <si>
    <t>II- ĐĂNG KÝ, CẤP GIẤY CHỨNG NHẬN LẦN ĐẦU ĐỒNG LOẠT ĐỐI VỚI HỘ GIA ĐÌNH, CÁ NHÂN Ở PHƯỜNG (bảng 7)</t>
  </si>
  <si>
    <t>III.1- ĐĂNG KÝ, CẤP GIẤY CHỨNG NHẬN QSD ĐẤT LẦN ĐẦU ĐƠN LẺ TỪNG HỘ GIA ĐÌNH, CÁ NHÂN (bảng 8)</t>
  </si>
  <si>
    <t>ĐĂNG KÝ THEO HÌNH THỨC TRỰC TIẾP</t>
  </si>
  <si>
    <t>ĐĂNG KÝ THEO HÌNH THỨC TRỰC TUYẾN</t>
  </si>
  <si>
    <t>CÁC NỘI DUNG CÔNG VIỆC THỰC HIỆN TẠI ĐỊA BÀN Ở PHƯỜNG</t>
  </si>
  <si>
    <t xml:space="preserve">  - Đối với phường xây dựng cơ sở dữ liệu địa chính thì trong công việc đăng ký, cấp GCN không được tính mức dụng cụ cho địa bàn cấp tỉnh quy định tại 2 bảng trên</t>
  </si>
  <si>
    <t xml:space="preserve">  - Trường hợp đăng ký nhưng không thuộc trường hợp phải cấp GCN thì được tính mức bằng 50% mức quy định tại 2 bảng trên. Trường hợp đăng ký nhưng không có nhu cầu cấp GCN hoặc không đủ điều kiện được cấp GCN thì được tính mức bằng 90% mức quy định tại 2 bảng trên.</t>
  </si>
  <si>
    <t xml:space="preserve">  - Trường hợp nhiều thửa đất nông nghiệp được cấp chung trong một GCN thì ngoài mức được tính ở trên cứ mỗi thửa đất tăng thêm được tính thêm 0,30 lần định mức cho các nội dung thực hiện tại phường và các nội dung thực hiện tại địa bàn cấp huyện.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</si>
  <si>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ở bảng trên.</t>
  </si>
  <si>
    <t>VIII- ĐĂNG KÝ, CẤP ĐỔI, CẤP LẠI GIẤY CHỨNG NHẬN RIÊNG LẺ ĐỐI VỚI HỘ GIA ĐÌNH CÁ NHÂN</t>
  </si>
  <si>
    <t xml:space="preserve">  - Mức dụng cụ được tính chung cho các loại khó khăn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</si>
  <si>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</si>
  <si>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 xml:space="preserve">  - Mức dụng tính chung cho các loại khó khăn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</si>
  <si>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</si>
  <si>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 xml:space="preserve">  - Trường hợp đăng ký biến động đất đai mà thực hiện cấp mới GCN thì áp dụng mức dụng cụ của Bảng 92. Trường hợp đăng ký biến động đất đai mà không thực hiện cấp mới GCN thì được tính bằng 0,6 lần mức dụng cụ của bảng trên.</t>
  </si>
  <si>
    <t xml:space="preserve"> </t>
  </si>
  <si>
    <t xml:space="preserve">  - Định mức vật liệu trên tính cho trường hợp đăng ký đất hoặc trường hợp đăng ký đồng thời cả đất và tài sản.</t>
  </si>
  <si>
    <t>Chi phí trực tiếp</t>
  </si>
  <si>
    <t>Đơn giá       sản phẩm</t>
  </si>
  <si>
    <t>Phụ cấp     khu vực      0,1</t>
  </si>
  <si>
    <t xml:space="preserve">LĐKT         </t>
  </si>
  <si>
    <t xml:space="preserve">LĐPT       </t>
  </si>
  <si>
    <t xml:space="preserve">Vật     liệu    </t>
  </si>
  <si>
    <t xml:space="preserve">Năng lượng     </t>
  </si>
  <si>
    <t xml:space="preserve">Cộng        </t>
  </si>
  <si>
    <t>ĐĂNG KÝ, CẤP GIẤY CHỨNG NHẬN QSD ĐẤT LẦN ĐẦU ĐƠN LẺ TỪNG HỘ GIA ĐÌNH, CÁ NHÂN - TRƯỜNG HỢP NỘP HỒ SƠ TẠI HUYỆN</t>
  </si>
  <si>
    <t>TỔNG HỢP ĐƠN GIÁ SẢN PHẨM ĐĂNG KÝ, CẤP GIẤY CHỨNG NHẬN ĐẤT LẦN ĐẦU ĐƠN LẺ TỪNG HỘ GIA ĐÌNH, CÁ NHÂN - TRƯỜNG HỢP NỘP HỒ SƠ TẠI XÃ</t>
  </si>
  <si>
    <t>TỔNG HỢP ĐƠN GIÁ SẢN PHẨM ĐĂNG KÝ, CẤP GIẤY CHỨNG NHẬN ĐẤT LẦN ĐẦU ĐƠN LẺ TỪNG HỘ GIA ĐÌNH, CÁ NHÂN - TRƯỜNG HỢP NỘP HỒ SƠ TẠI HUYỆN</t>
  </si>
  <si>
    <t>TỔNG HỢP ĐƠN GIÁ SẢN PHẨM ĐĂNG KÝ, CẤP GIẤY CHỨNG NHẬN TÀI SẢN LẦN ĐẦU ĐƠN LẺ TỪNG HỘ GIA ĐÌNH, CÁ NHÂN - TRƯỜNG HỢP NỘP HỒ SƠ TẠI XÃ</t>
  </si>
  <si>
    <t>TỔNG HỢP ĐƠN GIÁ SẢN PHẨM ĐĂNG KÝ, CẤP GIẤY CHỨNG NHẬN TÀI SẢN LẦN ĐẦU ĐƠN LẺ TỪNG HỘ GIA ĐÌNH, CÁ NHÂN - TRƯỜNG HỢP NỘP HỒ SƠ HUYỆN</t>
  </si>
  <si>
    <t>TỔNG HỢP ĐƠN GIÁ SẢN PHẨM ĐĂNG KÝ, CẤP GIẤY CHỨNG NHẬN LẦN ĐẦU ĐỒNG THỜI CẢ ĐẤT VÀ TÀI SẢN THỰC HIỆN ĐƠN LẺ TỪNG HỘ GIA ĐÌNH, CÁ NHÂN - TRƯỜNG HỢP NỘP HỒ SƠ TẠI HUYỆN</t>
  </si>
  <si>
    <t>Nhận lại hồ sơ, GCN, cập nhật chỉnh lý HSĐC, thu phí, lệ phí, nộp kho bạc, gửi cho cơ quan quản lý tài sản (nếu có); gửi thông báo biến động cho cấp huyện, xã, thị trấn</t>
  </si>
  <si>
    <t>Kiểm tra hồ sơ, tình trạng pháp lý nội dung kê khai so với hiện trạng, đối chiếu với hồ sơ gốc; kiểm tra thực địa trong trường hợp cần thiết, ghi ý kiến vào hồ sơ; kiểm tra xác nhận sơ đồ tài sản trong trường hợp biến động về tài sản chưa có xác nhận của pháp nhân hành nghề đo đạc, xây dựng và lấy ý kiến cơ quan quản lý tài sản nếu cần thiết</t>
  </si>
  <si>
    <t>Nhóm 2 (1KS2, 1KTV4 )</t>
  </si>
  <si>
    <t>Trích lục thửa đất từ BĐĐC, các loại bản đồ, sơ đồ khác (trường hợp phải trích đo địa chính hoặc chỉnh lý bản đồ thửa đất thì áp dụng định mức theo quy định tại Chương I phần II)</t>
  </si>
  <si>
    <t>II.1</t>
  </si>
  <si>
    <t>III.1- ĐĂNG KÝ, CẤP GIẤY CHỨNG NHẬN LẦN ĐẦU ĐƠN LẺ TỪNG HỘ GIA ĐÌNH, CÁ NHÂN - TRƯỜNG HỢP NỘP HỒ SƠ TẠI XÃ (Bảng 74)</t>
  </si>
  <si>
    <t>TỔNG HỢP ĐƠN GIÁ SẢN PHẨM ĐĂNG KÝ, CẤP ĐỔI GIẤY CHỨNG NHẬN ĐỒNG LOẠT TẠI PHƯỜNG</t>
  </si>
  <si>
    <t>Văn phòng ĐKQSD            đất cấp tỉnh</t>
  </si>
  <si>
    <t>hố sơ</t>
  </si>
  <si>
    <t>IV.1- ĐĂNG KÝ, CẤP GIẤY CHỨNG NHẬN QUYỀN SỬ DỤNG ĐẤT LẦN ĐẦU ĐỐI VỚI TỔ CHỨC (bảng 9)</t>
  </si>
  <si>
    <t>IV.2- ĐĂNG KÝ, CẤP GIẤY CHỨNG NHẬN QUYỀN SỞ HỮU TÀI SẢN LẦN ĐẦU ĐỐI VỚI TỔ CHỨC (bảng 9)</t>
  </si>
  <si>
    <t>Lập, hoàn thiện sổ địa chính điện tử</t>
  </si>
  <si>
    <t>Sao, in ấn hồ sơ địa chính để cung cấp cho xã, thị trấn quản lý và khai thác sử dụng</t>
  </si>
  <si>
    <t>Bản đồ địa chính</t>
  </si>
  <si>
    <t>Sao Sổ địa chính, Sổ mục kê đất đai</t>
  </si>
  <si>
    <t>Bàn giao HSĐC cho cấp huyện/xã, thị trấn để quản lý và khai thác sử dụng</t>
  </si>
  <si>
    <t xml:space="preserve"> -  Định mức trên đây tính đối với việc đăng ký, cấp GCN về quyền sử dụng đất.Trường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 </t>
  </si>
  <si>
    <t xml:space="preserve"> - Đối với phường xây dựng cơ sở dữ liệu địa chính thì trong công việc đăng ký, cấp GCN không được tính mức thiết bị tại địa bàn cấp tỉnh quy định tại bảng trên</t>
  </si>
  <si>
    <t>Nhóm 2</t>
  </si>
  <si>
    <t>Nhóm 3 </t>
  </si>
  <si>
    <t>(1KS3, 1KS2, 1KTV4)</t>
  </si>
  <si>
    <t>Nhóm 2 </t>
  </si>
  <si>
    <t>(1KS2, 1KTV4)</t>
  </si>
  <si>
    <t>Nhận thông báo, chuyển thông báo nghĩa vụ tài chính cho người sử dụng đất (sau khi cấp huyện xác định nghĩa vụ tài chính và gửi về phường để thông báo cho người sử dụng đất)</t>
  </si>
  <si>
    <t>CÁC NỘI DUNG THỰC HIỆN TẠIĐỊA BÀN CẤP HUYỆN</t>
  </si>
  <si>
    <t>Tiếp nhận hồ sơ đề nghị đăng ký, cấp đổi GCN của người sử dụng đất từ phường chuyển đến</t>
  </si>
  <si>
    <t>Bộ/ Phường</t>
  </si>
  <si>
    <t>CÁC NỘI DUNG THỰC HIỆN TẠIĐỊA BÀN CẤP TỈNH</t>
  </si>
  <si>
    <t>Hướng dẫn lập hồ sơ đề nghị đăng ký, cấp đổi, cấp lại GCN</t>
  </si>
  <si>
    <t>Kiểm tra hồ sơ đề nghị đăng ký, cấp đổi, cấp lại GCN và xác nhận vào đơn, căn cứ pháp lý; niêm yết công khai thông báo các trường hợp mất GCN</t>
  </si>
  <si>
    <t>Nhập thông tin thửa đất, tài sản gắn liền với đất, đăng ký vào hồ sơ địa chính</t>
  </si>
  <si>
    <t>Trích sao số liệu địa chính, dự thảo quyết định hủy GCN bị mất, lập và gửi tờ trình đề nghị hủy GCN cũ và cấp lại GCN mới kèm theo hồ sơ đề nghị đăng ký cấp GCN đến cơ quan có thẩm quyền, lập sổ theo dõi hồ sơ</t>
  </si>
  <si>
    <t>Nhận lại hồ sơ, GCN, cập nhật chỉnh lý HSĐC, thu phí, lệ phí, nộp kho bạc, gửi cho cơ quan quản lý tài sản (nếu có); gửi thông báo biến động cho xã, thị trấn</t>
  </si>
  <si>
    <t>11.1.1</t>
  </si>
  <si>
    <t>11.1.2</t>
  </si>
  <si>
    <t>Nhận thông báo biến động, chỉnh lý vào HSĐC của xã, thị trấn</t>
  </si>
  <si>
    <t>Hướng dẫn lập hồ sơ đề nghị cấp lại hoặc đề nghị cấp đổi GCN</t>
  </si>
  <si>
    <t>Tạo tệp (File) dữ liệu hồ sơ số và nhập thông tin do người sử dụng đất quản lý kê khai, đăng ký</t>
  </si>
  <si>
    <t>Kiểm tra hồ sơ, đối chiếu với hồ sơ gốc, xác nhận vào đơn đề nghị cấp đổi, cấp lại GCN; niêm yết công khai thông báo các trường hợp mất GCN.</t>
  </si>
  <si>
    <t>Nhập ý kiến nội dung xác nhận của cấp tỉnh vào tệp (File) dữ liệu hồ sơ số</t>
  </si>
  <si>
    <t>Trích sao số liệu địa chính, dự thảo quyết định hủy GCN bị mất, lập và gửi tờ trình đề nghị hủy GCN cũ và cấp lại GCN mới kèm theo hồ sơ đề nghị cấp GCN đến cơ quan có thẩm quyền, lập sổ theo dõi hồ sơ</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</si>
  <si>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</si>
  <si>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tại địa bàn cấp huyện (mức này được áp dụng chung cho các trường hợp lập hợp đồng cho thuê đất).</t>
  </si>
  <si>
    <t>thửa</t>
  </si>
  <si>
    <t>hợp đồng</t>
  </si>
  <si>
    <t>trang</t>
  </si>
  <si>
    <r>
      <t>CÁC NỘI DUNG THỰC HIỆN TẠI</t>
    </r>
    <r>
      <rPr>
        <sz val="11"/>
        <color indexed="8"/>
        <rFont val="Arial"/>
        <family val="2"/>
      </rPr>
      <t> </t>
    </r>
    <r>
      <rPr>
        <b/>
        <sz val="11"/>
        <color indexed="8"/>
        <rFont val="Arial"/>
        <family val="2"/>
      </rPr>
      <t>ĐỊA BÀN CẤP TỈNH</t>
    </r>
  </si>
  <si>
    <t xml:space="preserve">Vật  liệu    </t>
  </si>
  <si>
    <t xml:space="preserve">  - Đối với xã, thị trấn xây dựng cơ sở dữ liệu địa chính thì trong công việc đăng ký, cấp GCN không được tính mức dụng cụ tại địa bàn cấp tỉnh quy định tại 2 bảng trên</t>
  </si>
  <si>
    <t>Đôi</t>
  </si>
  <si>
    <t>Cặp tài liệu (trình ký)</t>
  </si>
  <si>
    <t>Quạt trần 100 W</t>
  </si>
  <si>
    <t>Đèn neon 40 W</t>
  </si>
  <si>
    <t>Bộ</t>
  </si>
  <si>
    <t>Điện năng</t>
  </si>
  <si>
    <t>Đơn giá       sản phẩm vùng TP,TX KY ANH</t>
  </si>
  <si>
    <t>Đơn giá       sản phẩm(TP, TX KY ANH)</t>
  </si>
  <si>
    <t>7- Trường hợp cấp đổi GCN đối với thửa đất có biến động khác về quyền sử dụng đất, tài sản gắn liền với đất (chuyển quyền sử dụng đất, thay đổi về tài sản gắn liền với đất, v.v...) thì định mức lao động quy định tại Mục 2 các nội dung  thực hiện tại địa bàn cấp huyện Bảng 10 được tính bằng 1,5lần.</t>
  </si>
  <si>
    <t>Bé</t>
  </si>
  <si>
    <t>M¸y chñ</t>
  </si>
  <si>
    <t>C¸i</t>
  </si>
  <si>
    <t>7- Trường hợp cấp đổi GCN đối với thửa đất có biến động khác về quyền sử dụng đất, tài sản gắn liền với đất (chuyển quyền sử dụng đất, thay đổi về tài sản gắn liền với đất, v.v...) thì định mức lao động quy định tại Mục 2 các nội dung  thực hiện tại địa bàn cấp huyện Bảng 11 được tính bằng 1,5lần</t>
  </si>
  <si>
    <t>2- Trường hợp nhiều thửa đất nông nghiệp lập chung trong 1 hồ sơ và cấp chung trong một GCN thì ngoài mức được tính ở trên, mỗi thửa đất tăng thêm được tính mức bằng 0,30 lần định mức quy định đối với Mục 1, 2, 3, 4, 5, 6, 7, 8, 9, 10, 11 các nội dung thực hiện tại địa bàn cấp huyện</t>
  </si>
  <si>
    <t>Chuyển thông tin nghĩa vụ tài chính để người sử dụng đất thực hiện nghĩa vụ tài chính và nhận lại hóa đơn nghĩa vụ tài chính đã thực hiện (đối với trường hợp nộp hồ sơ tại cấp huyện)</t>
  </si>
  <si>
    <t>8.1.1</t>
  </si>
  <si>
    <t>8.1.2</t>
  </si>
  <si>
    <t>3- Trường hợp có kê khai đăng ký nhưng không thuộc trường hợp phải cấp GCN thì đơn giá nhân công được tính bằng 50% mức đơn giá đối với trường hợp cấp GCN. Trường hợp có kê khai đăng ký, nhưng người sử dụng đất không có nhu cầu cấp GCN hoặc sau khi xét duyệt không đủ điều kiện được cấp GCN thì đơn giá nhân công được tính bằng 90% mức đơn giá đối với trường hợp cấp GCN (không bao gồm chi phí dụng cụ, vật liệu, thiết bị, năng lượng).</t>
  </si>
  <si>
    <t>3-Trường hợp có kê khai đăng ký, nhưng người sử dụng đất không đổi GCN hoặc sau khi xét duyệt không đủ điều kiện được cấp đổi GCN thì đơn giá được tính bằng 90% mức đơn giá bình quân đối với trường hợp cấp GCN (không bao gồm chi phí vật liệu).</t>
  </si>
  <si>
    <t>5- Đơn giá trên đây tính đối với việc đăng ký, cấp đổi GCN về quyền sử dụng đất. Trường hợp đăng ký, cấp đổi GCN đối với cả đất và tài sản gắn liền với đất thì đơn giá tính cho 1 hồ sơ đăng ký cả đất và tài sản bằng 1,3 lần đơn giá bình quân 1 hồ sơ đăng ký đối với đất. Trường hợp đăng ký đổi GCN riêng đối với tài sản thì đơn giá tính cho 1 hồ sơ đăng ký đổi GCN đối với tài sản bằng đơn giá bình quân 1 hồ sơ đăng ký đối với đất.</t>
  </si>
  <si>
    <t>-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</si>
  <si>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Trường hợp trích lục hồ sơ cho 01 khu đất (gồm nhiều thửa) mức áp dụng như sau:
- Dưới 05 thửa: Mức cho một thửa tính bằng 0,80 mức quy định tại Bảng trên
-Từ05 thửa đến 10 thửa: Mức cho một thửa tính bằng 0,65 mức quy định tại Bảng trên
- Trên 10 thửa: Mức cho một thửa tính bằng 0,50 mức quy định tại Bảng trên.</t>
  </si>
  <si>
    <t xml:space="preserve">- Mức thiết bị được tính chung cho các loại khó khăn.
</t>
  </si>
  <si>
    <t>I,1</t>
  </si>
  <si>
    <t>I,2</t>
  </si>
  <si>
    <t>Lập và gửi phiếu chuyển thông tin địa chính cho cơ quan thuế để xác định nghĩa vụ tài chính; nhận và gửi thông báo nghĩa vụ tài chính</t>
  </si>
  <si>
    <t>9.3</t>
  </si>
  <si>
    <t>Chỉnh lý GCN cũ trong trường hợp không cấp GCN mới; xác nhận nội dung biến động vào GCN đã cấp theo quy định</t>
  </si>
  <si>
    <t>Lập và gửi hồ sơ trình ký GCN (đối với trường hợp phải cấp GCN), lập hồ sơ theo dõi việc gửi tài liệu</t>
  </si>
  <si>
    <t>Ẩm kế</t>
  </si>
  <si>
    <t>Áp kế</t>
  </si>
  <si>
    <t>Ống nhòm</t>
  </si>
  <si>
    <t xml:space="preserve">Cặp để tài liệu </t>
  </si>
  <si>
    <t xml:space="preserve">Đơn xin đăng ký biến động </t>
  </si>
  <si>
    <t xml:space="preserve">Ghim dập </t>
  </si>
  <si>
    <t xml:space="preserve">Ghim vòng </t>
  </si>
  <si>
    <t xml:space="preserve">Giấy A3 </t>
  </si>
  <si>
    <t xml:space="preserve">Giấy làm bìa hồ sơ (A3) </t>
  </si>
  <si>
    <t xml:space="preserve">Mẫu trích lục bản đồ </t>
  </si>
  <si>
    <t xml:space="preserve">Mực in cho máy Plotter (4 màu) </t>
  </si>
  <si>
    <t xml:space="preserve">Mực photocoppy A0 </t>
  </si>
  <si>
    <t xml:space="preserve">Sổ công tác </t>
  </si>
  <si>
    <t xml:space="preserve">Túi đựng hồ sơ </t>
  </si>
  <si>
    <t>Danh mục vật liệu</t>
  </si>
  <si>
    <t>BẢNG GIÁ THIẾT BỊ VÀ ĐƠN GIÁ CA MÁY</t>
  </si>
  <si>
    <t>Qui phạm</t>
  </si>
  <si>
    <r>
      <t>Giấy in bản đồ A0 (120 gram/m</t>
    </r>
    <r>
      <rPr>
        <vertAlign val="superscript"/>
        <sz val="10"/>
        <rFont val="Arial"/>
        <family val="2"/>
      </rPr>
      <t>2</t>
    </r>
    <r>
      <rPr>
        <sz val="10"/>
        <rFont val="Arial"/>
        <family val="2"/>
      </rPr>
      <t xml:space="preserve">) </t>
    </r>
  </si>
  <si>
    <t/>
  </si>
  <si>
    <t xml:space="preserve"> CHI PHÍ DỤNG CỤ ĐĂNG KÝ QUYỀN SỬ DỤNG ĐẤT, LẬP HỒ SƠ ĐỊA CHÍNH, CẤP GIẤY CNQSD ĐẤT </t>
  </si>
  <si>
    <t xml:space="preserve"> CHI PHÍ VẬT LIỆU ĐĂNG KÝ QUYỀN SỬ DỤNG ĐẤT, LẬP HỒ SƠ ĐỊA CHÍNH, CẤP GIẤY CNQSD ĐẤT</t>
  </si>
  <si>
    <t xml:space="preserve"> CHI PHÍ THIẾT BỊ ĐĂNG KÝ QUYỀN SỬ DỤNG ĐẤT, LẬP HỒ SƠ ĐỊA CHÍNH, CẤP GIẤY CNQSD ĐẤT</t>
  </si>
  <si>
    <t>CHI PHÍ NĂNG LƯỢNG ĐĂNG KÝ QUYỀN SỬ DỤNG ĐẤT, LẬP HỒ SƠ ĐỊA CHÍNH, CẤP GIẤY CNQSD ĐẤT</t>
  </si>
  <si>
    <t>Chi phí chung</t>
  </si>
  <si>
    <t>2,67</t>
  </si>
  <si>
    <t>3,00</t>
  </si>
  <si>
    <t>3,33</t>
  </si>
  <si>
    <t>3,66</t>
  </si>
  <si>
    <t>3,99</t>
  </si>
  <si>
    <t>4,32</t>
  </si>
  <si>
    <t>4,65</t>
  </si>
  <si>
    <t>2,26</t>
  </si>
  <si>
    <t>2,46</t>
  </si>
  <si>
    <t>2,66</t>
  </si>
  <si>
    <t>2,86</t>
  </si>
  <si>
    <t>3,06</t>
  </si>
  <si>
    <t>3,26</t>
  </si>
  <si>
    <t>3,46</t>
  </si>
  <si>
    <t>3,86</t>
  </si>
  <si>
    <t>4,06</t>
  </si>
  <si>
    <t>2,41</t>
  </si>
  <si>
    <t>Công việc chuẩn bị</t>
  </si>
  <si>
    <t xml:space="preserve">I- ĐĂNG KÝ, CẤP GIẤY CHỨNG NHẬN LẦN ĐẦU ĐỒNG LOẠT ĐỐI VỚI HỘ GIA ĐÌNH, CÁ NHÂN Ở XÃ, THỊ TRẤN </t>
  </si>
  <si>
    <t>10,1</t>
  </si>
  <si>
    <t>10,2</t>
  </si>
  <si>
    <t>14</t>
  </si>
  <si>
    <t>15</t>
  </si>
  <si>
    <t>16</t>
  </si>
  <si>
    <t>CÁC NỘI DUNG THỰC HIỆN TẠI ĐỊA BÀN XÃ, THỊ TRẤN</t>
  </si>
  <si>
    <t>5.1</t>
  </si>
  <si>
    <t>5.2</t>
  </si>
  <si>
    <t xml:space="preserve">  -  Trường hợp phải chuẩn bị Hợp đồng cho thuê đất, mức vật liệu là: 0,02 Ram giấy A4 và 0,004 hộp mực A4 (mức này được áp dụng chung cho các trường hợp lập hợp đồng cho thuê đất).</t>
  </si>
  <si>
    <t xml:space="preserve"> - Đối với xã, thị trấn xây dựng cơ sở dữ liệu địa chính thì trong công việc đăng ký, cấp GCN không được tính mức vật liệu cho các nội dung thực hiện tại địa bàn cấp tỉnh quy định tại bảng trên.</t>
  </si>
  <si>
    <t xml:space="preserve">  - Định mức vật liệu trên áp dụng cho trường hợp đăng ký đất hoặc trường hợp đăng ký đồng thời cả đất và tài sản</t>
  </si>
  <si>
    <t xml:space="preserve"> - Đối với phường xây dựng cơ sở dữ liệu địa chính thì trong công việc đăng ký, cấp GCN không được tính mức vật liệu cho địa bàn cấp tỉnh quy định tại bảng trên.</t>
  </si>
  <si>
    <r>
      <t xml:space="preserve">Cộng thành tiền </t>
    </r>
    <r>
      <rPr>
        <b/>
        <sz val="9"/>
        <rFont val="Arial"/>
        <family val="2"/>
        <charset val="163"/>
      </rPr>
      <t>(đồng/phường)</t>
    </r>
  </si>
  <si>
    <t>- Định mức vật liệu tại bảng trên áp dụng cho các trường hợp đăng ký đất hoặc đăng ký tài sản hoặc đăng ký cả đất và tài sản.</t>
  </si>
  <si>
    <t>Công suất (Kw/h)</t>
  </si>
  <si>
    <t xml:space="preserve"> TH (năm) </t>
  </si>
  <si>
    <t>Đơn giá        thiết bị      (đồng)</t>
  </si>
  <si>
    <t>đ/xã</t>
  </si>
  <si>
    <t>Máy điều hòa nhiệt độ</t>
  </si>
  <si>
    <t>Máy in phun A0</t>
  </si>
  <si>
    <t xml:space="preserve"> Cộng </t>
  </si>
  <si>
    <t>Máy photocopy</t>
  </si>
  <si>
    <t>Văn phòng ĐKQSD đất   cấp huyện</t>
  </si>
  <si>
    <t>Định biên</t>
  </si>
  <si>
    <t>Đơn vị             tính</t>
  </si>
  <si>
    <t>1KTV4</t>
  </si>
  <si>
    <t>Thửa</t>
  </si>
  <si>
    <t>Định mức (công)</t>
  </si>
  <si>
    <r>
      <t xml:space="preserve">Lương ngày </t>
    </r>
    <r>
      <rPr>
        <b/>
        <sz val="10"/>
        <rFont val="Arial Narrow"/>
        <family val="2"/>
      </rPr>
      <t>(đồng/công)</t>
    </r>
  </si>
  <si>
    <t>Phường</t>
  </si>
  <si>
    <t>Cấp huyện</t>
  </si>
  <si>
    <t xml:space="preserve">   - Mức dụng cụ tính cho một hồ sơ</t>
  </si>
  <si>
    <t>Văn phòng ĐKQSD đất     cấp huyện</t>
  </si>
  <si>
    <t>Cấp phường</t>
  </si>
  <si>
    <t xml:space="preserve"> - Định mức tính cho xã trung bình 8000 hồ sơ </t>
  </si>
  <si>
    <t xml:space="preserve"> - Định mức tính cho phường trung bình 5000 hồ sơ </t>
  </si>
  <si>
    <t>4- Trường hợp có kê khai đăng ký nhưng không thuộc trường hợp phải cấp GCN thì đơn giá được tính bằng 50% mức đơn giá đối với trường hợp cấp GCN. Trường hợp có kê khai đăng ký, nhưng người sử dụng đất không có nhu cầu cấp GCN hoặc sau khi xét duyệt không đủ điều kiện được cấp GCN thì đơn giá được tính bằng 90% mức đơn giá đối với trường hợp cấp GCN (không bao gồm chi phí vật liệu).</t>
  </si>
  <si>
    <t xml:space="preserve">5- Trường hợp người sử dụng đất đã đăng ký đất đai theo quy định của pháp luật mà có nhu cầu cấp GCN thì được tính định mức đối với Mục 2, 3, 10, 11 các nội dung thực hiện tại địa bàn xã, thị trấn; Mục 1, 2, 6, 7, 8, 9, 10, 11, 12, 13,14, 15, 16 các nội dung thực hiện tại địa bàn cấp huyện; Mục 1, 2, 3 các nội dung thực hiện tại địa bàn cấp tỉnh </t>
  </si>
  <si>
    <t>Mức lương cơ sở:</t>
  </si>
  <si>
    <t>7- Trường hợp phải chuẩn bị hợp đồng cho thuê đất, mức dụng cụ tính bằng 0,003% mức dụng cụ của VPĐK cấp huyện, mức vật liệu được tính là: 0,02 Ram giấy A4 và 0,004 hộp mực A4, giá vật liệu được lây theo bảng giá trong phần "Phụ lục đơn giá". (Các mức này được áp dụng chung cho các trường hợp lập hợp đồng cho thuê đất)</t>
  </si>
  <si>
    <t xml:space="preserve">-  Định mức tại bảng trên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1 hồ sơ đăng ký đối với đất. Trường hợp đăng ký riêng đối với tài sản thì định mức tính cho 1 hồ sơ đăng ký đối với tài sản bằng định mức cho 1 hồ sơ đăng ký đối với đất.
</t>
  </si>
  <si>
    <t xml:space="preserve"> - Mức thiết bị được tính chung cho các loại khó khăn.
</t>
  </si>
  <si>
    <t>- Định mức thiết bị trên áp dụng cho trường hợp đăng ký đất hoặc trường hợp đăng ký tài sản. Trường hợp đăng ký cả đất và tài sản thì mức thiết bị được tính bằng hệ số là 1,3 mức thiết bị của Bảng trên</t>
  </si>
  <si>
    <t>-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</si>
  <si>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 xml:space="preserve"> -  Mức thiết bị được tính chung cho các loại khó khăn.
</t>
  </si>
  <si>
    <t>-  Trường hợp đăng ký biến động đất đai mà thực hiện cấp mới GCN thì áp dụng mức thiết bị của Bảng trên. Trường hợp đăng ký biến động đất đai mà không thực hiện cấp mới GCN thì được tính bằng 0,6 lần mức thiết bị của Bảng trên</t>
  </si>
  <si>
    <t>-  Định mức thiết bị trên áp dụng cho cả trường hợp đăng ký đất hoặc trường hợp đăng ký tài sản. Trường hợp đăng ký cả đất và tài sản thì mức thiết bị được tính bằng hệ số là 1,3 mức thiết bị của Bảng trên.</t>
  </si>
  <si>
    <t>- Trường hợp đăng ký biến động đất đai mà thực hiện cấp mới GCN thì áp dụng mức thiết bị của Bảng trên. Trường hợp đăng ký biến động đất đai mà không thực hiện cấp mới GCN thì được tính bằng 0,6 lần mức thiết bị của Bảng  trên</t>
  </si>
  <si>
    <t>- Đối với phường xây dựng cơ sở dữ liệu địa chính thì trong công việc đăng ký, cấp đổi GCN không được tính mức thiết bị tại địa bàn cấp tỉnh quy định tại Bảng trên.</t>
  </si>
  <si>
    <t>- Trường hợp nhiều thửa đất nông nghiệp được cấp chung trong một GCN thì ngoài mức được tính ở trên cứ mỗi thửa đất tăng thêm được tính thêm 0,20 lần định mức tại địa bàn phường và tại địa bàn cấp huyện.</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</si>
  <si>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1 hồ sơ đăng ký đối với đất. Trường hợp đăng ký riêng đối với tài sản thì định mức tính cho 1 hồ sơ đăng ký đối với tài sản bằng định mức cho 1 hồ sơ đăng ký đối với đất.
</t>
  </si>
  <si>
    <t xml:space="preserve"> - Mức thiết bị được tính chung cho các loại khó khăn.
 </t>
  </si>
  <si>
    <t xml:space="preserve"> - Định mức thiết bị trên áp dụng cho trường hợp đăng ký đất hoặc trường hợp đăng ký tài sản. Trường hợp đăng ký cả đất và tài sản thì mức thiết bị được tính bằng hệ số là 1,3 mức thiết bị của trên</t>
  </si>
  <si>
    <t>n</t>
  </si>
  <si>
    <t>Đơn giá tiền công LĐPT khu vực nông thôn vùng IV</t>
  </si>
  <si>
    <t>Đơn giá tiền công LĐPT khu vực đô thị vùng IV</t>
  </si>
  <si>
    <t>LĐPT tăng thêm vùng TX Kỳ Anh, TP Hà Tĩnh</t>
  </si>
  <si>
    <t>ĐĂNG KÝ, CẤP ĐỔI GIẤY CHỨNG NHẬN QSD ĐẤT ĐỒNG LOẠT TẠI PHƯỜNG</t>
  </si>
  <si>
    <t>Nhận, trả hồ sơ, thu lệ phí</t>
  </si>
  <si>
    <t>Trích lục thửa đất</t>
  </si>
  <si>
    <t>Trích lục từ hồ sơ địa chính số</t>
  </si>
  <si>
    <t>BHXH -BH TNLĐ - BNN-  BHYT - BH thất nghiệp - KPCĐ</t>
  </si>
  <si>
    <t>BHXH, BH TNLĐ -BNN, BHYT,
KPCĐ, BHTN
(23,5%)</t>
  </si>
  <si>
    <t>4-Trường hợp có kê khai đăng ký, nhưng người sử dụng đất không đổi GCN hoặc sau khi xét duyệt không đủ điều kiện được cấp đổi GCN thì đơn giá được tính bằng 90% mức đơn giá bình quân đối với trường hợp cấp GCN (không bao gồm chi phí vật liệu).</t>
  </si>
  <si>
    <t>I.1</t>
  </si>
  <si>
    <t>I.2</t>
  </si>
  <si>
    <t>II,1</t>
  </si>
  <si>
    <t>II.2</t>
  </si>
  <si>
    <t>III,1</t>
  </si>
  <si>
    <t>III.2</t>
  </si>
  <si>
    <t>TỔNG HỢP ĐƠN GIÁ SẢN PHẨM ĐĂNG KÝ, CẤP GIẤY CHỨNG NHẬN LẦN ĐẦU ĐỒNG LOẠT ĐỐI VỚI HỘ GIA ĐÌNH, CÁ NHÂN Ở XÃ, THỊ TRẤN</t>
  </si>
  <si>
    <t>CÁC NỘI DUNG THỰC HIỆN TẠI ĐỊABÀN XÃ, THỊ TRẤN</t>
  </si>
  <si>
    <t>II,2</t>
  </si>
  <si>
    <t>Địa bàn kỹ thuật</t>
  </si>
  <si>
    <t>E ke</t>
  </si>
  <si>
    <t>bộ</t>
  </si>
  <si>
    <t>Găng tay bạt</t>
  </si>
  <si>
    <t>đôi</t>
  </si>
  <si>
    <t>Giầy cao cổ</t>
  </si>
  <si>
    <t>Hòm sắt đựng tàI liệu</t>
  </si>
  <si>
    <t>Hòm đựng máy, d. cụ</t>
  </si>
  <si>
    <t>Kìm cắt thép</t>
  </si>
  <si>
    <t>Mũ cứng</t>
  </si>
  <si>
    <t>Nilon che máy tấm 5m</t>
  </si>
  <si>
    <t>tấm</t>
  </si>
  <si>
    <t>Nilon gói tài liệu</t>
  </si>
  <si>
    <t>Tấm</t>
  </si>
  <si>
    <t>Ô che máy</t>
  </si>
  <si>
    <t>Quần áo BHLĐ</t>
  </si>
  <si>
    <t>Q</t>
  </si>
  <si>
    <t>Tất sợi</t>
  </si>
  <si>
    <t>Thước đo độ</t>
  </si>
  <si>
    <t>Thước 3 cạnh ( tỷ lệ)</t>
  </si>
  <si>
    <t>Thước cuộn vải 50m</t>
  </si>
  <si>
    <t>Thước thép cuộn 2m</t>
  </si>
  <si>
    <t>Túi đựng tài liệu</t>
  </si>
  <si>
    <t>Xẻng</t>
  </si>
  <si>
    <t>Xô tôn đựng nước</t>
  </si>
  <si>
    <t>Bảng ngắm</t>
  </si>
  <si>
    <t>Nhiệt kế</t>
  </si>
  <si>
    <t>Bóng, đui, chao đèn 100w</t>
  </si>
  <si>
    <t>Máy in laze A4 0,5 kw</t>
  </si>
  <si>
    <t>Điện</t>
  </si>
  <si>
    <t>Bản đồ địa hình</t>
  </si>
  <si>
    <t>Bảng tổng hợp TQ</t>
  </si>
  <si>
    <t>Bảng tính toán</t>
  </si>
  <si>
    <t>Băng dính loại vừa</t>
  </si>
  <si>
    <t>Cuộn</t>
  </si>
  <si>
    <t>Biên bản bàn giao TQ</t>
  </si>
  <si>
    <t xml:space="preserve">Đĩa mềm </t>
  </si>
  <si>
    <t>Đĩa CD</t>
  </si>
  <si>
    <t>đĩa</t>
  </si>
  <si>
    <t>Giấy Kroky</t>
  </si>
  <si>
    <t>Giấy A4 (nội)</t>
  </si>
  <si>
    <t>Ram</t>
  </si>
  <si>
    <t>Mực in Lazer A4</t>
  </si>
  <si>
    <t>Hộp</t>
  </si>
  <si>
    <t>Mực  đen</t>
  </si>
  <si>
    <t>lọ</t>
  </si>
  <si>
    <t>Pin đèn</t>
  </si>
  <si>
    <t>Sổ kiểm nghiệm máy</t>
  </si>
  <si>
    <t>Sổ ghi chép</t>
  </si>
  <si>
    <t>Số liệu toạ độ đIểm gốc</t>
  </si>
  <si>
    <t>đIểm</t>
  </si>
  <si>
    <t>Số liệu độ cao đIểm gốc</t>
  </si>
  <si>
    <t>Xăng</t>
  </si>
  <si>
    <t>Lít</t>
  </si>
  <si>
    <t>Ngòi bút vẽ KT</t>
  </si>
  <si>
    <t>Ghi chú điểm toạ độ cũ</t>
  </si>
  <si>
    <t>Ghi chú điểm độ cao cũ</t>
  </si>
  <si>
    <t>Ghi chú điểm toạ độ mới</t>
  </si>
  <si>
    <t>Sơn đỏ</t>
  </si>
  <si>
    <t>kg</t>
  </si>
  <si>
    <t>Sổ đo góc</t>
  </si>
  <si>
    <t>Q.</t>
  </si>
  <si>
    <t>Sổ đo cạnh</t>
  </si>
  <si>
    <t>Sổ đo thiên đỉnh</t>
  </si>
  <si>
    <t>Xi măng</t>
  </si>
  <si>
    <t>Kg</t>
  </si>
  <si>
    <t>m3</t>
  </si>
  <si>
    <t>Dấu sứ</t>
  </si>
  <si>
    <t>Gỗ cốt pha dày 3 cm</t>
  </si>
  <si>
    <t>Đinh</t>
  </si>
  <si>
    <t>Sắt 10</t>
  </si>
  <si>
    <t>Búa đập đá, đóng cọc</t>
  </si>
  <si>
    <t>Bút kẻ thẳng</t>
  </si>
  <si>
    <t>Compa vòng tròn nhỏ</t>
  </si>
  <si>
    <t>Thước thép 30 m</t>
  </si>
  <si>
    <t>Kẹp sắt</t>
  </si>
  <si>
    <t>Mia</t>
  </si>
  <si>
    <t>Pin khô</t>
  </si>
  <si>
    <t>Đồng hồ báo thức</t>
  </si>
  <si>
    <t>Bút xoay đơn</t>
  </si>
  <si>
    <t>Thước bẹt nhựa 60 cm</t>
  </si>
  <si>
    <t>Cọc gỗ 4x30 cm +đinh 3cm</t>
  </si>
  <si>
    <t>Giấy can</t>
  </si>
  <si>
    <t>Mét</t>
  </si>
  <si>
    <t>Diamat</t>
  </si>
  <si>
    <t>Giấy gói hàng</t>
  </si>
  <si>
    <t>Tờ</t>
  </si>
  <si>
    <t>Mực màu</t>
  </si>
  <si>
    <t>Tuýp</t>
  </si>
  <si>
    <t>Đinh sắt 10,15cm &amp; đệm</t>
  </si>
  <si>
    <t>Nhận bản sao HSĐC, bản sao sổ cấp GCN để khai thác sử dụng; nhận và trao hợp đồng thuê đất (nếu có), trao GCN cho người sử dụng đất; thu và gửi phí, lệ phí cấp GCN về cấp huyện</t>
  </si>
  <si>
    <t>CÁC NỘI DUNG THỰC HIỆN TẠI ĐỊA BÀN CẤP HUYỆN</t>
  </si>
  <si>
    <t>Tiếp nhận hồ sơ đề nghị đăng ký, cấp GCN của người sử dụng đất từ cấp xã, thị trấn chuyển đến</t>
  </si>
  <si>
    <t>Gửi, nhận phiếu lấy ý kiến cơ quan quản lý nhà nước về tài sản (nếu có)</t>
  </si>
  <si>
    <t>Kiểm tra hồ sơ đề nghị cấp GCN và xác nhận vào đơn đủ hay không đủ điều kiện cấp GCN, căn cứ pháp lý</t>
  </si>
  <si>
    <t>huyện vào tệp (File) dữ liệu hồ sơ số</t>
  </si>
  <si>
    <t>Trích lục trên bản đồ dạng số</t>
  </si>
  <si>
    <t>Trích lục trên bản đồ dạng giấy</t>
  </si>
  <si>
    <t>Lập phiếu và chuyển thông tin địa chính đến cơ quan thuế để xác định nghĩa vụ tài chính, nhận thông báo nghĩa vụ tài chính</t>
  </si>
  <si>
    <t>Chuyển, nhận thông tin theo hình thức liên thông</t>
  </si>
  <si>
    <t>Chuyển, nhận thông tin theo hình thức trực tiếp</t>
  </si>
  <si>
    <t>Chuyển thông tin nghĩa vụ tài chính để người sử dụng đất thực hiện nghĩa vụ tài chính và nhận lại hóa đơn nghĩa vụ tài chính đã thực hiện</t>
  </si>
  <si>
    <t>Theo hình thức trực tiếp (gửi về xã, thị trấn để thông báo cho người sử dụng đất)</t>
  </si>
  <si>
    <t>Theo hình thức trực tuyến (gửi cho người sử dụng đất để thực hiện nghĩa vụ tài chính)</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</si>
  <si>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1,6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</si>
  <si>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thực hiện tại địa bàn cấp huyện.</t>
  </si>
  <si>
    <t>- Trường hợp đăng ký biến động đất đai mà thực hiện cấp mới GCN thì áp dụng mức vật liệu của bảng trên. Trường hợp đăng ký biến động đất đai mà không thực hiện cấp mới GCN thì được tính bằng 0,6 lần mức vật liệu của Bảng 94 trên và không được tính vật liệu là mẫu trích lục bản đồ và GCN, trừ trường hợp biến động có thay đổi diện tích mà cần phải trích lục bản đồ</t>
  </si>
  <si>
    <t>- Mức vật liệu cho công việc tại địa bàn xã, thị trấn được tính bằng 0,02 mức quy định tại bảng trên.</t>
  </si>
  <si>
    <t xml:space="preserve"> Cộng            thành tiền (đồng/hồ sơ)</t>
  </si>
  <si>
    <t xml:space="preserve">Tỷ lệ tính chi phí chung </t>
  </si>
  <si>
    <t xml:space="preserve">                 Ngoại nghiệp </t>
  </si>
  <si>
    <t xml:space="preserve">                 Nội nghiệp</t>
  </si>
  <si>
    <t>Phụ cấp khu vực (mức 0,1) cho 1 ngày công ngoại nghiệp</t>
  </si>
  <si>
    <t xml:space="preserve">    Trong đó: - Chi phí trực tiếp</t>
  </si>
  <si>
    <t xml:space="preserve">                     - Chi phí chung</t>
  </si>
  <si>
    <t>Phụ cấp khu vực (mức 0,1) cho 1 ngày công nội nghiệp</t>
  </si>
  <si>
    <t>PCKV:</t>
  </si>
  <si>
    <t>CÁC MỨC CHỈ TIÊU, HỆ SỐ CHỦ YẾU ÁP DỤNG TRONG TÍNH TOÁN ĐƠN GIÁ</t>
  </si>
  <si>
    <t xml:space="preserve">Áo rét BHLĐ </t>
  </si>
  <si>
    <t xml:space="preserve">Áo mưa bạt </t>
  </si>
  <si>
    <t>Ba lô</t>
  </si>
  <si>
    <t>Bi đông nhựa</t>
  </si>
  <si>
    <t>Bộ đồ nề</t>
  </si>
  <si>
    <t>Bộ khắc chữ mặt mốc</t>
  </si>
  <si>
    <t>Cờ hiệu nhỏ</t>
  </si>
  <si>
    <t>Compa đơn</t>
  </si>
  <si>
    <t>Compa kép</t>
  </si>
  <si>
    <t>Cưa cành</t>
  </si>
  <si>
    <t>Cuốc bàn</t>
  </si>
  <si>
    <t>Cuốc chim</t>
  </si>
  <si>
    <t>Dao phát cây</t>
  </si>
  <si>
    <t>Đèn pin</t>
  </si>
  <si>
    <t>III,2</t>
  </si>
  <si>
    <t>2-6</t>
  </si>
  <si>
    <t>Cập nhật bổ sung việc cấp GCN vào hồ sơ địa chính hoặc cơ sở dữ liệu đất đai và gửi nội dung cập nhật hồ sơ địa chính về cấp huyện, xã, thị trấn</t>
  </si>
  <si>
    <t>Cấp huyện nhận thông báo, cập nhật HSĐC</t>
  </si>
  <si>
    <t>Địa bàn xã, thị trấn (đối với những nơi chưa xây dựng CSDL) nhận thông báo, cập nhật HSĐC</t>
  </si>
  <si>
    <t>Nhóm 2 (1KS3,1KS2)</t>
  </si>
  <si>
    <t>Tổ chức phổ biến, tuyên truyền chủ trương, chính sách về đăng ký, cấp đổi GCN</t>
  </si>
  <si>
    <t>Hướng dẫn lập hồ sơ đề nghị đăng ký, cấp đổi GCN</t>
  </si>
  <si>
    <t>Kiểm tra xác định trường hợp biến động ranh giới thửa đất, hiện trạng sử dụng đất, tài sản gắn liền với đất (nếu có)</t>
  </si>
  <si>
    <t>Xác nhận vào đơn đề nghị đăng ký cấp đổi GCN với trường hợp biến động ranh giới thửa đất, hiện trạng sử dụng đất, tài sản gắn liền với đất (nếu có)</t>
  </si>
  <si>
    <t>- Trường hợp phải chuẩn bị Hợp đồng cho thuê đất, mức vật liệu là: 0,02 Ram giấy A4 và 0,004 hộp mực A4 (mức này được áp dụng chung cho các trường hợp lập Hợp đồng cho thuê đất)</t>
  </si>
  <si>
    <t>- Định mức vật liệu trên áp dụng cho trường hợp đăng ký đất hoặc trường hợp đăng ký đồng thời cả đất và tài sản</t>
  </si>
  <si>
    <t>II- ĐĂNG KÝ, CẤP GIẤY CHỨNG NHẬN LẦN ĐẦU ĐỒNG LOẠT ĐỐI VỚI HỘ GIA ĐÌNH, CÁ NHÂN Ở PHƯỜNG (Bảng 71)</t>
  </si>
  <si>
    <t>Ký hiệu bản đồ</t>
  </si>
  <si>
    <t>Quyển</t>
  </si>
  <si>
    <t xml:space="preserve">THSD  (tháng) </t>
  </si>
  <si>
    <t xml:space="preserve">Định mức (ca/hồ sơ) </t>
  </si>
  <si>
    <t>Thành tiền (đ/hồ sơ)</t>
  </si>
  <si>
    <t>Định mức sử dụng</t>
  </si>
  <si>
    <t>Thành tiền (đồng/hồ sơ)</t>
  </si>
  <si>
    <t>- Đối với phường xây dựng cơ sở dữ liệu địa chính thì trong công việc đăng ký, cấp đổi GCN không được tính mức vật liệu tại địa bàn cấp tỉnh quy định tại bảng trên.</t>
  </si>
  <si>
    <t>- Định mức vật liệu trên áp dụng cho các trường hợp đăng ký đất hoặc đăng ký tài sản hoặc đăng ký cả đất và tài sản</t>
  </si>
  <si>
    <t xml:space="preserve">Điểm </t>
  </si>
  <si>
    <t xml:space="preserve">  - Trường hợp đăng ký nhưng không thuộc trường hợp phải cấp GCN thì được tính mức bằng 50% mức quy định tại 2 bảng trên. Trường hợp đăng ký nhưng không có nhu cầu cấp GCN hoặc không đủ điều kiện được cấp GCN thì được tính mức bằng 90% mức quy định tạ 2 bảng trên.</t>
  </si>
  <si>
    <t xml:space="preserve">ĐĂNG KÝ, CẤP ĐỔI GIẤY CHỨNG NHẬN QSD ĐẤT ĐỒNG LOẠT TẠI XÃ, THỊ TRẤN (Mức tăng thêm cho 01 thửa trường hợp cấp đổi đồng loạt nhiều thửa đất nông nghiệp trên 01 GCN) </t>
  </si>
  <si>
    <t>ĐĂNG KÝ, CẤP ĐỔI GIẤY CHỨNG NHẬN QSD ĐẤTĐỒNG LOẠT TẠI PHƯỜNG (Mức tăng thêm cho 01 thửa trong trường hợp cấp đổi đồng loạt nhiều thửa đất nông nghiệp trên 01 GCN)</t>
  </si>
  <si>
    <t xml:space="preserve">TỔNG HỢP ĐƠN GIÁ SẢN PHẨM ĐĂNG KÝ, CẤP ĐỔI GIẤY CHỨNG NHẬN ĐỒNG LOẠT TẠI XÃ, THỊ TRẤN (mức kinh phí tăng thêm cho 01 thửa trong trường hợp cấp nhiều thửa đất nông nghiệp trên 01 GCN) </t>
  </si>
  <si>
    <t>TỔNG HỢP ĐƠN GIÁ SẢN PHẨM ĐĂNG KÝ, CẤP ĐỔI, CẤP LẠI GIẤY CHỨNG NHẬN RIÊNG LẺ - ĐỐI VỚI HỘ GIA ĐÌNH CÁ NHÂN</t>
  </si>
  <si>
    <t xml:space="preserve"> ĐĂNG KÝ, CẤP ĐỔI, CẤP LẠI GIẤY CHỨNG NHẬN QSD ĐẤT RIÊNG LẺ - ĐỐI VỚI HỘ GIA ĐÌNH CÁ NHÂN</t>
  </si>
  <si>
    <t xml:space="preserve"> ĐĂNG KÝ, CẤP ĐỔI, CẤP LẠI GIẤY CHỨNG NHẬN QSD TÀI SẢN  RIÊNG LẺ - ĐỐI VỚI HỘ GIA ĐÌNH CÁ NHÂN</t>
  </si>
  <si>
    <t>ĐĂNG KÝ, CẤP ĐỔI, CẤP LẠI GIẤY CHỨNG NHẬN ĐỒNG THỜI CẢ ĐẤT VÀ TÀI SẢN, THỰC HIỆN RIÊNG LẺ -ĐỐI VỚI HỘ GIA ĐÌNH CÁ NHÂN</t>
  </si>
  <si>
    <t>VIII.2- ĐĂNG KÝ, CẤP ĐỔI, CẤP LẠI GIẤY CHỨNG NHẬN RIÊNGTÀI SẢN ĐỐI VỚI TỔ CHỨC (bảng 13)</t>
  </si>
  <si>
    <t>VIII.3- ĐĂNG KÝ, CẤP ĐỔI, CẤP LẠI GIẤY CHỨNG NHẬN RIÊNG THỜI ĐẤT VÀ TÀI SẢN ĐỐI VỚI TỔ CHỨC (bảng 13)</t>
  </si>
  <si>
    <t xml:space="preserve"> ĐĂNG KÝ, CẤP ĐỔI, CẤP LẠI GIẤY CHỨNG NHẬN QSD ĐẤT RIÊNG LẺ - ĐỐI VỚI TỔ CHỨC</t>
  </si>
  <si>
    <t>TỔNG HỢP ĐƠN GIÁ SẢN PHẨM ĐĂNG KÝ, CẤP ĐỔI, CẤP LẠI GIẤY CHỨNG NHẬN QSD ĐẤT RIÊNG LẺ - ĐỐI VỚI TỔ CHỨC</t>
  </si>
  <si>
    <t xml:space="preserve"> ĐĂNG KÝ, CẤP ĐỔI, CẤP LẠI GIẤY CHỨNG NHẬN QSD TÀI SẢN RIÊNG LẺ - ĐỐI VỚI TỔ CHỨC</t>
  </si>
  <si>
    <t xml:space="preserve"> ĐĂNG KÝ, CẤP ĐỔI, CẤP LẠI GIẤY CHỨNG NHẬN QSD ĐỒNG THỜI CẢ ĐẤT VÀ TÀI SẢN RIÊNG LẺ - ĐỐI VỚI TỔ CHỨC</t>
  </si>
  <si>
    <t>X- TRÍCH LỤC HỒ SƠ ĐỊA CHÍNH (bảng 18)</t>
  </si>
  <si>
    <t>IV- ĐĂNG KÝ, CẤP GIẤY CHỨNG NHẬN LẦN ĐẦU ĐƠN LẺ TỪNG HỘ GIA ĐÌNH, CÁ NHÂN TRƯỜNG HỢP NỘP HỒ SƠ TẠI VPĐK CẤP HUYỆN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</si>
  <si>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ở bảng trên</t>
  </si>
  <si>
    <t>ĐĂNG KÝ, CẤP GIẤY CHỨNG NHẬN TÀI SẢN LẦN ĐẦU ĐƠN LẺ TỪNG HỘ GIA ĐÌNH, CÁ NHÂN - TRƯỜNG HỢP NỘP TẠI HUYỆN</t>
  </si>
  <si>
    <t>Văn phòng ĐKQSD đất cấp huyện</t>
  </si>
  <si>
    <t>Đm</t>
  </si>
  <si>
    <t xml:space="preserve"> Mực máy Photocopy A3 </t>
  </si>
  <si>
    <t xml:space="preserve"> Chiếc </t>
  </si>
  <si>
    <t xml:space="preserve"> Bìa sổ A3 (2 tờ/sổ = cặp) </t>
  </si>
  <si>
    <t xml:space="preserve"> Giấy in bản đồ A0 (120 gram/m2) </t>
  </si>
  <si>
    <t xml:space="preserve"> Cộng vật liệu chính (A) </t>
  </si>
  <si>
    <t xml:space="preserve"> VL phụ + hao hụt (B=8%A) </t>
  </si>
  <si>
    <t>Niêm yết công khai kết quả kiểm tra hồ sơ đề nghị đăng ký, cấp GCN</t>
  </si>
  <si>
    <t>Hoàn thiện hồ sơ sau niêm yết và chuyển về cấp huyện</t>
  </si>
  <si>
    <t>Nhận thông báo, chuyển thông báo nghĩa vụ tài chính cho người sử dụng đất (sau khi cấp huyện xác định nghĩa vụ tài chính và gửi cho cấp xã, thị trấn để thông báo cho người sử dụng đất)</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</si>
  <si>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</si>
  <si>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</si>
  <si>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tại địa bàn cấp huyện (mức này được áp dụng chung cho các trường hợp lập hợp đồng cho thuê đất).</t>
  </si>
  <si>
    <t xml:space="preserve">  - Đối với xã, thị trấn xây dựng cơ sở dữ liệu địa chính thì trong công việc đăng ký, cấp đổi GCN không được tính mức dụng cụ tại địa bàn cấp tỉnh quy định tại 2 bảng trên.</t>
  </si>
  <si>
    <t xml:space="preserve">  - Trường hợp nhiều thửa đất nông nghiệp được cấp chung trong một GCN thì ngoài mức được tính ở trên cứ mỗi thửa đất tăng thêm được tính bằng 0,20 đối với các nội dung thực hiện tại địa bàn xã, thị trấn và 0,30 đối với các nội dung thực hiện tại địa bàn cấp huyện.</t>
  </si>
  <si>
    <t xml:space="preserve">  - Trường hợp đăng ký nhưng không có nhu cầu đổi GCN hoặc không đủ điều kiện cấp đổi GCN thì được tính mức bằng 90% mức quy định tại 2 bảng trên.</t>
  </si>
  <si>
    <t>Cộng thành tiền (đ/phường)</t>
  </si>
  <si>
    <t xml:space="preserve">  -  Định mức trên đây tính đối với việc đăng ký, cấp GCN về quyền sử dụng đất. Trường hợp đăng ký, cấp GCN đối với cả đất và tài sản gắn liền với đất thì định mức tính cho 1 hồ sơ đăng ký cả đất và tài sản bằng 1,3 lần định mức cho 1 hồ sơ đăng ký đối với đất. Trường hợp đăng ký riêng đối với tài sản thì định mức tính cho 1 hồ sơ đăng ký đối với tài sản bằng định mức cho 1 hồ sơ đăng ký đối với đất</t>
  </si>
  <si>
    <t xml:space="preserve"> - Trường hợp phải chuẩn bị Hợp đồng cho thuê đất, mức dụng cụ tính bằng 0,003 mức dụng cụ tại địa bàn cấp huyện.</t>
  </si>
  <si>
    <t xml:space="preserve"> - Đối với phường xây dựng cơ sở dữ liệu địa chính thì trong công việc đăng ký, cấp đổi GCN không được tính mức dụng cụ tại địa bàn cấp tỉnh quy định tại 2 bảng trên</t>
  </si>
  <si>
    <t>IV.3- ĐĂNG KÝ, CẤP GIẤY CHỨNG NHẬN LẦN ĐẦU ĐỒNG THỜI CẢ ĐẤT VÀ TÀI SẢN ĐỐI VỚI TỔ CHỨC (bảng 9)</t>
  </si>
  <si>
    <t>V- ĐĂNG KÝ, CẤP ĐỔI GIẤY CHỨNG NHẬN ĐỒNG LOẠT TẠI XÃ, THỊ TRẤN (bảng 10)</t>
  </si>
  <si>
    <t>III.2- ĐĂNG KÝ, CẤP GIẤY CHỨNG NHẬN ĐỐI VỚI TÀI SẢN LẦN ĐẦU ĐƠN LẺ TỪNG HỘ GIA ĐÌNH, CÁ NHÂN (bảng 8)</t>
  </si>
  <si>
    <t>III.3- ĐĂNG KÝ, CẤP GIẤY CHỨNG NHẬN LẦN ĐẦU ĐỒNG THỜI CẢ ĐẤT VÀ TÀI SẢN THỰC HIỆN ĐƠN LẺ TỪNG HỘ GIA ĐÌNH, CÁ NHÂN
(bảng 8)</t>
  </si>
  <si>
    <t>7.1</t>
  </si>
  <si>
    <t>7.2</t>
  </si>
  <si>
    <t xml:space="preserve">I- ĐĂNG KÝ, CẤP GIẤY CHỨNG NHẬN QSD ĐẤT LẦN ĐẦU ĐỒNG LOẠT ĐỐI VỚI HỘ GIA ĐÌNH, CÁ NHÂN Ở XÃ, THỊ TRẤN </t>
  </si>
  <si>
    <t>II- ĐĂNG KÝ, CẤP GIẤY CHỨNG NHẬN QSD ĐẤT LẦN ĐẦU ĐỒNG LOẠT ĐỐI VỚI HỘ GIA ĐÌNH, CÁ NHÂN Ở PHƯỜNG</t>
  </si>
  <si>
    <t xml:space="preserve">TT </t>
  </si>
  <si>
    <t>11.1</t>
  </si>
  <si>
    <t>11.2</t>
  </si>
  <si>
    <t>11.3</t>
  </si>
  <si>
    <t>2-5</t>
  </si>
  <si>
    <t>1-5</t>
  </si>
  <si>
    <t>TT</t>
  </si>
  <si>
    <t>A</t>
  </si>
  <si>
    <t>B</t>
  </si>
  <si>
    <t>1</t>
  </si>
  <si>
    <t>2</t>
  </si>
  <si>
    <t>3</t>
  </si>
  <si>
    <t>4</t>
  </si>
  <si>
    <t>5</t>
  </si>
  <si>
    <t>2,34</t>
  </si>
  <si>
    <t>1.1</t>
  </si>
  <si>
    <t>1.3</t>
  </si>
  <si>
    <t>3.1</t>
  </si>
  <si>
    <t>3.2</t>
  </si>
  <si>
    <t>T</t>
  </si>
  <si>
    <t>H</t>
  </si>
  <si>
    <t>Ca</t>
  </si>
  <si>
    <t>Kw</t>
  </si>
  <si>
    <t>1.2</t>
  </si>
  <si>
    <t>2.1</t>
  </si>
  <si>
    <t>2.2</t>
  </si>
  <si>
    <t xml:space="preserve">2- Chi phí nhân công cho công việc "Chuẩn bị hợp đồng cho thuê đất (nếu có)" chưa được tổng hợp trong đơn giá; khi phải thực hiện công việc này thì được tính thêm vào đơn giá theo số thửa phải lập Hợp đồng cho thuê đất. </t>
  </si>
  <si>
    <t>VIII.1- ĐĂNG KÝ, CẤP ĐỔI, CẤP LẠI GIẤY CHỨNG NHẬN RIÊNG ĐẤT ĐỐI VỚI TỔ CHỨC (bảng 13)</t>
  </si>
  <si>
    <t>hô sơ</t>
  </si>
  <si>
    <t>TỔNG HỢP ĐƠN GIÁ SẢN PHẨM ĐĂNG KÝ BIẾN ĐỘNG VỀ TÀI SẢN ĐỐI VỚI TỔ CHỨC</t>
  </si>
  <si>
    <t>TỔNG HỢP ĐƠN GIÁ SẢN PHẨM ĐĂNG KÝ BIẾN ĐỘNG VỀ ĐẤT ĐỐI VỚI TỔ CHỨC</t>
  </si>
  <si>
    <t>TỔNG HỢP ĐƠN GIÁ SẢN PHẨM ĐĂNG KÝ BIẾN ĐỘNG ĐỒNG THỜI CẢ ĐẤT VÀ TÀI SẢN ĐỐI VỚI TỔ CHỨC</t>
  </si>
  <si>
    <t>ĐƠN GIÁ SẢN PHẨM TRÍCH LỤC HỒ SƠ ĐỊA CHÍNH</t>
  </si>
  <si>
    <t>TRÍCH LỤC TỪ HỒ SƠ ĐỊA CHÍNH SỐ</t>
  </si>
  <si>
    <t>TRÍCH SAO TỪ HỒ SƠ ĐỊA CHÍNH GIẤY</t>
  </si>
  <si>
    <r>
      <t xml:space="preserve">TRÍCH LỤC HỒ SƠ ĐỊA CHÍNH CHO KHU ĐẤT CÓ TỪ 2 </t>
    </r>
    <r>
      <rPr>
        <b/>
        <sz val="10"/>
        <rFont val="Times New Roman"/>
        <family val="1"/>
      </rPr>
      <t>÷</t>
    </r>
    <r>
      <rPr>
        <b/>
        <sz val="10"/>
        <rFont val="Arial"/>
        <family val="2"/>
      </rPr>
      <t xml:space="preserve"> 4 THỬA</t>
    </r>
  </si>
  <si>
    <r>
      <t xml:space="preserve">TRÍCH LỤC HỒ SƠ ĐỊA CHÍNH CHO KHU ĐẤT CÓ TỪ 5 </t>
    </r>
    <r>
      <rPr>
        <b/>
        <sz val="10"/>
        <rFont val="Times New Roman"/>
        <family val="1"/>
      </rPr>
      <t>÷</t>
    </r>
    <r>
      <rPr>
        <b/>
        <sz val="10"/>
        <rFont val="Arial"/>
        <family val="2"/>
      </rPr>
      <t xml:space="preserve"> 10 THỬA</t>
    </r>
  </si>
  <si>
    <t>III</t>
  </si>
  <si>
    <t>IV</t>
  </si>
  <si>
    <t>TRÍCH LỤC HỒ SƠ ĐỊA CHÍNH CHO KHU ĐẤT CÓ TRÊN 10 THỬA</t>
  </si>
  <si>
    <t>Dụng cụ nhỏ (B=5%A)</t>
  </si>
  <si>
    <t>Lương
cấp bậc</t>
  </si>
  <si>
    <t>Lương phụ
(11%)</t>
  </si>
  <si>
    <t>Phụ cấp
lưu động
(0,4)</t>
  </si>
  <si>
    <t>Phụ cấp
trách nhiệm
(0,2/5)</t>
  </si>
  <si>
    <t>PC độc hại,
nguy hiểm
(0,2)</t>
  </si>
  <si>
    <t>Lương
tháng</t>
  </si>
  <si>
    <t>Lương
ngày</t>
  </si>
  <si>
    <t>I- ĐĂNG KÝ, CẤP GIẤY CHỨNG NHẬN LẦN ĐẦU ĐỒNG LOẠT ĐỐI VỚI HỘ GIA ĐÌNH, CÁ NHÂN Ở XÃ, THỊ TRẤN (Bảng 67)</t>
  </si>
  <si>
    <t>USB flash 1GB</t>
  </si>
  <si>
    <t>Ca/xã</t>
  </si>
  <si>
    <t>Cộng                     thành tiền (đ/phường)</t>
  </si>
  <si>
    <t>Ca/ph</t>
  </si>
  <si>
    <t>V- ĐĂNG KÝ, CẤP GIẤY CHỨNG NHẬN LẦN ĐẦU ĐỐI VỚI TỔ CHỨC</t>
  </si>
  <si>
    <t>VI- ĐĂNG KÝ, CẤP ĐỔI GIẤY CHỨNG NHẬN ĐỒNG LOẠT TẠI XÃ, THỊ TRẤN</t>
  </si>
  <si>
    <t>Quét giấy tờ pháp lý về quyền sử dụng đất, quyền sở hữu nhà ở và tài sản khác gắn liền với đất</t>
  </si>
  <si>
    <t>14.1.1</t>
  </si>
  <si>
    <t>Quét trang A3</t>
  </si>
  <si>
    <t>Trang</t>
  </si>
  <si>
    <t>1KS1</t>
  </si>
  <si>
    <t>14.1.2</t>
  </si>
  <si>
    <t>Quét trang A4</t>
  </si>
  <si>
    <t>14.2</t>
  </si>
  <si>
    <t>CÁC NỘI DUNG THỰC HIỆN TẠI ĐỊA BÀN PHƯỜNG</t>
  </si>
  <si>
    <t xml:space="preserve"> ĐĂNG KÝ, CẤP GIẤY CHỨNG NHẬN LẦN ĐẦU ĐỒNG THỜI CẢ ĐẤT VÀ TÀI SẢN THỰC HIỆN ĐƠN LẺ TỪNG HỘ GIA ĐÌNH, CÁ NHÂN - TRƯỜNG HỢP NỘP HỒ SƠ TẠI VPĐK CẤP HUYỆN</t>
  </si>
  <si>
    <t>VII- ĐĂNG KÝ, CẤP ĐỔI GIẤY CHỨNG NHẬN ĐỒNG LOẠT TẠI PHƯỜNG</t>
  </si>
  <si>
    <t>X- ĐĂNG KÝ BIẾN ĐỘNG ĐỐI VỚI HỘ GIA ĐÌNH, CÁ NHÂN TRƯỜNG HỢP NỘP HỒ SƠ TẠI XÃ</t>
  </si>
  <si>
    <t>XI- ĐĂNG KÝ BIẾN ĐỘNG ĐỐI VỚI HỘ GIA ĐÌNH, CÁ NHÂN TRƯỜNG HỢP NỘP HỒ SƠ TẠI VĂN PHÒNG ĐĂNG KÝ CẤP HUYỆN</t>
  </si>
  <si>
    <t>XII- ĐĂNG KÝ BIẾN ĐỘNG ĐỐI VỚI TỔ CHỨC</t>
  </si>
  <si>
    <t>XIII- TRÍCH LỤC HỒ SƠ ĐỊA CHÍNH</t>
  </si>
  <si>
    <t>Văn phòng ĐKQSD đất              cấp huyện</t>
  </si>
  <si>
    <t>Văn phòng ĐKQSD đất      cấp huyện</t>
  </si>
  <si>
    <t>Văn phòng ĐKQSD               đất cấp tỉnh</t>
  </si>
  <si>
    <t>Nhập ý kiến xác nhận của xã, thị trấn vào tệp (File) dữ liệu hồ sơ số</t>
  </si>
  <si>
    <t>Nhận thông báo, chuyển thông báo nghĩa vụ tài chính cho người sử dụng đất (sau khi cấp huyện xác định nghĩa vụ tài chính và gửi cho xã, thị trấn để thông báo cho người sử dụng đất)</t>
  </si>
  <si>
    <t>Nhận và trao hợp đồng thuê đất (nếu có), trao GCN cho người sử dụng đất; thu và gửi phí, lệ phí cấp GCN về cấp huyện</t>
  </si>
  <si>
    <t>Nhận, chuyển hồ sơ đề nghị đăng ký, cấp GCN từ người sử dụng đất</t>
  </si>
  <si>
    <t>Nhận, kiểm tra tính đầy đủ, hợp lệ và viết (xuất) giấy biên nhận hoặc trả lại hồ sơ, vào sổ theo dõi nhận, trả hồ sơ (theo hình thức trực tiếp, trực tuyến)</t>
  </si>
  <si>
    <t>Chuyển hồ sơ đến xã, thị trấn để lấy ý kiến xác nhận và công khai kết quả theo quy định</t>
  </si>
  <si>
    <t>1.2.1</t>
  </si>
  <si>
    <t>1.2.2</t>
  </si>
  <si>
    <t>Tiếp nhận hồ sơ đề nghị đăng ký, cấp GCN của người sử dụng đất từ xã, thị trấn chuyển đến</t>
  </si>
  <si>
    <t>Trích lục thửa đất từ BĐĐC, các loại bản đồ, sơ đồ khác (trường hợp phải trích đo địa chính hoặc chỉnh lý bản đồ thửa đất thì áp dụng định mức theo quy định tại Chương I Phần II)</t>
  </si>
  <si>
    <t>Chuyển thông tin nghĩa vụ tài chính</t>
  </si>
  <si>
    <t xml:space="preserve">(Kèm theo Quyết định số          /2018/QĐ-UBND ngày     tháng     năm 2018 của UBND tỉnh Hà Tĩnh) </t>
  </si>
  <si>
    <t xml:space="preserve">Vật liệu    </t>
  </si>
  <si>
    <t>ĐĂNG KÝ, CẤP GIẤY CHỨNG NHẬN QSD ĐẤT LẦN ĐẦU ĐƠN LẺ TỪNG HỘ GIA ĐÌNH, CÁ NHÂN - TRƯỜNG HỢP NỘP HỒ SƠ TẠI XÃ</t>
  </si>
  <si>
    <t>BẢNG ĐƠN GIÁ LƯƠNG NGÀY ĐO ĐẠC BẢN ĐỒ VÀ QUẢN LÝ ĐẤT ĐAI</t>
  </si>
  <si>
    <t>(Căn cứ Nghị định số 204/2004/NĐ-CP ngày 14/12/2004 của Chính phủ về chế độ tiền lương đối với cán bộ, công chức, viên chức và lực lượng vũ trang)</t>
  </si>
  <si>
    <t>Máy điều hòa công suất 1,1 kw</t>
  </si>
  <si>
    <t>Máy điều hòa công suất 2,2 kw</t>
  </si>
  <si>
    <t>Máy quét (Scan) A4</t>
  </si>
  <si>
    <t>ThiÕt bÞ nèi m¹ng</t>
  </si>
  <si>
    <t>Cộng             thành tiền (đồng/hồ sơ)</t>
  </si>
  <si>
    <t xml:space="preserve">Định mức (Kw)  </t>
  </si>
  <si>
    <t>Thành tiền (đồng)</t>
  </si>
  <si>
    <t>Đơn giá       (đồng/kw)</t>
  </si>
  <si>
    <t>Đơn giá          (đ/kw)</t>
  </si>
  <si>
    <t xml:space="preserve">Định mức (Ca/thửa)  </t>
  </si>
  <si>
    <t>Thành tiền (đ/thửa)</t>
  </si>
  <si>
    <t>ĐƠN GIÁ SẢN PHẨM TRÍCH ĐO ĐỊA CHÍNH THỬA ĐẤT - KHU VỰC NÔNG THÔN</t>
  </si>
  <si>
    <t>Máy ổn áp dùng chung 10 KVA</t>
  </si>
  <si>
    <t>Chuẩn bị hợp đồng cho thuê đất (nếu có)</t>
  </si>
  <si>
    <t>Hồ sơ</t>
  </si>
  <si>
    <t>Đơn vị tính: đồng/hồ sơ</t>
  </si>
  <si>
    <t>Đơn vị        tính</t>
  </si>
  <si>
    <t>Loại     KK</t>
  </si>
  <si>
    <t>Cộng                       thành tiền (đồng/hồ sơ)</t>
  </si>
  <si>
    <t>Cộng                     thành tiền (đồng/hồ sơ)</t>
  </si>
  <si>
    <t>Cộng                             thành tiền (đồng/hồ sơ)</t>
  </si>
  <si>
    <t>đồng/hồ sơ</t>
  </si>
  <si>
    <t>Cộng         thành tiền (đồng/hồ sơ)</t>
  </si>
  <si>
    <t>Cộng           thành tiền (đồng/hồ sơ)</t>
  </si>
  <si>
    <t>Cộng            thành tiền (đồng/hồ sơ)</t>
  </si>
  <si>
    <t xml:space="preserve">Công việc </t>
  </si>
  <si>
    <t>Đơn vị      tính</t>
  </si>
  <si>
    <t>Quy mô           diện tích          thửa đất         (m2)</t>
  </si>
  <si>
    <t>Chi phí chung    25% Ng.N 20% NN</t>
  </si>
  <si>
    <t xml:space="preserve">Đơn giá    sản phẩm </t>
  </si>
  <si>
    <t>Phụ cấp    khu vực      0,1</t>
  </si>
  <si>
    <t>PCKV 0,1</t>
  </si>
  <si>
    <t>ĐMức</t>
  </si>
  <si>
    <t>(CPTT)</t>
  </si>
  <si>
    <t>(CP chung)</t>
  </si>
  <si>
    <t>công</t>
  </si>
  <si>
    <t>LĐKT</t>
  </si>
  <si>
    <t>LĐPT</t>
  </si>
  <si>
    <t>PCKV</t>
  </si>
  <si>
    <t>Công cụ</t>
  </si>
  <si>
    <t>Năng lượng</t>
  </si>
  <si>
    <t>Cộng</t>
  </si>
  <si>
    <t>Nội Nghiệp</t>
  </si>
  <si>
    <t>&lt; 100</t>
  </si>
  <si>
    <t>100 ÷ 300</t>
  </si>
  <si>
    <t xml:space="preserve"> ĐĂNG KÝ, CẤP GIẤY CHỨNG NHẬN QUYỀN SỞ HỮU TÀI SẢN LẦN ĐẦU ĐỐI VỚI TỔ CHỨC</t>
  </si>
  <si>
    <t xml:space="preserve"> ĐĂNG KÝ, CẤP GIẤY CHỨNG NHẬN QUYỀN SỬ DỤNG ĐẤT LẦN ĐẦU ĐỐI VỚI TỔ CHỨC</t>
  </si>
  <si>
    <t>ĐĂNG KÝ, CẤP GIẤY CHỨNG NHẬN LẦN ĐẦU ĐỒNG THỜI CẢ ĐẤT VÀ TÀI SẢN ĐỐI VỚI TỔ CHỨC</t>
  </si>
  <si>
    <t>ĐĂNG KÝ, CẤP ĐỔI GIẤY CHỨNG NHẬN QSD ĐẤT ĐỒNG LOẠT TẠI XÃ, THỊ TRẤN</t>
  </si>
  <si>
    <t>ĐĂNG KÝ BIẾN ĐỘNG VỀ ĐẤT ĐỐI VỚI HỘ GIA ĐÌNH CÁ NHÂN - TRƯỜNG HỢP NỘP HỒ SƠ TẠI VĂN PHÒNG ĐĂNG KÝ QUYỀN SỬ DỤNG ĐẤT CẤP HUYỆN</t>
  </si>
  <si>
    <t xml:space="preserve"> ĐĂNG KÝ BIẾN ĐỘNG VỀ ĐẤT ĐỐI VỚI TỔ CHỨC</t>
  </si>
  <si>
    <t>ĐĂNG KÝ BIẾN ĐỘNG VỀ TÀI SẢN ĐỐI VỚI TỔ CHỨC</t>
  </si>
  <si>
    <t xml:space="preserve"> ĐĂNG KÝ BIẾN ĐỘNG ĐỒNG THỜI CẢ ĐẤT VÀ TÀI SẢN ĐỐI VỚI TỔ CHỨC</t>
  </si>
  <si>
    <t>&gt;300 ÷ 500</t>
  </si>
  <si>
    <t>&gt;500 ÷ 1000</t>
  </si>
  <si>
    <t>&gt;1000 ÷ 3000</t>
  </si>
  <si>
    <t>&gt;3000 ÷ 10000</t>
  </si>
  <si>
    <t xml:space="preserve">Quy mô                   diện tích               thửa đất        </t>
  </si>
  <si>
    <t>&gt;1 ha ÷ 10 ha</t>
  </si>
  <si>
    <t>&gt;10 ha ÷ 50 ha</t>
  </si>
  <si>
    <t>&gt;50 ha ÷ 100 ha</t>
  </si>
  <si>
    <t>&gt;100ha ÷ 500ha</t>
  </si>
  <si>
    <t>&gt;500ha÷1000ha</t>
  </si>
  <si>
    <t>- Đơn giá trên tính cho trường hợp trích đo độc lập. Trường hợp phải đo nối với lưới tọa độ nhà nước thì được tính thêm mức đo lưới khống chế</t>
  </si>
  <si>
    <t>đo vẽ trên nguyên tắc khoảng 5 km đường ranh giới sử dụng đất bố trí một cặp điểm đo bằng công nghệ GPS; mức tính bằng 0,50 mức đo ngắm</t>
  </si>
  <si>
    <t>lưới địa chính bằng công ngệ GPS (bao gồm: lao động, dụng cụ, vật liệu, thiết bị).</t>
  </si>
  <si>
    <t>- Trường hợp trích đo thửa đất có quy mô &gt;1.000 ha thì cứ 1 km đường ranh giới sử dụng đất được tính 0,4 công nhóm (1KTV4+2KTV6).</t>
  </si>
  <si>
    <t>ĐƠN GIÁ SẢN PHẨM TRÍCH ĐO ĐỊA CHÍNH THỬA ĐẤT - KHU VỰC ĐÔ THỊ</t>
  </si>
  <si>
    <t>Quy mô            diện tích                thửa đất           (m2)</t>
  </si>
  <si>
    <t xml:space="preserve">Quy mô                diện tích            thửa đất        </t>
  </si>
  <si>
    <t>Văn phòng ĐKQSD đất                  cấp tỉnh</t>
  </si>
  <si>
    <t>Văn phòng ĐKQSD đất                    cấp tỉnh</t>
  </si>
  <si>
    <t>Văn phòng ĐKQSD đất              cấp tỉnh</t>
  </si>
  <si>
    <t>Cộng                    thành tiền (đồng/xã)</t>
  </si>
  <si>
    <t>II- ĐĂNG KÝ, CẤP GIẤY CHỨNG NHẬN LẦN ĐẦU ĐỒNG LOẠT ĐỐI VỚI HỘ GIA ĐÌNH, CÁ NHÂN Ở PHƯỜNG(Bảng 70)</t>
  </si>
  <si>
    <t>III.1- ĐĂNG KÝ, CẤP GIẤY CHỨNG NHẬN LẦN ĐẦU ĐƠN LẺ TỪNG HỘ GIA ĐÌNH, CÁ NHÂN - TRƯỜNG HỢP NỘP HỒ SƠ TẠI XÃ, THỊ TRẤN(Bảng 73)</t>
  </si>
  <si>
    <t>III.2- ĐĂNG KÝ, CẤP GIẤY CHỨNG NHẬN LẦN ĐẦU ĐƠN LẺ TỪNG HỘ GIA ĐÌNH, CÁ NHÂN - TRƯỜNG HỢP NỘP HỒ SƠ TẠI VPĐK CẤP HUYỆN (Bảng 73)</t>
  </si>
  <si>
    <t>IV- ĐĂNG KÝ, CẤP GIẤY CHỨNG NHẬN LẦN ĐẦU ĐỐI VỚI TỔ CHỨC (Bảng 76)</t>
  </si>
  <si>
    <t>V- ĐĂNG KÝ, CẤP ĐỔI GIẤY CHỨNG NHẬN ĐỒNG LOẠT TẠI XÃ, THỊ TRẤN (Bảng 80)</t>
  </si>
  <si>
    <t>VI- ĐĂNG KÝ, CẤP ĐỔI GIẤY CHỨNG NHẬN ĐỒNG LOẠT TẠI PHƯỜNG (Bảng 84)</t>
  </si>
  <si>
    <t>ĐĂNG KÝ THEO HÌNH THỨC  TRỰC  TUYẾN</t>
  </si>
  <si>
    <t>CHƯA LÀM NHÂN CÔNG CHƯA TÁCH ĐƯỢC NỘP Ở TAIH XÃ HAY VPDK CẤP HUYỆN</t>
  </si>
  <si>
    <t>ĐĂNG KY THEO HÌNH THỨC TRỰC  TIẾP</t>
  </si>
  <si>
    <t>ĐĂNG KY THEO HÌNH THỨC TRỰC  TUYẾN</t>
  </si>
  <si>
    <t>ĐĂNG KÝ, CẤP GIẤY CHỨNG NHẬN TÀI SẢN LẦN ĐẦU ĐƠN LẺ TỪNG HỘ GIA ĐÌNH, CÁ NHÂN - TRƯỜNG HỢP NỘP TẠI XÃ</t>
  </si>
  <si>
    <t xml:space="preserve"> ĐĂNG KÝ, CẤP GIẤY CHỨNG NHẬN LẦN ĐẦU ĐỒNG THỜI CẢ ĐẤT VÀ TÀI SẢN THỰC HIỆN ĐƠN LẺ TỪNG HỘ GIA ĐÌNH, CÁ NHÂN - TRƯỜNG HỢP NỘP TẠI XÃ</t>
  </si>
  <si>
    <t>ĐĂNG KÝ THEO HÌNH THỨC TRỰC TUYÊN</t>
  </si>
  <si>
    <t xml:space="preserve"> - Định mức dụng cụ trên áp dụng cho trường hợp đăng ký đất hoặc trường hợp đăng ký tài sản; trường hợp đăng ký cả đất và tài sản thì mức dụng cụ được tính bằng hệ số là 1,3 mức dụng cụ của bảng trên</t>
  </si>
  <si>
    <t xml:space="preserve"> - Trường hợp đăng ký biến động đất đai mà thực hiện cấp mới GCN thì áp dụng mức dụng cụ của bảng trên. Trường hợp đăng ký biến động đất đai mà không thực hiện cấp mới GCN thì được tính bằng 0,6 lần mức dụng cụ của bảng trên.</t>
  </si>
  <si>
    <t>Chuyển GCN đã ký về cấp xã, thị trấn để trao cho người sử dụng đất, bản sao sổ cấp GCN, nhận phí, lệ phí cấp GCN, nộp kho bạc</t>
  </si>
  <si>
    <t>Nhận hồ sơ địa chính từ cấp tỉnh và gửi về cấp xã, thị trấn (01 bộ)</t>
  </si>
  <si>
    <t>Bộ/xã, thị trấn</t>
  </si>
  <si>
    <t>CÁC NỘI DUNG THỰC HIỆN TẠI ĐỊA BÀN CẤP TỈNH</t>
  </si>
  <si>
    <t>Hoàn thiện BĐĐC và Sổ mục kê đất đai theo kết quả đăng ký, cấp GCN</t>
  </si>
  <si>
    <t>Bộ/đĩa</t>
  </si>
  <si>
    <t>1KS4</t>
  </si>
  <si>
    <t xml:space="preserve">1- Trường hợp người sử dụng đất đã đăng ký đất đai theo quy định của pháp luật mà có nhu cầu cấp GCN thì được tính định mức đối với Mục 1, 2, 3, 5, 6, 7, 8, 9, 10, 11, 12, 13, 14 các nội dung thực hiện tại địa bàn cấp tỉnh và các nội dung thực hiện tại địa bàn cấp huyện, xã, thị trấn </t>
  </si>
  <si>
    <t>3- Trường hợp có kê khai đăng ký, nhưng người sử dụng đất không có nhu cầu cấp GCN hoặc sau khi xét duyệt không đủ điều kiện được cấp GCN thì đơn giá được tính bằng 90% mức đơn giá đối với trường hợp cấp GCN  (không bao gồm chi phí vật liệu).</t>
  </si>
  <si>
    <t xml:space="preserve">4- Đối với các hồ sơ không đủ điều kiện cấp GCN thì được tính định mức đối với Mục 1, 2, 3, 4, 5, 6, 7, 8, 9 các nội dung thực hiện tại địa bàn xã, thị trấn; Mục 1, 2, 4, 5, 9, 15 các nội dung thực hiện tại địa bàn cấp huyện; mục 1 các nội dung thực hiện tại địa bàn cấp tỉnh </t>
  </si>
  <si>
    <t>Chuyển thông tin nghĩa vụ tài chính về xã, thị trấn để chuyển cho người sử dụng đất và nhận lại hóa đơn nghĩa vụ tài chính đã thực hiện (đối với trường hợp nộp hồ sơ tại xã, thị trấn)</t>
  </si>
  <si>
    <t>Nhận lại hồ sơ, GCN, hợp đồng thuê đất; lập và sao sổ cấp GCN; gửi cho cơ quan quản lý tài sản (nếu có)</t>
  </si>
  <si>
    <t>15.1</t>
  </si>
  <si>
    <t>15.1.1</t>
  </si>
  <si>
    <t>15.1.2</t>
  </si>
  <si>
    <t>15.2</t>
  </si>
  <si>
    <t>15.3</t>
  </si>
  <si>
    <t>Cập nhật bổ sung việc cấp GCN vào hồ sơ địa chính hoặc cơ sở dữ liệu đất đai và gửi nội dung cập nhật hồ sơ địa chính về cấp tỉnh</t>
  </si>
  <si>
    <t>Trao GCN cho người sử dụng đất, nhận phí, lệ phí cấp GCN, nộp kho bạc</t>
  </si>
  <si>
    <t>17.1</t>
  </si>
  <si>
    <t>17.2</t>
  </si>
  <si>
    <t>Chuyển GCN đã ký về xã, thị trấn để trao cho người sử dụng đất, bản sao sổ cấp GCN, nhận phí, lệ phí cấp GCN, nộp kho bạc</t>
  </si>
  <si>
    <t>Nhận bản thông báo cập nhật hồ sơ địa chính cấp huyện chuyển đến đối với những nơi chưa liên thông</t>
  </si>
  <si>
    <t>Nhóm 2 (1KS2,1K TV4)</t>
  </si>
  <si>
    <t>Tạo tệp (File) dữ liệu hồ sơ số và nhập thông tin do người sử dụng đất, quản lý đất kê khai, đăng ký</t>
  </si>
  <si>
    <t>Kiểm tra hồ sơ, gửi và nhận phiếu xin ý kiến cơ quan quản lý về tài sản (nếu cần xác minh thêm thông tin), trích lục thửa đất</t>
  </si>
  <si>
    <t>Kiểm tra tình trạng pháp lý của hồ sơ đề nghị đăng ký, cấp GCN</t>
  </si>
  <si>
    <t>Kiểm tra xác minh thực địa với hồ sơ đề nghị đăng ký, cấp GCN, xác nhận sơ đồ tài sản trong trường hợp chưa có xác nhận của cơ quan có tư cách pháp nhân hành nghề về đo đạc, xây dựng</t>
  </si>
  <si>
    <t>4.3</t>
  </si>
  <si>
    <t>Nhập ý kiến xác nhận của cấp tỉnh vào tệp (File) dữ liệu hồ sơ số</t>
  </si>
  <si>
    <t>4.4</t>
  </si>
  <si>
    <t>Lập, gửi và nhận phiếu xin ý kiến cơ quan quản lý về tài sản (nếu cần xác minh thêm thông tin)</t>
  </si>
  <si>
    <t>4.4.1</t>
  </si>
  <si>
    <t>4.4.2</t>
  </si>
  <si>
    <t>Theo hình thức trực tuyến liên thông</t>
  </si>
  <si>
    <t>4.5</t>
  </si>
  <si>
    <t>Trích lục thửa đất từ BĐĐC, các loại bản đồ, sơ đồ khác (trường hợp phải trích đo địa chính hoặc chỉnh lý bản đồ thửa đất thì áp dụng định mức theo quy định tại Chương I Phần 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</si>
</sst>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3" formatCode="_(* #,##0.00_);_(* \(#,##0.00\);_(* &quot;-&quot;??_);_(@_)"/>
    <numFmt numFmtId="171" formatCode="_-* #,##0.00\ _₫_-;\-* #,##0.00\ _₫_-;_-* &quot;-&quot;??\ _₫_-;_-@_-"/>
    <numFmt numFmtId="175" formatCode="_-* #,##0.00_-;\-* #,##0.00_-;_-* &quot;-&quot;??_-;_-@_-"/>
    <numFmt numFmtId="176" formatCode="_(* #,##0_);_(* \(#,##0\);_(* &quot;-&quot;??_);_(@_)"/>
    <numFmt numFmtId="177" formatCode="0.000"/>
    <numFmt numFmtId="178" formatCode="0.0"/>
    <numFmt numFmtId="179" formatCode="#,##0.000"/>
    <numFmt numFmtId="180" formatCode="#,##0.0000"/>
    <numFmt numFmtId="181" formatCode="#,##0.0"/>
    <numFmt numFmtId="182" formatCode="_(* #,##0.0_);_(* \(#,##0.0\);_(* &quot;-&quot;??_);_(@_)"/>
    <numFmt numFmtId="183" formatCode="#,##0.00000"/>
    <numFmt numFmtId="184" formatCode="0.0000"/>
    <numFmt numFmtId="185" formatCode="_-* #,##0_-;\-* #,##0_-;_-* &quot;-&quot;??_-;_-@_-"/>
    <numFmt numFmtId="186" formatCode="_(* #,##0.000_);_(* \(#,##0.000\);_(* &quot;-&quot;????_);_(@_)"/>
    <numFmt numFmtId="187" formatCode="_(* #,##0.00_);_(* \(#,##0.00\);_(* &quot;-&quot;????_);_(@_)"/>
    <numFmt numFmtId="188" formatCode="_(* #,##0_);_(* \(#,##0\);_(* &quot;-&quot;????_);_(@_)"/>
    <numFmt numFmtId="192" formatCode="_-* #,##0.000_-;\-* #,##0.000_-;_-* &quot;-&quot;??_-;_-@_-"/>
    <numFmt numFmtId="199" formatCode="_(* #,##0.0_);_(* \(#,##0.0\);_(* &quot;-&quot;????_);_(@_)"/>
    <numFmt numFmtId="202" formatCode="_-* #,##0.0\ _₫_-;\-* #,##0.0\ _₫_-;_-* &quot;-&quot;???\ _₫_-;_-@_-"/>
    <numFmt numFmtId="203" formatCode="_-* #,##0\ _₫_-;\-* #,##0\ _₫_-;_-* &quot;-&quot;???\ _₫_-;_-@_-"/>
  </numFmts>
  <fonts count="95">
    <font>
      <sz val="13"/>
      <name val=".VnTime"/>
    </font>
    <font>
      <sz val="13"/>
      <name val=".VnTime"/>
    </font>
    <font>
      <sz val="10"/>
      <name val=".VnArial"/>
      <family val="2"/>
    </font>
    <font>
      <sz val="10"/>
      <name val="Arial"/>
      <family val="2"/>
    </font>
    <font>
      <sz val="10"/>
      <name val=".VnTime"/>
      <family val="2"/>
    </font>
    <font>
      <sz val="8"/>
      <name val=".VnTime"/>
      <family val="2"/>
    </font>
    <font>
      <sz val="11"/>
      <name val=".VnArial"/>
      <family val="2"/>
    </font>
    <font>
      <b/>
      <sz val="10"/>
      <name val=".VnTime"/>
      <family val="2"/>
    </font>
    <font>
      <b/>
      <sz val="10"/>
      <name val="Arial"/>
      <family val="2"/>
    </font>
    <font>
      <b/>
      <sz val="10"/>
      <name val=".VnArial NarrowH"/>
      <family val="2"/>
    </font>
    <font>
      <b/>
      <sz val="13"/>
      <name val=".VnTime"/>
      <family val="2"/>
    </font>
    <font>
      <sz val="13"/>
      <name val=".VnTime"/>
      <family val="2"/>
    </font>
    <font>
      <b/>
      <sz val="14"/>
      <name val="Arial"/>
      <family val="2"/>
    </font>
    <font>
      <sz val="11"/>
      <name val="Arial"/>
      <family val="2"/>
    </font>
    <font>
      <sz val="13"/>
      <name val="Arial"/>
      <family val="2"/>
    </font>
    <font>
      <sz val="10"/>
      <color indexed="8"/>
      <name val="Arial"/>
      <family val="2"/>
    </font>
    <font>
      <b/>
      <sz val="13"/>
      <name val="Arial"/>
      <family val="2"/>
    </font>
    <font>
      <b/>
      <sz val="14"/>
      <name val="Times New Roman"/>
      <family val="1"/>
    </font>
    <font>
      <b/>
      <sz val="12"/>
      <name val="Arial"/>
      <family val="2"/>
    </font>
    <font>
      <b/>
      <sz val="10"/>
      <name val="Times New Roman"/>
      <family val="1"/>
    </font>
    <font>
      <b/>
      <sz val="11"/>
      <name val="Arial"/>
      <family val="2"/>
    </font>
    <font>
      <b/>
      <u/>
      <sz val="11"/>
      <name val="Arial"/>
      <family val="2"/>
    </font>
    <font>
      <b/>
      <sz val="10"/>
      <name val="Arial Narrow"/>
      <family val="2"/>
    </font>
    <font>
      <b/>
      <sz val="9"/>
      <name val="Arial"/>
      <family val="2"/>
    </font>
    <font>
      <sz val="13"/>
      <name val=".VnTime"/>
      <family val="2"/>
    </font>
    <font>
      <sz val="12"/>
      <name val="Arial"/>
      <family val="2"/>
    </font>
    <font>
      <sz val="13"/>
      <name val="Times New Roman"/>
      <family val="1"/>
    </font>
    <font>
      <b/>
      <sz val="13"/>
      <name val="Times New Roman"/>
      <family val="1"/>
    </font>
    <font>
      <sz val="10"/>
      <color indexed="8"/>
      <name val="Times New Roman"/>
      <family val="1"/>
    </font>
    <font>
      <sz val="10"/>
      <color indexed="8"/>
      <name val="Symbol"/>
      <family val="1"/>
      <charset val="2"/>
    </font>
    <font>
      <vertAlign val="superscript"/>
      <sz val="10"/>
      <name val="Arial"/>
      <family val="2"/>
    </font>
    <font>
      <b/>
      <sz val="10"/>
      <name val="Arial"/>
      <family val="2"/>
      <charset val="163"/>
    </font>
    <font>
      <b/>
      <sz val="11"/>
      <name val="Arial"/>
      <family val="2"/>
      <charset val="163"/>
    </font>
    <font>
      <b/>
      <sz val="9"/>
      <name val="Arial"/>
      <family val="2"/>
      <charset val="163"/>
    </font>
    <font>
      <sz val="10"/>
      <name val="Arial"/>
      <family val="2"/>
      <charset val="163"/>
    </font>
    <font>
      <sz val="11"/>
      <name val="Arial"/>
      <family val="2"/>
      <charset val="163"/>
    </font>
    <font>
      <b/>
      <sz val="11"/>
      <name val="Times New Roman"/>
      <family val="1"/>
      <charset val="163"/>
    </font>
    <font>
      <sz val="11"/>
      <name val="Times New Roman"/>
      <family val="1"/>
      <charset val="163"/>
    </font>
    <font>
      <i/>
      <sz val="11"/>
      <name val="Arial"/>
      <family val="2"/>
      <charset val="163"/>
    </font>
    <font>
      <b/>
      <sz val="10"/>
      <name val="Times New Roman"/>
      <family val="1"/>
      <charset val="163"/>
    </font>
    <font>
      <sz val="10"/>
      <name val="Times New Roman"/>
      <family val="1"/>
      <charset val="163"/>
    </font>
    <font>
      <b/>
      <sz val="15"/>
      <name val="Arial"/>
      <family val="2"/>
      <charset val="163"/>
    </font>
    <font>
      <b/>
      <sz val="12"/>
      <name val="Arial"/>
      <family val="2"/>
      <charset val="163"/>
    </font>
    <font>
      <sz val="12"/>
      <name val="Arial Narrow"/>
      <family val="2"/>
    </font>
    <font>
      <sz val="10"/>
      <color indexed="8"/>
      <name val=".VnArial"/>
      <family val="2"/>
    </font>
    <font>
      <sz val="8"/>
      <name val=".VnTime"/>
    </font>
    <font>
      <sz val="9"/>
      <color indexed="81"/>
      <name val="Tahoma"/>
      <family val="2"/>
    </font>
    <font>
      <b/>
      <sz val="9"/>
      <color indexed="81"/>
      <name val="Tahoma"/>
      <family val="2"/>
    </font>
    <font>
      <sz val="11"/>
      <name val="Times New Roman"/>
      <family val="1"/>
    </font>
    <font>
      <sz val="10"/>
      <name val="Times New Roman"/>
      <family val="1"/>
    </font>
    <font>
      <b/>
      <sz val="11"/>
      <name val="Times New Roman"/>
      <family val="1"/>
    </font>
    <font>
      <sz val="10"/>
      <name val=".VnTime"/>
    </font>
    <font>
      <b/>
      <sz val="10"/>
      <name val=".VnTime"/>
    </font>
    <font>
      <sz val="10"/>
      <name val="Arial"/>
      <charset val="163"/>
    </font>
    <font>
      <sz val="11"/>
      <color indexed="8"/>
      <name val="Arial"/>
      <family val="2"/>
    </font>
    <font>
      <b/>
      <sz val="11"/>
      <color indexed="8"/>
      <name val="Arial"/>
      <family val="2"/>
    </font>
    <font>
      <b/>
      <sz val="9"/>
      <color indexed="8"/>
      <name val="Arial"/>
      <family val="2"/>
    </font>
    <font>
      <sz val="9"/>
      <color indexed="8"/>
      <name val="Arial"/>
      <family val="2"/>
    </font>
    <font>
      <sz val="14"/>
      <name val="Times New Roman"/>
      <family val="1"/>
    </font>
    <font>
      <b/>
      <i/>
      <sz val="11"/>
      <name val="Times New Roman"/>
      <family val="1"/>
    </font>
    <font>
      <sz val="11"/>
      <color indexed="8"/>
      <name val="Calibri"/>
      <family val="2"/>
      <charset val="163"/>
    </font>
    <font>
      <b/>
      <i/>
      <sz val="11"/>
      <name val="Arial"/>
      <family val="2"/>
    </font>
    <font>
      <sz val="11"/>
      <name val=".VnTime"/>
      <family val="2"/>
    </font>
    <font>
      <b/>
      <sz val="11"/>
      <name val=".VnArial NarrowH"/>
      <family val="2"/>
    </font>
    <font>
      <b/>
      <i/>
      <sz val="11"/>
      <name val=".VnArial NarrowH"/>
      <family val="2"/>
    </font>
    <font>
      <sz val="11"/>
      <name val=".VnArial NarrowH"/>
      <family val="2"/>
    </font>
    <font>
      <sz val="11"/>
      <name val=".VnTime"/>
    </font>
    <font>
      <sz val="9"/>
      <color indexed="81"/>
      <name val="Tahoma"/>
      <charset val="1"/>
    </font>
    <font>
      <b/>
      <sz val="9"/>
      <color indexed="81"/>
      <name val="Tahoma"/>
      <charset val="1"/>
    </font>
    <font>
      <sz val="9"/>
      <name val="Arial"/>
      <family val="2"/>
    </font>
    <font>
      <u/>
      <sz val="9"/>
      <name val="Arial"/>
      <family val="2"/>
    </font>
    <font>
      <b/>
      <sz val="11"/>
      <color indexed="10"/>
      <name val=".VnArial NarrowH"/>
      <family val="2"/>
    </font>
    <font>
      <sz val="11"/>
      <color indexed="10"/>
      <name val="Arial"/>
      <family val="2"/>
    </font>
    <font>
      <sz val="11"/>
      <color indexed="10"/>
      <name val="Times New Roman"/>
      <family val="1"/>
    </font>
    <font>
      <i/>
      <sz val="11"/>
      <color indexed="10"/>
      <name val="Arial"/>
      <family val="2"/>
      <charset val="163"/>
    </font>
    <font>
      <b/>
      <sz val="12"/>
      <name val="Times New Roman"/>
      <family val="1"/>
      <charset val="163"/>
    </font>
    <font>
      <sz val="12"/>
      <color indexed="8"/>
      <name val="Arial"/>
      <family val="2"/>
    </font>
    <font>
      <sz val="12"/>
      <name val="Times New Roman"/>
      <family val="1"/>
    </font>
    <font>
      <b/>
      <i/>
      <sz val="12"/>
      <name val="Times New Roman"/>
      <family val="1"/>
    </font>
    <font>
      <b/>
      <sz val="12"/>
      <name val="Times New Roman"/>
      <family val="1"/>
    </font>
    <font>
      <b/>
      <sz val="12"/>
      <name val=".VnArial NarrowH"/>
      <family val="2"/>
    </font>
    <font>
      <sz val="12"/>
      <color indexed="10"/>
      <name val="Arial"/>
      <family val="2"/>
    </font>
    <font>
      <sz val="12"/>
      <color indexed="10"/>
      <name val="Times New Roman"/>
      <family val="1"/>
    </font>
    <font>
      <b/>
      <sz val="12"/>
      <color indexed="10"/>
      <name val="Times New Roman"/>
      <family val="1"/>
      <charset val="163"/>
    </font>
    <font>
      <sz val="12"/>
      <name val="Arial"/>
      <family val="2"/>
      <charset val="163"/>
    </font>
    <font>
      <sz val="12"/>
      <name val=".VnTime"/>
      <family val="2"/>
    </font>
    <font>
      <sz val="12"/>
      <name val=".VnTime"/>
    </font>
    <font>
      <b/>
      <u/>
      <sz val="12"/>
      <name val="Arial"/>
      <family val="2"/>
    </font>
    <font>
      <sz val="12"/>
      <name val=".VnArial"/>
      <family val="2"/>
    </font>
    <font>
      <i/>
      <sz val="10"/>
      <name val="Arial"/>
      <family val="2"/>
    </font>
    <font>
      <i/>
      <sz val="13"/>
      <name val="Arial"/>
      <family val="2"/>
    </font>
    <font>
      <b/>
      <sz val="10.8"/>
      <name val="Arial"/>
      <family val="2"/>
      <charset val="163"/>
    </font>
    <font>
      <sz val="14"/>
      <name val="Arial"/>
      <family val="2"/>
    </font>
    <font>
      <sz val="14"/>
      <name val=".VnTime"/>
      <family val="2"/>
    </font>
    <font>
      <sz val="14"/>
      <name val=".VnTime"/>
    </font>
  </fonts>
  <fills count="7">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9"/>
        <bgColor indexed="64"/>
      </patternFill>
    </fill>
    <fill>
      <patternFill patternType="solid">
        <fgColor indexed="10"/>
        <bgColor indexed="64"/>
      </patternFill>
    </fill>
  </fills>
  <borders count="4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hair">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8"/>
      </left>
      <right style="thin">
        <color indexed="8"/>
      </right>
      <top style="hair">
        <color indexed="8"/>
      </top>
      <bottom style="hair">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s>
  <cellStyleXfs count="9">
    <xf numFmtId="0" fontId="0" fillId="0" borderId="0"/>
    <xf numFmtId="0" fontId="11" fillId="0" borderId="0"/>
    <xf numFmtId="175" fontId="1" fillId="0" borderId="0" applyFont="0" applyFill="0" applyBorder="0" applyAlignment="0" applyProtection="0"/>
    <xf numFmtId="175" fontId="11" fillId="0" borderId="0" applyFont="0" applyFill="0" applyBorder="0" applyAlignment="0" applyProtection="0"/>
    <xf numFmtId="175" fontId="24" fillId="0" borderId="0" applyFont="0" applyFill="0" applyBorder="0" applyAlignment="0" applyProtection="0"/>
    <xf numFmtId="175" fontId="11" fillId="0" borderId="0" applyFont="0" applyFill="0" applyBorder="0" applyAlignment="0" applyProtection="0"/>
    <xf numFmtId="0" fontId="11" fillId="0" borderId="0"/>
    <xf numFmtId="0" fontId="60" fillId="0" borderId="0"/>
    <xf numFmtId="0" fontId="53" fillId="0" borderId="0"/>
  </cellStyleXfs>
  <cellXfs count="1287">
    <xf numFmtId="0" fontId="0" fillId="0" borderId="0" xfId="0"/>
    <xf numFmtId="0" fontId="4" fillId="0" borderId="0" xfId="0" applyFont="1"/>
    <xf numFmtId="0" fontId="0" fillId="0" borderId="0" xfId="0" applyAlignment="1">
      <alignment horizontal="center"/>
    </xf>
    <xf numFmtId="0" fontId="2" fillId="0" borderId="1" xfId="0" applyFont="1" applyFill="1" applyBorder="1" applyAlignment="1">
      <alignment horizontal="center"/>
    </xf>
    <xf numFmtId="0" fontId="2" fillId="0" borderId="1" xfId="0" applyFont="1" applyFill="1" applyBorder="1"/>
    <xf numFmtId="175" fontId="2" fillId="0" borderId="1" xfId="2" applyNumberFormat="1" applyFont="1" applyBorder="1" applyAlignment="1">
      <alignment horizontal="center"/>
    </xf>
    <xf numFmtId="175" fontId="2" fillId="0" borderId="2" xfId="2" applyNumberFormat="1" applyFont="1" applyBorder="1" applyAlignment="1">
      <alignment horizontal="center"/>
    </xf>
    <xf numFmtId="175" fontId="2" fillId="0" borderId="3" xfId="2" applyNumberFormat="1" applyFont="1" applyBorder="1" applyAlignment="1">
      <alignment horizontal="center"/>
    </xf>
    <xf numFmtId="176" fontId="2" fillId="0" borderId="1" xfId="2" applyNumberFormat="1" applyFont="1" applyFill="1" applyBorder="1" applyAlignment="1">
      <alignment horizontal="center"/>
    </xf>
    <xf numFmtId="176" fontId="2" fillId="0" borderId="4" xfId="2" applyNumberFormat="1" applyFont="1" applyFill="1" applyBorder="1"/>
    <xf numFmtId="176" fontId="2" fillId="0" borderId="4" xfId="2" applyNumberFormat="1" applyFont="1" applyFill="1" applyBorder="1" applyAlignment="1">
      <alignment horizontal="right"/>
    </xf>
    <xf numFmtId="0" fontId="10" fillId="0" borderId="0" xfId="0" applyFont="1"/>
    <xf numFmtId="176" fontId="2" fillId="0" borderId="3" xfId="2" applyNumberFormat="1" applyFont="1" applyFill="1" applyBorder="1" applyAlignment="1">
      <alignment horizontal="right"/>
    </xf>
    <xf numFmtId="176" fontId="2" fillId="0" borderId="1" xfId="2" applyNumberFormat="1" applyFont="1" applyFill="1" applyBorder="1" applyAlignment="1">
      <alignment horizontal="right"/>
    </xf>
    <xf numFmtId="176" fontId="2" fillId="0" borderId="2" xfId="2" applyNumberFormat="1" applyFont="1" applyFill="1" applyBorder="1" applyAlignment="1">
      <alignment horizontal="right"/>
    </xf>
    <xf numFmtId="0" fontId="0" fillId="0" borderId="0" xfId="0" applyFill="1"/>
    <xf numFmtId="0" fontId="13" fillId="0" borderId="3" xfId="0" applyFont="1" applyBorder="1" applyAlignment="1">
      <alignment horizontal="center"/>
    </xf>
    <xf numFmtId="49" fontId="13" fillId="0" borderId="1" xfId="0" applyNumberFormat="1" applyFont="1" applyBorder="1" applyAlignment="1">
      <alignment horizontal="center" vertical="center"/>
    </xf>
    <xf numFmtId="0" fontId="13" fillId="0" borderId="1" xfId="0" applyFont="1" applyBorder="1" applyAlignment="1">
      <alignment horizontal="center"/>
    </xf>
    <xf numFmtId="49" fontId="13" fillId="0" borderId="1" xfId="0" applyNumberFormat="1" applyFont="1" applyBorder="1" applyAlignment="1">
      <alignment horizontal="center" vertical="center" wrapText="1"/>
    </xf>
    <xf numFmtId="49" fontId="13" fillId="0" borderId="1" xfId="0" applyNumberFormat="1" applyFont="1" applyBorder="1" applyAlignment="1">
      <alignment vertical="center" wrapText="1"/>
    </xf>
    <xf numFmtId="0" fontId="13" fillId="0" borderId="1" xfId="0" applyFont="1" applyBorder="1" applyAlignment="1">
      <alignment horizontal="center" vertical="center" wrapText="1"/>
    </xf>
    <xf numFmtId="49" fontId="13" fillId="0" borderId="5" xfId="0" applyNumberFormat="1" applyFont="1" applyBorder="1" applyAlignment="1">
      <alignment vertical="center" wrapText="1"/>
    </xf>
    <xf numFmtId="0" fontId="13" fillId="0" borderId="5" xfId="0" applyFont="1" applyBorder="1" applyAlignment="1">
      <alignment horizontal="center" vertical="center" wrapText="1"/>
    </xf>
    <xf numFmtId="3" fontId="13" fillId="0" borderId="1" xfId="0" applyNumberFormat="1" applyFont="1" applyBorder="1" applyAlignment="1">
      <alignment vertical="center"/>
    </xf>
    <xf numFmtId="3" fontId="13" fillId="0" borderId="5" xfId="0" applyNumberFormat="1" applyFont="1" applyBorder="1" applyAlignment="1">
      <alignment vertical="center"/>
    </xf>
    <xf numFmtId="0" fontId="3" fillId="0" borderId="6" xfId="0" applyFont="1" applyBorder="1" applyAlignment="1">
      <alignment horizontal="left"/>
    </xf>
    <xf numFmtId="0" fontId="3" fillId="0" borderId="6" xfId="0" applyFont="1" applyBorder="1" applyAlignment="1">
      <alignment horizontal="center"/>
    </xf>
    <xf numFmtId="0" fontId="15"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
    </xf>
    <xf numFmtId="0" fontId="3" fillId="0" borderId="1" xfId="0" applyFont="1" applyFill="1" applyBorder="1"/>
    <xf numFmtId="0" fontId="3" fillId="0" borderId="1" xfId="0" applyFont="1" applyFill="1" applyBorder="1" applyAlignment="1">
      <alignment horizontal="center"/>
    </xf>
    <xf numFmtId="176" fontId="3" fillId="0" borderId="6" xfId="2" applyNumberFormat="1" applyFont="1" applyBorder="1" applyAlignment="1">
      <alignment horizontal="center"/>
    </xf>
    <xf numFmtId="175" fontId="3" fillId="0" borderId="1" xfId="2" applyNumberFormat="1" applyFont="1" applyBorder="1" applyAlignment="1">
      <alignment horizontal="center"/>
    </xf>
    <xf numFmtId="176" fontId="3" fillId="0" borderId="1" xfId="2" applyNumberFormat="1" applyFont="1" applyBorder="1" applyAlignment="1">
      <alignment horizontal="center"/>
    </xf>
    <xf numFmtId="176" fontId="3" fillId="0" borderId="2" xfId="2" applyNumberFormat="1" applyFont="1" applyBorder="1" applyAlignment="1">
      <alignment horizontal="center"/>
    </xf>
    <xf numFmtId="175" fontId="3" fillId="0" borderId="2" xfId="2" applyNumberFormat="1" applyFont="1" applyBorder="1" applyAlignment="1">
      <alignment horizontal="center"/>
    </xf>
    <xf numFmtId="176" fontId="3" fillId="0" borderId="1" xfId="2" applyNumberFormat="1" applyFont="1" applyFill="1" applyBorder="1" applyAlignment="1">
      <alignment horizontal="center"/>
    </xf>
    <xf numFmtId="176" fontId="3" fillId="0" borderId="4" xfId="2" applyNumberFormat="1" applyFont="1" applyFill="1" applyBorder="1"/>
    <xf numFmtId="175" fontId="3" fillId="0" borderId="3" xfId="2" applyNumberFormat="1" applyFont="1" applyBorder="1" applyAlignment="1">
      <alignment horizontal="left"/>
    </xf>
    <xf numFmtId="175" fontId="3" fillId="0" borderId="3" xfId="2" applyNumberFormat="1" applyFont="1" applyBorder="1" applyAlignment="1">
      <alignment horizontal="center"/>
    </xf>
    <xf numFmtId="175" fontId="3" fillId="0" borderId="1" xfId="2" applyNumberFormat="1" applyFont="1" applyBorder="1" applyAlignment="1">
      <alignment horizontal="left"/>
    </xf>
    <xf numFmtId="175" fontId="3" fillId="0" borderId="2" xfId="2" applyNumberFormat="1" applyFont="1" applyBorder="1" applyAlignment="1">
      <alignment horizontal="left"/>
    </xf>
    <xf numFmtId="176" fontId="3" fillId="0" borderId="4" xfId="2" applyNumberFormat="1" applyFont="1" applyFill="1" applyBorder="1" applyAlignment="1">
      <alignment horizontal="center"/>
    </xf>
    <xf numFmtId="175" fontId="3" fillId="0" borderId="7" xfId="2" applyNumberFormat="1" applyFont="1" applyBorder="1" applyAlignment="1">
      <alignment horizontal="left"/>
    </xf>
    <xf numFmtId="175" fontId="3" fillId="0" borderId="8" xfId="2" applyNumberFormat="1" applyFont="1" applyFill="1" applyBorder="1" applyAlignment="1">
      <alignment horizontal="left"/>
    </xf>
    <xf numFmtId="176" fontId="3" fillId="0" borderId="8" xfId="2" applyNumberFormat="1" applyFont="1" applyFill="1" applyBorder="1" applyAlignment="1">
      <alignment horizontal="center"/>
    </xf>
    <xf numFmtId="0" fontId="14" fillId="0" borderId="0" xfId="0" applyFont="1"/>
    <xf numFmtId="176" fontId="3" fillId="0" borderId="3" xfId="2" applyNumberFormat="1" applyFont="1" applyBorder="1" applyAlignment="1">
      <alignment horizontal="right"/>
    </xf>
    <xf numFmtId="176" fontId="3" fillId="0" borderId="1" xfId="2" applyNumberFormat="1" applyFont="1" applyBorder="1" applyAlignment="1">
      <alignment horizontal="right"/>
    </xf>
    <xf numFmtId="176" fontId="3" fillId="0" borderId="2" xfId="2" applyNumberFormat="1" applyFont="1" applyBorder="1" applyAlignment="1">
      <alignment horizontal="right"/>
    </xf>
    <xf numFmtId="176" fontId="3" fillId="0" borderId="4" xfId="2" applyNumberFormat="1" applyFont="1" applyFill="1" applyBorder="1" applyAlignment="1">
      <alignment horizontal="right"/>
    </xf>
    <xf numFmtId="0" fontId="3" fillId="0" borderId="4" xfId="0" applyFont="1" applyBorder="1" applyAlignment="1">
      <alignment horizontal="center"/>
    </xf>
    <xf numFmtId="0" fontId="3" fillId="0" borderId="8" xfId="0" applyFont="1" applyFill="1" applyBorder="1" applyAlignment="1">
      <alignment horizontal="center"/>
    </xf>
    <xf numFmtId="176" fontId="3" fillId="0" borderId="8" xfId="2" applyNumberFormat="1" applyFont="1" applyFill="1" applyBorder="1" applyAlignment="1">
      <alignment horizontal="right"/>
    </xf>
    <xf numFmtId="0" fontId="15" fillId="0" borderId="6" xfId="0" applyFont="1" applyFill="1" applyBorder="1"/>
    <xf numFmtId="0" fontId="15" fillId="0" borderId="6" xfId="0" applyFont="1" applyFill="1" applyBorder="1" applyAlignment="1">
      <alignment horizontal="center"/>
    </xf>
    <xf numFmtId="0" fontId="15" fillId="0" borderId="1" xfId="0" applyFont="1" applyFill="1" applyBorder="1"/>
    <xf numFmtId="0" fontId="15" fillId="0" borderId="1" xfId="0" applyFont="1" applyFill="1" applyBorder="1" applyAlignment="1">
      <alignment horizontal="center"/>
    </xf>
    <xf numFmtId="3" fontId="15" fillId="0" borderId="6" xfId="0" applyNumberFormat="1" applyFont="1" applyFill="1" applyBorder="1"/>
    <xf numFmtId="3" fontId="15" fillId="0" borderId="1" xfId="0" applyNumberFormat="1" applyFont="1" applyFill="1" applyBorder="1"/>
    <xf numFmtId="1" fontId="15" fillId="0" borderId="1" xfId="0" applyNumberFormat="1" applyFont="1" applyFill="1" applyBorder="1"/>
    <xf numFmtId="0" fontId="16" fillId="0" borderId="0" xfId="0" applyFont="1" applyFill="1" applyAlignment="1">
      <alignment horizontal="center"/>
    </xf>
    <xf numFmtId="0" fontId="14" fillId="2" borderId="0" xfId="0" applyFont="1" applyFill="1"/>
    <xf numFmtId="0" fontId="14" fillId="0" borderId="0" xfId="0" applyFont="1" applyFill="1"/>
    <xf numFmtId="0" fontId="14" fillId="3" borderId="0" xfId="0" applyFont="1" applyFill="1"/>
    <xf numFmtId="0" fontId="14" fillId="4" borderId="0" xfId="0" applyFont="1" applyFill="1"/>
    <xf numFmtId="0" fontId="8" fillId="2" borderId="9" xfId="0" applyFont="1" applyFill="1" applyBorder="1" applyAlignment="1">
      <alignment horizontal="center"/>
    </xf>
    <xf numFmtId="176" fontId="8" fillId="2" borderId="9" xfId="2" applyNumberFormat="1" applyFont="1" applyFill="1" applyBorder="1" applyAlignment="1">
      <alignment horizontal="center"/>
    </xf>
    <xf numFmtId="176" fontId="8" fillId="0" borderId="9" xfId="2" applyNumberFormat="1" applyFont="1" applyFill="1" applyBorder="1" applyAlignment="1">
      <alignment horizontal="center"/>
    </xf>
    <xf numFmtId="0" fontId="8" fillId="3" borderId="9" xfId="0" applyFont="1" applyFill="1" applyBorder="1" applyAlignment="1">
      <alignment horizontal="center"/>
    </xf>
    <xf numFmtId="176" fontId="8" fillId="3" borderId="9" xfId="2" applyNumberFormat="1" applyFont="1" applyFill="1" applyBorder="1" applyAlignment="1">
      <alignment horizontal="center"/>
    </xf>
    <xf numFmtId="0" fontId="8" fillId="4" borderId="9" xfId="0" applyFont="1" applyFill="1" applyBorder="1" applyAlignment="1">
      <alignment horizontal="center"/>
    </xf>
    <xf numFmtId="176" fontId="8" fillId="4" borderId="9" xfId="2" applyNumberFormat="1" applyFont="1" applyFill="1" applyBorder="1" applyAlignment="1">
      <alignment horizontal="center"/>
    </xf>
    <xf numFmtId="0" fontId="8" fillId="2" borderId="10" xfId="0" applyFont="1" applyFill="1" applyBorder="1" applyAlignment="1">
      <alignment horizontal="center"/>
    </xf>
    <xf numFmtId="176" fontId="8" fillId="2" borderId="10" xfId="2" applyNumberFormat="1" applyFont="1" applyFill="1" applyBorder="1" applyAlignment="1">
      <alignment horizontal="center"/>
    </xf>
    <xf numFmtId="176" fontId="8" fillId="0" borderId="10" xfId="2" applyNumberFormat="1" applyFont="1" applyFill="1" applyBorder="1" applyAlignment="1">
      <alignment horizontal="center"/>
    </xf>
    <xf numFmtId="0" fontId="8" fillId="3" borderId="10" xfId="0" applyFont="1" applyFill="1" applyBorder="1" applyAlignment="1">
      <alignment horizontal="center"/>
    </xf>
    <xf numFmtId="176" fontId="8" fillId="3" borderId="10" xfId="2" applyNumberFormat="1" applyFont="1" applyFill="1" applyBorder="1" applyAlignment="1">
      <alignment horizontal="center"/>
    </xf>
    <xf numFmtId="0" fontId="8" fillId="4" borderId="10" xfId="0" applyFont="1" applyFill="1" applyBorder="1" applyAlignment="1">
      <alignment horizontal="center"/>
    </xf>
    <xf numFmtId="176" fontId="8" fillId="4" borderId="10" xfId="2" applyNumberFormat="1" applyFont="1" applyFill="1" applyBorder="1" applyAlignment="1">
      <alignment horizontal="center"/>
    </xf>
    <xf numFmtId="0" fontId="3" fillId="2" borderId="11" xfId="0" applyFont="1" applyFill="1" applyBorder="1" applyAlignment="1">
      <alignment horizontal="center"/>
    </xf>
    <xf numFmtId="0" fontId="3" fillId="2" borderId="11" xfId="0" applyFont="1" applyFill="1" applyBorder="1"/>
    <xf numFmtId="176" fontId="3" fillId="2" borderId="11" xfId="2" applyNumberFormat="1" applyFont="1" applyFill="1" applyBorder="1"/>
    <xf numFmtId="176" fontId="3" fillId="0" borderId="11" xfId="2" applyNumberFormat="1" applyFont="1" applyFill="1" applyBorder="1"/>
    <xf numFmtId="0" fontId="3" fillId="3" borderId="11" xfId="0" applyFont="1" applyFill="1" applyBorder="1" applyAlignment="1">
      <alignment horizontal="center"/>
    </xf>
    <xf numFmtId="0" fontId="3" fillId="3" borderId="11" xfId="0" applyFont="1" applyFill="1" applyBorder="1"/>
    <xf numFmtId="176" fontId="3" fillId="3" borderId="11" xfId="2" applyNumberFormat="1" applyFont="1" applyFill="1" applyBorder="1"/>
    <xf numFmtId="0" fontId="3" fillId="4" borderId="11" xfId="0" applyFont="1" applyFill="1" applyBorder="1" applyAlignment="1">
      <alignment horizontal="center"/>
    </xf>
    <xf numFmtId="0" fontId="3" fillId="4" borderId="11" xfId="0" applyFont="1" applyFill="1" applyBorder="1"/>
    <xf numFmtId="176" fontId="3" fillId="4" borderId="11" xfId="2" applyNumberFormat="1" applyFont="1" applyFill="1" applyBorder="1"/>
    <xf numFmtId="0" fontId="14" fillId="4" borderId="0" xfId="0" applyFont="1" applyFill="1" applyAlignment="1">
      <alignment horizontal="center"/>
    </xf>
    <xf numFmtId="0" fontId="14" fillId="0" borderId="0" xfId="0" applyFont="1" applyAlignment="1">
      <alignment horizontal="center"/>
    </xf>
    <xf numFmtId="0" fontId="13" fillId="0" borderId="0" xfId="0" applyFont="1"/>
    <xf numFmtId="0" fontId="11" fillId="0" borderId="0" xfId="6"/>
    <xf numFmtId="0" fontId="3" fillId="0" borderId="0" xfId="6" applyFont="1"/>
    <xf numFmtId="176" fontId="19" fillId="0" borderId="0" xfId="3" applyNumberFormat="1" applyFont="1" applyAlignment="1">
      <alignment horizontal="right"/>
    </xf>
    <xf numFmtId="176" fontId="19" fillId="0" borderId="0" xfId="3" applyNumberFormat="1" applyFont="1" applyAlignment="1">
      <alignment horizontal="left"/>
    </xf>
    <xf numFmtId="176" fontId="7" fillId="0" borderId="0" xfId="3" applyNumberFormat="1" applyFont="1"/>
    <xf numFmtId="0" fontId="8" fillId="0" borderId="9" xfId="6" applyFont="1" applyBorder="1" applyAlignment="1">
      <alignment horizontal="center" vertical="center" wrapText="1"/>
    </xf>
    <xf numFmtId="0" fontId="8" fillId="0" borderId="6" xfId="6" applyFont="1" applyBorder="1" applyAlignment="1">
      <alignment horizontal="center"/>
    </xf>
    <xf numFmtId="0" fontId="8" fillId="0" borderId="12" xfId="6" applyFont="1" applyBorder="1"/>
    <xf numFmtId="0" fontId="8" fillId="0" borderId="3" xfId="6" applyFont="1" applyBorder="1" applyAlignment="1">
      <alignment horizontal="center"/>
    </xf>
    <xf numFmtId="176" fontId="8" fillId="0" borderId="3" xfId="3" applyNumberFormat="1" applyFont="1" applyBorder="1" applyAlignment="1">
      <alignment horizontal="center"/>
    </xf>
    <xf numFmtId="176" fontId="3" fillId="0" borderId="3" xfId="3" applyNumberFormat="1" applyFont="1" applyBorder="1" applyAlignment="1"/>
    <xf numFmtId="176" fontId="3" fillId="0" borderId="3" xfId="3" applyNumberFormat="1" applyFont="1" applyBorder="1" applyAlignment="1">
      <alignment horizontal="center"/>
    </xf>
    <xf numFmtId="0" fontId="3" fillId="0" borderId="1" xfId="6" applyFont="1" applyBorder="1" applyAlignment="1">
      <alignment horizontal="center"/>
    </xf>
    <xf numFmtId="49" fontId="3" fillId="0" borderId="1" xfId="3" applyNumberFormat="1" applyFont="1" applyBorder="1" applyAlignment="1">
      <alignment horizontal="center"/>
    </xf>
    <xf numFmtId="176" fontId="3" fillId="0" borderId="1" xfId="3" applyNumberFormat="1" applyFont="1" applyBorder="1" applyAlignment="1">
      <alignment horizontal="center"/>
    </xf>
    <xf numFmtId="176" fontId="8" fillId="0" borderId="1" xfId="3" applyNumberFormat="1" applyFont="1" applyBorder="1" applyAlignment="1">
      <alignment horizontal="center"/>
    </xf>
    <xf numFmtId="0" fontId="8" fillId="0" borderId="1" xfId="6" applyFont="1" applyBorder="1" applyAlignment="1">
      <alignment horizontal="center"/>
    </xf>
    <xf numFmtId="49" fontId="8" fillId="0" borderId="1" xfId="3" applyNumberFormat="1" applyFont="1" applyBorder="1" applyAlignment="1">
      <alignment horizontal="center"/>
    </xf>
    <xf numFmtId="0" fontId="3" fillId="0" borderId="5" xfId="6" applyFont="1" applyBorder="1" applyAlignment="1">
      <alignment horizontal="center"/>
    </xf>
    <xf numFmtId="49" fontId="3" fillId="0" borderId="5" xfId="3" applyNumberFormat="1" applyFont="1" applyBorder="1" applyAlignment="1">
      <alignment horizontal="center"/>
    </xf>
    <xf numFmtId="176" fontId="3" fillId="0" borderId="5" xfId="3" applyNumberFormat="1" applyFont="1" applyBorder="1" applyAlignment="1">
      <alignment horizontal="center"/>
    </xf>
    <xf numFmtId="176" fontId="8" fillId="0" borderId="5" xfId="3" applyNumberFormat="1" applyFont="1" applyBorder="1" applyAlignment="1">
      <alignment horizontal="center"/>
    </xf>
    <xf numFmtId="0" fontId="3" fillId="0" borderId="0" xfId="6" applyFont="1" applyBorder="1"/>
    <xf numFmtId="176" fontId="2" fillId="0" borderId="0" xfId="3" applyNumberFormat="1" applyFont="1" applyBorder="1" applyAlignment="1">
      <alignment horizontal="center"/>
    </xf>
    <xf numFmtId="0" fontId="3" fillId="0" borderId="13" xfId="6" applyFont="1" applyBorder="1"/>
    <xf numFmtId="176" fontId="2" fillId="0" borderId="13" xfId="3" applyNumberFormat="1" applyFont="1" applyBorder="1" applyAlignment="1">
      <alignment horizontal="center"/>
    </xf>
    <xf numFmtId="0" fontId="8" fillId="0" borderId="14" xfId="6" applyFont="1" applyBorder="1" applyAlignment="1">
      <alignment horizontal="center"/>
    </xf>
    <xf numFmtId="0" fontId="8" fillId="0" borderId="6" xfId="6" applyFont="1" applyBorder="1"/>
    <xf numFmtId="176" fontId="3" fillId="0" borderId="6" xfId="3" applyNumberFormat="1" applyFont="1" applyBorder="1" applyAlignment="1"/>
    <xf numFmtId="176" fontId="3" fillId="0" borderId="6" xfId="3" applyNumberFormat="1" applyFont="1" applyBorder="1" applyAlignment="1">
      <alignment horizontal="center"/>
    </xf>
    <xf numFmtId="0" fontId="8" fillId="0" borderId="15" xfId="6" applyFont="1" applyBorder="1" applyAlignment="1">
      <alignment horizontal="center"/>
    </xf>
    <xf numFmtId="176" fontId="3" fillId="0" borderId="1" xfId="3" applyNumberFormat="1" applyFont="1" applyBorder="1" applyAlignment="1"/>
    <xf numFmtId="0" fontId="3" fillId="0" borderId="4" xfId="6" applyFont="1" applyBorder="1" applyAlignment="1">
      <alignment horizontal="center"/>
    </xf>
    <xf numFmtId="49" fontId="13" fillId="0" borderId="5" xfId="0" applyNumberFormat="1" applyFont="1" applyBorder="1" applyAlignment="1">
      <alignment horizontal="center" vertical="center"/>
    </xf>
    <xf numFmtId="0" fontId="3" fillId="0" borderId="0" xfId="0" applyFont="1" applyAlignment="1">
      <alignment vertical="center"/>
    </xf>
    <xf numFmtId="0" fontId="8" fillId="0" borderId="16" xfId="0" applyFont="1" applyBorder="1" applyAlignment="1">
      <alignment horizontal="center" vertical="center" wrapText="1"/>
    </xf>
    <xf numFmtId="0" fontId="13" fillId="0" borderId="5" xfId="0" applyFont="1" applyBorder="1" applyAlignment="1">
      <alignment horizontal="center"/>
    </xf>
    <xf numFmtId="0" fontId="3" fillId="0" borderId="0" xfId="0" applyFont="1"/>
    <xf numFmtId="0" fontId="13" fillId="0" borderId="1" xfId="0" applyFont="1" applyBorder="1" applyAlignment="1">
      <alignment vertical="center"/>
    </xf>
    <xf numFmtId="1" fontId="13" fillId="0" borderId="1" xfId="0" applyNumberFormat="1" applyFont="1" applyBorder="1" applyAlignment="1">
      <alignment vertical="center"/>
    </xf>
    <xf numFmtId="3" fontId="13" fillId="0" borderId="0" xfId="0" applyNumberFormat="1" applyFont="1" applyBorder="1" applyAlignme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3" fillId="0" borderId="13" xfId="0" applyNumberFormat="1" applyFont="1" applyBorder="1" applyAlignment="1">
      <alignment vertical="center"/>
    </xf>
    <xf numFmtId="0" fontId="20" fillId="0" borderId="1" xfId="0" applyFont="1" applyBorder="1" applyAlignment="1">
      <alignment horizontal="center" vertical="center" wrapText="1"/>
    </xf>
    <xf numFmtId="0" fontId="3" fillId="0" borderId="5" xfId="0" applyFont="1" applyBorder="1" applyAlignment="1">
      <alignment vertical="center"/>
    </xf>
    <xf numFmtId="3" fontId="3" fillId="0" borderId="5" xfId="0" applyNumberFormat="1" applyFont="1" applyBorder="1" applyAlignment="1">
      <alignment vertical="center"/>
    </xf>
    <xf numFmtId="0" fontId="14" fillId="0" borderId="0" xfId="0" applyFont="1" applyAlignment="1">
      <alignment vertical="center"/>
    </xf>
    <xf numFmtId="0" fontId="14" fillId="0" borderId="5" xfId="0" applyFont="1" applyBorder="1"/>
    <xf numFmtId="0" fontId="3" fillId="0" borderId="1" xfId="0" applyFont="1" applyBorder="1"/>
    <xf numFmtId="176" fontId="3" fillId="0" borderId="1" xfId="2" applyNumberFormat="1" applyFont="1" applyBorder="1"/>
    <xf numFmtId="176" fontId="3" fillId="0" borderId="5" xfId="2" applyNumberFormat="1" applyFont="1" applyBorder="1"/>
    <xf numFmtId="176" fontId="3" fillId="0" borderId="5" xfId="2" applyNumberFormat="1" applyFont="1" applyBorder="1" applyAlignment="1">
      <alignment horizontal="center"/>
    </xf>
    <xf numFmtId="0" fontId="3" fillId="0" borderId="5" xfId="0" applyFont="1" applyBorder="1" applyAlignment="1">
      <alignment horizontal="center"/>
    </xf>
    <xf numFmtId="175" fontId="3" fillId="0" borderId="5" xfId="2" applyNumberFormat="1" applyFont="1" applyBorder="1" applyAlignment="1">
      <alignment horizontal="left"/>
    </xf>
    <xf numFmtId="49" fontId="3" fillId="0" borderId="0" xfId="0" applyNumberFormat="1" applyFont="1" applyAlignment="1">
      <alignment horizontal="center" vertical="center"/>
    </xf>
    <xf numFmtId="0" fontId="13" fillId="0" borderId="0" xfId="0" applyFont="1" applyAlignment="1">
      <alignment horizontal="center" vertical="center"/>
    </xf>
    <xf numFmtId="49" fontId="3" fillId="0" borderId="0" xfId="0" applyNumberFormat="1" applyFont="1" applyAlignment="1">
      <alignment vertical="center" wrapText="1"/>
    </xf>
    <xf numFmtId="176" fontId="3" fillId="0" borderId="3" xfId="2" applyNumberFormat="1" applyFont="1" applyBorder="1" applyAlignment="1">
      <alignment horizontal="center"/>
    </xf>
    <xf numFmtId="0" fontId="3" fillId="0" borderId="3" xfId="0" applyFont="1" applyBorder="1" applyAlignment="1">
      <alignment horizontal="center"/>
    </xf>
    <xf numFmtId="0" fontId="18" fillId="0" borderId="0" xfId="0" applyFont="1"/>
    <xf numFmtId="11" fontId="14" fillId="0" borderId="0" xfId="0" applyNumberFormat="1" applyFont="1"/>
    <xf numFmtId="11" fontId="14" fillId="0" borderId="0" xfId="0" applyNumberFormat="1" applyFont="1" applyAlignment="1">
      <alignment horizontal="center"/>
    </xf>
    <xf numFmtId="11" fontId="13" fillId="0" borderId="0" xfId="0" applyNumberFormat="1" applyFont="1"/>
    <xf numFmtId="3" fontId="19" fillId="0" borderId="9" xfId="0" applyNumberFormat="1" applyFont="1" applyBorder="1" applyAlignment="1">
      <alignment horizontal="center"/>
    </xf>
    <xf numFmtId="179" fontId="19" fillId="0" borderId="9" xfId="0" applyNumberFormat="1" applyFont="1" applyBorder="1" applyAlignment="1">
      <alignment horizontal="center"/>
    </xf>
    <xf numFmtId="49" fontId="19" fillId="0" borderId="11" xfId="0" applyNumberFormat="1" applyFont="1" applyBorder="1" applyAlignment="1">
      <alignment horizontal="center"/>
    </xf>
    <xf numFmtId="179" fontId="19" fillId="0" borderId="11" xfId="0" applyNumberFormat="1" applyFont="1" applyBorder="1" applyAlignment="1">
      <alignment horizontal="center"/>
    </xf>
    <xf numFmtId="0" fontId="20" fillId="0" borderId="9" xfId="0" applyFont="1" applyBorder="1" applyAlignment="1">
      <alignment horizontal="center" wrapText="1"/>
    </xf>
    <xf numFmtId="4" fontId="18" fillId="0" borderId="9" xfId="0" applyNumberFormat="1" applyFont="1" applyBorder="1"/>
    <xf numFmtId="0" fontId="0" fillId="0" borderId="9" xfId="0" applyBorder="1"/>
    <xf numFmtId="178" fontId="20" fillId="0" borderId="11" xfId="0" applyNumberFormat="1" applyFont="1" applyBorder="1" applyAlignment="1">
      <alignment horizontal="center" vertical="top" wrapText="1"/>
    </xf>
    <xf numFmtId="4" fontId="18" fillId="0" borderId="11" xfId="0" applyNumberFormat="1" applyFont="1" applyBorder="1"/>
    <xf numFmtId="0" fontId="0" fillId="0" borderId="11" xfId="0" applyBorder="1"/>
    <xf numFmtId="0" fontId="13" fillId="0" borderId="6" xfId="0" applyFont="1" applyBorder="1" applyAlignment="1">
      <alignment horizontal="center"/>
    </xf>
    <xf numFmtId="3" fontId="13" fillId="0" borderId="6" xfId="0" applyNumberFormat="1" applyFont="1" applyBorder="1"/>
    <xf numFmtId="176" fontId="13" fillId="0" borderId="1" xfId="4" applyNumberFormat="1" applyFont="1" applyFill="1" applyBorder="1"/>
    <xf numFmtId="3" fontId="13" fillId="0" borderId="6" xfId="0" applyNumberFormat="1" applyFont="1" applyBorder="1" applyAlignment="1">
      <alignment horizontal="right"/>
    </xf>
    <xf numFmtId="4" fontId="13" fillId="0" borderId="0" xfId="0" applyNumberFormat="1" applyFont="1"/>
    <xf numFmtId="2" fontId="13" fillId="0" borderId="0" xfId="0" applyNumberFormat="1" applyFont="1"/>
    <xf numFmtId="3" fontId="13" fillId="0" borderId="1" xfId="0" applyNumberFormat="1" applyFont="1" applyBorder="1"/>
    <xf numFmtId="3" fontId="13" fillId="0" borderId="1" xfId="0" applyNumberFormat="1" applyFont="1" applyBorder="1" applyAlignment="1">
      <alignment horizontal="right"/>
    </xf>
    <xf numFmtId="0" fontId="13" fillId="0" borderId="2" xfId="0" applyFont="1" applyBorder="1" applyAlignment="1">
      <alignment horizontal="center"/>
    </xf>
    <xf numFmtId="0" fontId="20" fillId="0" borderId="2" xfId="0" applyFont="1" applyBorder="1" applyAlignment="1">
      <alignment horizontal="center"/>
    </xf>
    <xf numFmtId="3" fontId="20" fillId="0" borderId="2" xfId="0" applyNumberFormat="1" applyFont="1" applyBorder="1" applyAlignment="1">
      <alignment horizontal="right"/>
    </xf>
    <xf numFmtId="176" fontId="20" fillId="0" borderId="1" xfId="4" applyNumberFormat="1" applyFont="1" applyFill="1" applyBorder="1"/>
    <xf numFmtId="3" fontId="20" fillId="0" borderId="2" xfId="0" applyNumberFormat="1" applyFont="1" applyBorder="1"/>
    <xf numFmtId="0" fontId="13" fillId="0" borderId="9" xfId="0" applyFont="1" applyBorder="1" applyAlignment="1">
      <alignment horizontal="center"/>
    </xf>
    <xf numFmtId="176" fontId="13" fillId="0" borderId="6" xfId="4" applyNumberFormat="1" applyFont="1" applyFill="1" applyBorder="1"/>
    <xf numFmtId="0" fontId="20" fillId="0" borderId="5" xfId="0" applyFont="1" applyBorder="1" applyAlignment="1">
      <alignment horizontal="center"/>
    </xf>
    <xf numFmtId="0" fontId="13" fillId="0" borderId="11" xfId="0" applyFont="1" applyBorder="1" applyAlignment="1">
      <alignment horizontal="center"/>
    </xf>
    <xf numFmtId="3" fontId="20" fillId="0" borderId="5" xfId="0" applyNumberFormat="1" applyFont="1" applyBorder="1" applyAlignment="1">
      <alignment horizontal="right"/>
    </xf>
    <xf numFmtId="176" fontId="20" fillId="0" borderId="5" xfId="4" applyNumberFormat="1" applyFont="1" applyFill="1" applyBorder="1"/>
    <xf numFmtId="3" fontId="20" fillId="0" borderId="5" xfId="0" applyNumberFormat="1" applyFont="1" applyBorder="1"/>
    <xf numFmtId="3" fontId="13" fillId="0" borderId="3" xfId="0" applyNumberFormat="1" applyFont="1" applyBorder="1"/>
    <xf numFmtId="176" fontId="13" fillId="0" borderId="3" xfId="4" applyNumberFormat="1" applyFont="1" applyFill="1" applyBorder="1"/>
    <xf numFmtId="3" fontId="13" fillId="0" borderId="3" xfId="0" applyNumberFormat="1" applyFont="1" applyBorder="1" applyAlignment="1">
      <alignment horizontal="right"/>
    </xf>
    <xf numFmtId="176" fontId="20" fillId="0" borderId="2" xfId="4" applyNumberFormat="1" applyFont="1" applyFill="1" applyBorder="1"/>
    <xf numFmtId="0" fontId="25" fillId="0" borderId="0" xfId="0" applyFont="1" applyBorder="1"/>
    <xf numFmtId="0" fontId="25" fillId="0" borderId="0" xfId="0" applyFont="1" applyBorder="1" applyAlignment="1">
      <alignment horizontal="center"/>
    </xf>
    <xf numFmtId="0" fontId="25" fillId="0" borderId="0" xfId="0" applyFont="1" applyBorder="1" applyAlignment="1">
      <alignment horizontal="right"/>
    </xf>
    <xf numFmtId="0" fontId="13" fillId="0" borderId="13" xfId="0" applyFont="1" applyBorder="1" applyAlignment="1">
      <alignment horizontal="center"/>
    </xf>
    <xf numFmtId="0" fontId="20" fillId="0" borderId="13" xfId="0" applyFont="1" applyBorder="1" applyAlignment="1">
      <alignment horizontal="center"/>
    </xf>
    <xf numFmtId="3" fontId="20" fillId="0" borderId="13" xfId="0" applyNumberFormat="1" applyFont="1" applyBorder="1" applyAlignment="1">
      <alignment horizontal="right"/>
    </xf>
    <xf numFmtId="176" fontId="20" fillId="0" borderId="13" xfId="4" applyNumberFormat="1" applyFont="1" applyFill="1" applyBorder="1"/>
    <xf numFmtId="0" fontId="26" fillId="0" borderId="0" xfId="0" applyFont="1"/>
    <xf numFmtId="0" fontId="27" fillId="0" borderId="0" xfId="0" applyFont="1"/>
    <xf numFmtId="49" fontId="26" fillId="0" borderId="0" xfId="0" applyNumberFormat="1" applyFont="1"/>
    <xf numFmtId="4" fontId="20" fillId="0" borderId="9" xfId="0" applyNumberFormat="1" applyFont="1" applyBorder="1"/>
    <xf numFmtId="0" fontId="13" fillId="0" borderId="9" xfId="0" applyFont="1" applyBorder="1"/>
    <xf numFmtId="0" fontId="20" fillId="0" borderId="11" xfId="0" applyFont="1" applyBorder="1" applyAlignment="1">
      <alignment horizontal="center" vertical="top" wrapText="1"/>
    </xf>
    <xf numFmtId="4" fontId="20" fillId="0" borderId="11" xfId="0" applyNumberFormat="1" applyFont="1" applyBorder="1"/>
    <xf numFmtId="0" fontId="13" fillId="0" borderId="11" xfId="0" applyFont="1" applyBorder="1"/>
    <xf numFmtId="0" fontId="13" fillId="0" borderId="17" xfId="0" applyFont="1" applyBorder="1" applyAlignment="1">
      <alignment horizontal="center"/>
    </xf>
    <xf numFmtId="0" fontId="20" fillId="0" borderId="17" xfId="0" applyFont="1" applyBorder="1" applyAlignment="1">
      <alignment horizontal="center"/>
    </xf>
    <xf numFmtId="3" fontId="20" fillId="0" borderId="17" xfId="0" applyNumberFormat="1" applyFont="1" applyBorder="1" applyAlignment="1">
      <alignment horizontal="right"/>
    </xf>
    <xf numFmtId="176" fontId="20" fillId="0" borderId="17" xfId="4" applyNumberFormat="1" applyFont="1" applyFill="1" applyBorder="1"/>
    <xf numFmtId="3" fontId="20" fillId="0" borderId="17" xfId="0" applyNumberFormat="1" applyFont="1" applyBorder="1"/>
    <xf numFmtId="0" fontId="13" fillId="0" borderId="0" xfId="0" applyFont="1" applyBorder="1" applyAlignment="1">
      <alignment horizontal="center"/>
    </xf>
    <xf numFmtId="0" fontId="20" fillId="0" borderId="0" xfId="0" applyFont="1" applyBorder="1" applyAlignment="1">
      <alignment horizontal="center"/>
    </xf>
    <xf numFmtId="3" fontId="20" fillId="0" borderId="0" xfId="0" applyNumberFormat="1" applyFont="1" applyBorder="1" applyAlignment="1">
      <alignment horizontal="right"/>
    </xf>
    <xf numFmtId="176" fontId="20" fillId="0" borderId="0" xfId="4" applyNumberFormat="1" applyFont="1" applyFill="1" applyBorder="1"/>
    <xf numFmtId="3" fontId="20" fillId="0" borderId="0" xfId="0" applyNumberFormat="1" applyFont="1" applyBorder="1"/>
    <xf numFmtId="4" fontId="0" fillId="0" borderId="0" xfId="0" applyNumberFormat="1"/>
    <xf numFmtId="2" fontId="0" fillId="0" borderId="0" xfId="0" applyNumberFormat="1"/>
    <xf numFmtId="0" fontId="26" fillId="0" borderId="0" xfId="0" applyFont="1" applyAlignment="1">
      <alignment horizontal="center"/>
    </xf>
    <xf numFmtId="0" fontId="3" fillId="0" borderId="0" xfId="0" applyFont="1" applyAlignment="1">
      <alignment horizontal="center" vertical="center" wrapText="1"/>
    </xf>
    <xf numFmtId="49" fontId="0" fillId="0" borderId="0" xfId="0" applyNumberFormat="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right" vertical="center"/>
    </xf>
    <xf numFmtId="3" fontId="8" fillId="0" borderId="0" xfId="0" applyNumberFormat="1" applyFont="1" applyAlignment="1">
      <alignment horizontal="center" vertical="center"/>
    </xf>
    <xf numFmtId="49" fontId="0" fillId="0" borderId="0" xfId="0" applyNumberFormat="1" applyAlignment="1">
      <alignment horizontal="center" vertical="center"/>
    </xf>
    <xf numFmtId="0" fontId="13" fillId="0" borderId="0" xfId="6" applyFont="1"/>
    <xf numFmtId="0" fontId="14" fillId="0" borderId="0" xfId="6" applyFont="1"/>
    <xf numFmtId="0" fontId="16" fillId="0" borderId="0" xfId="0" applyFont="1" applyAlignment="1">
      <alignment horizontal="right"/>
    </xf>
    <xf numFmtId="178" fontId="16" fillId="0" borderId="0" xfId="0" applyNumberFormat="1" applyFont="1" applyAlignment="1">
      <alignment horizontal="center"/>
    </xf>
    <xf numFmtId="2" fontId="8" fillId="0" borderId="0" xfId="0" applyNumberFormat="1" applyFont="1"/>
    <xf numFmtId="188" fontId="8" fillId="0" borderId="0" xfId="0" applyNumberFormat="1" applyFont="1" applyAlignment="1">
      <alignment horizontal="center" vertical="center"/>
    </xf>
    <xf numFmtId="188" fontId="3" fillId="0" borderId="0" xfId="0" applyNumberFormat="1" applyFont="1" applyAlignment="1">
      <alignment horizontal="center" vertical="center"/>
    </xf>
    <xf numFmtId="188" fontId="8" fillId="0" borderId="16" xfId="0" applyNumberFormat="1" applyFont="1" applyBorder="1" applyAlignment="1">
      <alignment horizontal="center" vertical="center" wrapText="1"/>
    </xf>
    <xf numFmtId="188" fontId="3" fillId="0" borderId="5" xfId="0" applyNumberFormat="1" applyFont="1" applyBorder="1" applyAlignment="1">
      <alignment horizontal="center" vertical="center"/>
    </xf>
    <xf numFmtId="188" fontId="14" fillId="0" borderId="0" xfId="0" applyNumberFormat="1" applyFont="1" applyAlignment="1">
      <alignment horizontal="center" vertical="center"/>
    </xf>
    <xf numFmtId="0" fontId="17" fillId="0" borderId="0" xfId="0" applyFont="1" applyAlignment="1">
      <alignment vertical="center"/>
    </xf>
    <xf numFmtId="0" fontId="13" fillId="0" borderId="1" xfId="0" applyFont="1" applyBorder="1"/>
    <xf numFmtId="4" fontId="13" fillId="0" borderId="1" xfId="0" applyNumberFormat="1" applyFont="1" applyBorder="1" applyAlignment="1">
      <alignment horizontal="center"/>
    </xf>
    <xf numFmtId="0" fontId="13" fillId="0" borderId="1" xfId="6" applyFont="1" applyBorder="1" applyAlignment="1">
      <alignment horizontal="center"/>
    </xf>
    <xf numFmtId="0" fontId="13" fillId="0" borderId="1" xfId="6" applyFont="1" applyBorder="1"/>
    <xf numFmtId="4" fontId="13" fillId="0" borderId="1" xfId="6" applyNumberFormat="1" applyFont="1" applyBorder="1" applyAlignment="1">
      <alignment horizontal="center"/>
    </xf>
    <xf numFmtId="0" fontId="13" fillId="0" borderId="1" xfId="6" applyFont="1" applyBorder="1" applyAlignment="1">
      <alignment horizontal="left"/>
    </xf>
    <xf numFmtId="0" fontId="14" fillId="0" borderId="5" xfId="0" applyFont="1" applyBorder="1" applyAlignment="1">
      <alignment horizontal="center"/>
    </xf>
    <xf numFmtId="0" fontId="13" fillId="0" borderId="3" xfId="0" applyFont="1" applyBorder="1"/>
    <xf numFmtId="0" fontId="17" fillId="0" borderId="16" xfId="0" applyFont="1" applyBorder="1" applyAlignment="1">
      <alignment horizontal="center" vertical="center"/>
    </xf>
    <xf numFmtId="176" fontId="3" fillId="0" borderId="3" xfId="2" applyNumberFormat="1" applyFont="1" applyBorder="1"/>
    <xf numFmtId="0" fontId="0" fillId="0" borderId="0" xfId="0" applyAlignment="1"/>
    <xf numFmtId="176" fontId="3" fillId="0" borderId="1" xfId="2" applyNumberFormat="1" applyFont="1" applyBorder="1" applyAlignment="1"/>
    <xf numFmtId="11" fontId="3" fillId="0" borderId="1" xfId="0" applyNumberFormat="1" applyFont="1" applyBorder="1" applyAlignment="1">
      <alignment horizontal="center"/>
    </xf>
    <xf numFmtId="11" fontId="3" fillId="0" borderId="1" xfId="0" applyNumberFormat="1" applyFont="1" applyBorder="1"/>
    <xf numFmtId="11" fontId="3" fillId="0" borderId="1" xfId="0" applyNumberFormat="1" applyFont="1" applyBorder="1" applyAlignment="1">
      <alignment horizontal="left"/>
    </xf>
    <xf numFmtId="11" fontId="15" fillId="0" borderId="1" xfId="0" applyNumberFormat="1" applyFont="1" applyBorder="1"/>
    <xf numFmtId="11" fontId="3" fillId="0" borderId="1" xfId="0" applyNumberFormat="1" applyFont="1" applyFill="1" applyBorder="1" applyAlignment="1">
      <alignment horizontal="center"/>
    </xf>
    <xf numFmtId="11" fontId="3" fillId="0" borderId="1" xfId="0" applyNumberFormat="1" applyFont="1" applyFill="1" applyBorder="1"/>
    <xf numFmtId="11" fontId="3" fillId="0" borderId="1" xfId="0" applyNumberFormat="1" applyFont="1" applyFill="1" applyBorder="1" applyAlignment="1">
      <alignment horizontal="left"/>
    </xf>
    <xf numFmtId="0" fontId="0" fillId="0" borderId="0" xfId="0" applyNumberFormat="1"/>
    <xf numFmtId="0" fontId="3" fillId="0" borderId="1" xfId="0" applyNumberFormat="1" applyFont="1" applyBorder="1" applyAlignment="1">
      <alignment horizontal="center"/>
    </xf>
    <xf numFmtId="0" fontId="3" fillId="0" borderId="3" xfId="0" applyNumberFormat="1" applyFont="1" applyBorder="1" applyAlignment="1">
      <alignment horizontal="center"/>
    </xf>
    <xf numFmtId="11" fontId="3" fillId="0" borderId="3" xfId="0" applyNumberFormat="1" applyFont="1" applyBorder="1"/>
    <xf numFmtId="11" fontId="3" fillId="0" borderId="3" xfId="0" applyNumberFormat="1" applyFont="1" applyBorder="1" applyAlignment="1">
      <alignment horizontal="center"/>
    </xf>
    <xf numFmtId="176" fontId="3" fillId="0" borderId="3" xfId="2" applyNumberFormat="1" applyFont="1" applyBorder="1" applyAlignment="1"/>
    <xf numFmtId="0" fontId="20" fillId="0" borderId="16" xfId="0" applyNumberFormat="1" applyFont="1" applyBorder="1" applyAlignment="1">
      <alignment horizontal="center" vertical="center" wrapText="1"/>
    </xf>
    <xf numFmtId="0" fontId="20" fillId="0" borderId="16" xfId="0" applyFont="1" applyBorder="1" applyAlignment="1">
      <alignment horizontal="center" vertical="center" wrapText="1"/>
    </xf>
    <xf numFmtId="0" fontId="3" fillId="0" borderId="5" xfId="0" applyNumberFormat="1" applyFont="1" applyFill="1" applyBorder="1" applyAlignment="1">
      <alignment horizontal="center"/>
    </xf>
    <xf numFmtId="11" fontId="3" fillId="0" borderId="5" xfId="0" applyNumberFormat="1" applyFont="1" applyFill="1" applyBorder="1"/>
    <xf numFmtId="11" fontId="3" fillId="0" borderId="5" xfId="0" applyNumberFormat="1" applyFont="1" applyFill="1" applyBorder="1" applyAlignment="1">
      <alignment horizontal="center"/>
    </xf>
    <xf numFmtId="0" fontId="3" fillId="0" borderId="5" xfId="0" applyFont="1" applyFill="1" applyBorder="1" applyAlignment="1"/>
    <xf numFmtId="176" fontId="3" fillId="0" borderId="5" xfId="2" applyNumberFormat="1" applyFont="1" applyFill="1" applyBorder="1" applyAlignment="1">
      <alignment horizontal="center"/>
    </xf>
    <xf numFmtId="176" fontId="3" fillId="0" borderId="5" xfId="2" applyNumberFormat="1" applyFont="1" applyFill="1" applyBorder="1"/>
    <xf numFmtId="11" fontId="3" fillId="0" borderId="3" xfId="0" applyNumberFormat="1" applyFont="1" applyBorder="1" applyAlignment="1">
      <alignment horizontal="left"/>
    </xf>
    <xf numFmtId="0" fontId="3" fillId="0" borderId="5" xfId="0" applyNumberFormat="1" applyFont="1" applyBorder="1" applyAlignment="1">
      <alignment horizontal="center"/>
    </xf>
    <xf numFmtId="11" fontId="3" fillId="0" borderId="5" xfId="0" applyNumberFormat="1" applyFont="1" applyBorder="1" applyAlignment="1">
      <alignment horizontal="center"/>
    </xf>
    <xf numFmtId="176" fontId="3" fillId="0" borderId="5" xfId="2" applyNumberFormat="1" applyFont="1" applyBorder="1" applyAlignment="1"/>
    <xf numFmtId="0" fontId="15" fillId="0" borderId="5" xfId="0" applyFont="1" applyFill="1" applyBorder="1" applyAlignment="1">
      <alignment horizontal="center"/>
    </xf>
    <xf numFmtId="0" fontId="15" fillId="0" borderId="5" xfId="0" applyFont="1" applyFill="1" applyBorder="1"/>
    <xf numFmtId="176" fontId="3" fillId="0" borderId="1" xfId="3" applyNumberFormat="1" applyFont="1" applyBorder="1"/>
    <xf numFmtId="175" fontId="3" fillId="0" borderId="1" xfId="2" applyNumberFormat="1" applyFont="1" applyFill="1" applyBorder="1" applyAlignment="1">
      <alignment horizontal="left"/>
    </xf>
    <xf numFmtId="176" fontId="3" fillId="0" borderId="1" xfId="3" applyNumberFormat="1" applyFont="1" applyFill="1" applyBorder="1" applyAlignment="1">
      <alignment horizontal="center"/>
    </xf>
    <xf numFmtId="176" fontId="3" fillId="0" borderId="1" xfId="2" applyNumberFormat="1" applyFont="1" applyFill="1" applyBorder="1" applyAlignment="1">
      <alignment horizontal="right"/>
    </xf>
    <xf numFmtId="175" fontId="3" fillId="0" borderId="6" xfId="2" applyNumberFormat="1" applyFont="1" applyBorder="1" applyAlignment="1">
      <alignment horizontal="left"/>
    </xf>
    <xf numFmtId="176" fontId="3" fillId="0" borderId="6" xfId="3" applyNumberFormat="1" applyFont="1" applyBorder="1"/>
    <xf numFmtId="0" fontId="0" fillId="0" borderId="5" xfId="0" applyBorder="1"/>
    <xf numFmtId="0" fontId="27" fillId="0" borderId="0" xfId="0" applyNumberFormat="1" applyFont="1" applyAlignment="1"/>
    <xf numFmtId="176" fontId="3" fillId="0" borderId="5" xfId="3" applyNumberFormat="1" applyFont="1" applyBorder="1"/>
    <xf numFmtId="176" fontId="19" fillId="0" borderId="0" xfId="3" applyNumberFormat="1" applyFont="1" applyAlignment="1">
      <alignment horizontal="center"/>
    </xf>
    <xf numFmtId="0" fontId="34" fillId="0" borderId="0" xfId="0" applyFont="1"/>
    <xf numFmtId="0" fontId="31" fillId="0" borderId="16" xfId="0" applyFont="1" applyBorder="1" applyAlignment="1">
      <alignment horizontal="center" vertical="center" wrapText="1"/>
    </xf>
    <xf numFmtId="0" fontId="40" fillId="0" borderId="0" xfId="0" applyFont="1"/>
    <xf numFmtId="49" fontId="8" fillId="0" borderId="1" xfId="0" applyNumberFormat="1" applyFont="1" applyBorder="1" applyAlignment="1">
      <alignment horizontal="left" vertical="center" wrapText="1"/>
    </xf>
    <xf numFmtId="41" fontId="8" fillId="0" borderId="1" xfId="0" applyNumberFormat="1" applyFont="1" applyBorder="1" applyAlignment="1">
      <alignment horizontal="center" vertical="center" wrapText="1"/>
    </xf>
    <xf numFmtId="41" fontId="13" fillId="0" borderId="1" xfId="0" applyNumberFormat="1" applyFont="1" applyBorder="1" applyAlignment="1">
      <alignment vertical="center"/>
    </xf>
    <xf numFmtId="41" fontId="3" fillId="0" borderId="5" xfId="0" applyNumberFormat="1" applyFont="1" applyBorder="1" applyAlignment="1">
      <alignment vertical="center"/>
    </xf>
    <xf numFmtId="41" fontId="13" fillId="0" borderId="1" xfId="0" applyNumberFormat="1" applyFont="1" applyBorder="1" applyAlignment="1">
      <alignment horizontal="center" vertical="center" wrapText="1"/>
    </xf>
    <xf numFmtId="41" fontId="13" fillId="0" borderId="1" xfId="0" applyNumberFormat="1" applyFont="1" applyBorder="1" applyAlignment="1">
      <alignment horizontal="center" vertical="center"/>
    </xf>
    <xf numFmtId="41" fontId="3" fillId="0" borderId="5" xfId="0" applyNumberFormat="1" applyFont="1" applyBorder="1" applyAlignment="1">
      <alignment horizontal="center" vertical="center"/>
    </xf>
    <xf numFmtId="49" fontId="8" fillId="5" borderId="6" xfId="0" applyNumberFormat="1" applyFont="1" applyFill="1" applyBorder="1" applyAlignment="1">
      <alignment horizontal="center" vertical="center" wrapText="1"/>
    </xf>
    <xf numFmtId="49" fontId="8" fillId="5" borderId="6" xfId="0" applyNumberFormat="1" applyFont="1" applyFill="1" applyBorder="1" applyAlignment="1">
      <alignment horizontal="left" vertical="center" wrapText="1"/>
    </xf>
    <xf numFmtId="0" fontId="8" fillId="5"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41" fontId="8" fillId="5" borderId="6" xfId="0" applyNumberFormat="1" applyFont="1" applyFill="1" applyBorder="1" applyAlignment="1">
      <alignment horizontal="center" vertical="center" wrapText="1"/>
    </xf>
    <xf numFmtId="49" fontId="39" fillId="5" borderId="1" xfId="0" applyNumberFormat="1" applyFont="1" applyFill="1" applyBorder="1" applyAlignment="1">
      <alignment horizontal="center" vertical="center" wrapText="1"/>
    </xf>
    <xf numFmtId="49" fontId="39" fillId="5" borderId="1" xfId="0" applyNumberFormat="1" applyFont="1" applyFill="1" applyBorder="1" applyAlignment="1">
      <alignment horizontal="left" vertical="center" wrapText="1"/>
    </xf>
    <xf numFmtId="0" fontId="39" fillId="5"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3" fontId="39" fillId="5" borderId="1" xfId="0" applyNumberFormat="1" applyFont="1" applyFill="1" applyBorder="1" applyAlignment="1">
      <alignment horizontal="right" vertical="center" wrapText="1"/>
    </xf>
    <xf numFmtId="41" fontId="39" fillId="5" borderId="1" xfId="0" applyNumberFormat="1" applyFont="1" applyFill="1" applyBorder="1" applyAlignment="1">
      <alignment horizontal="right" vertical="center" wrapText="1"/>
    </xf>
    <xf numFmtId="188" fontId="8" fillId="5" borderId="6" xfId="0" applyNumberFormat="1" applyFont="1" applyFill="1" applyBorder="1" applyAlignment="1">
      <alignment horizontal="center" vertical="center" wrapText="1"/>
    </xf>
    <xf numFmtId="0" fontId="0" fillId="0" borderId="6" xfId="0" applyBorder="1"/>
    <xf numFmtId="0" fontId="0" fillId="0" borderId="1" xfId="0" applyBorder="1"/>
    <xf numFmtId="0" fontId="0" fillId="0" borderId="3" xfId="0" applyBorder="1"/>
    <xf numFmtId="11" fontId="3" fillId="0" borderId="5" xfId="0" applyNumberFormat="1" applyFont="1" applyBorder="1"/>
    <xf numFmtId="11" fontId="15" fillId="0" borderId="1" xfId="0" applyNumberFormat="1" applyFont="1" applyBorder="1" applyAlignment="1">
      <alignment horizontal="left"/>
    </xf>
    <xf numFmtId="11" fontId="3" fillId="0" borderId="5" xfId="0" applyNumberFormat="1" applyFont="1" applyBorder="1" applyAlignment="1">
      <alignment horizontal="left"/>
    </xf>
    <xf numFmtId="0" fontId="44" fillId="0" borderId="1" xfId="1" applyFont="1" applyFill="1" applyBorder="1"/>
    <xf numFmtId="0" fontId="44" fillId="0" borderId="1" xfId="1" applyFont="1" applyFill="1" applyBorder="1" applyAlignment="1">
      <alignment horizontal="center"/>
    </xf>
    <xf numFmtId="3" fontId="44" fillId="0" borderId="1" xfId="1" applyNumberFormat="1" applyFont="1" applyFill="1" applyBorder="1"/>
    <xf numFmtId="176" fontId="3" fillId="0" borderId="3" xfId="3" applyNumberFormat="1" applyFont="1" applyBorder="1"/>
    <xf numFmtId="0" fontId="34" fillId="0" borderId="1" xfId="0" applyFont="1" applyBorder="1"/>
    <xf numFmtId="0" fontId="34" fillId="0" borderId="3" xfId="0" applyFont="1" applyBorder="1"/>
    <xf numFmtId="0" fontId="34" fillId="0" borderId="5" xfId="0" applyFont="1" applyBorder="1"/>
    <xf numFmtId="0" fontId="3" fillId="0" borderId="1" xfId="1" applyFont="1" applyBorder="1" applyAlignment="1">
      <alignment horizontal="center"/>
    </xf>
    <xf numFmtId="0" fontId="3" fillId="0" borderId="1" xfId="1" applyFont="1" applyBorder="1"/>
    <xf numFmtId="176" fontId="3" fillId="0" borderId="1" xfId="5" applyNumberFormat="1" applyFont="1" applyBorder="1" applyAlignment="1">
      <alignment horizontal="center"/>
    </xf>
    <xf numFmtId="176" fontId="3" fillId="0" borderId="1" xfId="5" applyNumberFormat="1" applyFont="1" applyBorder="1"/>
    <xf numFmtId="0" fontId="11" fillId="0" borderId="0" xfId="1"/>
    <xf numFmtId="0" fontId="11" fillId="0" borderId="1" xfId="1" applyBorder="1"/>
    <xf numFmtId="3" fontId="13" fillId="0" borderId="1" xfId="0" applyNumberFormat="1" applyFont="1" applyBorder="1" applyAlignment="1">
      <alignment horizontal="center"/>
    </xf>
    <xf numFmtId="0" fontId="3" fillId="0" borderId="0" xfId="0" applyFont="1" applyFill="1"/>
    <xf numFmtId="49" fontId="13" fillId="0" borderId="0" xfId="0" applyNumberFormat="1" applyFont="1" applyFill="1" applyBorder="1" applyAlignment="1">
      <alignment horizontal="justify" vertical="center" wrapText="1"/>
    </xf>
    <xf numFmtId="0" fontId="16" fillId="0" borderId="0" xfId="0" applyFont="1" applyFill="1" applyAlignment="1">
      <alignment horizontal="right"/>
    </xf>
    <xf numFmtId="178" fontId="16" fillId="0" borderId="0" xfId="0" applyNumberFormat="1" applyFont="1" applyFill="1" applyAlignment="1">
      <alignment horizontal="center"/>
    </xf>
    <xf numFmtId="0" fontId="14"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49" fontId="13" fillId="0" borderId="0" xfId="0" quotePrefix="1" applyNumberFormat="1" applyFont="1" applyFill="1" applyAlignment="1">
      <alignment horizontal="center" vertical="center"/>
    </xf>
    <xf numFmtId="0" fontId="3" fillId="0" borderId="0" xfId="0" applyFont="1" applyFill="1" applyAlignment="1">
      <alignment vertical="center"/>
    </xf>
    <xf numFmtId="0" fontId="8" fillId="0" borderId="0" xfId="0" applyFont="1" applyFill="1" applyAlignment="1">
      <alignment horizontal="right" vertical="center"/>
    </xf>
    <xf numFmtId="188" fontId="8" fillId="0" borderId="0" xfId="0" applyNumberFormat="1" applyFont="1" applyFill="1" applyAlignment="1">
      <alignment horizontal="center" vertical="center"/>
    </xf>
    <xf numFmtId="3" fontId="8" fillId="0" borderId="0" xfId="0" applyNumberFormat="1" applyFont="1" applyFill="1" applyAlignment="1">
      <alignment horizontal="center" vertical="center"/>
    </xf>
    <xf numFmtId="3" fontId="8" fillId="0" borderId="0" xfId="0" applyNumberFormat="1" applyFont="1" applyFill="1" applyAlignment="1">
      <alignment horizontal="left" vertical="center"/>
    </xf>
    <xf numFmtId="0" fontId="4" fillId="0" borderId="0" xfId="0" applyFont="1" applyFill="1"/>
    <xf numFmtId="0" fontId="13" fillId="0" borderId="0" xfId="0" applyFont="1" applyFill="1" applyAlignment="1">
      <alignment horizontal="center" vertical="center"/>
    </xf>
    <xf numFmtId="188" fontId="3" fillId="0" borderId="0" xfId="0" applyNumberFormat="1" applyFont="1" applyFill="1" applyAlignment="1">
      <alignment horizontal="center" vertical="center"/>
    </xf>
    <xf numFmtId="0" fontId="34" fillId="0" borderId="0" xfId="0" applyFont="1" applyFill="1"/>
    <xf numFmtId="0" fontId="31" fillId="0" borderId="16" xfId="0" applyFont="1" applyFill="1" applyBorder="1" applyAlignment="1">
      <alignment horizontal="center" vertical="center" wrapText="1"/>
    </xf>
    <xf numFmtId="188" fontId="31" fillId="0" borderId="16" xfId="0" applyNumberFormat="1" applyFont="1" applyFill="1" applyBorder="1" applyAlignment="1">
      <alignment horizontal="center" vertical="center" wrapText="1"/>
    </xf>
    <xf numFmtId="2" fontId="31" fillId="0" borderId="0" xfId="0" applyNumberFormat="1" applyFont="1" applyFill="1"/>
    <xf numFmtId="0" fontId="8" fillId="0" borderId="0" xfId="0" applyFont="1" applyFill="1"/>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3" fontId="3" fillId="0" borderId="0" xfId="0" applyNumberFormat="1" applyFont="1" applyFill="1" applyBorder="1" applyAlignment="1">
      <alignment vertical="center"/>
    </xf>
    <xf numFmtId="188"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49" fontId="14" fillId="0" borderId="0" xfId="0" applyNumberFormat="1" applyFon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wrapText="1"/>
    </xf>
    <xf numFmtId="0" fontId="6" fillId="0" borderId="0" xfId="0" applyFont="1" applyFill="1" applyAlignment="1">
      <alignment horizontal="center" vertical="center"/>
    </xf>
    <xf numFmtId="188" fontId="14" fillId="0" borderId="0" xfId="0" applyNumberFormat="1" applyFont="1" applyFill="1" applyAlignment="1">
      <alignment horizontal="center" vertical="center"/>
    </xf>
    <xf numFmtId="49" fontId="3" fillId="0" borderId="0" xfId="0" applyNumberFormat="1" applyFont="1" applyFill="1" applyAlignment="1">
      <alignment horizontal="justify" vertical="center" wrapText="1"/>
    </xf>
    <xf numFmtId="49" fontId="6" fillId="0" borderId="0" xfId="0" applyNumberFormat="1" applyFont="1" applyFill="1" applyBorder="1" applyAlignment="1">
      <alignment horizontal="center" vertical="center"/>
    </xf>
    <xf numFmtId="3" fontId="13" fillId="0" borderId="0" xfId="0" applyNumberFormat="1" applyFont="1" applyFill="1" applyBorder="1" applyAlignment="1">
      <alignment vertical="center"/>
    </xf>
    <xf numFmtId="49" fontId="21" fillId="0" borderId="0" xfId="0" applyNumberFormat="1" applyFont="1" applyFill="1" applyBorder="1" applyAlignment="1">
      <alignment horizontal="justify" vertical="center" wrapText="1"/>
    </xf>
    <xf numFmtId="0" fontId="13" fillId="0" borderId="0" xfId="0" applyFont="1" applyFill="1"/>
    <xf numFmtId="49" fontId="0" fillId="0" borderId="0" xfId="0" applyNumberFormat="1" applyFill="1" applyAlignment="1">
      <alignment horizontal="justify" vertical="center" wrapText="1"/>
    </xf>
    <xf numFmtId="0" fontId="13" fillId="2" borderId="1" xfId="0" applyFont="1" applyFill="1" applyBorder="1"/>
    <xf numFmtId="0" fontId="13" fillId="2" borderId="1" xfId="0" applyFont="1" applyFill="1" applyBorder="1" applyAlignment="1">
      <alignment horizontal="center"/>
    </xf>
    <xf numFmtId="4" fontId="13" fillId="2" borderId="1" xfId="0" applyNumberFormat="1" applyFont="1" applyFill="1" applyBorder="1" applyAlignment="1">
      <alignment horizontal="center"/>
    </xf>
    <xf numFmtId="4" fontId="13" fillId="2" borderId="1" xfId="6" applyNumberFormat="1" applyFont="1" applyFill="1" applyBorder="1" applyAlignment="1">
      <alignment horizontal="center"/>
    </xf>
    <xf numFmtId="0" fontId="13" fillId="0" borderId="1" xfId="0" applyFont="1" applyFill="1" applyBorder="1" applyAlignment="1">
      <alignment horizontal="center"/>
    </xf>
    <xf numFmtId="0" fontId="13" fillId="0" borderId="1" xfId="0" applyFont="1" applyFill="1" applyBorder="1"/>
    <xf numFmtId="4" fontId="13" fillId="0" borderId="1" xfId="0" applyNumberFormat="1" applyFont="1" applyFill="1" applyBorder="1" applyAlignment="1">
      <alignment horizontal="center"/>
    </xf>
    <xf numFmtId="0" fontId="13" fillId="2" borderId="1" xfId="6" applyFont="1" applyFill="1" applyBorder="1" applyAlignment="1">
      <alignment horizontal="center"/>
    </xf>
    <xf numFmtId="0" fontId="13" fillId="2" borderId="1" xfId="6" applyFont="1" applyFill="1" applyBorder="1"/>
    <xf numFmtId="0" fontId="13" fillId="2" borderId="0" xfId="6" applyFont="1" applyFill="1"/>
    <xf numFmtId="0" fontId="13" fillId="2" borderId="0" xfId="0" applyFont="1" applyFill="1"/>
    <xf numFmtId="4" fontId="13" fillId="0" borderId="1" xfId="6" applyNumberFormat="1" applyFont="1" applyFill="1" applyBorder="1" applyAlignment="1">
      <alignment horizontal="center"/>
    </xf>
    <xf numFmtId="3" fontId="13" fillId="0" borderId="1" xfId="6" applyNumberFormat="1" applyFont="1" applyFill="1" applyBorder="1" applyAlignment="1">
      <alignment horizontal="center"/>
    </xf>
    <xf numFmtId="0" fontId="32" fillId="0" borderId="16" xfId="0" applyFont="1" applyFill="1" applyBorder="1" applyAlignment="1">
      <alignment horizontal="center" vertical="center" wrapText="1"/>
    </xf>
    <xf numFmtId="3" fontId="32" fillId="0" borderId="16" xfId="0" applyNumberFormat="1" applyFont="1" applyFill="1" applyBorder="1" applyAlignment="1">
      <alignment horizontal="right" vertical="center" wrapText="1"/>
    </xf>
    <xf numFmtId="49" fontId="31" fillId="0" borderId="16" xfId="0" applyNumberFormat="1" applyFont="1" applyFill="1" applyBorder="1" applyAlignment="1">
      <alignment horizontal="center" vertical="center" wrapText="1"/>
    </xf>
    <xf numFmtId="49" fontId="31" fillId="0" borderId="16" xfId="0" applyNumberFormat="1" applyFont="1" applyFill="1" applyBorder="1" applyAlignment="1">
      <alignment horizontal="justify" vertical="center" wrapText="1"/>
    </xf>
    <xf numFmtId="0" fontId="36" fillId="0" borderId="16" xfId="0" applyFont="1" applyFill="1" applyBorder="1" applyAlignment="1">
      <alignment horizontal="center" vertical="center"/>
    </xf>
    <xf numFmtId="3" fontId="36" fillId="0" borderId="16" xfId="0" applyNumberFormat="1" applyFont="1" applyFill="1" applyBorder="1" applyAlignment="1">
      <alignment vertical="center"/>
    </xf>
    <xf numFmtId="3" fontId="13" fillId="0" borderId="16" xfId="0" applyNumberFormat="1" applyFont="1" applyFill="1" applyBorder="1" applyAlignment="1">
      <alignment vertical="center"/>
    </xf>
    <xf numFmtId="3" fontId="35" fillId="0" borderId="16" xfId="0" applyNumberFormat="1" applyFont="1" applyFill="1" applyBorder="1" applyAlignment="1">
      <alignment vertical="center"/>
    </xf>
    <xf numFmtId="3" fontId="38" fillId="0" borderId="16" xfId="0" applyNumberFormat="1" applyFont="1" applyFill="1" applyBorder="1" applyAlignment="1">
      <alignment vertical="center"/>
    </xf>
    <xf numFmtId="188" fontId="13" fillId="0" borderId="16" xfId="0" applyNumberFormat="1" applyFont="1" applyFill="1" applyBorder="1" applyAlignment="1">
      <alignment horizontal="center" vertical="center" wrapText="1"/>
    </xf>
    <xf numFmtId="188" fontId="13" fillId="0" borderId="16" xfId="0" applyNumberFormat="1" applyFont="1" applyFill="1" applyBorder="1" applyAlignment="1">
      <alignment vertical="center"/>
    </xf>
    <xf numFmtId="0" fontId="13" fillId="0" borderId="16" xfId="0" applyFont="1" applyFill="1" applyBorder="1" applyAlignment="1">
      <alignment vertical="center"/>
    </xf>
    <xf numFmtId="0" fontId="3" fillId="0" borderId="16" xfId="0" applyFont="1" applyFill="1" applyBorder="1" applyAlignment="1">
      <alignment vertical="center"/>
    </xf>
    <xf numFmtId="188" fontId="13" fillId="0" borderId="16" xfId="0" applyNumberFormat="1" applyFont="1" applyFill="1" applyBorder="1" applyAlignment="1">
      <alignment horizontal="center" vertical="center"/>
    </xf>
    <xf numFmtId="3" fontId="3" fillId="0" borderId="16" xfId="0" applyNumberFormat="1" applyFont="1" applyFill="1" applyBorder="1" applyAlignment="1">
      <alignment vertical="center"/>
    </xf>
    <xf numFmtId="188" fontId="3" fillId="0" borderId="16" xfId="0" applyNumberFormat="1" applyFont="1" applyFill="1" applyBorder="1" applyAlignment="1">
      <alignment horizontal="center" vertical="center"/>
    </xf>
    <xf numFmtId="0" fontId="34" fillId="0" borderId="9" xfId="0" applyFont="1" applyFill="1" applyBorder="1"/>
    <xf numFmtId="0" fontId="3" fillId="0" borderId="9" xfId="0" applyFont="1" applyFill="1" applyBorder="1"/>
    <xf numFmtId="0" fontId="34" fillId="0" borderId="10" xfId="0" applyFont="1" applyFill="1" applyBorder="1"/>
    <xf numFmtId="0" fontId="3" fillId="0" borderId="10" xfId="0" applyFont="1" applyFill="1" applyBorder="1"/>
    <xf numFmtId="4" fontId="36" fillId="0" borderId="16" xfId="0" applyNumberFormat="1" applyFont="1" applyFill="1" applyBorder="1" applyAlignment="1">
      <alignment vertical="center"/>
    </xf>
    <xf numFmtId="3" fontId="37" fillId="0" borderId="16" xfId="0" applyNumberFormat="1" applyFont="1" applyFill="1" applyBorder="1" applyAlignment="1">
      <alignment horizontal="right" vertical="center"/>
    </xf>
    <xf numFmtId="3" fontId="37" fillId="0" borderId="16" xfId="0" applyNumberFormat="1" applyFont="1" applyFill="1" applyBorder="1" applyAlignment="1">
      <alignment vertical="center"/>
    </xf>
    <xf numFmtId="3" fontId="48" fillId="0" borderId="16" xfId="0" applyNumberFormat="1" applyFont="1" applyFill="1" applyBorder="1" applyAlignment="1">
      <alignment vertical="center"/>
    </xf>
    <xf numFmtId="3" fontId="49" fillId="5" borderId="1" xfId="0" applyNumberFormat="1" applyFont="1" applyFill="1" applyBorder="1" applyAlignment="1">
      <alignment horizontal="right" vertical="center" wrapText="1"/>
    </xf>
    <xf numFmtId="3" fontId="40" fillId="0" borderId="0" xfId="0" applyNumberFormat="1" applyFont="1"/>
    <xf numFmtId="0" fontId="3" fillId="2" borderId="4" xfId="6" applyFont="1" applyFill="1" applyBorder="1" applyAlignment="1">
      <alignment horizontal="center"/>
    </xf>
    <xf numFmtId="49" fontId="3" fillId="2" borderId="1" xfId="3" applyNumberFormat="1" applyFont="1" applyFill="1" applyBorder="1" applyAlignment="1">
      <alignment horizontal="center"/>
    </xf>
    <xf numFmtId="176" fontId="3" fillId="2" borderId="1" xfId="3" applyNumberFormat="1" applyFont="1" applyFill="1" applyBorder="1" applyAlignment="1">
      <alignment horizontal="center"/>
    </xf>
    <xf numFmtId="176" fontId="8" fillId="2" borderId="1" xfId="3" applyNumberFormat="1" applyFont="1" applyFill="1" applyBorder="1" applyAlignment="1">
      <alignment horizontal="center"/>
    </xf>
    <xf numFmtId="0" fontId="0" fillId="2" borderId="0" xfId="0" applyFill="1"/>
    <xf numFmtId="176" fontId="0" fillId="2" borderId="0" xfId="0" applyNumberFormat="1" applyFill="1"/>
    <xf numFmtId="0" fontId="3" fillId="2" borderId="1" xfId="6" applyFont="1" applyFill="1" applyBorder="1" applyAlignment="1">
      <alignment horizontal="center"/>
    </xf>
    <xf numFmtId="0" fontId="3" fillId="3" borderId="1" xfId="6" applyFont="1" applyFill="1" applyBorder="1" applyAlignment="1">
      <alignment horizontal="center"/>
    </xf>
    <xf numFmtId="49" fontId="3" fillId="3" borderId="1" xfId="3" applyNumberFormat="1" applyFont="1" applyFill="1" applyBorder="1" applyAlignment="1">
      <alignment horizontal="center"/>
    </xf>
    <xf numFmtId="176" fontId="3" fillId="3" borderId="1" xfId="3" applyNumberFormat="1" applyFont="1" applyFill="1" applyBorder="1" applyAlignment="1">
      <alignment horizontal="center"/>
    </xf>
    <xf numFmtId="176" fontId="8" fillId="3" borderId="1" xfId="3" applyNumberFormat="1" applyFont="1" applyFill="1" applyBorder="1" applyAlignment="1">
      <alignment horizontal="center"/>
    </xf>
    <xf numFmtId="0" fontId="0" fillId="3" borderId="0" xfId="0" applyFill="1"/>
    <xf numFmtId="0" fontId="57" fillId="0" borderId="16" xfId="0" applyFont="1" applyFill="1" applyBorder="1" applyAlignment="1">
      <alignment wrapText="1"/>
    </xf>
    <xf numFmtId="0" fontId="57" fillId="0" borderId="16" xfId="0" applyFont="1" applyFill="1" applyBorder="1" applyAlignment="1">
      <alignment horizontal="center" wrapText="1"/>
    </xf>
    <xf numFmtId="49" fontId="57" fillId="0" borderId="16" xfId="0" applyNumberFormat="1" applyFont="1" applyFill="1" applyBorder="1" applyAlignment="1">
      <alignment horizontal="center" wrapText="1"/>
    </xf>
    <xf numFmtId="0" fontId="56" fillId="0" borderId="16" xfId="0" applyFont="1" applyFill="1" applyBorder="1" applyAlignment="1">
      <alignment wrapText="1"/>
    </xf>
    <xf numFmtId="0" fontId="8" fillId="0" borderId="16" xfId="0" applyFont="1" applyFill="1" applyBorder="1" applyAlignment="1">
      <alignment horizontal="center" vertical="center" wrapText="1"/>
    </xf>
    <xf numFmtId="0" fontId="56" fillId="0" borderId="16" xfId="0" applyFont="1" applyFill="1" applyBorder="1" applyAlignment="1">
      <alignment horizontal="center" wrapText="1"/>
    </xf>
    <xf numFmtId="0" fontId="3" fillId="0" borderId="0" xfId="0" applyFont="1" applyFill="1" applyBorder="1"/>
    <xf numFmtId="176" fontId="8" fillId="6" borderId="1" xfId="3" applyNumberFormat="1" applyFont="1" applyFill="1" applyBorder="1" applyAlignment="1">
      <alignment horizontal="center"/>
    </xf>
    <xf numFmtId="4" fontId="48" fillId="0" borderId="16" xfId="0" applyNumberFormat="1" applyFont="1" applyFill="1" applyBorder="1" applyAlignment="1">
      <alignment vertical="center"/>
    </xf>
    <xf numFmtId="3" fontId="59" fillId="0" borderId="16" xfId="0" applyNumberFormat="1" applyFont="1" applyFill="1" applyBorder="1" applyAlignment="1">
      <alignment vertical="center"/>
    </xf>
    <xf numFmtId="4" fontId="32" fillId="0" borderId="16" xfId="0" applyNumberFormat="1" applyFont="1" applyFill="1" applyBorder="1" applyAlignment="1">
      <alignment horizontal="right" vertical="center" wrapText="1"/>
    </xf>
    <xf numFmtId="4" fontId="31" fillId="0" borderId="16" xfId="0" applyNumberFormat="1" applyFont="1" applyFill="1" applyBorder="1" applyAlignment="1">
      <alignment horizontal="center" vertical="center" wrapText="1"/>
    </xf>
    <xf numFmtId="0" fontId="9" fillId="0" borderId="0" xfId="0" applyFont="1" applyFill="1" applyAlignment="1">
      <alignment horizontal="center"/>
    </xf>
    <xf numFmtId="0" fontId="58" fillId="0" borderId="16" xfId="0" applyFont="1" applyFill="1" applyBorder="1" applyAlignment="1">
      <alignment horizontal="center" wrapText="1"/>
    </xf>
    <xf numFmtId="188" fontId="36" fillId="0" borderId="16" xfId="0" applyNumberFormat="1" applyFont="1" applyFill="1" applyBorder="1" applyAlignment="1">
      <alignment vertical="center"/>
    </xf>
    <xf numFmtId="188" fontId="37" fillId="0" borderId="16" xfId="0" applyNumberFormat="1" applyFont="1" applyFill="1" applyBorder="1" applyAlignment="1">
      <alignment vertical="center"/>
    </xf>
    <xf numFmtId="188" fontId="20" fillId="0" borderId="16" xfId="0" applyNumberFormat="1" applyFont="1" applyFill="1" applyBorder="1" applyAlignment="1">
      <alignment vertical="center"/>
    </xf>
    <xf numFmtId="4" fontId="13" fillId="0" borderId="16" xfId="0" applyNumberFormat="1" applyFont="1" applyFill="1" applyBorder="1" applyAlignment="1">
      <alignment vertical="center"/>
    </xf>
    <xf numFmtId="0" fontId="31" fillId="0" borderId="11" xfId="0" applyFont="1" applyFill="1" applyBorder="1" applyAlignment="1">
      <alignment horizontal="center" vertical="center" wrapText="1"/>
    </xf>
    <xf numFmtId="49" fontId="31"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6" xfId="0" applyNumberFormat="1" applyFont="1" applyFill="1" applyBorder="1" applyAlignment="1">
      <alignment vertical="center"/>
    </xf>
    <xf numFmtId="4" fontId="3" fillId="0" borderId="16" xfId="0" applyNumberFormat="1" applyFont="1" applyFill="1" applyBorder="1" applyAlignment="1">
      <alignment vertical="center"/>
    </xf>
    <xf numFmtId="49" fontId="36" fillId="0" borderId="16"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49" fontId="31" fillId="0" borderId="0" xfId="0" applyNumberFormat="1" applyFont="1" applyFill="1" applyBorder="1" applyAlignment="1">
      <alignment horizontal="justify"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3" fontId="50" fillId="0" borderId="16" xfId="0" applyNumberFormat="1" applyFont="1" applyFill="1" applyBorder="1" applyAlignment="1">
      <alignment vertical="center"/>
    </xf>
    <xf numFmtId="179" fontId="36" fillId="0" borderId="16" xfId="0" applyNumberFormat="1" applyFont="1" applyFill="1" applyBorder="1" applyAlignment="1">
      <alignment vertical="center"/>
    </xf>
    <xf numFmtId="188" fontId="31" fillId="0" borderId="0" xfId="0" applyNumberFormat="1" applyFont="1" applyFill="1" applyBorder="1" applyAlignment="1">
      <alignment horizontal="center" vertical="center" wrapText="1"/>
    </xf>
    <xf numFmtId="0" fontId="34" fillId="0" borderId="0" xfId="0" applyFont="1" applyFill="1" applyBorder="1"/>
    <xf numFmtId="3" fontId="36" fillId="0" borderId="16" xfId="0" applyNumberFormat="1" applyFont="1" applyFill="1" applyBorder="1" applyAlignment="1">
      <alignment horizontal="right" vertical="center"/>
    </xf>
    <xf numFmtId="0" fontId="13" fillId="0" borderId="18" xfId="0" applyFont="1" applyBorder="1"/>
    <xf numFmtId="0" fontId="14" fillId="5" borderId="0" xfId="0" applyFont="1" applyFill="1"/>
    <xf numFmtId="49" fontId="12" fillId="5" borderId="0" xfId="0" applyNumberFormat="1" applyFont="1" applyFill="1" applyAlignment="1">
      <alignment horizontal="center" vertical="center"/>
    </xf>
    <xf numFmtId="49" fontId="12" fillId="5" borderId="0" xfId="0" applyNumberFormat="1" applyFont="1" applyFill="1" applyAlignment="1">
      <alignment horizontal="justify" vertical="center" wrapText="1"/>
    </xf>
    <xf numFmtId="49" fontId="20" fillId="5" borderId="0" xfId="0" applyNumberFormat="1" applyFont="1" applyFill="1" applyAlignment="1">
      <alignment horizontal="center" vertical="center" wrapText="1"/>
    </xf>
    <xf numFmtId="49" fontId="12" fillId="5" borderId="0" xfId="0" applyNumberFormat="1" applyFont="1" applyFill="1" applyAlignment="1">
      <alignment horizontal="right" vertical="center"/>
    </xf>
    <xf numFmtId="49" fontId="3" fillId="5" borderId="0" xfId="0" applyNumberFormat="1" applyFont="1" applyFill="1" applyAlignment="1">
      <alignment horizontal="center" vertical="center"/>
    </xf>
    <xf numFmtId="49" fontId="3" fillId="5" borderId="0" xfId="0" applyNumberFormat="1" applyFont="1" applyFill="1" applyAlignment="1">
      <alignment horizontal="justify" vertical="center" wrapText="1"/>
    </xf>
    <xf numFmtId="0" fontId="13" fillId="5" borderId="0" xfId="0" applyFont="1" applyFill="1" applyAlignment="1">
      <alignment horizontal="center" vertical="center" wrapText="1"/>
    </xf>
    <xf numFmtId="0" fontId="3" fillId="5" borderId="0" xfId="0" applyFont="1" applyFill="1" applyAlignment="1">
      <alignment horizontal="center" vertical="center"/>
    </xf>
    <xf numFmtId="0" fontId="3" fillId="5" borderId="0" xfId="0" applyFont="1" applyFill="1" applyAlignment="1">
      <alignment horizontal="right" vertical="center"/>
    </xf>
    <xf numFmtId="0" fontId="3" fillId="5" borderId="0" xfId="0" applyFont="1" applyFill="1" applyAlignment="1">
      <alignment vertical="center"/>
    </xf>
    <xf numFmtId="0" fontId="3" fillId="5" borderId="0" xfId="0" applyFont="1" applyFill="1"/>
    <xf numFmtId="0" fontId="4" fillId="5" borderId="0" xfId="0" applyFont="1" applyFill="1"/>
    <xf numFmtId="49" fontId="8" fillId="5" borderId="16" xfId="0"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6" xfId="0" applyFont="1" applyFill="1" applyBorder="1" applyAlignment="1">
      <alignment horizontal="right" vertical="center" wrapText="1"/>
    </xf>
    <xf numFmtId="0" fontId="13" fillId="5" borderId="16" xfId="0" applyFont="1" applyFill="1" applyBorder="1" applyAlignment="1">
      <alignment horizontal="center" vertical="center"/>
    </xf>
    <xf numFmtId="3" fontId="13" fillId="5" borderId="16" xfId="0" applyNumberFormat="1" applyFont="1" applyFill="1" applyBorder="1" applyAlignment="1">
      <alignment horizontal="right" vertical="center"/>
    </xf>
    <xf numFmtId="0" fontId="13" fillId="5" borderId="16" xfId="0" applyFont="1" applyFill="1" applyBorder="1" applyAlignment="1">
      <alignment vertical="center"/>
    </xf>
    <xf numFmtId="178" fontId="13" fillId="5" borderId="16" xfId="0" applyNumberFormat="1" applyFont="1" applyFill="1" applyBorder="1" applyAlignment="1">
      <alignment horizontal="center" vertical="center"/>
    </xf>
    <xf numFmtId="3" fontId="13" fillId="5" borderId="16" xfId="0" applyNumberFormat="1" applyFont="1" applyFill="1" applyBorder="1" applyAlignment="1">
      <alignment vertical="center"/>
    </xf>
    <xf numFmtId="2" fontId="13" fillId="5" borderId="16" xfId="0" applyNumberFormat="1" applyFont="1" applyFill="1" applyBorder="1" applyAlignment="1">
      <alignment horizontal="center" vertical="center"/>
    </xf>
    <xf numFmtId="178" fontId="13" fillId="5" borderId="16" xfId="0" applyNumberFormat="1" applyFont="1" applyFill="1" applyBorder="1" applyAlignment="1">
      <alignment horizontal="center" vertical="center" wrapText="1"/>
    </xf>
    <xf numFmtId="177" fontId="13" fillId="5" borderId="16" xfId="0" applyNumberFormat="1" applyFont="1" applyFill="1" applyBorder="1" applyAlignment="1">
      <alignment horizontal="center" vertical="center"/>
    </xf>
    <xf numFmtId="1" fontId="13" fillId="5" borderId="16" xfId="0" applyNumberFormat="1" applyFont="1" applyFill="1" applyBorder="1" applyAlignment="1">
      <alignment horizontal="center" vertical="center"/>
    </xf>
    <xf numFmtId="49" fontId="13" fillId="5" borderId="16" xfId="0" applyNumberFormat="1" applyFont="1" applyFill="1" applyBorder="1" applyAlignment="1">
      <alignment horizontal="center" vertical="center"/>
    </xf>
    <xf numFmtId="0" fontId="3" fillId="5" borderId="0" xfId="0" applyFont="1" applyFill="1" applyBorder="1"/>
    <xf numFmtId="0" fontId="4" fillId="5" borderId="0" xfId="0" applyFont="1" applyFill="1" applyBorder="1"/>
    <xf numFmtId="49" fontId="13" fillId="5" borderId="0" xfId="0" applyNumberFormat="1" applyFont="1" applyFill="1" applyBorder="1" applyAlignment="1">
      <alignment horizontal="center" vertical="center"/>
    </xf>
    <xf numFmtId="0" fontId="20" fillId="5" borderId="0" xfId="0" applyFont="1" applyFill="1" applyBorder="1" applyAlignment="1">
      <alignment horizontal="justify"/>
    </xf>
    <xf numFmtId="0" fontId="13" fillId="5" borderId="0" xfId="0" applyFont="1" applyFill="1" applyBorder="1" applyAlignment="1">
      <alignment horizontal="center" vertical="center" wrapText="1"/>
    </xf>
    <xf numFmtId="3" fontId="13" fillId="5" borderId="0" xfId="0" applyNumberFormat="1" applyFont="1" applyFill="1" applyBorder="1" applyAlignment="1">
      <alignment horizontal="right" vertical="center"/>
    </xf>
    <xf numFmtId="0" fontId="13" fillId="5" borderId="0" xfId="0" applyFont="1" applyFill="1" applyBorder="1" applyAlignment="1">
      <alignment horizontal="center" vertical="center"/>
    </xf>
    <xf numFmtId="3" fontId="13" fillId="5" borderId="0" xfId="0" applyNumberFormat="1" applyFont="1" applyFill="1" applyBorder="1" applyAlignment="1">
      <alignment vertical="center"/>
    </xf>
    <xf numFmtId="49" fontId="13" fillId="5" borderId="9" xfId="0" applyNumberFormat="1" applyFont="1" applyFill="1" applyBorder="1" applyAlignment="1">
      <alignment horizontal="center" vertical="center"/>
    </xf>
    <xf numFmtId="0" fontId="13" fillId="5" borderId="16" xfId="0" applyFont="1" applyFill="1" applyBorder="1" applyAlignment="1">
      <alignment horizontal="right" vertical="center"/>
    </xf>
    <xf numFmtId="49" fontId="13" fillId="5" borderId="0" xfId="0" applyNumberFormat="1" applyFont="1" applyFill="1" applyBorder="1" applyAlignment="1">
      <alignment horizontal="justify" vertical="center" wrapText="1"/>
    </xf>
    <xf numFmtId="0" fontId="13" fillId="5" borderId="0" xfId="0" applyFont="1" applyFill="1" applyBorder="1" applyAlignment="1">
      <alignment horizontal="right" vertical="center"/>
    </xf>
    <xf numFmtId="178" fontId="13" fillId="5" borderId="0" xfId="0" applyNumberFormat="1" applyFont="1" applyFill="1" applyBorder="1" applyAlignment="1">
      <alignment horizontal="center" vertical="center"/>
    </xf>
    <xf numFmtId="0" fontId="13" fillId="5" borderId="0" xfId="0" applyFont="1" applyFill="1" applyBorder="1" applyAlignment="1">
      <alignment vertical="center"/>
    </xf>
    <xf numFmtId="0" fontId="14" fillId="5" borderId="0" xfId="0" applyFont="1" applyFill="1" applyBorder="1"/>
    <xf numFmtId="3" fontId="13" fillId="5" borderId="1" xfId="0" applyNumberFormat="1" applyFont="1" applyFill="1" applyBorder="1" applyAlignment="1">
      <alignment horizontal="right" vertical="center"/>
    </xf>
    <xf numFmtId="177" fontId="13" fillId="5" borderId="0" xfId="0" applyNumberFormat="1" applyFont="1" applyFill="1" applyBorder="1" applyAlignment="1">
      <alignment horizontal="center" vertical="center"/>
    </xf>
    <xf numFmtId="0" fontId="14" fillId="5" borderId="16" xfId="0" applyFont="1" applyFill="1" applyBorder="1" applyAlignment="1">
      <alignment vertical="center"/>
    </xf>
    <xf numFmtId="0" fontId="8" fillId="5" borderId="19" xfId="0" applyFont="1" applyFill="1" applyBorder="1" applyAlignment="1">
      <alignment horizontal="center" vertical="center" wrapText="1"/>
    </xf>
    <xf numFmtId="0" fontId="14" fillId="5" borderId="16" xfId="0" applyFont="1" applyFill="1" applyBorder="1" applyAlignment="1">
      <alignment horizontal="center"/>
    </xf>
    <xf numFmtId="49" fontId="14" fillId="5" borderId="0" xfId="0" applyNumberFormat="1" applyFont="1" applyFill="1" applyAlignment="1">
      <alignment horizontal="center" vertical="center"/>
    </xf>
    <xf numFmtId="49" fontId="14" fillId="5" borderId="0" xfId="0" applyNumberFormat="1" applyFont="1" applyFill="1" applyAlignment="1">
      <alignment horizontal="justify" vertical="center" wrapText="1"/>
    </xf>
    <xf numFmtId="0" fontId="14" fillId="5" borderId="0" xfId="0" applyFont="1" applyFill="1" applyAlignment="1">
      <alignment horizontal="center" vertical="center"/>
    </xf>
    <xf numFmtId="0" fontId="14" fillId="5" borderId="0" xfId="0" applyFont="1" applyFill="1" applyAlignment="1">
      <alignment horizontal="right" vertical="center"/>
    </xf>
    <xf numFmtId="0" fontId="14" fillId="5" borderId="0" xfId="0" applyFont="1" applyFill="1" applyAlignment="1">
      <alignment vertical="center"/>
    </xf>
    <xf numFmtId="49" fontId="13" fillId="5" borderId="0" xfId="0" applyNumberFormat="1" applyFont="1" applyFill="1" applyBorder="1" applyAlignment="1">
      <alignment horizontal="left" vertical="center" wrapText="1"/>
    </xf>
    <xf numFmtId="49" fontId="13" fillId="5" borderId="0" xfId="0" applyNumberFormat="1" applyFont="1" applyFill="1" applyBorder="1" applyAlignment="1">
      <alignment horizontal="right" vertical="center" wrapText="1"/>
    </xf>
    <xf numFmtId="49" fontId="13" fillId="5" borderId="0" xfId="0" applyNumberFormat="1" applyFont="1" applyFill="1" applyBorder="1" applyAlignment="1">
      <alignment horizontal="center" vertical="center" wrapText="1"/>
    </xf>
    <xf numFmtId="185" fontId="3" fillId="5" borderId="16" xfId="2" applyNumberFormat="1" applyFont="1" applyFill="1" applyBorder="1" applyAlignment="1">
      <alignment horizontal="right" vertical="center" wrapText="1"/>
    </xf>
    <xf numFmtId="179" fontId="13" fillId="5" borderId="0" xfId="0" applyNumberFormat="1" applyFont="1" applyFill="1" applyBorder="1" applyAlignment="1">
      <alignment horizontal="center" vertical="center"/>
    </xf>
    <xf numFmtId="0" fontId="8" fillId="5" borderId="20" xfId="0" applyFont="1" applyFill="1" applyBorder="1" applyAlignment="1">
      <alignment horizontal="center" vertical="center" wrapText="1"/>
    </xf>
    <xf numFmtId="185" fontId="3" fillId="5" borderId="21" xfId="0" applyNumberFormat="1" applyFont="1" applyFill="1" applyBorder="1" applyAlignment="1">
      <alignment horizontal="center" vertical="center" wrapText="1"/>
    </xf>
    <xf numFmtId="0" fontId="14" fillId="5" borderId="21" xfId="0" applyFont="1" applyFill="1" applyBorder="1" applyAlignment="1">
      <alignment horizontal="right" vertical="center"/>
    </xf>
    <xf numFmtId="0" fontId="13" fillId="5" borderId="22" xfId="0" applyFont="1" applyFill="1" applyBorder="1" applyAlignment="1">
      <alignment horizontal="center" vertical="center" wrapText="1"/>
    </xf>
    <xf numFmtId="0" fontId="13" fillId="5" borderId="23" xfId="0" applyFont="1" applyFill="1" applyBorder="1" applyAlignment="1">
      <alignment horizontal="center" vertical="center" wrapText="1"/>
    </xf>
    <xf numFmtId="49" fontId="13" fillId="5" borderId="5" xfId="0" applyNumberFormat="1" applyFont="1" applyFill="1" applyBorder="1" applyAlignment="1">
      <alignment horizontal="center" vertical="center" wrapText="1"/>
    </xf>
    <xf numFmtId="49" fontId="13" fillId="5" borderId="5" xfId="0" applyNumberFormat="1" applyFont="1" applyFill="1" applyBorder="1" applyAlignment="1">
      <alignment horizontal="justify" vertical="center" wrapText="1"/>
    </xf>
    <xf numFmtId="0" fontId="13" fillId="5" borderId="5" xfId="0" applyFont="1" applyFill="1" applyBorder="1" applyAlignment="1">
      <alignment horizontal="center" vertical="center" wrapText="1"/>
    </xf>
    <xf numFmtId="3" fontId="13" fillId="5" borderId="5" xfId="0" applyNumberFormat="1" applyFont="1" applyFill="1" applyBorder="1" applyAlignment="1">
      <alignment horizontal="right" vertical="center"/>
    </xf>
    <xf numFmtId="177" fontId="13" fillId="5" borderId="5" xfId="0" applyNumberFormat="1" applyFont="1" applyFill="1" applyBorder="1" applyAlignment="1">
      <alignment horizontal="center" vertical="center"/>
    </xf>
    <xf numFmtId="3" fontId="13" fillId="5" borderId="5" xfId="0" applyNumberFormat="1" applyFont="1" applyFill="1" applyBorder="1" applyAlignment="1">
      <alignment vertical="center"/>
    </xf>
    <xf numFmtId="49" fontId="13" fillId="5" borderId="1" xfId="0" applyNumberFormat="1" applyFont="1" applyFill="1" applyBorder="1" applyAlignment="1">
      <alignment horizontal="center" vertical="center" wrapText="1"/>
    </xf>
    <xf numFmtId="49" fontId="13" fillId="5" borderId="1" xfId="0" applyNumberFormat="1" applyFont="1" applyFill="1" applyBorder="1" applyAlignment="1">
      <alignment horizontal="justify" vertical="center" wrapText="1"/>
    </xf>
    <xf numFmtId="0" fontId="13" fillId="5" borderId="1" xfId="0" applyFont="1" applyFill="1" applyBorder="1" applyAlignment="1">
      <alignment horizontal="center" vertical="center" wrapText="1"/>
    </xf>
    <xf numFmtId="177" fontId="13" fillId="5" borderId="1" xfId="0" applyNumberFormat="1" applyFont="1" applyFill="1" applyBorder="1" applyAlignment="1">
      <alignment horizontal="center" vertical="center"/>
    </xf>
    <xf numFmtId="3" fontId="13" fillId="5" borderId="1" xfId="0" applyNumberFormat="1" applyFont="1" applyFill="1" applyBorder="1" applyAlignment="1">
      <alignment vertical="center"/>
    </xf>
    <xf numFmtId="49" fontId="13" fillId="5" borderId="16" xfId="0" applyNumberFormat="1" applyFont="1" applyFill="1" applyBorder="1" applyAlignment="1">
      <alignment horizontal="center" vertical="center" wrapText="1"/>
    </xf>
    <xf numFmtId="49" fontId="13" fillId="5" borderId="16" xfId="0" applyNumberFormat="1" applyFont="1" applyFill="1" applyBorder="1" applyAlignment="1">
      <alignment horizontal="justify" vertical="center" wrapText="1"/>
    </xf>
    <xf numFmtId="0" fontId="13" fillId="5" borderId="16" xfId="0" applyFont="1" applyFill="1" applyBorder="1" applyAlignment="1">
      <alignment horizontal="center" vertical="center" wrapText="1"/>
    </xf>
    <xf numFmtId="0" fontId="11" fillId="5" borderId="0" xfId="0" applyFont="1" applyFill="1"/>
    <xf numFmtId="0" fontId="23" fillId="5" borderId="24" xfId="0" applyFont="1" applyFill="1" applyBorder="1" applyAlignment="1">
      <alignment horizontal="center" wrapText="1"/>
    </xf>
    <xf numFmtId="0" fontId="23" fillId="5" borderId="25" xfId="0" applyFont="1" applyFill="1" applyBorder="1" applyAlignment="1">
      <alignment wrapText="1"/>
    </xf>
    <xf numFmtId="0" fontId="69" fillId="5" borderId="25" xfId="0" applyFont="1" applyFill="1" applyBorder="1" applyAlignment="1">
      <alignment horizontal="center" wrapText="1"/>
    </xf>
    <xf numFmtId="0" fontId="13" fillId="5" borderId="16" xfId="8" applyFont="1" applyFill="1" applyBorder="1" applyAlignment="1">
      <alignment horizontal="center" wrapText="1"/>
    </xf>
    <xf numFmtId="0" fontId="13" fillId="5" borderId="16" xfId="8" applyFont="1" applyFill="1" applyBorder="1" applyAlignment="1">
      <alignment wrapText="1"/>
    </xf>
    <xf numFmtId="0" fontId="20" fillId="5" borderId="16" xfId="8" applyFont="1" applyFill="1" applyBorder="1" applyAlignment="1">
      <alignment horizontal="center" wrapText="1"/>
    </xf>
    <xf numFmtId="0" fontId="20" fillId="5" borderId="16" xfId="8" applyFont="1" applyFill="1" applyBorder="1" applyAlignment="1">
      <alignment wrapText="1"/>
    </xf>
    <xf numFmtId="0" fontId="13" fillId="5" borderId="9" xfId="8" applyFont="1" applyFill="1" applyBorder="1" applyAlignment="1">
      <alignment wrapText="1"/>
    </xf>
    <xf numFmtId="0" fontId="23" fillId="5" borderId="16" xfId="0" applyFont="1" applyFill="1" applyBorder="1" applyAlignment="1">
      <alignment wrapText="1"/>
    </xf>
    <xf numFmtId="0" fontId="69" fillId="5" borderId="16" xfId="0" applyFont="1" applyFill="1" applyBorder="1" applyAlignment="1">
      <alignment horizontal="center" wrapText="1"/>
    </xf>
    <xf numFmtId="0" fontId="69" fillId="5" borderId="16" xfId="0" applyFont="1" applyFill="1" applyBorder="1" applyAlignment="1">
      <alignment wrapText="1"/>
    </xf>
    <xf numFmtId="0" fontId="69" fillId="5" borderId="9" xfId="0" applyFont="1" applyFill="1" applyBorder="1" applyAlignment="1">
      <alignment horizontal="left" wrapText="1"/>
    </xf>
    <xf numFmtId="0" fontId="69" fillId="5" borderId="9" xfId="0" applyFont="1" applyFill="1" applyBorder="1" applyAlignment="1">
      <alignment horizontal="center" wrapText="1"/>
    </xf>
    <xf numFmtId="49" fontId="69" fillId="5" borderId="9" xfId="0" applyNumberFormat="1" applyFont="1" applyFill="1" applyBorder="1" applyAlignment="1">
      <alignment horizontal="center" wrapText="1"/>
    </xf>
    <xf numFmtId="49" fontId="69" fillId="5" borderId="16" xfId="0" applyNumberFormat="1" applyFont="1" applyFill="1" applyBorder="1" applyAlignment="1">
      <alignment horizontal="center" wrapText="1"/>
    </xf>
    <xf numFmtId="0" fontId="23" fillId="5" borderId="16" xfId="0" applyFont="1" applyFill="1" applyBorder="1" applyAlignment="1">
      <alignment horizontal="center" wrapText="1"/>
    </xf>
    <xf numFmtId="0" fontId="69" fillId="5" borderId="16" xfId="0" applyFont="1" applyFill="1" applyBorder="1" applyAlignment="1">
      <alignment horizontal="right" wrapText="1"/>
    </xf>
    <xf numFmtId="0" fontId="23" fillId="5" borderId="0" xfId="0" applyFont="1" applyFill="1" applyBorder="1" applyAlignment="1">
      <alignment horizontal="center" wrapText="1"/>
    </xf>
    <xf numFmtId="0" fontId="69" fillId="5" borderId="0" xfId="0" applyFont="1" applyFill="1" applyBorder="1" applyAlignment="1">
      <alignment horizontal="center" wrapText="1"/>
    </xf>
    <xf numFmtId="0" fontId="70" fillId="5" borderId="16" xfId="0" applyFont="1" applyFill="1" applyBorder="1" applyAlignment="1">
      <alignment horizontal="center" wrapText="1"/>
    </xf>
    <xf numFmtId="0" fontId="70" fillId="5" borderId="0" xfId="0" applyFont="1" applyFill="1" applyBorder="1" applyAlignment="1">
      <alignment horizontal="center" wrapText="1"/>
    </xf>
    <xf numFmtId="3" fontId="69" fillId="5" borderId="16" xfId="0" applyNumberFormat="1" applyFont="1" applyFill="1" applyBorder="1" applyAlignment="1">
      <alignment horizontal="right" wrapText="1"/>
    </xf>
    <xf numFmtId="0" fontId="23" fillId="5" borderId="0" xfId="0" applyFont="1" applyFill="1"/>
    <xf numFmtId="0" fontId="11" fillId="5" borderId="0" xfId="0" applyFont="1" applyFill="1" applyAlignment="1">
      <alignment horizontal="right"/>
    </xf>
    <xf numFmtId="0" fontId="11" fillId="5" borderId="0" xfId="0" applyFont="1" applyFill="1" applyAlignment="1">
      <alignment horizontal="center"/>
    </xf>
    <xf numFmtId="0" fontId="69" fillId="5" borderId="20" xfId="0" applyFont="1" applyFill="1" applyBorder="1" applyAlignment="1">
      <alignment horizontal="center" wrapText="1"/>
    </xf>
    <xf numFmtId="0" fontId="69" fillId="5" borderId="20" xfId="0" applyFont="1" applyFill="1" applyBorder="1" applyAlignment="1">
      <alignment wrapText="1"/>
    </xf>
    <xf numFmtId="0" fontId="69" fillId="5" borderId="22" xfId="0" applyFont="1" applyFill="1" applyBorder="1" applyAlignment="1">
      <alignment horizontal="center" wrapText="1"/>
    </xf>
    <xf numFmtId="49" fontId="69" fillId="5" borderId="21" xfId="0" applyNumberFormat="1" applyFont="1" applyFill="1" applyBorder="1" applyAlignment="1">
      <alignment horizontal="center"/>
    </xf>
    <xf numFmtId="0" fontId="70" fillId="5" borderId="21" xfId="0" applyFont="1" applyFill="1" applyBorder="1" applyAlignment="1">
      <alignment horizontal="center" wrapText="1"/>
    </xf>
    <xf numFmtId="0" fontId="69" fillId="5" borderId="26" xfId="0" applyFont="1" applyFill="1" applyBorder="1" applyAlignment="1">
      <alignment horizontal="center" wrapText="1"/>
    </xf>
    <xf numFmtId="0" fontId="69" fillId="5" borderId="21" xfId="0" applyFont="1" applyFill="1" applyBorder="1" applyAlignment="1">
      <alignment horizontal="center" wrapText="1"/>
    </xf>
    <xf numFmtId="0" fontId="69" fillId="5" borderId="21" xfId="0" applyFont="1" applyFill="1" applyBorder="1" applyAlignment="1">
      <alignment wrapText="1"/>
    </xf>
    <xf numFmtId="49" fontId="69" fillId="5" borderId="21" xfId="0" applyNumberFormat="1" applyFont="1" applyFill="1" applyBorder="1" applyAlignment="1">
      <alignment horizontal="center" wrapText="1"/>
    </xf>
    <xf numFmtId="0" fontId="69" fillId="5" borderId="23" xfId="0" applyFont="1" applyFill="1" applyBorder="1" applyAlignment="1">
      <alignment horizontal="center" wrapText="1"/>
    </xf>
    <xf numFmtId="0" fontId="11" fillId="5" borderId="23" xfId="0" applyFont="1" applyFill="1" applyBorder="1" applyAlignment="1">
      <alignment horizontal="center" wrapText="1"/>
    </xf>
    <xf numFmtId="0" fontId="11" fillId="5" borderId="26" xfId="0" applyFont="1" applyFill="1" applyBorder="1" applyAlignment="1">
      <alignment horizontal="center" wrapText="1"/>
    </xf>
    <xf numFmtId="0" fontId="23" fillId="5" borderId="21" xfId="0" applyFont="1" applyFill="1" applyBorder="1" applyAlignment="1">
      <alignment horizontal="center" wrapText="1"/>
    </xf>
    <xf numFmtId="0" fontId="23" fillId="5" borderId="21" xfId="0" applyFont="1" applyFill="1" applyBorder="1" applyAlignment="1">
      <alignment wrapText="1"/>
    </xf>
    <xf numFmtId="0" fontId="23" fillId="5" borderId="16" xfId="0" applyFont="1" applyFill="1" applyBorder="1" applyAlignment="1">
      <alignment horizontal="center" vertical="center" wrapText="1"/>
    </xf>
    <xf numFmtId="0" fontId="23" fillId="5" borderId="20" xfId="0" applyFont="1" applyFill="1" applyBorder="1" applyAlignment="1">
      <alignment horizontal="center" wrapText="1"/>
    </xf>
    <xf numFmtId="0" fontId="23" fillId="5" borderId="20" xfId="0" applyFont="1" applyFill="1" applyBorder="1" applyAlignment="1">
      <alignment wrapText="1"/>
    </xf>
    <xf numFmtId="0" fontId="0" fillId="5" borderId="0" xfId="0" applyFill="1"/>
    <xf numFmtId="49" fontId="18" fillId="5" borderId="0" xfId="0" applyNumberFormat="1" applyFont="1" applyFill="1" applyBorder="1" applyAlignment="1">
      <alignment horizontal="center"/>
    </xf>
    <xf numFmtId="0" fontId="3" fillId="5" borderId="13" xfId="0" applyFont="1" applyFill="1" applyBorder="1"/>
    <xf numFmtId="0" fontId="3" fillId="5" borderId="13" xfId="0" applyFont="1" applyFill="1" applyBorder="1" applyAlignment="1">
      <alignment horizontal="center"/>
    </xf>
    <xf numFmtId="176" fontId="3" fillId="5" borderId="13" xfId="2" applyNumberFormat="1" applyFont="1" applyFill="1" applyBorder="1"/>
    <xf numFmtId="0" fontId="14" fillId="5" borderId="13" xfId="0" applyFont="1" applyFill="1" applyBorder="1"/>
    <xf numFmtId="0" fontId="3" fillId="5" borderId="1" xfId="0" applyFont="1" applyFill="1" applyBorder="1" applyAlignment="1">
      <alignment horizontal="center"/>
    </xf>
    <xf numFmtId="0" fontId="3" fillId="5" borderId="1" xfId="0" applyFont="1" applyFill="1" applyBorder="1" applyAlignment="1">
      <alignment horizontal="left"/>
    </xf>
    <xf numFmtId="176" fontId="3" fillId="5" borderId="1" xfId="2" applyNumberFormat="1" applyFont="1" applyFill="1" applyBorder="1" applyAlignment="1">
      <alignment horizontal="center"/>
    </xf>
    <xf numFmtId="2" fontId="3" fillId="5" borderId="1" xfId="0" applyNumberFormat="1" applyFont="1" applyFill="1" applyBorder="1"/>
    <xf numFmtId="177" fontId="3" fillId="5" borderId="1" xfId="2" applyNumberFormat="1" applyFont="1" applyFill="1" applyBorder="1"/>
    <xf numFmtId="3" fontId="3" fillId="5" borderId="1" xfId="2" applyNumberFormat="1" applyFont="1" applyFill="1" applyBorder="1"/>
    <xf numFmtId="177" fontId="3" fillId="5" borderId="1" xfId="0" applyNumberFormat="1" applyFont="1" applyFill="1" applyBorder="1"/>
    <xf numFmtId="3" fontId="3" fillId="5" borderId="4" xfId="0" applyNumberFormat="1" applyFont="1" applyFill="1" applyBorder="1"/>
    <xf numFmtId="3" fontId="3" fillId="5" borderId="1" xfId="0" applyNumberFormat="1" applyFont="1" applyFill="1" applyBorder="1"/>
    <xf numFmtId="0" fontId="14" fillId="5" borderId="16" xfId="0" applyFont="1" applyFill="1" applyBorder="1"/>
    <xf numFmtId="176" fontId="8" fillId="5" borderId="16" xfId="0" applyNumberFormat="1" applyFont="1" applyFill="1" applyBorder="1" applyAlignment="1">
      <alignment horizontal="center"/>
    </xf>
    <xf numFmtId="176" fontId="8" fillId="5" borderId="16" xfId="0" applyNumberFormat="1" applyFont="1" applyFill="1" applyBorder="1"/>
    <xf numFmtId="0" fontId="8" fillId="5" borderId="16" xfId="0" applyFont="1" applyFill="1" applyBorder="1"/>
    <xf numFmtId="3" fontId="8" fillId="5" borderId="16" xfId="0" applyNumberFormat="1" applyFont="1" applyFill="1" applyBorder="1"/>
    <xf numFmtId="2" fontId="0" fillId="5" borderId="0" xfId="0" applyNumberFormat="1" applyFill="1"/>
    <xf numFmtId="0" fontId="3" fillId="5" borderId="17" xfId="0" applyFont="1" applyFill="1" applyBorder="1"/>
    <xf numFmtId="0" fontId="8" fillId="5" borderId="17" xfId="0" applyFont="1" applyFill="1" applyBorder="1"/>
    <xf numFmtId="0" fontId="8" fillId="5" borderId="17" xfId="0" applyFont="1" applyFill="1" applyBorder="1" applyAlignment="1">
      <alignment horizontal="center"/>
    </xf>
    <xf numFmtId="0" fontId="14" fillId="5" borderId="17" xfId="0" applyFont="1" applyFill="1" applyBorder="1"/>
    <xf numFmtId="176" fontId="3" fillId="5" borderId="17" xfId="2" applyNumberFormat="1" applyFont="1" applyFill="1" applyBorder="1"/>
    <xf numFmtId="176" fontId="8" fillId="5" borderId="17" xfId="0" applyNumberFormat="1" applyFont="1" applyFill="1" applyBorder="1"/>
    <xf numFmtId="0" fontId="8" fillId="5" borderId="0" xfId="0" applyFont="1" applyFill="1" applyBorder="1" applyAlignment="1">
      <alignment horizontal="left"/>
    </xf>
    <xf numFmtId="0" fontId="8" fillId="5" borderId="0" xfId="0" applyFont="1" applyFill="1" applyBorder="1" applyAlignment="1">
      <alignment horizontal="center"/>
    </xf>
    <xf numFmtId="176" fontId="3" fillId="5" borderId="0" xfId="2" applyNumberFormat="1" applyFont="1" applyFill="1" applyBorder="1"/>
    <xf numFmtId="176" fontId="8" fillId="5" borderId="0" xfId="0" applyNumberFormat="1" applyFont="1" applyFill="1" applyBorder="1"/>
    <xf numFmtId="49" fontId="3" fillId="5" borderId="0" xfId="0" applyNumberFormat="1" applyFont="1" applyFill="1" applyBorder="1"/>
    <xf numFmtId="176" fontId="14" fillId="5" borderId="0" xfId="2" applyNumberFormat="1" applyFont="1" applyFill="1" applyBorder="1"/>
    <xf numFmtId="49" fontId="3" fillId="5" borderId="0" xfId="0" applyNumberFormat="1" applyFont="1" applyFill="1" applyBorder="1" applyAlignment="1">
      <alignment horizontal="left"/>
    </xf>
    <xf numFmtId="0" fontId="8" fillId="5" borderId="0" xfId="0" applyFont="1" applyFill="1" applyBorder="1"/>
    <xf numFmtId="176" fontId="8" fillId="5" borderId="0" xfId="2" applyNumberFormat="1" applyFont="1" applyFill="1" applyBorder="1"/>
    <xf numFmtId="176" fontId="0" fillId="5" borderId="0" xfId="0" applyNumberFormat="1" applyFill="1"/>
    <xf numFmtId="178" fontId="3" fillId="5" borderId="1" xfId="0" applyNumberFormat="1" applyFont="1" applyFill="1" applyBorder="1"/>
    <xf numFmtId="0" fontId="3" fillId="5" borderId="0" xfId="0" applyNumberFormat="1" applyFont="1" applyFill="1" applyBorder="1" applyAlignment="1">
      <alignment horizontal="left" vertical="center" wrapText="1"/>
    </xf>
    <xf numFmtId="184" fontId="3" fillId="5" borderId="1" xfId="0" applyNumberFormat="1" applyFont="1" applyFill="1" applyBorder="1"/>
    <xf numFmtId="176" fontId="3" fillId="5" borderId="13" xfId="2" applyNumberFormat="1" applyFont="1" applyFill="1" applyBorder="1" applyAlignment="1">
      <alignment horizontal="center"/>
    </xf>
    <xf numFmtId="0" fontId="23" fillId="5" borderId="9" xfId="0" applyFont="1" applyFill="1" applyBorder="1" applyAlignment="1">
      <alignment horizontal="center" vertical="center" wrapText="1"/>
    </xf>
    <xf numFmtId="0" fontId="3" fillId="5" borderId="16" xfId="0" applyFont="1" applyFill="1" applyBorder="1" applyAlignment="1">
      <alignment horizontal="center"/>
    </xf>
    <xf numFmtId="0" fontId="3" fillId="5" borderId="16" xfId="0" applyFont="1" applyFill="1" applyBorder="1" applyAlignment="1">
      <alignment horizontal="left"/>
    </xf>
    <xf numFmtId="176" fontId="3" fillId="5" borderId="16" xfId="2" applyNumberFormat="1" applyFont="1" applyFill="1" applyBorder="1" applyAlignment="1">
      <alignment horizontal="center"/>
    </xf>
    <xf numFmtId="177" fontId="3" fillId="5" borderId="16" xfId="0" applyNumberFormat="1" applyFont="1" applyFill="1" applyBorder="1"/>
    <xf numFmtId="0" fontId="14" fillId="5" borderId="19" xfId="0" applyFont="1" applyFill="1" applyBorder="1"/>
    <xf numFmtId="0" fontId="14" fillId="5" borderId="27" xfId="0" applyFont="1" applyFill="1" applyBorder="1"/>
    <xf numFmtId="0" fontId="14" fillId="5" borderId="28" xfId="0" applyFont="1" applyFill="1" applyBorder="1"/>
    <xf numFmtId="177" fontId="8" fillId="5" borderId="16" xfId="0" applyNumberFormat="1" applyFont="1" applyFill="1" applyBorder="1"/>
    <xf numFmtId="176" fontId="8" fillId="5" borderId="16" xfId="2" applyNumberFormat="1" applyFont="1" applyFill="1" applyBorder="1" applyAlignment="1">
      <alignment horizontal="center"/>
    </xf>
    <xf numFmtId="0" fontId="3" fillId="5" borderId="6" xfId="0" applyFont="1" applyFill="1" applyBorder="1" applyAlignment="1">
      <alignment horizontal="center"/>
    </xf>
    <xf numFmtId="0" fontId="3" fillId="5" borderId="6" xfId="0" applyFont="1" applyFill="1" applyBorder="1" applyAlignment="1">
      <alignment horizontal="left"/>
    </xf>
    <xf numFmtId="176" fontId="3" fillId="5" borderId="6" xfId="2" applyNumberFormat="1" applyFont="1" applyFill="1" applyBorder="1" applyAlignment="1">
      <alignment horizontal="center"/>
    </xf>
    <xf numFmtId="177" fontId="3" fillId="5"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5" borderId="14" xfId="0" applyNumberFormat="1" applyFont="1" applyFill="1" applyBorder="1" applyAlignment="1">
      <alignment horizontal="right"/>
    </xf>
    <xf numFmtId="185" fontId="14" fillId="5" borderId="0" xfId="0" applyNumberFormat="1" applyFont="1" applyFill="1"/>
    <xf numFmtId="0" fontId="15" fillId="5" borderId="1" xfId="0" applyFont="1" applyFill="1" applyBorder="1" applyAlignment="1">
      <alignment horizontal="left"/>
    </xf>
    <xf numFmtId="0" fontId="15" fillId="5" borderId="1" xfId="0" applyFont="1" applyFill="1" applyBorder="1" applyAlignment="1">
      <alignment horizontal="center"/>
    </xf>
    <xf numFmtId="2" fontId="3" fillId="5" borderId="1" xfId="2" applyNumberFormat="1" applyFont="1" applyFill="1" applyBorder="1"/>
    <xf numFmtId="0" fontId="3" fillId="5" borderId="16" xfId="0" applyFont="1" applyFill="1" applyBorder="1"/>
    <xf numFmtId="176" fontId="3" fillId="5" borderId="16" xfId="2" applyNumberFormat="1" applyFont="1" applyFill="1" applyBorder="1"/>
    <xf numFmtId="2" fontId="14" fillId="5" borderId="0" xfId="0" applyNumberFormat="1" applyFont="1" applyFill="1"/>
    <xf numFmtId="176" fontId="14" fillId="5" borderId="16" xfId="2" applyNumberFormat="1" applyFont="1" applyFill="1" applyBorder="1"/>
    <xf numFmtId="176" fontId="14" fillId="5" borderId="0" xfId="0" applyNumberFormat="1" applyFont="1" applyFill="1"/>
    <xf numFmtId="176" fontId="14" fillId="5" borderId="17" xfId="2" applyNumberFormat="1" applyFont="1" applyFill="1" applyBorder="1"/>
    <xf numFmtId="176" fontId="3" fillId="5" borderId="10" xfId="2" applyNumberFormat="1" applyFont="1" applyFill="1" applyBorder="1" applyAlignment="1">
      <alignment horizontal="center"/>
    </xf>
    <xf numFmtId="177" fontId="3" fillId="5" borderId="10" xfId="0" applyNumberFormat="1" applyFont="1" applyFill="1" applyBorder="1"/>
    <xf numFmtId="177" fontId="3" fillId="5" borderId="10" xfId="2" applyNumberFormat="1" applyFont="1" applyFill="1" applyBorder="1"/>
    <xf numFmtId="3" fontId="3" fillId="5" borderId="10" xfId="2" applyNumberFormat="1" applyFont="1" applyFill="1" applyBorder="1"/>
    <xf numFmtId="3" fontId="3" fillId="5" borderId="8" xfId="0" applyNumberFormat="1" applyFont="1" applyFill="1" applyBorder="1"/>
    <xf numFmtId="0" fontId="3" fillId="5" borderId="5" xfId="0" applyFont="1" applyFill="1" applyBorder="1" applyAlignment="1">
      <alignment horizontal="center"/>
    </xf>
    <xf numFmtId="0" fontId="3" fillId="5" borderId="5" xfId="0" applyFont="1" applyFill="1" applyBorder="1" applyAlignment="1">
      <alignment horizontal="left"/>
    </xf>
    <xf numFmtId="176" fontId="3" fillId="5" borderId="5" xfId="2" applyNumberFormat="1" applyFont="1" applyFill="1" applyBorder="1" applyAlignment="1">
      <alignment horizontal="center"/>
    </xf>
    <xf numFmtId="177" fontId="3" fillId="5" borderId="5" xfId="0" applyNumberFormat="1" applyFont="1" applyFill="1" applyBorder="1"/>
    <xf numFmtId="177" fontId="3" fillId="5" borderId="5" xfId="2" applyNumberFormat="1" applyFont="1" applyFill="1" applyBorder="1"/>
    <xf numFmtId="3" fontId="3" fillId="5" borderId="5" xfId="2" applyNumberFormat="1" applyFont="1" applyFill="1" applyBorder="1"/>
    <xf numFmtId="1" fontId="14" fillId="5" borderId="0" xfId="0" applyNumberFormat="1" applyFont="1" applyFill="1"/>
    <xf numFmtId="0" fontId="57" fillId="5" borderId="0" xfId="0" applyFont="1" applyFill="1" applyBorder="1" applyAlignment="1">
      <alignment horizontal="center" wrapText="1"/>
    </xf>
    <xf numFmtId="177" fontId="14" fillId="5" borderId="0" xfId="0" applyNumberFormat="1" applyFont="1" applyFill="1"/>
    <xf numFmtId="178" fontId="3" fillId="5" borderId="6" xfId="0" applyNumberFormat="1" applyFont="1" applyFill="1" applyBorder="1" applyAlignment="1">
      <alignment horizontal="right"/>
    </xf>
    <xf numFmtId="176" fontId="23" fillId="5" borderId="16" xfId="2" applyNumberFormat="1" applyFont="1" applyFill="1" applyBorder="1" applyAlignment="1">
      <alignment horizontal="center" vertical="center" wrapText="1"/>
    </xf>
    <xf numFmtId="0" fontId="3" fillId="5" borderId="3" xfId="0" applyFont="1" applyFill="1" applyBorder="1" applyAlignment="1">
      <alignment horizontal="center"/>
    </xf>
    <xf numFmtId="0" fontId="3" fillId="5" borderId="3" xfId="0" applyFont="1" applyFill="1" applyBorder="1" applyAlignment="1">
      <alignment horizontal="left"/>
    </xf>
    <xf numFmtId="176" fontId="3" fillId="5" borderId="3" xfId="2" applyNumberFormat="1" applyFont="1" applyFill="1" applyBorder="1" applyAlignment="1">
      <alignment horizontal="center"/>
    </xf>
    <xf numFmtId="177" fontId="3" fillId="5" borderId="3" xfId="0" applyNumberFormat="1" applyFont="1" applyFill="1" applyBorder="1" applyAlignment="1">
      <alignment horizontal="right"/>
    </xf>
    <xf numFmtId="0" fontId="14" fillId="5" borderId="14" xfId="0" applyFont="1" applyFill="1" applyBorder="1"/>
    <xf numFmtId="0" fontId="14" fillId="5" borderId="12" xfId="0" applyFont="1" applyFill="1" applyBorder="1"/>
    <xf numFmtId="0" fontId="14" fillId="5" borderId="29" xfId="0" applyFont="1" applyFill="1" applyBorder="1"/>
    <xf numFmtId="0" fontId="14" fillId="5" borderId="4" xfId="0" applyFont="1" applyFill="1" applyBorder="1"/>
    <xf numFmtId="0" fontId="14" fillId="5" borderId="30" xfId="0" applyFont="1" applyFill="1" applyBorder="1"/>
    <xf numFmtId="0" fontId="14" fillId="5" borderId="31" xfId="0" applyFont="1" applyFill="1" applyBorder="1"/>
    <xf numFmtId="0" fontId="14" fillId="5" borderId="32" xfId="0" applyFont="1" applyFill="1" applyBorder="1"/>
    <xf numFmtId="0" fontId="14" fillId="5" borderId="33" xfId="0" applyFont="1" applyFill="1" applyBorder="1"/>
    <xf numFmtId="0" fontId="14" fillId="5" borderId="34" xfId="0" applyFont="1" applyFill="1" applyBorder="1"/>
    <xf numFmtId="176" fontId="8" fillId="5" borderId="16" xfId="2" applyNumberFormat="1" applyFont="1" applyFill="1" applyBorder="1"/>
    <xf numFmtId="0" fontId="16" fillId="5" borderId="0" xfId="0" applyFont="1" applyFill="1"/>
    <xf numFmtId="0" fontId="3" fillId="5" borderId="0" xfId="0" applyFont="1" applyFill="1" applyBorder="1" applyAlignment="1">
      <alignment horizontal="center"/>
    </xf>
    <xf numFmtId="177" fontId="3" fillId="5" borderId="0" xfId="0" applyNumberFormat="1" applyFont="1" applyFill="1" applyBorder="1"/>
    <xf numFmtId="176" fontId="3" fillId="5" borderId="0" xfId="0" applyNumberFormat="1" applyFont="1" applyFill="1" applyBorder="1"/>
    <xf numFmtId="49" fontId="8" fillId="5" borderId="0" xfId="0" applyNumberFormat="1" applyFont="1" applyFill="1" applyBorder="1"/>
    <xf numFmtId="177" fontId="14" fillId="5" borderId="0" xfId="0" applyNumberFormat="1" applyFont="1" applyFill="1" applyBorder="1"/>
    <xf numFmtId="177" fontId="8" fillId="5" borderId="16" xfId="0" applyNumberFormat="1" applyFont="1" applyFill="1" applyBorder="1" applyAlignment="1">
      <alignment horizontal="center" vertical="center" wrapText="1"/>
    </xf>
    <xf numFmtId="175" fontId="3" fillId="5" borderId="3" xfId="2" applyNumberFormat="1" applyFont="1" applyFill="1" applyBorder="1" applyAlignment="1">
      <alignment horizontal="left"/>
    </xf>
    <xf numFmtId="175" fontId="3" fillId="5" borderId="3" xfId="2" applyNumberFormat="1" applyFont="1" applyFill="1" applyBorder="1" applyAlignment="1">
      <alignment horizontal="center"/>
    </xf>
    <xf numFmtId="175" fontId="3" fillId="5" borderId="1" xfId="2" applyNumberFormat="1" applyFont="1" applyFill="1" applyBorder="1" applyAlignment="1">
      <alignment horizontal="left"/>
    </xf>
    <xf numFmtId="175" fontId="3" fillId="5" borderId="1" xfId="2" applyNumberFormat="1" applyFont="1" applyFill="1" applyBorder="1" applyAlignment="1">
      <alignment horizontal="center"/>
    </xf>
    <xf numFmtId="175" fontId="3" fillId="5" borderId="2" xfId="2" applyNumberFormat="1" applyFont="1" applyFill="1" applyBorder="1" applyAlignment="1">
      <alignment horizontal="left"/>
    </xf>
    <xf numFmtId="175" fontId="3" fillId="5" borderId="2" xfId="2" applyNumberFormat="1" applyFont="1" applyFill="1" applyBorder="1" applyAlignment="1">
      <alignment horizontal="center"/>
    </xf>
    <xf numFmtId="176" fontId="3" fillId="5" borderId="4" xfId="2" applyNumberFormat="1" applyFont="1" applyFill="1" applyBorder="1" applyAlignment="1">
      <alignment horizontal="center"/>
    </xf>
    <xf numFmtId="177" fontId="3" fillId="5" borderId="2" xfId="0" applyNumberFormat="1" applyFont="1" applyFill="1" applyBorder="1"/>
    <xf numFmtId="177" fontId="3" fillId="5" borderId="2" xfId="2" applyNumberFormat="1" applyFont="1" applyFill="1" applyBorder="1"/>
    <xf numFmtId="2" fontId="3" fillId="5" borderId="2" xfId="2" applyNumberFormat="1" applyFont="1" applyFill="1" applyBorder="1"/>
    <xf numFmtId="0" fontId="3" fillId="5" borderId="2" xfId="0" applyFont="1" applyFill="1" applyBorder="1" applyAlignment="1">
      <alignment horizontal="center"/>
    </xf>
    <xf numFmtId="176" fontId="3" fillId="5" borderId="7" xfId="2" applyNumberFormat="1" applyFont="1" applyFill="1" applyBorder="1" applyAlignment="1">
      <alignment horizontal="center"/>
    </xf>
    <xf numFmtId="176" fontId="3" fillId="5" borderId="2" xfId="2" applyNumberFormat="1" applyFont="1" applyFill="1" applyBorder="1" applyAlignment="1">
      <alignment horizontal="center"/>
    </xf>
    <xf numFmtId="3" fontId="3" fillId="5" borderId="2" xfId="2" applyNumberFormat="1" applyFont="1" applyFill="1" applyBorder="1"/>
    <xf numFmtId="3" fontId="3" fillId="5" borderId="7" xfId="0" applyNumberFormat="1" applyFont="1" applyFill="1" applyBorder="1"/>
    <xf numFmtId="3" fontId="3" fillId="5" borderId="2" xfId="0" applyNumberFormat="1" applyFont="1" applyFill="1" applyBorder="1"/>
    <xf numFmtId="175" fontId="3" fillId="5" borderId="5" xfId="2" applyNumberFormat="1" applyFont="1" applyFill="1" applyBorder="1" applyAlignment="1">
      <alignment horizontal="left"/>
    </xf>
    <xf numFmtId="176" fontId="3" fillId="5" borderId="32" xfId="2" applyNumberFormat="1" applyFont="1" applyFill="1" applyBorder="1" applyAlignment="1">
      <alignment horizontal="center"/>
    </xf>
    <xf numFmtId="2" fontId="3" fillId="5" borderId="5" xfId="2" applyNumberFormat="1" applyFont="1" applyFill="1" applyBorder="1"/>
    <xf numFmtId="3" fontId="3" fillId="5" borderId="32" xfId="0" applyNumberFormat="1" applyFont="1" applyFill="1" applyBorder="1"/>
    <xf numFmtId="3" fontId="3" fillId="5" borderId="5" xfId="0" applyNumberFormat="1" applyFont="1" applyFill="1" applyBorder="1"/>
    <xf numFmtId="0" fontId="8" fillId="5" borderId="16" xfId="0" applyFont="1" applyFill="1" applyBorder="1" applyAlignment="1">
      <alignment horizontal="center"/>
    </xf>
    <xf numFmtId="175" fontId="8" fillId="5" borderId="16" xfId="2" applyNumberFormat="1" applyFont="1" applyFill="1" applyBorder="1" applyAlignment="1">
      <alignment horizontal="center"/>
    </xf>
    <xf numFmtId="177" fontId="8" fillId="5" borderId="16" xfId="2" applyNumberFormat="1" applyFont="1" applyFill="1" applyBorder="1"/>
    <xf numFmtId="3" fontId="8" fillId="5" borderId="16" xfId="2" applyNumberFormat="1" applyFont="1" applyFill="1" applyBorder="1"/>
    <xf numFmtId="177" fontId="8" fillId="5" borderId="16" xfId="2" applyNumberFormat="1" applyFont="1" applyFill="1" applyBorder="1" applyAlignment="1">
      <alignment horizontal="center"/>
    </xf>
    <xf numFmtId="0" fontId="16" fillId="5" borderId="16" xfId="0" applyFont="1" applyFill="1" applyBorder="1"/>
    <xf numFmtId="177" fontId="16" fillId="5" borderId="16" xfId="0" applyNumberFormat="1" applyFont="1" applyFill="1" applyBorder="1"/>
    <xf numFmtId="176" fontId="8" fillId="5" borderId="17" xfId="0" applyNumberFormat="1" applyFont="1" applyFill="1" applyBorder="1" applyAlignment="1">
      <alignment horizontal="center"/>
    </xf>
    <xf numFmtId="177" fontId="14" fillId="5" borderId="17" xfId="0" applyNumberFormat="1" applyFont="1" applyFill="1" applyBorder="1"/>
    <xf numFmtId="177" fontId="8" fillId="5" borderId="17" xfId="0" applyNumberFormat="1" applyFont="1" applyFill="1" applyBorder="1"/>
    <xf numFmtId="3" fontId="8" fillId="5" borderId="17" xfId="0" applyNumberFormat="1" applyFont="1" applyFill="1" applyBorder="1"/>
    <xf numFmtId="0" fontId="8" fillId="5" borderId="0" xfId="0" applyFont="1" applyFill="1" applyBorder="1" applyAlignment="1">
      <alignment horizontal="right"/>
    </xf>
    <xf numFmtId="177" fontId="3" fillId="5" borderId="0" xfId="0" applyNumberFormat="1" applyFont="1" applyFill="1" applyBorder="1" applyAlignment="1">
      <alignment horizontal="left" vertical="center" wrapText="1"/>
    </xf>
    <xf numFmtId="1" fontId="3" fillId="5" borderId="4" xfId="0" applyNumberFormat="1" applyFont="1" applyFill="1" applyBorder="1"/>
    <xf numFmtId="3" fontId="14" fillId="5" borderId="0" xfId="0" applyNumberFormat="1" applyFont="1" applyFill="1" applyBorder="1"/>
    <xf numFmtId="49" fontId="9" fillId="5" borderId="0" xfId="0" applyNumberFormat="1" applyFont="1" applyFill="1" applyBorder="1"/>
    <xf numFmtId="0" fontId="2" fillId="5" borderId="0" xfId="0" applyFont="1" applyFill="1" applyBorder="1"/>
    <xf numFmtId="0" fontId="2" fillId="5" borderId="0" xfId="0" applyFont="1" applyFill="1" applyBorder="1" applyAlignment="1">
      <alignment horizontal="center"/>
    </xf>
    <xf numFmtId="184" fontId="3" fillId="5" borderId="1" xfId="2" applyNumberFormat="1" applyFont="1" applyFill="1" applyBorder="1"/>
    <xf numFmtId="175" fontId="3" fillId="5" borderId="7" xfId="2" applyNumberFormat="1" applyFont="1" applyFill="1" applyBorder="1" applyAlignment="1">
      <alignment horizontal="center"/>
    </xf>
    <xf numFmtId="177" fontId="23" fillId="5" borderId="16" xfId="0" applyNumberFormat="1" applyFont="1" applyFill="1" applyBorder="1" applyAlignment="1">
      <alignment horizontal="center" vertical="center" wrapText="1"/>
    </xf>
    <xf numFmtId="184" fontId="3" fillId="5" borderId="6" xfId="0" applyNumberFormat="1" applyFont="1" applyFill="1" applyBorder="1" applyAlignment="1">
      <alignment horizontal="right"/>
    </xf>
    <xf numFmtId="184" fontId="3" fillId="5" borderId="2" xfId="2" applyNumberFormat="1" applyFont="1" applyFill="1" applyBorder="1"/>
    <xf numFmtId="184" fontId="3" fillId="5" borderId="2" xfId="0" applyNumberFormat="1" applyFont="1" applyFill="1" applyBorder="1"/>
    <xf numFmtId="0" fontId="8" fillId="5" borderId="9" xfId="0" applyFont="1" applyFill="1" applyBorder="1" applyAlignment="1">
      <alignment horizontal="center" vertical="center" wrapText="1"/>
    </xf>
    <xf numFmtId="177" fontId="14" fillId="5" borderId="15" xfId="0" applyNumberFormat="1" applyFont="1" applyFill="1" applyBorder="1"/>
    <xf numFmtId="0" fontId="14" fillId="5" borderId="35" xfId="0" applyFont="1" applyFill="1" applyBorder="1"/>
    <xf numFmtId="177" fontId="14" fillId="5" borderId="35" xfId="0" applyNumberFormat="1" applyFont="1" applyFill="1" applyBorder="1"/>
    <xf numFmtId="0" fontId="14" fillId="5" borderId="36" xfId="0" applyFont="1" applyFill="1" applyBorder="1"/>
    <xf numFmtId="177" fontId="14" fillId="5" borderId="4" xfId="0" applyNumberFormat="1" applyFont="1" applyFill="1" applyBorder="1"/>
    <xf numFmtId="177" fontId="14" fillId="5" borderId="30" xfId="0" applyNumberFormat="1" applyFont="1" applyFill="1" applyBorder="1"/>
    <xf numFmtId="177" fontId="14" fillId="5" borderId="7" xfId="0" applyNumberFormat="1" applyFont="1" applyFill="1" applyBorder="1"/>
    <xf numFmtId="0" fontId="14" fillId="5" borderId="37" xfId="0" applyFont="1" applyFill="1" applyBorder="1"/>
    <xf numFmtId="177" fontId="14" fillId="5" borderId="37" xfId="0" applyNumberFormat="1" applyFont="1" applyFill="1" applyBorder="1"/>
    <xf numFmtId="0" fontId="14" fillId="5" borderId="38" xfId="0" applyFont="1" applyFill="1" applyBorder="1"/>
    <xf numFmtId="177" fontId="14" fillId="5" borderId="19" xfId="0" applyNumberFormat="1" applyFont="1" applyFill="1" applyBorder="1"/>
    <xf numFmtId="177" fontId="14" fillId="5" borderId="27" xfId="0" applyNumberFormat="1" applyFont="1" applyFill="1" applyBorder="1"/>
    <xf numFmtId="0" fontId="8" fillId="5" borderId="0" xfId="0" applyFont="1" applyFill="1"/>
    <xf numFmtId="0" fontId="3" fillId="5" borderId="2" xfId="0" applyFont="1" applyFill="1" applyBorder="1" applyAlignment="1">
      <alignment horizontal="left"/>
    </xf>
    <xf numFmtId="1" fontId="8" fillId="5" borderId="16" xfId="0" applyNumberFormat="1" applyFont="1" applyFill="1" applyBorder="1"/>
    <xf numFmtId="0" fontId="10" fillId="5" borderId="0" xfId="0" applyFont="1" applyFill="1"/>
    <xf numFmtId="0" fontId="8" fillId="5" borderId="10" xfId="0" applyFont="1" applyFill="1" applyBorder="1" applyAlignment="1">
      <alignment horizontal="center"/>
    </xf>
    <xf numFmtId="176" fontId="8" fillId="5" borderId="10" xfId="2" applyNumberFormat="1" applyFont="1" applyFill="1" applyBorder="1" applyAlignment="1">
      <alignment horizontal="center"/>
    </xf>
    <xf numFmtId="1" fontId="8" fillId="5" borderId="10" xfId="0" applyNumberFormat="1" applyFont="1" applyFill="1" applyBorder="1"/>
    <xf numFmtId="0" fontId="3" fillId="5" borderId="6" xfId="0" applyFont="1" applyFill="1" applyBorder="1"/>
    <xf numFmtId="0" fontId="8" fillId="5" borderId="6" xfId="0" applyFont="1" applyFill="1" applyBorder="1" applyAlignment="1">
      <alignment horizontal="center"/>
    </xf>
    <xf numFmtId="0" fontId="14" fillId="5" borderId="6" xfId="0" applyFont="1" applyFill="1" applyBorder="1"/>
    <xf numFmtId="176" fontId="14" fillId="5" borderId="6" xfId="2" applyNumberFormat="1" applyFont="1" applyFill="1" applyBorder="1"/>
    <xf numFmtId="43" fontId="8" fillId="5" borderId="6" xfId="2" applyNumberFormat="1" applyFont="1" applyFill="1" applyBorder="1"/>
    <xf numFmtId="176" fontId="8" fillId="5" borderId="6" xfId="0" applyNumberFormat="1" applyFont="1" applyFill="1" applyBorder="1"/>
    <xf numFmtId="0" fontId="3" fillId="5" borderId="1" xfId="0" applyFont="1" applyFill="1" applyBorder="1"/>
    <xf numFmtId="0" fontId="8" fillId="5" borderId="1" xfId="0" applyFont="1" applyFill="1" applyBorder="1" applyAlignment="1">
      <alignment horizontal="center"/>
    </xf>
    <xf numFmtId="0" fontId="14" fillId="5" borderId="1" xfId="0" applyFont="1" applyFill="1" applyBorder="1"/>
    <xf numFmtId="176" fontId="14" fillId="5" borderId="1" xfId="2" applyNumberFormat="1" applyFont="1" applyFill="1" applyBorder="1"/>
    <xf numFmtId="43" fontId="8" fillId="5" borderId="1" xfId="2" applyNumberFormat="1" applyFont="1" applyFill="1" applyBorder="1"/>
    <xf numFmtId="176" fontId="8" fillId="5" borderId="1" xfId="0" applyNumberFormat="1" applyFont="1" applyFill="1" applyBorder="1"/>
    <xf numFmtId="176" fontId="8" fillId="5" borderId="5" xfId="2" applyNumberFormat="1" applyFont="1" applyFill="1" applyBorder="1"/>
    <xf numFmtId="0" fontId="3" fillId="5" borderId="5" xfId="0" applyFont="1" applyFill="1" applyBorder="1"/>
    <xf numFmtId="0" fontId="8" fillId="5" borderId="5" xfId="0" applyFont="1" applyFill="1" applyBorder="1" applyAlignment="1">
      <alignment horizontal="center"/>
    </xf>
    <xf numFmtId="0" fontId="14" fillId="5" borderId="5" xfId="0" applyFont="1" applyFill="1" applyBorder="1"/>
    <xf numFmtId="176" fontId="14" fillId="5" borderId="5" xfId="2" applyNumberFormat="1" applyFont="1" applyFill="1" applyBorder="1"/>
    <xf numFmtId="43" fontId="8" fillId="5" borderId="5" xfId="2" applyNumberFormat="1" applyFont="1" applyFill="1" applyBorder="1"/>
    <xf numFmtId="176" fontId="8" fillId="5" borderId="5" xfId="0" applyNumberFormat="1" applyFont="1" applyFill="1" applyBorder="1"/>
    <xf numFmtId="0" fontId="2" fillId="5" borderId="13" xfId="0" applyFont="1" applyFill="1" applyBorder="1"/>
    <xf numFmtId="0" fontId="2" fillId="5" borderId="13" xfId="0" applyFont="1" applyFill="1" applyBorder="1" applyAlignment="1">
      <alignment horizontal="center"/>
    </xf>
    <xf numFmtId="179" fontId="3" fillId="5" borderId="6" xfId="0" applyNumberFormat="1" applyFont="1" applyFill="1" applyBorder="1" applyAlignment="1">
      <alignment horizontal="right"/>
    </xf>
    <xf numFmtId="179" fontId="3" fillId="5" borderId="9" xfId="0" applyNumberFormat="1" applyFont="1" applyFill="1" applyBorder="1" applyAlignment="1">
      <alignment horizontal="right"/>
    </xf>
    <xf numFmtId="179" fontId="3" fillId="5" borderId="1" xfId="0" applyNumberFormat="1" applyFont="1" applyFill="1" applyBorder="1"/>
    <xf numFmtId="179" fontId="3" fillId="5" borderId="1" xfId="2" applyNumberFormat="1" applyFont="1" applyFill="1" applyBorder="1"/>
    <xf numFmtId="3" fontId="3" fillId="5" borderId="4" xfId="2" applyNumberFormat="1" applyFont="1" applyFill="1" applyBorder="1"/>
    <xf numFmtId="179" fontId="3" fillId="5" borderId="10" xfId="0" applyNumberFormat="1" applyFont="1" applyFill="1" applyBorder="1" applyAlignment="1">
      <alignment horizontal="right"/>
    </xf>
    <xf numFmtId="3" fontId="3" fillId="5" borderId="30" xfId="0" applyNumberFormat="1" applyFont="1" applyFill="1" applyBorder="1"/>
    <xf numFmtId="179" fontId="3" fillId="5" borderId="3" xfId="0" applyNumberFormat="1" applyFont="1" applyFill="1" applyBorder="1" applyAlignment="1">
      <alignment horizontal="right"/>
    </xf>
    <xf numFmtId="179" fontId="3" fillId="5" borderId="2" xfId="0" applyNumberFormat="1" applyFont="1" applyFill="1" applyBorder="1"/>
    <xf numFmtId="179" fontId="3" fillId="5" borderId="2" xfId="2" applyNumberFormat="1" applyFont="1" applyFill="1" applyBorder="1"/>
    <xf numFmtId="2" fontId="3" fillId="5" borderId="16" xfId="0" applyNumberFormat="1" applyFont="1" applyFill="1" applyBorder="1"/>
    <xf numFmtId="1" fontId="3" fillId="5" borderId="16" xfId="2" applyNumberFormat="1" applyFont="1" applyFill="1" applyBorder="1"/>
    <xf numFmtId="182" fontId="8" fillId="5" borderId="6" xfId="2" applyNumberFormat="1" applyFont="1" applyFill="1" applyBorder="1"/>
    <xf numFmtId="182" fontId="8" fillId="5" borderId="1" xfId="2" applyNumberFormat="1" applyFont="1" applyFill="1" applyBorder="1"/>
    <xf numFmtId="182" fontId="8" fillId="5" borderId="5" xfId="2" applyNumberFormat="1" applyFont="1" applyFill="1" applyBorder="1"/>
    <xf numFmtId="182" fontId="8" fillId="5" borderId="0" xfId="2" applyNumberFormat="1" applyFont="1" applyFill="1" applyBorder="1"/>
    <xf numFmtId="176" fontId="8" fillId="5" borderId="0" xfId="0" applyNumberFormat="1" applyFont="1" applyFill="1" applyBorder="1" applyAlignment="1">
      <alignment horizontal="center"/>
    </xf>
    <xf numFmtId="3" fontId="8" fillId="5" borderId="0" xfId="0" applyNumberFormat="1" applyFont="1" applyFill="1" applyBorder="1"/>
    <xf numFmtId="182" fontId="3" fillId="5" borderId="6" xfId="2" applyNumberFormat="1" applyFont="1" applyFill="1" applyBorder="1" applyAlignment="1">
      <alignment horizontal="center"/>
    </xf>
    <xf numFmtId="181" fontId="3" fillId="5" borderId="6" xfId="0" applyNumberFormat="1" applyFont="1" applyFill="1" applyBorder="1" applyAlignment="1">
      <alignment horizontal="right"/>
    </xf>
    <xf numFmtId="182" fontId="3" fillId="5" borderId="1" xfId="2" applyNumberFormat="1" applyFont="1" applyFill="1" applyBorder="1" applyAlignment="1">
      <alignment horizontal="center"/>
    </xf>
    <xf numFmtId="181" fontId="3" fillId="5" borderId="4" xfId="0" applyNumberFormat="1" applyFont="1" applyFill="1" applyBorder="1"/>
    <xf numFmtId="176" fontId="16" fillId="5" borderId="16" xfId="2" applyNumberFormat="1" applyFont="1" applyFill="1" applyBorder="1"/>
    <xf numFmtId="176" fontId="8" fillId="5" borderId="6" xfId="0" applyNumberFormat="1" applyFont="1" applyFill="1" applyBorder="1" applyAlignment="1">
      <alignment horizontal="center"/>
    </xf>
    <xf numFmtId="0" fontId="8" fillId="5" borderId="6" xfId="0" applyFont="1" applyFill="1" applyBorder="1"/>
    <xf numFmtId="0" fontId="8" fillId="5" borderId="5" xfId="0" applyFont="1" applyFill="1" applyBorder="1"/>
    <xf numFmtId="3" fontId="8" fillId="5" borderId="6" xfId="0" applyNumberFormat="1" applyFont="1" applyFill="1" applyBorder="1"/>
    <xf numFmtId="176" fontId="8" fillId="5" borderId="1" xfId="0" applyNumberFormat="1" applyFont="1" applyFill="1" applyBorder="1" applyAlignment="1">
      <alignment horizontal="center"/>
    </xf>
    <xf numFmtId="0" fontId="8" fillId="5" borderId="1" xfId="0" applyFont="1" applyFill="1" applyBorder="1"/>
    <xf numFmtId="3" fontId="8" fillId="5" borderId="1" xfId="0" applyNumberFormat="1" applyFont="1" applyFill="1" applyBorder="1"/>
    <xf numFmtId="176" fontId="8" fillId="5" borderId="5" xfId="0" applyNumberFormat="1" applyFont="1" applyFill="1" applyBorder="1" applyAlignment="1">
      <alignment horizontal="center"/>
    </xf>
    <xf numFmtId="3" fontId="8" fillId="5" borderId="5" xfId="0" applyNumberFormat="1" applyFont="1" applyFill="1" applyBorder="1"/>
    <xf numFmtId="181" fontId="3" fillId="5" borderId="1" xfId="0" applyNumberFormat="1" applyFont="1" applyFill="1" applyBorder="1"/>
    <xf numFmtId="178" fontId="14" fillId="5" borderId="0" xfId="0" applyNumberFormat="1" applyFont="1" applyFill="1"/>
    <xf numFmtId="0" fontId="14" fillId="5" borderId="2" xfId="0" applyFont="1" applyFill="1" applyBorder="1"/>
    <xf numFmtId="176" fontId="14" fillId="5" borderId="2" xfId="2" applyNumberFormat="1" applyFont="1" applyFill="1" applyBorder="1"/>
    <xf numFmtId="0" fontId="8" fillId="5" borderId="2" xfId="0" applyFont="1" applyFill="1" applyBorder="1"/>
    <xf numFmtId="176" fontId="8" fillId="5" borderId="2" xfId="0" applyNumberFormat="1" applyFont="1" applyFill="1" applyBorder="1"/>
    <xf numFmtId="3" fontId="8" fillId="5" borderId="2" xfId="0" applyNumberFormat="1" applyFont="1" applyFill="1" applyBorder="1"/>
    <xf numFmtId="43" fontId="3" fillId="5" borderId="1" xfId="2" applyNumberFormat="1" applyFont="1" applyFill="1" applyBorder="1" applyAlignment="1">
      <alignment horizontal="center"/>
    </xf>
    <xf numFmtId="181" fontId="3" fillId="5" borderId="1" xfId="2" applyNumberFormat="1" applyFont="1" applyFill="1" applyBorder="1"/>
    <xf numFmtId="43" fontId="8" fillId="5" borderId="16" xfId="0" applyNumberFormat="1" applyFont="1" applyFill="1" applyBorder="1"/>
    <xf numFmtId="43" fontId="8" fillId="5" borderId="16" xfId="2" applyNumberFormat="1" applyFont="1" applyFill="1" applyBorder="1" applyAlignment="1">
      <alignment horizontal="center"/>
    </xf>
    <xf numFmtId="43" fontId="8" fillId="5" borderId="16" xfId="2" applyNumberFormat="1" applyFont="1" applyFill="1" applyBorder="1"/>
    <xf numFmtId="49" fontId="3" fillId="5" borderId="0" xfId="0" applyNumberFormat="1" applyFont="1" applyFill="1" applyBorder="1" applyAlignment="1">
      <alignment horizontal="left" wrapText="1"/>
    </xf>
    <xf numFmtId="177" fontId="3" fillId="5" borderId="9" xfId="0" applyNumberFormat="1" applyFont="1" applyFill="1" applyBorder="1" applyAlignment="1">
      <alignment horizontal="right"/>
    </xf>
    <xf numFmtId="177" fontId="3" fillId="5" borderId="10" xfId="0" applyNumberFormat="1" applyFont="1" applyFill="1" applyBorder="1" applyAlignment="1">
      <alignment horizontal="right"/>
    </xf>
    <xf numFmtId="176" fontId="3" fillId="5" borderId="31" xfId="2" applyNumberFormat="1" applyFont="1" applyFill="1" applyBorder="1" applyAlignment="1">
      <alignment horizontal="center"/>
    </xf>
    <xf numFmtId="171" fontId="14" fillId="5" borderId="0" xfId="0" applyNumberFormat="1" applyFont="1" applyFill="1"/>
    <xf numFmtId="49" fontId="20" fillId="5" borderId="13" xfId="0" applyNumberFormat="1" applyFont="1" applyFill="1" applyBorder="1"/>
    <xf numFmtId="4" fontId="3" fillId="5" borderId="1" xfId="2" applyNumberFormat="1" applyFont="1" applyFill="1" applyBorder="1"/>
    <xf numFmtId="176" fontId="8" fillId="5" borderId="9" xfId="2" applyNumberFormat="1" applyFont="1" applyFill="1" applyBorder="1" applyAlignment="1">
      <alignment horizontal="center" vertical="center" wrapText="1"/>
    </xf>
    <xf numFmtId="1" fontId="3" fillId="5" borderId="3" xfId="2" applyNumberFormat="1" applyFont="1" applyFill="1" applyBorder="1"/>
    <xf numFmtId="0" fontId="14" fillId="5" borderId="15" xfId="0" applyFont="1" applyFill="1" applyBorder="1"/>
    <xf numFmtId="1" fontId="3" fillId="5" borderId="1" xfId="2" applyNumberFormat="1" applyFont="1" applyFill="1" applyBorder="1"/>
    <xf numFmtId="0" fontId="14" fillId="5" borderId="7" xfId="0" applyFont="1" applyFill="1" applyBorder="1"/>
    <xf numFmtId="0" fontId="52" fillId="5" borderId="0" xfId="0" applyFont="1" applyFill="1"/>
    <xf numFmtId="0" fontId="32" fillId="0" borderId="9"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13" fillId="0" borderId="0" xfId="0" applyNumberFormat="1" applyFont="1" applyFill="1" applyBorder="1" applyAlignment="1">
      <alignment horizontal="justify" vertical="center" wrapText="1"/>
    </xf>
    <xf numFmtId="49" fontId="36" fillId="0" borderId="16" xfId="0" applyNumberFormat="1" applyFont="1" applyFill="1" applyBorder="1" applyAlignment="1">
      <alignment horizontal="justify" vertical="center" wrapText="1"/>
    </xf>
    <xf numFmtId="0" fontId="76" fillId="0" borderId="16" xfId="0"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42" fillId="0" borderId="16" xfId="0" applyFont="1" applyFill="1" applyBorder="1" applyAlignment="1">
      <alignment horizontal="center" vertical="center" wrapText="1"/>
    </xf>
    <xf numFmtId="0" fontId="20" fillId="0" borderId="0" xfId="0" applyNumberFormat="1" applyFont="1" applyFill="1" applyBorder="1" applyAlignment="1">
      <alignment horizontal="left" vertical="center" wrapText="1"/>
    </xf>
    <xf numFmtId="0" fontId="54" fillId="0" borderId="16" xfId="0" applyFont="1" applyFill="1" applyBorder="1" applyAlignment="1">
      <alignment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32" fillId="0" borderId="16" xfId="0" applyNumberFormat="1" applyFont="1" applyFill="1" applyBorder="1" applyAlignment="1">
      <alignment horizontal="justify" vertical="center" wrapText="1"/>
    </xf>
    <xf numFmtId="49" fontId="32" fillId="0" borderId="16" xfId="0" applyNumberFormat="1"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1" xfId="0" applyFont="1" applyFill="1" applyBorder="1" applyAlignment="1">
      <alignment horizontal="center" vertical="center" wrapText="1"/>
    </xf>
    <xf numFmtId="49" fontId="3" fillId="0" borderId="0" xfId="0" applyNumberFormat="1" applyFont="1" applyFill="1" applyAlignment="1">
      <alignment vertical="center" wrapText="1"/>
    </xf>
    <xf numFmtId="0" fontId="35" fillId="0" borderId="0" xfId="0" applyFont="1" applyFill="1"/>
    <xf numFmtId="0" fontId="62" fillId="0" borderId="0" xfId="0" applyFont="1" applyFill="1"/>
    <xf numFmtId="188" fontId="32" fillId="0" borderId="16" xfId="0" applyNumberFormat="1" applyFont="1" applyFill="1" applyBorder="1" applyAlignment="1">
      <alignment horizontal="center" vertical="center" wrapText="1"/>
    </xf>
    <xf numFmtId="49" fontId="32" fillId="0" borderId="16" xfId="0" applyNumberFormat="1" applyFont="1" applyFill="1" applyBorder="1" applyAlignment="1">
      <alignment horizontal="left" vertical="center" wrapText="1"/>
    </xf>
    <xf numFmtId="0" fontId="35" fillId="0" borderId="0" xfId="0" applyFont="1" applyFill="1" applyAlignment="1">
      <alignment vertical="center" wrapText="1"/>
    </xf>
    <xf numFmtId="0" fontId="13" fillId="0" borderId="0" xfId="0" applyFont="1" applyFill="1" applyAlignment="1">
      <alignment vertical="center" wrapText="1"/>
    </xf>
    <xf numFmtId="0" fontId="62" fillId="0" borderId="0" xfId="0" applyFont="1" applyFill="1" applyAlignment="1">
      <alignment vertical="center" wrapText="1"/>
    </xf>
    <xf numFmtId="3" fontId="42" fillId="0" borderId="16" xfId="0" applyNumberFormat="1" applyFont="1" applyFill="1" applyBorder="1" applyAlignment="1">
      <alignment horizontal="right" vertical="center" wrapText="1"/>
    </xf>
    <xf numFmtId="4" fontId="75" fillId="0" borderId="16" xfId="0" applyNumberFormat="1" applyFont="1" applyFill="1" applyBorder="1" applyAlignment="1">
      <alignment vertical="center" wrapText="1"/>
    </xf>
    <xf numFmtId="3" fontId="75" fillId="0" borderId="16" xfId="0" applyNumberFormat="1" applyFont="1" applyFill="1" applyBorder="1" applyAlignment="1">
      <alignment vertical="center" wrapText="1"/>
    </xf>
    <xf numFmtId="3" fontId="62" fillId="0" borderId="0" xfId="0" applyNumberFormat="1" applyFont="1" applyFill="1" applyAlignment="1">
      <alignment vertical="center" wrapText="1"/>
    </xf>
    <xf numFmtId="4" fontId="42" fillId="0" borderId="16" xfId="0" applyNumberFormat="1" applyFont="1" applyFill="1" applyBorder="1" applyAlignment="1">
      <alignment horizontal="right" vertical="center" wrapText="1"/>
    </xf>
    <xf numFmtId="1" fontId="32" fillId="0" borderId="0" xfId="0" applyNumberFormat="1" applyFont="1" applyFill="1" applyAlignment="1">
      <alignment vertical="center" wrapText="1"/>
    </xf>
    <xf numFmtId="0" fontId="20" fillId="0" borderId="0" xfId="0" applyFont="1" applyFill="1" applyAlignment="1">
      <alignment vertical="center" wrapText="1"/>
    </xf>
    <xf numFmtId="2" fontId="32" fillId="0" borderId="0" xfId="0" applyNumberFormat="1" applyFont="1" applyFill="1" applyAlignment="1">
      <alignment vertical="center" wrapText="1"/>
    </xf>
    <xf numFmtId="0" fontId="20" fillId="0" borderId="16" xfId="0" applyFont="1" applyFill="1" applyBorder="1" applyAlignment="1">
      <alignment horizontal="center" vertical="center" wrapText="1"/>
    </xf>
    <xf numFmtId="0" fontId="20" fillId="0" borderId="16" xfId="0" applyFont="1" applyFill="1" applyBorder="1" applyAlignment="1">
      <alignment horizontal="left" vertical="center" wrapText="1"/>
    </xf>
    <xf numFmtId="188" fontId="42" fillId="0" borderId="16" xfId="0" applyNumberFormat="1" applyFont="1" applyFill="1" applyBorder="1" applyAlignment="1">
      <alignment horizontal="center" vertical="center" wrapText="1"/>
    </xf>
    <xf numFmtId="0" fontId="75" fillId="0" borderId="16" xfId="0" applyFont="1" applyFill="1" applyBorder="1" applyAlignment="1">
      <alignment horizontal="center" vertical="center" wrapText="1"/>
    </xf>
    <xf numFmtId="0" fontId="32" fillId="0" borderId="0" xfId="0" applyFont="1" applyFill="1" applyAlignment="1">
      <alignment vertical="center" wrapText="1"/>
    </xf>
    <xf numFmtId="0" fontId="63" fillId="0" borderId="0" xfId="0" applyFont="1" applyFill="1" applyAlignment="1">
      <alignment vertical="center" wrapText="1"/>
    </xf>
    <xf numFmtId="0" fontId="38" fillId="0" borderId="0" xfId="0" applyFont="1" applyFill="1" applyAlignment="1">
      <alignment vertical="center" wrapText="1"/>
    </xf>
    <xf numFmtId="3" fontId="38" fillId="0" borderId="0" xfId="0" applyNumberFormat="1" applyFont="1" applyFill="1" applyAlignment="1">
      <alignment vertical="center" wrapText="1"/>
    </xf>
    <xf numFmtId="49" fontId="76" fillId="0" borderId="16" xfId="0" applyNumberFormat="1" applyFont="1" applyFill="1" applyBorder="1" applyAlignment="1">
      <alignment horizontal="center" vertical="center" wrapText="1"/>
    </xf>
    <xf numFmtId="3" fontId="77" fillId="0" borderId="16" xfId="0" applyNumberFormat="1" applyFont="1" applyFill="1" applyBorder="1" applyAlignment="1">
      <alignment vertical="center" wrapText="1"/>
    </xf>
    <xf numFmtId="188" fontId="25" fillId="0" borderId="16" xfId="0" applyNumberFormat="1" applyFont="1" applyFill="1" applyBorder="1" applyAlignment="1">
      <alignment horizontal="center" vertical="center" wrapText="1"/>
    </xf>
    <xf numFmtId="4" fontId="77" fillId="0" borderId="16" xfId="0" applyNumberFormat="1" applyFont="1" applyFill="1" applyBorder="1" applyAlignment="1">
      <alignment vertical="center" wrapText="1"/>
    </xf>
    <xf numFmtId="1" fontId="38" fillId="0" borderId="0" xfId="0" applyNumberFormat="1" applyFont="1" applyFill="1" applyAlignment="1">
      <alignment vertical="center" wrapText="1"/>
    </xf>
    <xf numFmtId="180" fontId="48" fillId="0" borderId="16" xfId="0" applyNumberFormat="1" applyFont="1" applyFill="1" applyBorder="1" applyAlignment="1">
      <alignment vertical="center" wrapText="1"/>
    </xf>
    <xf numFmtId="4" fontId="48" fillId="0" borderId="16" xfId="0" applyNumberFormat="1" applyFont="1" applyFill="1" applyBorder="1" applyAlignment="1">
      <alignment vertical="center" wrapText="1"/>
    </xf>
    <xf numFmtId="192" fontId="48" fillId="0" borderId="16" xfId="2" applyNumberFormat="1" applyFont="1" applyFill="1" applyBorder="1" applyAlignment="1">
      <alignment vertical="center" wrapText="1"/>
    </xf>
    <xf numFmtId="3" fontId="78" fillId="0" borderId="16" xfId="0" applyNumberFormat="1" applyFont="1" applyFill="1" applyBorder="1" applyAlignment="1">
      <alignment vertical="center" wrapText="1"/>
    </xf>
    <xf numFmtId="4" fontId="59" fillId="0" borderId="16" xfId="0" applyNumberFormat="1" applyFont="1" applyFill="1" applyBorder="1" applyAlignment="1">
      <alignment vertical="center" wrapText="1"/>
    </xf>
    <xf numFmtId="0" fontId="55" fillId="0" borderId="16" xfId="0" applyFont="1" applyFill="1" applyBorder="1" applyAlignment="1">
      <alignment vertical="center" wrapText="1"/>
    </xf>
    <xf numFmtId="0" fontId="55" fillId="0" borderId="16" xfId="0" applyFont="1" applyFill="1" applyBorder="1" applyAlignment="1">
      <alignment horizontal="center" vertical="center" wrapText="1"/>
    </xf>
    <xf numFmtId="3" fontId="79" fillId="0" borderId="16" xfId="0" applyNumberFormat="1" applyFont="1" applyFill="1" applyBorder="1" applyAlignment="1">
      <alignment vertical="center" wrapText="1"/>
    </xf>
    <xf numFmtId="3" fontId="50" fillId="0" borderId="16" xfId="0" applyNumberFormat="1" applyFont="1" applyFill="1" applyBorder="1" applyAlignment="1">
      <alignment vertical="center" wrapText="1"/>
    </xf>
    <xf numFmtId="0" fontId="80" fillId="0" borderId="0" xfId="0" applyFont="1" applyFill="1" applyAlignment="1">
      <alignment horizontal="center" vertical="center" wrapText="1"/>
    </xf>
    <xf numFmtId="179" fontId="48" fillId="0" borderId="16" xfId="0" applyNumberFormat="1" applyFont="1" applyFill="1" applyBorder="1" applyAlignment="1">
      <alignment vertical="center" wrapText="1"/>
    </xf>
    <xf numFmtId="0" fontId="72" fillId="0" borderId="16" xfId="0" applyFont="1" applyFill="1" applyBorder="1" applyAlignment="1">
      <alignment horizontal="center" vertical="center" wrapText="1"/>
    </xf>
    <xf numFmtId="0" fontId="72" fillId="0" borderId="16" xfId="0" applyFont="1" applyFill="1" applyBorder="1" applyAlignment="1">
      <alignment vertical="center" wrapText="1"/>
    </xf>
    <xf numFmtId="0" fontId="81" fillId="0" borderId="16" xfId="0" applyFont="1" applyFill="1" applyBorder="1" applyAlignment="1">
      <alignment horizontal="center" vertical="center" wrapText="1"/>
    </xf>
    <xf numFmtId="49" fontId="81" fillId="0" borderId="16" xfId="0" applyNumberFormat="1" applyFont="1" applyFill="1" applyBorder="1" applyAlignment="1">
      <alignment horizontal="center" vertical="center" wrapText="1"/>
    </xf>
    <xf numFmtId="3" fontId="82" fillId="0" borderId="16" xfId="0" applyNumberFormat="1" applyFont="1" applyFill="1" applyBorder="1" applyAlignment="1">
      <alignment vertical="center" wrapText="1"/>
    </xf>
    <xf numFmtId="188" fontId="81" fillId="0" borderId="16" xfId="0" applyNumberFormat="1" applyFont="1" applyFill="1" applyBorder="1" applyAlignment="1">
      <alignment horizontal="center" vertical="center" wrapText="1"/>
    </xf>
    <xf numFmtId="4" fontId="82" fillId="0" borderId="16" xfId="0" applyNumberFormat="1" applyFont="1" applyFill="1" applyBorder="1" applyAlignment="1">
      <alignment vertical="center" wrapText="1"/>
    </xf>
    <xf numFmtId="4" fontId="83" fillId="0" borderId="16" xfId="0" applyNumberFormat="1" applyFont="1" applyFill="1" applyBorder="1" applyAlignment="1">
      <alignment vertical="center" wrapText="1"/>
    </xf>
    <xf numFmtId="3" fontId="83" fillId="0" borderId="16" xfId="0" applyNumberFormat="1" applyFont="1" applyFill="1" applyBorder="1" applyAlignment="1">
      <alignment vertical="center" wrapText="1"/>
    </xf>
    <xf numFmtId="1" fontId="74" fillId="0" borderId="0" xfId="0" applyNumberFormat="1" applyFont="1" applyFill="1" applyAlignment="1">
      <alignment vertical="center" wrapText="1"/>
    </xf>
    <xf numFmtId="4" fontId="73" fillId="0" borderId="16" xfId="0" applyNumberFormat="1" applyFont="1" applyFill="1" applyBorder="1" applyAlignment="1">
      <alignment vertical="center" wrapText="1"/>
    </xf>
    <xf numFmtId="0" fontId="71" fillId="0" borderId="0" xfId="0" applyFont="1" applyFill="1" applyAlignment="1">
      <alignment vertical="center" wrapText="1"/>
    </xf>
    <xf numFmtId="49" fontId="21" fillId="0" borderId="0" xfId="0" applyNumberFormat="1" applyFont="1" applyFill="1" applyBorder="1" applyAlignment="1">
      <alignment vertical="center" wrapText="1"/>
    </xf>
    <xf numFmtId="1" fontId="32" fillId="0" borderId="0" xfId="0" applyNumberFormat="1" applyFont="1" applyFill="1"/>
    <xf numFmtId="49" fontId="32" fillId="0" borderId="16" xfId="0" applyNumberFormat="1" applyFont="1" applyFill="1" applyBorder="1" applyAlignment="1">
      <alignment horizontal="justify" vertical="center" wrapText="1"/>
    </xf>
    <xf numFmtId="4" fontId="32" fillId="0" borderId="16" xfId="0" applyNumberFormat="1" applyFont="1" applyFill="1" applyBorder="1" applyAlignment="1">
      <alignment horizontal="center" vertical="center" wrapText="1"/>
    </xf>
    <xf numFmtId="2" fontId="32" fillId="0" borderId="0" xfId="0" applyNumberFormat="1" applyFont="1" applyFill="1"/>
    <xf numFmtId="0" fontId="20" fillId="0" borderId="0" xfId="0" applyFont="1" applyFill="1"/>
    <xf numFmtId="0" fontId="36" fillId="0" borderId="16" xfId="0" applyFont="1" applyFill="1" applyBorder="1" applyAlignment="1">
      <alignment horizontal="center" vertical="center" wrapText="1"/>
    </xf>
    <xf numFmtId="3" fontId="36" fillId="0" borderId="16" xfId="0" applyNumberFormat="1" applyFont="1" applyFill="1" applyBorder="1" applyAlignment="1">
      <alignment vertical="center" wrapText="1"/>
    </xf>
    <xf numFmtId="4" fontId="36" fillId="0" borderId="16" xfId="0" applyNumberFormat="1" applyFont="1" applyFill="1" applyBorder="1" applyAlignment="1">
      <alignment vertical="center" wrapText="1"/>
    </xf>
    <xf numFmtId="0" fontId="32" fillId="0" borderId="0" xfId="0" applyFont="1" applyFill="1"/>
    <xf numFmtId="0" fontId="63" fillId="0" borderId="0" xfId="0" applyFont="1" applyFill="1"/>
    <xf numFmtId="0" fontId="48" fillId="0" borderId="16" xfId="0" applyFont="1" applyFill="1" applyBorder="1" applyAlignment="1">
      <alignment horizontal="center" vertical="center" wrapText="1"/>
    </xf>
    <xf numFmtId="3" fontId="35" fillId="0" borderId="16" xfId="0" applyNumberFormat="1" applyFont="1" applyFill="1" applyBorder="1" applyAlignment="1">
      <alignment vertical="center" wrapText="1"/>
    </xf>
    <xf numFmtId="3" fontId="37" fillId="0" borderId="16" xfId="0" applyNumberFormat="1" applyFont="1" applyFill="1" applyBorder="1" applyAlignment="1">
      <alignment vertical="center" wrapText="1"/>
    </xf>
    <xf numFmtId="0" fontId="38" fillId="0" borderId="0" xfId="0" applyFont="1" applyFill="1"/>
    <xf numFmtId="49" fontId="54" fillId="0" borderId="16" xfId="0" applyNumberFormat="1" applyFont="1" applyFill="1" applyBorder="1" applyAlignment="1">
      <alignment horizontal="center" vertical="center" wrapText="1"/>
    </xf>
    <xf numFmtId="4" fontId="35" fillId="0" borderId="16" xfId="0" applyNumberFormat="1" applyFont="1" applyFill="1" applyBorder="1" applyAlignment="1">
      <alignment vertical="center"/>
    </xf>
    <xf numFmtId="3" fontId="38" fillId="0" borderId="16" xfId="0" applyNumberFormat="1" applyFont="1" applyFill="1" applyBorder="1" applyAlignment="1">
      <alignment vertical="center" wrapText="1"/>
    </xf>
    <xf numFmtId="4" fontId="38" fillId="0" borderId="16" xfId="0" applyNumberFormat="1" applyFont="1" applyFill="1" applyBorder="1" applyAlignment="1">
      <alignment vertical="center"/>
    </xf>
    <xf numFmtId="0" fontId="64" fillId="0" borderId="0" xfId="0" applyFont="1" applyFill="1"/>
    <xf numFmtId="188" fontId="36" fillId="0" borderId="16" xfId="0" applyNumberFormat="1" applyFont="1" applyFill="1" applyBorder="1" applyAlignment="1">
      <alignment vertical="center" wrapText="1"/>
    </xf>
    <xf numFmtId="0" fontId="36" fillId="0" borderId="0" xfId="0" applyFont="1" applyFill="1"/>
    <xf numFmtId="0" fontId="65" fillId="0" borderId="0" xfId="0" applyFont="1" applyFill="1"/>
    <xf numFmtId="188" fontId="37" fillId="0" borderId="16" xfId="0" applyNumberFormat="1" applyFont="1" applyFill="1" applyBorder="1" applyAlignment="1">
      <alignment vertical="center" wrapText="1"/>
    </xf>
    <xf numFmtId="188" fontId="20" fillId="0" borderId="16" xfId="0" applyNumberFormat="1" applyFont="1" applyFill="1" applyBorder="1" applyAlignment="1">
      <alignment vertical="center" wrapText="1"/>
    </xf>
    <xf numFmtId="4" fontId="13" fillId="0" borderId="16" xfId="0" applyNumberFormat="1" applyFont="1" applyFill="1" applyBorder="1" applyAlignment="1">
      <alignment vertical="center" wrapText="1"/>
    </xf>
    <xf numFmtId="188" fontId="13" fillId="0" borderId="16" xfId="0" applyNumberFormat="1" applyFont="1" applyFill="1" applyBorder="1" applyAlignment="1">
      <alignment vertical="center" wrapText="1"/>
    </xf>
    <xf numFmtId="3" fontId="13" fillId="0" borderId="16" xfId="0" applyNumberFormat="1" applyFont="1" applyFill="1" applyBorder="1" applyAlignment="1">
      <alignment vertical="center" wrapText="1"/>
    </xf>
    <xf numFmtId="0" fontId="13" fillId="0" borderId="16" xfId="0" applyFont="1" applyFill="1" applyBorder="1" applyAlignment="1">
      <alignment vertical="center" wrapText="1"/>
    </xf>
    <xf numFmtId="3" fontId="36" fillId="0" borderId="16" xfId="0" applyNumberFormat="1" applyFont="1" applyFill="1" applyBorder="1" applyAlignment="1">
      <alignment horizontal="right" vertical="center" wrapText="1"/>
    </xf>
    <xf numFmtId="3" fontId="37" fillId="0" borderId="16" xfId="0" applyNumberFormat="1" applyFont="1" applyFill="1" applyBorder="1" applyAlignment="1">
      <alignment horizontal="right" vertical="center" wrapText="1"/>
    </xf>
    <xf numFmtId="0" fontId="66" fillId="0" borderId="0" xfId="0" applyFont="1" applyFill="1"/>
    <xf numFmtId="180" fontId="38" fillId="0" borderId="16" xfId="0" applyNumberFormat="1" applyFont="1" applyFill="1" applyBorder="1" applyAlignment="1">
      <alignment vertical="center"/>
    </xf>
    <xf numFmtId="3" fontId="20" fillId="0" borderId="16" xfId="0" applyNumberFormat="1" applyFont="1" applyFill="1" applyBorder="1" applyAlignment="1">
      <alignment vertical="center" wrapText="1"/>
    </xf>
    <xf numFmtId="3" fontId="20" fillId="0" borderId="16" xfId="0" applyNumberFormat="1" applyFont="1" applyFill="1" applyBorder="1" applyAlignment="1">
      <alignment vertical="center"/>
    </xf>
    <xf numFmtId="0" fontId="57" fillId="0" borderId="0" xfId="0" applyFont="1" applyFill="1" applyBorder="1" applyAlignment="1">
      <alignment horizontal="center" wrapText="1"/>
    </xf>
    <xf numFmtId="0" fontId="57" fillId="0" borderId="0" xfId="0" applyFont="1" applyFill="1" applyBorder="1" applyAlignment="1">
      <alignment wrapText="1"/>
    </xf>
    <xf numFmtId="16" fontId="57" fillId="0" borderId="0" xfId="0" applyNumberFormat="1" applyFont="1" applyFill="1" applyBorder="1" applyAlignment="1">
      <alignment horizontal="center" wrapText="1"/>
    </xf>
    <xf numFmtId="0" fontId="11" fillId="0" borderId="0" xfId="0" applyFont="1" applyFill="1"/>
    <xf numFmtId="3" fontId="48" fillId="0" borderId="16" xfId="0" applyNumberFormat="1" applyFont="1" applyFill="1" applyBorder="1" applyAlignment="1">
      <alignment vertical="center" wrapText="1"/>
    </xf>
    <xf numFmtId="49" fontId="54" fillId="0" borderId="16" xfId="7" applyNumberFormat="1" applyFont="1" applyFill="1" applyBorder="1" applyAlignment="1">
      <alignment horizontal="center" vertical="center" wrapText="1"/>
    </xf>
    <xf numFmtId="181" fontId="36" fillId="0" borderId="16" xfId="0" applyNumberFormat="1" applyFont="1" applyFill="1" applyBorder="1" applyAlignment="1">
      <alignment vertical="center"/>
    </xf>
    <xf numFmtId="0" fontId="54" fillId="0" borderId="16" xfId="7" applyFont="1" applyFill="1" applyBorder="1" applyAlignment="1">
      <alignment horizontal="center" vertical="center" wrapText="1"/>
    </xf>
    <xf numFmtId="0" fontId="55" fillId="0" borderId="11" xfId="0" applyFont="1" applyFill="1" applyBorder="1" applyAlignment="1">
      <alignment vertical="center" wrapText="1"/>
    </xf>
    <xf numFmtId="3" fontId="36" fillId="0" borderId="11" xfId="0" applyNumberFormat="1" applyFont="1" applyFill="1" applyBorder="1" applyAlignment="1">
      <alignment horizontal="center" vertical="center" wrapText="1"/>
    </xf>
    <xf numFmtId="3" fontId="36" fillId="0" borderId="11" xfId="0" applyNumberFormat="1" applyFont="1" applyFill="1" applyBorder="1" applyAlignment="1">
      <alignment vertical="center" wrapText="1"/>
    </xf>
    <xf numFmtId="183" fontId="36" fillId="0" borderId="11" xfId="0" applyNumberFormat="1" applyFont="1" applyFill="1" applyBorder="1" applyAlignment="1">
      <alignment vertical="center"/>
    </xf>
    <xf numFmtId="3" fontId="48" fillId="0" borderId="16" xfId="0" applyNumberFormat="1" applyFont="1" applyFill="1" applyBorder="1" applyAlignment="1">
      <alignment horizontal="center" vertical="center" wrapText="1"/>
    </xf>
    <xf numFmtId="183" fontId="36" fillId="0" borderId="16" xfId="0" applyNumberFormat="1" applyFont="1" applyFill="1" applyBorder="1" applyAlignment="1">
      <alignment vertical="center"/>
    </xf>
    <xf numFmtId="3" fontId="13" fillId="0" borderId="17" xfId="0" applyNumberFormat="1" applyFont="1" applyFill="1" applyBorder="1" applyAlignment="1">
      <alignment vertical="center"/>
    </xf>
    <xf numFmtId="49" fontId="55" fillId="0" borderId="16" xfId="7" applyNumberFormat="1" applyFont="1" applyFill="1" applyBorder="1" applyAlignment="1">
      <alignment horizontal="center" vertical="center" wrapText="1"/>
    </xf>
    <xf numFmtId="180" fontId="36" fillId="0" borderId="16" xfId="0" applyNumberFormat="1" applyFont="1" applyFill="1" applyBorder="1" applyAlignment="1">
      <alignment vertical="center"/>
    </xf>
    <xf numFmtId="3" fontId="36" fillId="0" borderId="16" xfId="0" applyNumberFormat="1" applyFont="1" applyFill="1" applyBorder="1" applyAlignment="1">
      <alignment horizontal="center" vertical="center" wrapText="1"/>
    </xf>
    <xf numFmtId="3" fontId="35" fillId="0" borderId="0" xfId="0" applyNumberFormat="1" applyFont="1" applyFill="1"/>
    <xf numFmtId="179" fontId="36" fillId="0" borderId="11" xfId="0" applyNumberFormat="1" applyFont="1" applyFill="1" applyBorder="1" applyAlignment="1">
      <alignment vertical="center"/>
    </xf>
    <xf numFmtId="180" fontId="13" fillId="0" borderId="5" xfId="0" applyNumberFormat="1" applyFont="1" applyFill="1" applyBorder="1" applyAlignment="1">
      <alignment vertical="center"/>
    </xf>
    <xf numFmtId="181" fontId="36" fillId="0" borderId="16" xfId="0" applyNumberFormat="1" applyFont="1" applyFill="1" applyBorder="1" applyAlignment="1">
      <alignment vertical="center" wrapText="1"/>
    </xf>
    <xf numFmtId="179" fontId="36" fillId="0" borderId="16" xfId="0" applyNumberFormat="1" applyFont="1" applyFill="1" applyBorder="1" applyAlignment="1">
      <alignment vertical="center" wrapText="1"/>
    </xf>
    <xf numFmtId="4" fontId="14" fillId="0" borderId="0" xfId="0" applyNumberFormat="1" applyFont="1" applyFill="1"/>
    <xf numFmtId="4" fontId="3" fillId="0" borderId="0" xfId="0" applyNumberFormat="1" applyFont="1" applyFill="1"/>
    <xf numFmtId="3" fontId="13" fillId="0" borderId="0" xfId="0" applyNumberFormat="1" applyFont="1" applyFill="1" applyAlignment="1">
      <alignment vertical="center" wrapText="1"/>
    </xf>
    <xf numFmtId="188" fontId="36" fillId="0" borderId="16" xfId="0" applyNumberFormat="1" applyFont="1" applyFill="1" applyBorder="1" applyAlignment="1">
      <alignment horizontal="center" vertical="center" wrapText="1"/>
    </xf>
    <xf numFmtId="2" fontId="36" fillId="0" borderId="0" xfId="0" applyNumberFormat="1" applyFont="1" applyFill="1" applyAlignment="1">
      <alignment vertical="center" wrapText="1"/>
    </xf>
    <xf numFmtId="0" fontId="36" fillId="0" borderId="0" xfId="0" applyFont="1" applyFill="1" applyAlignment="1">
      <alignment vertical="center" wrapText="1"/>
    </xf>
    <xf numFmtId="0" fontId="37" fillId="0" borderId="0" xfId="0" applyFont="1" applyFill="1" applyAlignment="1">
      <alignment vertical="center" wrapText="1"/>
    </xf>
    <xf numFmtId="0" fontId="48" fillId="0" borderId="16" xfId="0" applyFont="1" applyFill="1" applyBorder="1" applyAlignment="1">
      <alignment vertical="center" wrapText="1"/>
    </xf>
    <xf numFmtId="188" fontId="48" fillId="0" borderId="16" xfId="0" applyNumberFormat="1" applyFont="1" applyFill="1" applyBorder="1" applyAlignment="1">
      <alignment horizontal="center" vertical="center" wrapText="1"/>
    </xf>
    <xf numFmtId="171" fontId="38" fillId="0" borderId="0" xfId="0" applyNumberFormat="1" applyFont="1" applyFill="1" applyAlignment="1">
      <alignment vertical="center" wrapText="1"/>
    </xf>
    <xf numFmtId="187" fontId="36" fillId="0" borderId="16" xfId="0" applyNumberFormat="1" applyFont="1" applyFill="1" applyBorder="1" applyAlignment="1">
      <alignment horizontal="center" vertical="center" wrapText="1"/>
    </xf>
    <xf numFmtId="199" fontId="36" fillId="0" borderId="16"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vertical="center" wrapText="1"/>
    </xf>
    <xf numFmtId="188"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66" fillId="0" borderId="0" xfId="0" applyFont="1" applyFill="1" applyAlignment="1">
      <alignment vertical="center" wrapText="1"/>
    </xf>
    <xf numFmtId="0" fontId="13" fillId="0" borderId="0" xfId="0" applyNumberFormat="1" applyFont="1" applyFill="1" applyBorder="1" applyAlignment="1">
      <alignment horizontal="center" vertical="center" wrapText="1"/>
    </xf>
    <xf numFmtId="0" fontId="32" fillId="0" borderId="9" xfId="0" applyNumberFormat="1" applyFont="1" applyFill="1" applyBorder="1" applyAlignment="1">
      <alignment horizontal="justify" vertical="center" wrapText="1"/>
    </xf>
    <xf numFmtId="203" fontId="38" fillId="0" borderId="0" xfId="0" applyNumberFormat="1" applyFont="1" applyFill="1" applyAlignment="1">
      <alignment vertical="center" wrapText="1"/>
    </xf>
    <xf numFmtId="202" fontId="38" fillId="0" borderId="0" xfId="0" applyNumberFormat="1" applyFont="1" applyFill="1" applyAlignment="1">
      <alignment vertical="center" wrapText="1"/>
    </xf>
    <xf numFmtId="186" fontId="36" fillId="0" borderId="16"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49" fontId="0" fillId="0" borderId="0" xfId="0" applyNumberFormat="1" applyFill="1" applyAlignment="1">
      <alignment vertical="center" wrapText="1"/>
    </xf>
    <xf numFmtId="0" fontId="25" fillId="0"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xf>
    <xf numFmtId="3" fontId="25" fillId="0" borderId="0" xfId="0" applyNumberFormat="1" applyFont="1" applyFill="1" applyBorder="1" applyAlignment="1">
      <alignment vertical="center"/>
    </xf>
    <xf numFmtId="188"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Alignment="1">
      <alignment vertical="center"/>
    </xf>
    <xf numFmtId="0" fontId="84" fillId="0" borderId="0" xfId="0" applyFont="1" applyFill="1" applyAlignment="1">
      <alignment vertical="center" wrapText="1"/>
    </xf>
    <xf numFmtId="0" fontId="25" fillId="0" borderId="0" xfId="0" applyFont="1" applyFill="1" applyAlignment="1">
      <alignment vertical="center" wrapText="1"/>
    </xf>
    <xf numFmtId="0" fontId="85" fillId="0" borderId="0" xfId="0" applyFont="1" applyFill="1" applyAlignment="1">
      <alignment vertical="center" wrapText="1"/>
    </xf>
    <xf numFmtId="3" fontId="25" fillId="0" borderId="0" xfId="0" applyNumberFormat="1" applyFont="1" applyFill="1" applyAlignment="1">
      <alignment vertical="center" wrapText="1"/>
    </xf>
    <xf numFmtId="0" fontId="18" fillId="0" borderId="0" xfId="0" applyFont="1" applyFill="1" applyAlignment="1">
      <alignment horizontal="right"/>
    </xf>
    <xf numFmtId="178" fontId="18" fillId="0" borderId="0" xfId="0" applyNumberFormat="1" applyFont="1" applyFill="1" applyAlignment="1">
      <alignment horizontal="center"/>
    </xf>
    <xf numFmtId="0" fontId="25" fillId="0" borderId="0" xfId="0" applyFont="1" applyFill="1"/>
    <xf numFmtId="0" fontId="86" fillId="0" borderId="0" xfId="0" applyFont="1" applyFill="1"/>
    <xf numFmtId="49" fontId="25" fillId="0" borderId="0" xfId="0" applyNumberFormat="1" applyFont="1" applyFill="1" applyAlignment="1">
      <alignment horizontal="center" vertical="center"/>
    </xf>
    <xf numFmtId="49" fontId="25" fillId="0" borderId="0" xfId="0" applyNumberFormat="1" applyFont="1" applyFill="1" applyAlignment="1">
      <alignment horizontal="justify" vertical="center" wrapText="1"/>
    </xf>
    <xf numFmtId="0" fontId="25" fillId="0" borderId="0" xfId="0" applyFont="1" applyFill="1" applyAlignment="1">
      <alignment horizontal="center" vertical="center" wrapText="1"/>
    </xf>
    <xf numFmtId="49" fontId="25" fillId="0" borderId="0" xfId="0" quotePrefix="1" applyNumberFormat="1" applyFont="1" applyFill="1" applyAlignment="1">
      <alignment horizontal="center" vertical="center"/>
    </xf>
    <xf numFmtId="0" fontId="18" fillId="0" borderId="0" xfId="0" applyFont="1" applyFill="1" applyAlignment="1">
      <alignment horizontal="right" vertical="center"/>
    </xf>
    <xf numFmtId="188" fontId="18" fillId="0" borderId="0" xfId="0" applyNumberFormat="1" applyFont="1" applyFill="1" applyAlignment="1">
      <alignment horizontal="center" vertical="center"/>
    </xf>
    <xf numFmtId="3" fontId="18" fillId="0" borderId="0" xfId="0" applyNumberFormat="1" applyFont="1" applyFill="1" applyAlignment="1">
      <alignment horizontal="center" vertical="center"/>
    </xf>
    <xf numFmtId="3" fontId="18" fillId="0" borderId="0" xfId="0" applyNumberFormat="1" applyFont="1" applyFill="1" applyAlignment="1">
      <alignment horizontal="left" vertical="center"/>
    </xf>
    <xf numFmtId="0" fontId="85" fillId="0" borderId="0" xfId="0" applyFont="1" applyFill="1"/>
    <xf numFmtId="0" fontId="25" fillId="0" borderId="0" xfId="0" applyFont="1" applyFill="1" applyAlignment="1">
      <alignment horizontal="center" vertical="center"/>
    </xf>
    <xf numFmtId="188" fontId="25" fillId="0" borderId="0" xfId="0" applyNumberFormat="1" applyFont="1" applyFill="1" applyAlignment="1">
      <alignment horizontal="center" vertical="center"/>
    </xf>
    <xf numFmtId="49" fontId="87" fillId="0" borderId="0" xfId="0" applyNumberFormat="1" applyFont="1" applyFill="1" applyBorder="1" applyAlignment="1">
      <alignment horizontal="justify" vertical="center" wrapText="1"/>
    </xf>
    <xf numFmtId="179" fontId="25" fillId="0" borderId="0" xfId="0" applyNumberFormat="1" applyFont="1" applyFill="1"/>
    <xf numFmtId="0" fontId="25" fillId="0" borderId="0" xfId="0" applyNumberFormat="1" applyFont="1" applyFill="1" applyBorder="1" applyAlignment="1">
      <alignment horizontal="justify" vertical="center" wrapText="1"/>
    </xf>
    <xf numFmtId="179" fontId="25" fillId="0" borderId="0" xfId="0" applyNumberFormat="1" applyFont="1" applyFill="1" applyAlignment="1">
      <alignment vertical="center" wrapText="1"/>
    </xf>
    <xf numFmtId="0" fontId="25" fillId="0" borderId="0" xfId="0" applyNumberFormat="1" applyFont="1" applyFill="1" applyBorder="1" applyAlignment="1">
      <alignment horizontal="left" vertical="center" wrapText="1"/>
    </xf>
    <xf numFmtId="0" fontId="84" fillId="0" borderId="0" xfId="0" applyFont="1" applyFill="1" applyAlignment="1">
      <alignment vertical="center"/>
    </xf>
    <xf numFmtId="179" fontId="25" fillId="0" borderId="0" xfId="0" applyNumberFormat="1" applyFont="1" applyFill="1" applyAlignment="1">
      <alignment vertical="center"/>
    </xf>
    <xf numFmtId="0" fontId="85" fillId="0" borderId="0" xfId="0" applyFont="1" applyFill="1" applyAlignment="1">
      <alignment vertical="center"/>
    </xf>
    <xf numFmtId="0" fontId="84" fillId="0" borderId="0" xfId="0" applyFont="1" applyFill="1"/>
    <xf numFmtId="0" fontId="86" fillId="0" borderId="0" xfId="0" applyFont="1" applyFill="1" applyAlignment="1">
      <alignment vertical="center" wrapText="1"/>
    </xf>
    <xf numFmtId="49" fontId="86" fillId="0" borderId="0" xfId="0" applyNumberFormat="1" applyFont="1" applyFill="1" applyAlignment="1">
      <alignment horizontal="center" vertical="center"/>
    </xf>
    <xf numFmtId="49" fontId="86" fillId="0" borderId="0" xfId="0" applyNumberFormat="1" applyFont="1" applyFill="1" applyAlignment="1">
      <alignment horizontal="justify" vertical="center" wrapText="1"/>
    </xf>
    <xf numFmtId="0" fontId="86" fillId="0" borderId="0" xfId="0" applyFont="1" applyFill="1" applyAlignment="1">
      <alignment horizontal="center" vertical="center" wrapText="1"/>
    </xf>
    <xf numFmtId="0" fontId="88" fillId="0" borderId="0" xfId="0" applyFont="1" applyFill="1" applyAlignment="1">
      <alignment horizontal="center" vertical="center"/>
    </xf>
    <xf numFmtId="0" fontId="9" fillId="0" borderId="0" xfId="0" applyFont="1" applyFill="1"/>
    <xf numFmtId="49" fontId="35" fillId="0" borderId="16" xfId="0" applyNumberFormat="1" applyFont="1" applyFill="1" applyBorder="1" applyAlignment="1">
      <alignment horizontal="center" vertical="center" wrapText="1"/>
    </xf>
    <xf numFmtId="179" fontId="35" fillId="0" borderId="16" xfId="0" applyNumberFormat="1" applyFont="1" applyFill="1" applyBorder="1" applyAlignment="1">
      <alignment vertical="center"/>
    </xf>
    <xf numFmtId="179" fontId="14" fillId="0" borderId="0" xfId="0" applyNumberFormat="1" applyFont="1" applyFill="1"/>
    <xf numFmtId="49" fontId="35" fillId="0" borderId="16" xfId="0" applyNumberFormat="1" applyFont="1" applyFill="1" applyBorder="1" applyAlignment="1">
      <alignment horizontal="center" vertical="center"/>
    </xf>
    <xf numFmtId="181" fontId="35" fillId="0" borderId="16" xfId="0" applyNumberFormat="1" applyFont="1" applyFill="1" applyBorder="1" applyAlignment="1">
      <alignment vertical="center"/>
    </xf>
    <xf numFmtId="181" fontId="35" fillId="0" borderId="0" xfId="0" applyNumberFormat="1" applyFont="1" applyFill="1" applyBorder="1" applyAlignment="1">
      <alignment vertical="center"/>
    </xf>
    <xf numFmtId="179" fontId="3" fillId="0" borderId="0" xfId="0" applyNumberFormat="1" applyFont="1" applyFill="1"/>
    <xf numFmtId="179" fontId="13" fillId="0" borderId="0" xfId="0" applyNumberFormat="1" applyFont="1" applyFill="1"/>
    <xf numFmtId="3" fontId="32" fillId="0" borderId="16" xfId="0" applyNumberFormat="1" applyFont="1" applyFill="1" applyBorder="1" applyAlignment="1">
      <alignment horizontal="center" vertical="center" wrapText="1"/>
    </xf>
    <xf numFmtId="179" fontId="20" fillId="0" borderId="0" xfId="0" applyNumberFormat="1" applyFont="1" applyFill="1"/>
    <xf numFmtId="3" fontId="13" fillId="0" borderId="16" xfId="0" applyNumberFormat="1" applyFont="1" applyFill="1" applyBorder="1" applyAlignment="1">
      <alignment horizontal="center" vertical="center" wrapText="1"/>
    </xf>
    <xf numFmtId="179" fontId="35" fillId="0" borderId="21" xfId="0" applyNumberFormat="1" applyFont="1" applyFill="1" applyBorder="1" applyAlignment="1">
      <alignment vertical="center"/>
    </xf>
    <xf numFmtId="179" fontId="13" fillId="0" borderId="0" xfId="0" applyNumberFormat="1" applyFont="1" applyFill="1" applyAlignment="1">
      <alignment vertical="center" wrapText="1"/>
    </xf>
    <xf numFmtId="179" fontId="20" fillId="0" borderId="0" xfId="0" applyNumberFormat="1" applyFont="1" applyFill="1" applyAlignment="1">
      <alignment vertical="center" wrapText="1"/>
    </xf>
    <xf numFmtId="179" fontId="35" fillId="0" borderId="21" xfId="0" applyNumberFormat="1" applyFont="1" applyFill="1" applyBorder="1" applyAlignment="1">
      <alignment vertical="center" wrapText="1"/>
    </xf>
    <xf numFmtId="179" fontId="8" fillId="0" borderId="0" xfId="0" applyNumberFormat="1" applyFont="1" applyFill="1"/>
    <xf numFmtId="0" fontId="13" fillId="0" borderId="39" xfId="0" applyFont="1" applyBorder="1"/>
    <xf numFmtId="0" fontId="8" fillId="0" borderId="22"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89" fillId="0" borderId="0" xfId="0" applyFont="1" applyFill="1" applyAlignment="1">
      <alignment horizontal="center"/>
    </xf>
    <xf numFmtId="3" fontId="85" fillId="0" borderId="0" xfId="0" applyNumberFormat="1" applyFont="1" applyFill="1" applyAlignment="1">
      <alignment vertical="center" wrapText="1"/>
    </xf>
    <xf numFmtId="49" fontId="91" fillId="0" borderId="16" xfId="0" applyNumberFormat="1" applyFont="1" applyFill="1" applyBorder="1" applyAlignment="1">
      <alignment horizontal="left" vertical="center" wrapText="1"/>
    </xf>
    <xf numFmtId="0" fontId="92" fillId="0" borderId="0" xfId="0" applyFont="1" applyFill="1"/>
    <xf numFmtId="3" fontId="93" fillId="0" borderId="0" xfId="0" applyNumberFormat="1" applyFont="1" applyFill="1" applyAlignment="1">
      <alignment vertical="center" wrapText="1"/>
    </xf>
    <xf numFmtId="0" fontId="94" fillId="0" borderId="0" xfId="0" applyFont="1" applyFill="1"/>
    <xf numFmtId="0" fontId="20" fillId="0" borderId="16" xfId="0" applyNumberFormat="1" applyFont="1" applyFill="1" applyBorder="1" applyAlignment="1">
      <alignment horizontal="justify" vertical="center" wrapText="1"/>
    </xf>
    <xf numFmtId="0" fontId="61" fillId="0" borderId="0" xfId="0" applyFont="1" applyFill="1" applyAlignment="1">
      <alignment vertical="center" wrapText="1"/>
    </xf>
    <xf numFmtId="0" fontId="64" fillId="0" borderId="0" xfId="0" applyFont="1" applyFill="1" applyAlignment="1">
      <alignment vertical="center" wrapText="1"/>
    </xf>
    <xf numFmtId="179" fontId="38" fillId="0" borderId="16" xfId="0" applyNumberFormat="1" applyFont="1" applyFill="1" applyBorder="1" applyAlignment="1">
      <alignment vertical="center" wrapText="1"/>
    </xf>
    <xf numFmtId="4" fontId="38" fillId="0" borderId="16" xfId="0" applyNumberFormat="1" applyFont="1" applyFill="1" applyBorder="1" applyAlignment="1">
      <alignment vertical="center" wrapText="1"/>
    </xf>
    <xf numFmtId="180" fontId="38" fillId="0" borderId="16" xfId="0" applyNumberFormat="1" applyFont="1" applyFill="1" applyBorder="1" applyAlignment="1">
      <alignment vertical="center" wrapText="1"/>
    </xf>
    <xf numFmtId="49" fontId="13" fillId="0" borderId="0" xfId="0" applyNumberFormat="1" applyFont="1" applyFill="1" applyAlignment="1">
      <alignment horizontal="center" vertical="center"/>
    </xf>
    <xf numFmtId="179" fontId="37" fillId="0" borderId="0" xfId="0" applyNumberFormat="1" applyFont="1" applyFill="1" applyAlignment="1">
      <alignment vertical="center" wrapText="1"/>
    </xf>
    <xf numFmtId="49" fontId="38" fillId="0" borderId="16" xfId="0" applyNumberFormat="1" applyFont="1" applyFill="1" applyBorder="1" applyAlignment="1">
      <alignment horizontal="center" vertical="center" wrapText="1"/>
    </xf>
    <xf numFmtId="3" fontId="38" fillId="0" borderId="40" xfId="0" applyNumberFormat="1" applyFont="1" applyFill="1" applyBorder="1" applyAlignment="1">
      <alignment vertical="center" wrapText="1"/>
    </xf>
    <xf numFmtId="179" fontId="38" fillId="0" borderId="0" xfId="0" applyNumberFormat="1" applyFont="1" applyFill="1" applyAlignment="1">
      <alignment vertical="center" wrapText="1"/>
    </xf>
    <xf numFmtId="179" fontId="38" fillId="0" borderId="21" xfId="0" applyNumberFormat="1" applyFont="1" applyFill="1" applyBorder="1" applyAlignment="1">
      <alignment vertical="center" wrapText="1"/>
    </xf>
    <xf numFmtId="0" fontId="66" fillId="0" borderId="16" xfId="0" applyFont="1" applyFill="1" applyBorder="1" applyAlignment="1">
      <alignment horizontal="center" vertical="center" wrapText="1"/>
    </xf>
    <xf numFmtId="179" fontId="38" fillId="0" borderId="0" xfId="0" applyNumberFormat="1" applyFont="1" applyFill="1" applyBorder="1" applyAlignment="1">
      <alignment vertical="center" wrapText="1"/>
    </xf>
    <xf numFmtId="3" fontId="61" fillId="0" borderId="16" xfId="0" applyNumberFormat="1" applyFont="1" applyFill="1" applyBorder="1" applyAlignment="1">
      <alignment vertical="center" wrapText="1"/>
    </xf>
    <xf numFmtId="3" fontId="61" fillId="0" borderId="40" xfId="0" applyNumberFormat="1" applyFont="1" applyFill="1" applyBorder="1" applyAlignment="1">
      <alignment vertical="center" wrapText="1"/>
    </xf>
    <xf numFmtId="0" fontId="54" fillId="0" borderId="41" xfId="0" applyFont="1" applyFill="1" applyBorder="1" applyAlignment="1">
      <alignment horizontal="center" vertical="center" wrapText="1"/>
    </xf>
    <xf numFmtId="0" fontId="54" fillId="0" borderId="41" xfId="0" applyFont="1" applyFill="1" applyBorder="1" applyAlignment="1">
      <alignment vertical="center" wrapText="1"/>
    </xf>
    <xf numFmtId="49" fontId="54" fillId="0" borderId="41" xfId="0" applyNumberFormat="1" applyFont="1" applyFill="1" applyBorder="1" applyAlignment="1">
      <alignment horizontal="center" vertical="center" wrapText="1"/>
    </xf>
    <xf numFmtId="3" fontId="38" fillId="0" borderId="41" xfId="0" applyNumberFormat="1" applyFont="1" applyFill="1" applyBorder="1" applyAlignment="1">
      <alignment vertical="center" wrapText="1"/>
    </xf>
    <xf numFmtId="188" fontId="13" fillId="0" borderId="41" xfId="0" applyNumberFormat="1" applyFont="1" applyFill="1" applyBorder="1" applyAlignment="1">
      <alignment horizontal="center" vertical="center" wrapText="1"/>
    </xf>
    <xf numFmtId="3" fontId="48" fillId="0" borderId="41" xfId="0" applyNumberFormat="1" applyFont="1" applyFill="1" applyBorder="1" applyAlignment="1">
      <alignment vertical="center" wrapText="1"/>
    </xf>
    <xf numFmtId="3" fontId="38" fillId="0" borderId="42" xfId="0" applyNumberFormat="1" applyFont="1" applyFill="1" applyBorder="1" applyAlignment="1">
      <alignment vertical="center" wrapText="1"/>
    </xf>
    <xf numFmtId="188" fontId="13"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vertical="center"/>
    </xf>
    <xf numFmtId="0" fontId="35" fillId="0" borderId="0" xfId="0" applyFont="1" applyFill="1" applyAlignment="1">
      <alignment vertical="center"/>
    </xf>
    <xf numFmtId="179" fontId="13" fillId="0" borderId="0" xfId="0" applyNumberFormat="1" applyFont="1" applyFill="1" applyAlignment="1">
      <alignment vertical="center"/>
    </xf>
    <xf numFmtId="0" fontId="62" fillId="0" borderId="0" xfId="0" applyFont="1" applyFill="1" applyAlignment="1">
      <alignment vertical="center"/>
    </xf>
    <xf numFmtId="2" fontId="32" fillId="0" borderId="0" xfId="0" applyNumberFormat="1" applyFont="1" applyFill="1" applyAlignment="1">
      <alignment vertical="center"/>
    </xf>
    <xf numFmtId="179" fontId="20" fillId="0" borderId="0" xfId="0" applyNumberFormat="1" applyFont="1" applyFill="1" applyAlignment="1">
      <alignment vertical="center"/>
    </xf>
    <xf numFmtId="0" fontId="20" fillId="0" borderId="0" xfId="0" applyFont="1" applyFill="1" applyAlignment="1">
      <alignment vertical="center"/>
    </xf>
    <xf numFmtId="0" fontId="63" fillId="0" borderId="0" xfId="0" applyFont="1" applyFill="1" applyAlignment="1">
      <alignment vertical="center"/>
    </xf>
    <xf numFmtId="0" fontId="54" fillId="0" borderId="16" xfId="0" applyFont="1" applyFill="1" applyBorder="1" applyAlignment="1">
      <alignment horizontal="left" vertical="center" wrapText="1"/>
    </xf>
    <xf numFmtId="49" fontId="13" fillId="0" borderId="17" xfId="0" applyNumberFormat="1" applyFont="1" applyFill="1" applyBorder="1" applyAlignment="1">
      <alignment horizontal="center" vertical="center"/>
    </xf>
    <xf numFmtId="49" fontId="21" fillId="0" borderId="17" xfId="0" applyNumberFormat="1" applyFont="1" applyFill="1" applyBorder="1" applyAlignment="1">
      <alignment horizontal="justify" vertical="center" wrapText="1"/>
    </xf>
    <xf numFmtId="0" fontId="13" fillId="0" borderId="17" xfId="0" applyFont="1" applyFill="1" applyBorder="1" applyAlignment="1">
      <alignment horizontal="center" vertical="center" wrapText="1"/>
    </xf>
    <xf numFmtId="188" fontId="13" fillId="0" borderId="17" xfId="0" applyNumberFormat="1" applyFont="1" applyFill="1" applyBorder="1" applyAlignment="1">
      <alignment horizontal="center" vertical="center"/>
    </xf>
    <xf numFmtId="0" fontId="13" fillId="0" borderId="17" xfId="0" applyFont="1" applyFill="1" applyBorder="1" applyAlignment="1">
      <alignment vertical="center"/>
    </xf>
    <xf numFmtId="0" fontId="55" fillId="0" borderId="16" xfId="0" applyFont="1" applyFill="1" applyBorder="1" applyAlignment="1">
      <alignment horizontal="center" wrapText="1"/>
    </xf>
    <xf numFmtId="0" fontId="55" fillId="0" borderId="16" xfId="0" applyFont="1" applyFill="1" applyBorder="1" applyAlignment="1">
      <alignment wrapText="1"/>
    </xf>
    <xf numFmtId="0" fontId="54" fillId="0" borderId="16" xfId="0" applyFont="1" applyFill="1" applyBorder="1" applyAlignment="1">
      <alignment horizontal="center" wrapText="1"/>
    </xf>
    <xf numFmtId="0" fontId="54" fillId="0" borderId="16" xfId="0" applyFont="1" applyFill="1" applyBorder="1" applyAlignment="1">
      <alignment wrapText="1"/>
    </xf>
    <xf numFmtId="49" fontId="54" fillId="0" borderId="16" xfId="0" applyNumberFormat="1" applyFont="1" applyFill="1" applyBorder="1" applyAlignment="1">
      <alignment horizontal="center" wrapText="1"/>
    </xf>
    <xf numFmtId="179" fontId="35" fillId="0" borderId="16" xfId="0" applyNumberFormat="1" applyFont="1" applyFill="1" applyBorder="1" applyAlignment="1">
      <alignment vertical="center" wrapText="1"/>
    </xf>
    <xf numFmtId="0" fontId="6" fillId="0" borderId="16" xfId="0" applyFont="1" applyFill="1" applyBorder="1" applyAlignment="1">
      <alignment horizontal="center" vertical="center" wrapText="1"/>
    </xf>
    <xf numFmtId="4" fontId="20" fillId="0" borderId="16" xfId="0" applyNumberFormat="1" applyFont="1" applyFill="1" applyBorder="1" applyAlignment="1">
      <alignment vertical="center" wrapText="1"/>
    </xf>
    <xf numFmtId="49" fontId="66" fillId="0" borderId="0" xfId="0" applyNumberFormat="1" applyFont="1" applyFill="1" applyAlignment="1">
      <alignment horizontal="center" vertical="center"/>
    </xf>
    <xf numFmtId="49" fontId="66" fillId="0" borderId="0" xfId="0" applyNumberFormat="1" applyFont="1" applyFill="1" applyAlignment="1">
      <alignment horizontal="justify" vertical="center" wrapText="1"/>
    </xf>
    <xf numFmtId="0" fontId="66" fillId="0" borderId="0" xfId="0" applyFont="1" applyFill="1" applyAlignment="1">
      <alignment horizontal="center" vertical="center" wrapText="1"/>
    </xf>
    <xf numFmtId="188" fontId="13" fillId="0" borderId="0" xfId="0" applyNumberFormat="1" applyFont="1" applyFill="1" applyAlignment="1">
      <alignment horizontal="center" vertical="center"/>
    </xf>
    <xf numFmtId="0" fontId="32" fillId="0" borderId="10" xfId="0" applyFont="1" applyFill="1" applyBorder="1" applyAlignment="1">
      <alignment horizontal="center" vertical="center" wrapText="1"/>
    </xf>
    <xf numFmtId="3" fontId="20" fillId="0" borderId="0" xfId="0" applyNumberFormat="1" applyFont="1" applyAlignment="1">
      <alignment horizontal="left" vertical="center"/>
    </xf>
    <xf numFmtId="0" fontId="13" fillId="0" borderId="1" xfId="6" applyFont="1" applyBorder="1" applyAlignment="1">
      <alignment horizontal="left" vertical="center" wrapText="1"/>
    </xf>
    <xf numFmtId="0" fontId="16" fillId="0" borderId="0" xfId="0" applyFont="1" applyAlignment="1">
      <alignment horizontal="center"/>
    </xf>
    <xf numFmtId="0" fontId="43" fillId="0" borderId="0" xfId="0" applyFont="1" applyAlignment="1">
      <alignment horizontal="center"/>
    </xf>
    <xf numFmtId="0" fontId="42" fillId="0" borderId="0" xfId="0" applyFont="1" applyAlignment="1">
      <alignment horizontal="center"/>
    </xf>
    <xf numFmtId="0" fontId="27" fillId="0" borderId="13" xfId="0" applyNumberFormat="1" applyFont="1" applyBorder="1" applyAlignment="1">
      <alignment horizontal="center" vertical="center"/>
    </xf>
    <xf numFmtId="0" fontId="27" fillId="0" borderId="0" xfId="0" applyNumberFormat="1" applyFont="1" applyAlignment="1">
      <alignment horizontal="center"/>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11" fontId="13" fillId="0" borderId="13" xfId="0" applyNumberFormat="1"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6" xfId="0" applyFont="1" applyBorder="1" applyAlignment="1">
      <alignment horizontal="center" vertical="center" wrapText="1"/>
    </xf>
    <xf numFmtId="11" fontId="16" fillId="0" borderId="0" xfId="0" applyNumberFormat="1" applyFont="1" applyAlignment="1">
      <alignment horizontal="center"/>
    </xf>
    <xf numFmtId="0" fontId="16" fillId="4" borderId="0" xfId="0" applyFont="1" applyFill="1" applyAlignment="1">
      <alignment horizontal="center"/>
    </xf>
    <xf numFmtId="0" fontId="16" fillId="2" borderId="0" xfId="0" applyFont="1" applyFill="1" applyAlignment="1">
      <alignment horizontal="center"/>
    </xf>
    <xf numFmtId="0" fontId="16" fillId="3" borderId="0" xfId="0" applyFont="1" applyFill="1" applyAlignment="1">
      <alignment horizontal="center"/>
    </xf>
    <xf numFmtId="0" fontId="42" fillId="0" borderId="16" xfId="0" applyFont="1" applyFill="1" applyBorder="1" applyAlignment="1">
      <alignment horizontal="center" vertical="center" wrapText="1"/>
    </xf>
    <xf numFmtId="49" fontId="32" fillId="0" borderId="16" xfId="0" applyNumberFormat="1" applyFont="1" applyFill="1" applyBorder="1" applyAlignment="1">
      <alignment horizontal="center" vertical="center" wrapText="1"/>
    </xf>
    <xf numFmtId="0" fontId="90" fillId="0" borderId="0" xfId="0" applyFont="1" applyFill="1" applyAlignment="1">
      <alignment horizontal="center"/>
    </xf>
    <xf numFmtId="0" fontId="12" fillId="0" borderId="0" xfId="0" applyNumberFormat="1" applyFont="1" applyFill="1" applyBorder="1" applyAlignment="1">
      <alignment horizontal="center" vertical="center" wrapText="1"/>
    </xf>
    <xf numFmtId="49" fontId="42" fillId="0" borderId="16" xfId="0" applyNumberFormat="1" applyFont="1" applyFill="1" applyBorder="1" applyAlignment="1">
      <alignment horizontal="center" vertical="center" wrapText="1"/>
    </xf>
    <xf numFmtId="0" fontId="54" fillId="0" borderId="16" xfId="0" applyFont="1" applyFill="1" applyBorder="1" applyAlignment="1">
      <alignment horizontal="center" vertical="center" wrapText="1"/>
    </xf>
    <xf numFmtId="0" fontId="3" fillId="0" borderId="0" xfId="0" applyNumberFormat="1" applyFont="1" applyFill="1" applyBorder="1" applyAlignment="1">
      <alignment horizontal="justify" vertical="center" wrapText="1"/>
    </xf>
    <xf numFmtId="0" fontId="13" fillId="0" borderId="0" xfId="0" applyNumberFormat="1" applyFont="1" applyFill="1" applyBorder="1" applyAlignment="1">
      <alignment horizontal="justify" vertical="center" wrapText="1"/>
    </xf>
    <xf numFmtId="0" fontId="42" fillId="0" borderId="9" xfId="0" applyFont="1" applyFill="1" applyBorder="1" applyAlignment="1">
      <alignment horizontal="center" vertical="center" wrapText="1"/>
    </xf>
    <xf numFmtId="0" fontId="42" fillId="0" borderId="11" xfId="0" applyFont="1" applyFill="1" applyBorder="1" applyAlignment="1">
      <alignment horizontal="center" vertical="center" wrapText="1"/>
    </xf>
    <xf numFmtId="49" fontId="32" fillId="0" borderId="9" xfId="0" applyNumberFormat="1" applyFont="1" applyFill="1" applyBorder="1" applyAlignment="1">
      <alignment horizontal="left" vertical="center" wrapText="1"/>
    </xf>
    <xf numFmtId="49" fontId="32" fillId="0" borderId="10" xfId="0" applyNumberFormat="1" applyFont="1" applyFill="1" applyBorder="1" applyAlignment="1">
      <alignment horizontal="left" vertical="center" wrapText="1"/>
    </xf>
    <xf numFmtId="49" fontId="32" fillId="0" borderId="11" xfId="0" applyNumberFormat="1" applyFont="1" applyFill="1" applyBorder="1" applyAlignment="1">
      <alignment horizontal="left" vertical="center" wrapText="1"/>
    </xf>
    <xf numFmtId="0" fontId="32" fillId="0" borderId="16" xfId="0" applyFont="1" applyFill="1" applyBorder="1" applyAlignment="1">
      <alignment horizontal="center" vertical="center" wrapText="1"/>
    </xf>
    <xf numFmtId="0" fontId="32" fillId="0" borderId="16" xfId="0" applyNumberFormat="1" applyFont="1" applyFill="1" applyBorder="1" applyAlignment="1">
      <alignment horizontal="justify" vertical="center" wrapText="1"/>
    </xf>
    <xf numFmtId="0" fontId="55" fillId="0" borderId="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49" fontId="13" fillId="0" borderId="0" xfId="0" applyNumberFormat="1" applyFont="1" applyFill="1" applyBorder="1" applyAlignment="1">
      <alignment horizontal="justify" vertical="center" wrapText="1"/>
    </xf>
    <xf numFmtId="0" fontId="54" fillId="0" borderId="9"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18" fillId="0" borderId="0" xfId="0" applyNumberFormat="1" applyFont="1" applyFill="1" applyBorder="1" applyAlignment="1">
      <alignment horizontal="left" vertical="center" wrapText="1"/>
    </xf>
    <xf numFmtId="0" fontId="54" fillId="0" borderId="16" xfId="0" applyFont="1" applyFill="1" applyBorder="1" applyAlignment="1">
      <alignment vertical="center" wrapText="1"/>
    </xf>
    <xf numFmtId="49" fontId="3" fillId="0" borderId="0" xfId="0" applyNumberFormat="1" applyFont="1" applyFill="1" applyBorder="1" applyAlignment="1">
      <alignment horizontal="justify" vertical="center" wrapText="1"/>
    </xf>
    <xf numFmtId="49" fontId="36" fillId="0" borderId="16"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76" fillId="0" borderId="16" xfId="0"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54" fillId="0" borderId="9" xfId="0" applyFont="1" applyFill="1" applyBorder="1" applyAlignment="1">
      <alignment vertical="center" wrapText="1"/>
    </xf>
    <xf numFmtId="0" fontId="54" fillId="0" borderId="10" xfId="0" applyFont="1" applyFill="1" applyBorder="1" applyAlignment="1">
      <alignment vertical="center" wrapText="1"/>
    </xf>
    <xf numFmtId="0" fontId="54" fillId="0" borderId="11" xfId="0" applyFont="1" applyFill="1" applyBorder="1" applyAlignment="1">
      <alignment vertical="center" wrapText="1"/>
    </xf>
    <xf numFmtId="0" fontId="16" fillId="0" borderId="0" xfId="0" applyNumberFormat="1" applyFont="1" applyFill="1" applyBorder="1" applyAlignment="1">
      <alignment horizontal="center" vertical="center" wrapText="1"/>
    </xf>
    <xf numFmtId="49" fontId="31" fillId="0" borderId="9" xfId="0" applyNumberFormat="1" applyFont="1" applyFill="1" applyBorder="1" applyAlignment="1">
      <alignment horizontal="left" vertical="center" wrapText="1"/>
    </xf>
    <xf numFmtId="49" fontId="31" fillId="0" borderId="10" xfId="0" applyNumberFormat="1" applyFont="1" applyFill="1" applyBorder="1" applyAlignment="1">
      <alignment horizontal="left" vertical="center" wrapText="1"/>
    </xf>
    <xf numFmtId="49" fontId="31" fillId="0" borderId="11" xfId="0" applyNumberFormat="1" applyFont="1" applyFill="1" applyBorder="1" applyAlignment="1">
      <alignment horizontal="left" vertical="center" wrapText="1"/>
    </xf>
    <xf numFmtId="0" fontId="57" fillId="0" borderId="16" xfId="0" applyFont="1" applyFill="1" applyBorder="1" applyAlignment="1">
      <alignment horizontal="center" wrapText="1"/>
    </xf>
    <xf numFmtId="49" fontId="31" fillId="0" borderId="16" xfId="0" applyNumberFormat="1"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57" fillId="0" borderId="16" xfId="0" applyFont="1" applyFill="1" applyBorder="1" applyAlignment="1">
      <alignment wrapText="1"/>
    </xf>
    <xf numFmtId="49" fontId="39" fillId="0" borderId="16" xfId="0" applyNumberFormat="1" applyFont="1" applyFill="1" applyBorder="1" applyAlignment="1">
      <alignment horizontal="justify" vertical="center" wrapText="1"/>
    </xf>
    <xf numFmtId="49" fontId="36" fillId="0" borderId="16" xfId="0" applyNumberFormat="1" applyFont="1" applyFill="1" applyBorder="1" applyAlignment="1">
      <alignment horizontal="justify" vertical="center" wrapText="1"/>
    </xf>
    <xf numFmtId="49" fontId="17" fillId="0" borderId="0" xfId="0" applyNumberFormat="1" applyFont="1" applyFill="1" applyAlignment="1">
      <alignment horizontal="center" wrapText="1"/>
    </xf>
    <xf numFmtId="49" fontId="17" fillId="0" borderId="0" xfId="0" applyNumberFormat="1" applyFont="1" applyFill="1" applyAlignment="1">
      <alignment horizontal="center"/>
    </xf>
    <xf numFmtId="0" fontId="31" fillId="0" borderId="10"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20" fillId="0" borderId="16" xfId="0" applyNumberFormat="1" applyFont="1" applyFill="1" applyBorder="1" applyAlignment="1">
      <alignment horizontal="justify" vertical="center" wrapText="1"/>
    </xf>
    <xf numFmtId="0" fontId="66" fillId="0" borderId="16" xfId="0" applyFont="1" applyFill="1" applyBorder="1" applyAlignment="1">
      <alignment horizontal="center" vertical="center" wrapText="1"/>
    </xf>
    <xf numFmtId="0" fontId="66" fillId="0" borderId="16" xfId="0" applyFont="1" applyFill="1" applyBorder="1" applyAlignment="1">
      <alignment vertical="center" wrapText="1"/>
    </xf>
    <xf numFmtId="49" fontId="79" fillId="0" borderId="0" xfId="0" applyNumberFormat="1" applyFont="1" applyFill="1" applyAlignment="1">
      <alignment horizontal="center" wrapText="1"/>
    </xf>
    <xf numFmtId="0" fontId="20" fillId="0" borderId="9" xfId="0" applyNumberFormat="1" applyFont="1" applyFill="1" applyBorder="1" applyAlignment="1">
      <alignment horizontal="left" vertical="center" wrapText="1"/>
    </xf>
    <xf numFmtId="0" fontId="20" fillId="0" borderId="10" xfId="0" applyNumberFormat="1" applyFont="1" applyFill="1" applyBorder="1" applyAlignment="1">
      <alignment horizontal="left" vertical="center" wrapText="1"/>
    </xf>
    <xf numFmtId="0" fontId="20" fillId="0" borderId="11"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49" fontId="12" fillId="0" borderId="0" xfId="0" applyNumberFormat="1" applyFont="1" applyAlignment="1">
      <alignment horizontal="center" vertic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49" fontId="41" fillId="0" borderId="0" xfId="0" applyNumberFormat="1" applyFont="1" applyAlignment="1">
      <alignment horizontal="center"/>
    </xf>
    <xf numFmtId="49" fontId="8"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49" fontId="69" fillId="5" borderId="16" xfId="0" applyNumberFormat="1" applyFont="1" applyFill="1" applyBorder="1" applyAlignment="1">
      <alignment horizontal="center" wrapText="1"/>
    </xf>
    <xf numFmtId="0" fontId="69" fillId="5" borderId="16" xfId="0" applyFont="1" applyFill="1" applyBorder="1" applyAlignment="1">
      <alignment horizontal="center" wrapText="1"/>
    </xf>
    <xf numFmtId="0" fontId="18" fillId="5" borderId="0" xfId="0" applyNumberFormat="1" applyFont="1" applyFill="1" applyBorder="1" applyAlignment="1">
      <alignment horizontal="left" vertical="center" wrapText="1"/>
    </xf>
    <xf numFmtId="0" fontId="69" fillId="5" borderId="9" xfId="0" applyFont="1" applyFill="1" applyBorder="1" applyAlignment="1">
      <alignment horizontal="center" vertical="center" wrapText="1"/>
    </xf>
    <xf numFmtId="0" fontId="69" fillId="5" borderId="10" xfId="0" applyFont="1" applyFill="1" applyBorder="1" applyAlignment="1">
      <alignment horizontal="center" vertical="center" wrapText="1"/>
    </xf>
    <xf numFmtId="0" fontId="69" fillId="5" borderId="11" xfId="0" applyFont="1" applyFill="1" applyBorder="1" applyAlignment="1">
      <alignment horizontal="center" vertical="center" wrapText="1"/>
    </xf>
    <xf numFmtId="185" fontId="3" fillId="5" borderId="22" xfId="0" applyNumberFormat="1" applyFont="1" applyFill="1" applyBorder="1" applyAlignment="1">
      <alignment horizontal="center" vertical="center" wrapText="1"/>
    </xf>
    <xf numFmtId="185" fontId="3" fillId="5" borderId="26" xfId="0" applyNumberFormat="1" applyFont="1" applyFill="1" applyBorder="1" applyAlignment="1">
      <alignment horizontal="center" vertical="center" wrapText="1"/>
    </xf>
    <xf numFmtId="16" fontId="69" fillId="5" borderId="21" xfId="0" applyNumberFormat="1" applyFont="1" applyFill="1" applyBorder="1" applyAlignment="1">
      <alignment horizontal="center" wrapText="1"/>
    </xf>
    <xf numFmtId="0" fontId="69" fillId="5" borderId="16" xfId="0" applyFont="1" applyFill="1" applyBorder="1" applyAlignment="1">
      <alignment horizontal="center" vertical="center" wrapText="1"/>
    </xf>
    <xf numFmtId="0" fontId="69" fillId="5" borderId="16" xfId="0" applyFont="1" applyFill="1" applyBorder="1" applyAlignment="1">
      <alignment vertical="center" wrapText="1"/>
    </xf>
    <xf numFmtId="0" fontId="69" fillId="5" borderId="22" xfId="0" applyFont="1" applyFill="1" applyBorder="1" applyAlignment="1">
      <alignment horizontal="center" vertical="center" wrapText="1"/>
    </xf>
    <xf numFmtId="0" fontId="69" fillId="5" borderId="23" xfId="0" applyFont="1" applyFill="1" applyBorder="1" applyAlignment="1">
      <alignment horizontal="center" vertical="center" wrapText="1"/>
    </xf>
    <xf numFmtId="0" fontId="69" fillId="5" borderId="26" xfId="0" applyFont="1" applyFill="1" applyBorder="1" applyAlignment="1">
      <alignment horizontal="center" vertical="center" wrapText="1"/>
    </xf>
    <xf numFmtId="0" fontId="69" fillId="5" borderId="22" xfId="0" applyFont="1" applyFill="1" applyBorder="1" applyAlignment="1">
      <alignment horizontal="left" vertical="center" wrapText="1"/>
    </xf>
    <xf numFmtId="0" fontId="69" fillId="5" borderId="23" xfId="0" applyFont="1" applyFill="1" applyBorder="1" applyAlignment="1">
      <alignment horizontal="left" vertical="center" wrapText="1"/>
    </xf>
    <xf numFmtId="0" fontId="69" fillId="5" borderId="26" xfId="0" applyFont="1" applyFill="1" applyBorder="1" applyAlignment="1">
      <alignment horizontal="left" vertical="center" wrapText="1"/>
    </xf>
    <xf numFmtId="0" fontId="69" fillId="5" borderId="21" xfId="0" applyFont="1" applyFill="1" applyBorder="1" applyAlignment="1">
      <alignment horizontal="center" vertical="center" wrapText="1"/>
    </xf>
    <xf numFmtId="0" fontId="69" fillId="5" borderId="9" xfId="0" applyFont="1" applyFill="1" applyBorder="1" applyAlignment="1">
      <alignment vertical="center" wrapText="1"/>
    </xf>
    <xf numFmtId="0" fontId="4" fillId="5" borderId="11" xfId="0" applyFont="1" applyFill="1" applyBorder="1" applyAlignment="1">
      <alignment vertical="center" wrapText="1"/>
    </xf>
    <xf numFmtId="49" fontId="13" fillId="5" borderId="9" xfId="0" applyNumberFormat="1" applyFont="1" applyFill="1" applyBorder="1" applyAlignment="1">
      <alignment horizontal="center" vertical="center"/>
    </xf>
    <xf numFmtId="49" fontId="13" fillId="5" borderId="11" xfId="0" applyNumberFormat="1" applyFont="1" applyFill="1" applyBorder="1" applyAlignment="1">
      <alignment horizontal="center" vertical="center"/>
    </xf>
    <xf numFmtId="0" fontId="69" fillId="5" borderId="9" xfId="0" applyFont="1" applyFill="1" applyBorder="1" applyAlignment="1">
      <alignment horizontal="center" wrapText="1"/>
    </xf>
    <xf numFmtId="0" fontId="69" fillId="5" borderId="11" xfId="0" applyFont="1" applyFill="1" applyBorder="1" applyAlignment="1">
      <alignment horizontal="center" wrapText="1"/>
    </xf>
    <xf numFmtId="49" fontId="69" fillId="5" borderId="9" xfId="0" applyNumberFormat="1" applyFont="1" applyFill="1" applyBorder="1" applyAlignment="1">
      <alignment horizontal="center" wrapText="1"/>
    </xf>
    <xf numFmtId="49" fontId="69" fillId="5" borderId="11" xfId="0" applyNumberFormat="1" applyFont="1" applyFill="1" applyBorder="1" applyAlignment="1">
      <alignment horizontal="center" wrapText="1"/>
    </xf>
    <xf numFmtId="0" fontId="69" fillId="5" borderId="16" xfId="0" applyFont="1" applyFill="1" applyBorder="1" applyAlignment="1">
      <alignment wrapText="1"/>
    </xf>
    <xf numFmtId="0" fontId="13" fillId="5" borderId="16" xfId="8" applyFont="1" applyFill="1" applyBorder="1" applyAlignment="1">
      <alignment horizontal="center" wrapText="1"/>
    </xf>
    <xf numFmtId="0" fontId="13" fillId="5" borderId="9" xfId="8" applyFont="1" applyFill="1" applyBorder="1" applyAlignment="1">
      <alignment horizontal="center" vertical="center" wrapText="1"/>
    </xf>
    <xf numFmtId="0" fontId="13" fillId="5" borderId="10" xfId="8" applyFont="1" applyFill="1" applyBorder="1" applyAlignment="1">
      <alignment horizontal="center" vertical="center" wrapText="1"/>
    </xf>
    <xf numFmtId="0" fontId="13" fillId="5" borderId="11" xfId="8" applyFont="1" applyFill="1" applyBorder="1" applyAlignment="1">
      <alignment horizontal="center"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9" xfId="8" applyFont="1" applyFill="1" applyBorder="1" applyAlignment="1">
      <alignment vertical="center" wrapText="1"/>
    </xf>
    <xf numFmtId="0" fontId="13" fillId="5" borderId="10" xfId="8" applyFont="1" applyFill="1" applyBorder="1" applyAlignment="1">
      <alignment vertical="center" wrapText="1"/>
    </xf>
    <xf numFmtId="0" fontId="13" fillId="5" borderId="11" xfId="8" applyFont="1" applyFill="1" applyBorder="1" applyAlignment="1">
      <alignment vertical="center" wrapText="1"/>
    </xf>
    <xf numFmtId="49" fontId="20" fillId="5" borderId="0" xfId="0" applyNumberFormat="1" applyFont="1" applyFill="1" applyBorder="1" applyAlignment="1">
      <alignment horizontal="left" vertical="center" wrapText="1"/>
    </xf>
    <xf numFmtId="49" fontId="18" fillId="5" borderId="0" xfId="0" applyNumberFormat="1" applyFont="1" applyFill="1" applyAlignment="1">
      <alignment horizontal="center" vertical="center" wrapText="1"/>
    </xf>
    <xf numFmtId="49" fontId="18" fillId="5" borderId="0" xfId="0" applyNumberFormat="1" applyFont="1" applyFill="1" applyAlignment="1">
      <alignment horizontal="center" vertical="center"/>
    </xf>
    <xf numFmtId="0" fontId="13" fillId="5" borderId="16" xfId="8" applyFont="1" applyFill="1" applyBorder="1" applyAlignment="1">
      <alignment wrapText="1"/>
    </xf>
    <xf numFmtId="0" fontId="69" fillId="5" borderId="21" xfId="0" applyFont="1" applyFill="1" applyBorder="1" applyAlignment="1">
      <alignment horizontal="center" wrapText="1"/>
    </xf>
    <xf numFmtId="0" fontId="18" fillId="5" borderId="17" xfId="0" applyNumberFormat="1" applyFont="1" applyFill="1" applyBorder="1" applyAlignment="1">
      <alignment horizontal="left" vertical="center" wrapText="1"/>
    </xf>
    <xf numFmtId="0" fontId="69" fillId="5" borderId="21" xfId="0" applyFont="1" applyFill="1" applyBorder="1" applyAlignment="1">
      <alignment wrapText="1"/>
    </xf>
    <xf numFmtId="0" fontId="18" fillId="5" borderId="13" xfId="0" applyNumberFormat="1" applyFont="1" applyFill="1" applyBorder="1" applyAlignment="1">
      <alignment horizontal="left" vertical="center" wrapText="1"/>
    </xf>
    <xf numFmtId="3" fontId="13" fillId="5" borderId="47" xfId="0" applyNumberFormat="1" applyFont="1" applyFill="1" applyBorder="1" applyAlignment="1">
      <alignment horizontal="right" vertical="center"/>
    </xf>
    <xf numFmtId="3" fontId="13" fillId="5" borderId="48" xfId="0" applyNumberFormat="1" applyFont="1" applyFill="1" applyBorder="1" applyAlignment="1">
      <alignment horizontal="right" vertical="center"/>
    </xf>
    <xf numFmtId="0" fontId="69" fillId="5" borderId="22" xfId="0" applyFont="1" applyFill="1" applyBorder="1" applyAlignment="1">
      <alignment horizontal="center" wrapText="1"/>
    </xf>
    <xf numFmtId="0" fontId="69" fillId="5" borderId="26" xfId="0" applyFont="1" applyFill="1" applyBorder="1" applyAlignment="1">
      <alignment horizontal="center" wrapText="1"/>
    </xf>
    <xf numFmtId="0" fontId="69" fillId="5" borderId="9" xfId="0" applyFont="1" applyFill="1" applyBorder="1" applyAlignment="1">
      <alignment horizontal="left" wrapText="1"/>
    </xf>
    <xf numFmtId="0" fontId="69" fillId="5" borderId="11" xfId="0" applyFont="1" applyFill="1" applyBorder="1" applyAlignment="1">
      <alignment horizontal="left" wrapText="1"/>
    </xf>
    <xf numFmtId="0" fontId="69" fillId="5" borderId="10" xfId="0" applyFont="1" applyFill="1" applyBorder="1" applyAlignment="1">
      <alignment horizontal="center" wrapText="1"/>
    </xf>
    <xf numFmtId="49" fontId="13" fillId="5" borderId="10" xfId="0" applyNumberFormat="1" applyFont="1" applyFill="1" applyBorder="1" applyAlignment="1">
      <alignment horizontal="center" vertical="center"/>
    </xf>
    <xf numFmtId="0" fontId="3" fillId="5" borderId="0" xfId="0" applyNumberFormat="1" applyFont="1" applyFill="1" applyBorder="1" applyAlignment="1">
      <alignment horizontal="left"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176" fontId="8" fillId="5" borderId="9" xfId="2" applyNumberFormat="1" applyFont="1" applyFill="1" applyBorder="1" applyAlignment="1">
      <alignment horizontal="center" vertical="center" wrapText="1"/>
    </xf>
    <xf numFmtId="176" fontId="8" fillId="5" borderId="10" xfId="2" applyNumberFormat="1" applyFont="1" applyFill="1" applyBorder="1" applyAlignment="1">
      <alignment horizontal="center" vertical="center" wrapText="1"/>
    </xf>
    <xf numFmtId="176" fontId="8" fillId="5" borderId="11" xfId="2" applyNumberFormat="1"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28" xfId="0" applyFont="1" applyFill="1" applyBorder="1" applyAlignment="1">
      <alignment horizontal="center" vertical="center" wrapText="1"/>
    </xf>
    <xf numFmtId="2" fontId="3" fillId="5" borderId="0" xfId="0" applyNumberFormat="1" applyFont="1" applyFill="1" applyBorder="1" applyAlignment="1">
      <alignment horizontal="left" wrapText="1"/>
    </xf>
    <xf numFmtId="0" fontId="8" fillId="5" borderId="19"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20" fillId="5" borderId="0" xfId="0" applyNumberFormat="1" applyFont="1" applyFill="1" applyBorder="1" applyAlignment="1">
      <alignment horizontal="left" vertical="center" wrapText="1"/>
    </xf>
    <xf numFmtId="0" fontId="51" fillId="5" borderId="0" xfId="0" applyFont="1" applyFill="1" applyAlignment="1">
      <alignment horizontal="left" wrapText="1"/>
    </xf>
    <xf numFmtId="0" fontId="51" fillId="5" borderId="0" xfId="0" applyFont="1" applyFill="1" applyAlignment="1">
      <alignment horizontal="left"/>
    </xf>
    <xf numFmtId="49" fontId="3" fillId="5" borderId="0" xfId="0" applyNumberFormat="1" applyFont="1" applyFill="1" applyBorder="1" applyAlignment="1">
      <alignment horizontal="left" wrapText="1"/>
    </xf>
    <xf numFmtId="0" fontId="14" fillId="5" borderId="19" xfId="0" applyFont="1" applyFill="1" applyBorder="1" applyAlignment="1">
      <alignment horizontal="center" vertical="center"/>
    </xf>
    <xf numFmtId="0" fontId="14" fillId="5" borderId="27" xfId="0" applyFont="1" applyFill="1" applyBorder="1" applyAlignment="1">
      <alignment horizontal="center" vertical="center"/>
    </xf>
    <xf numFmtId="0" fontId="14" fillId="5" borderId="28" xfId="0" applyFont="1" applyFill="1" applyBorder="1" applyAlignment="1">
      <alignment horizontal="center" vertical="center"/>
    </xf>
    <xf numFmtId="49" fontId="8" fillId="5" borderId="0" xfId="0" applyNumberFormat="1" applyFont="1" applyFill="1" applyBorder="1" applyAlignment="1">
      <alignment horizontal="left" vertical="center" wrapText="1"/>
    </xf>
    <xf numFmtId="0" fontId="3" fillId="5" borderId="0" xfId="0" applyFont="1" applyFill="1" applyAlignment="1">
      <alignment horizontal="left" wrapText="1"/>
    </xf>
    <xf numFmtId="0" fontId="3" fillId="5" borderId="0" xfId="0" applyNumberFormat="1" applyFont="1" applyFill="1" applyBorder="1" applyAlignment="1">
      <alignment horizontal="left" wrapText="1"/>
    </xf>
    <xf numFmtId="0" fontId="3" fillId="5" borderId="0" xfId="0" applyNumberFormat="1" applyFont="1" applyFill="1" applyBorder="1" applyAlignment="1">
      <alignment horizontal="left"/>
    </xf>
    <xf numFmtId="49" fontId="3" fillId="5" borderId="0" xfId="0" applyNumberFormat="1" applyFont="1" applyFill="1" applyBorder="1" applyAlignment="1">
      <alignment horizontal="left"/>
    </xf>
    <xf numFmtId="49" fontId="20" fillId="5" borderId="0" xfId="0" applyNumberFormat="1" applyFont="1" applyFill="1" applyBorder="1" applyAlignment="1">
      <alignment horizontal="left" vertical="center"/>
    </xf>
    <xf numFmtId="49" fontId="16" fillId="5" borderId="0" xfId="0" applyNumberFormat="1" applyFont="1" applyFill="1" applyBorder="1" applyAlignment="1">
      <alignment horizontal="center"/>
    </xf>
    <xf numFmtId="0" fontId="32" fillId="5" borderId="0" xfId="0" applyNumberFormat="1" applyFont="1" applyFill="1" applyBorder="1" applyAlignment="1">
      <alignment horizontal="left" vertical="center" wrapText="1"/>
    </xf>
    <xf numFmtId="0" fontId="23" fillId="5" borderId="0" xfId="0" applyNumberFormat="1" applyFont="1" applyFill="1" applyBorder="1" applyAlignment="1">
      <alignment horizontal="left" vertical="center" wrapText="1"/>
    </xf>
    <xf numFmtId="49" fontId="20" fillId="5" borderId="0" xfId="0" applyNumberFormat="1" applyFont="1" applyFill="1" applyBorder="1" applyAlignment="1">
      <alignment horizontal="left"/>
    </xf>
    <xf numFmtId="177" fontId="32" fillId="5" borderId="19" xfId="0" applyNumberFormat="1" applyFont="1" applyFill="1" applyBorder="1" applyAlignment="1">
      <alignment horizontal="center" vertical="center"/>
    </xf>
    <xf numFmtId="177" fontId="32" fillId="5" borderId="27" xfId="0" applyNumberFormat="1" applyFont="1" applyFill="1" applyBorder="1" applyAlignment="1">
      <alignment horizontal="center" vertical="center"/>
    </xf>
    <xf numFmtId="177" fontId="32" fillId="5" borderId="28" xfId="0" applyNumberFormat="1" applyFont="1" applyFill="1" applyBorder="1" applyAlignment="1">
      <alignment horizontal="center" vertical="center"/>
    </xf>
    <xf numFmtId="0" fontId="3" fillId="5" borderId="0" xfId="0" applyFont="1" applyFill="1" applyAlignment="1">
      <alignment horizontal="left"/>
    </xf>
    <xf numFmtId="49" fontId="3" fillId="5" borderId="0" xfId="0" applyNumberFormat="1" applyFont="1" applyFill="1" applyBorder="1" applyAlignment="1">
      <alignment horizontal="center"/>
    </xf>
    <xf numFmtId="0" fontId="3" fillId="5" borderId="0" xfId="0" applyFont="1" applyFill="1" applyBorder="1" applyAlignment="1">
      <alignment horizontal="left" wrapText="1"/>
    </xf>
    <xf numFmtId="0" fontId="8" fillId="5" borderId="0" xfId="0" applyNumberFormat="1" applyFont="1" applyFill="1" applyBorder="1" applyAlignment="1">
      <alignment horizontal="left" vertical="center" wrapText="1"/>
    </xf>
    <xf numFmtId="0" fontId="14" fillId="5" borderId="0" xfId="0" applyFont="1" applyFill="1" applyAlignment="1">
      <alignment horizontal="left" wrapText="1"/>
    </xf>
    <xf numFmtId="0" fontId="32" fillId="5" borderId="19" xfId="0" applyFont="1" applyFill="1" applyBorder="1" applyAlignment="1">
      <alignment horizontal="center" vertical="center"/>
    </xf>
    <xf numFmtId="0" fontId="32" fillId="5" borderId="27" xfId="0" applyFont="1" applyFill="1" applyBorder="1" applyAlignment="1">
      <alignment horizontal="center" vertical="center"/>
    </xf>
    <xf numFmtId="0" fontId="32" fillId="5" borderId="28" xfId="0" applyFont="1" applyFill="1" applyBorder="1" applyAlignment="1">
      <alignment horizontal="center" vertical="center"/>
    </xf>
    <xf numFmtId="49" fontId="18" fillId="5" borderId="0" xfId="0" applyNumberFormat="1" applyFont="1" applyFill="1" applyBorder="1" applyAlignment="1">
      <alignment horizontal="center"/>
    </xf>
    <xf numFmtId="49" fontId="23" fillId="5" borderId="0" xfId="0" applyNumberFormat="1" applyFont="1" applyFill="1" applyBorder="1" applyAlignment="1">
      <alignment horizontal="left" vertical="center" wrapText="1"/>
    </xf>
  </cellXfs>
  <cellStyles count="9">
    <cellStyle name="Chuẩn 2" xfId="1"/>
    <cellStyle name="Comma" xfId="2" builtinId="3"/>
    <cellStyle name="Comma 2" xfId="3"/>
    <cellStyle name="Comma 3" xfId="4"/>
    <cellStyle name="Dấu phẩy 2" xfId="5"/>
    <cellStyle name="Normal" xfId="0" builtinId="0"/>
    <cellStyle name="Normal 2" xfId="6"/>
    <cellStyle name="Normal_1,DG-capmoi" xfId="7"/>
    <cellStyle name="Normal_NC_DKDD"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20folder/VIII-DON%20GIA%20C&#7844;P%20GI&#7844;Y(TP,TX%20KY%20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 so chung"/>
      <sheetName val="LUONGNGAY"/>
      <sheetName val="BanggiaTB"/>
      <sheetName val="BanggiaVL"/>
      <sheetName val="BanggiaDC"/>
      <sheetName val="TRICH DO-DT"/>
      <sheetName val="TRICH DO-NT"/>
      <sheetName val="Bang gia"/>
      <sheetName val="1,DG-capmoi"/>
      <sheetName val="2,DG-capdoi (2)"/>
      <sheetName val="2,DG-capdoi"/>
      <sheetName val="3,DG-dangkybiendong"/>
      <sheetName val="4,DG-trichlucHSDC"/>
      <sheetName val="NC_DKDD"/>
      <sheetName val="Dcu-DKDD"/>
      <sheetName val="VL-DKDD"/>
      <sheetName val="TB-DKDD"/>
      <sheetName val="NL-DKDD"/>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N9">
            <v>358528.19885806245</v>
          </cell>
        </row>
        <row r="10">
          <cell r="N10">
            <v>373798.54371699865</v>
          </cell>
        </row>
        <row r="11">
          <cell r="N11">
            <v>391548.226759871</v>
          </cell>
        </row>
        <row r="12">
          <cell r="N12">
            <v>344815.06698306242</v>
          </cell>
        </row>
        <row r="13">
          <cell r="N13">
            <v>360085.41184199869</v>
          </cell>
        </row>
        <row r="14">
          <cell r="N14">
            <v>377835.09488487104</v>
          </cell>
        </row>
        <row r="16">
          <cell r="N16">
            <v>209295.37777968921</v>
          </cell>
        </row>
        <row r="17">
          <cell r="N17">
            <v>224565.72263862539</v>
          </cell>
        </row>
        <row r="18">
          <cell r="N18">
            <v>242315.40568149777</v>
          </cell>
        </row>
        <row r="19">
          <cell r="N19">
            <v>195582.24590468919</v>
          </cell>
        </row>
        <row r="20">
          <cell r="N20">
            <v>210852.59076362543</v>
          </cell>
        </row>
        <row r="21">
          <cell r="N21">
            <v>228602.2738064978</v>
          </cell>
        </row>
        <row r="46">
          <cell r="N46">
            <v>136678.49970340531</v>
          </cell>
        </row>
        <row r="47">
          <cell r="N47">
            <v>136678.49970340531</v>
          </cell>
        </row>
        <row r="80">
          <cell r="N80">
            <v>12554.321374967942</v>
          </cell>
        </row>
        <row r="81">
          <cell r="N81">
            <v>12554.321374967942</v>
          </cell>
        </row>
        <row r="104">
          <cell r="N104">
            <v>562299.7871424472</v>
          </cell>
        </row>
        <row r="105">
          <cell r="N105">
            <v>606251.34931582632</v>
          </cell>
        </row>
        <row r="106">
          <cell r="N106">
            <v>658993.20457189763</v>
          </cell>
        </row>
        <row r="107">
          <cell r="N107">
            <v>722441.18470681517</v>
          </cell>
        </row>
        <row r="108">
          <cell r="N108">
            <v>541154.4756280242</v>
          </cell>
        </row>
        <row r="109">
          <cell r="N109">
            <v>585106.0378014032</v>
          </cell>
        </row>
        <row r="110">
          <cell r="N110">
            <v>637847.89305747452</v>
          </cell>
        </row>
        <row r="111">
          <cell r="N111">
            <v>701295.87319239206</v>
          </cell>
        </row>
        <row r="113">
          <cell r="N113">
            <v>395215.70646984997</v>
          </cell>
        </row>
        <row r="114">
          <cell r="N114">
            <v>439167.26864322904</v>
          </cell>
        </row>
        <row r="115">
          <cell r="N115">
            <v>491909.12389930035</v>
          </cell>
        </row>
        <row r="116">
          <cell r="N116">
            <v>555357.10403421789</v>
          </cell>
        </row>
        <row r="117">
          <cell r="N117">
            <v>381502.57459485001</v>
          </cell>
        </row>
        <row r="118">
          <cell r="N118">
            <v>425454.13676822901</v>
          </cell>
        </row>
        <row r="119">
          <cell r="N119">
            <v>478195.99202430033</v>
          </cell>
        </row>
        <row r="120">
          <cell r="N120">
            <v>541643.97215921793</v>
          </cell>
        </row>
        <row r="146">
          <cell r="N146">
            <v>148592.0316905315</v>
          </cell>
        </row>
        <row r="147">
          <cell r="N147">
            <v>141159.85205110841</v>
          </cell>
        </row>
        <row r="180">
          <cell r="N180">
            <v>18492.048982065731</v>
          </cell>
        </row>
        <row r="181">
          <cell r="N181">
            <v>18492.048982065731</v>
          </cell>
        </row>
        <row r="204">
          <cell r="N204">
            <v>888643.39867323707</v>
          </cell>
        </row>
        <row r="205">
          <cell r="N205">
            <v>1015655.4943366986</v>
          </cell>
        </row>
        <row r="206">
          <cell r="N206">
            <v>1163336.7625915066</v>
          </cell>
        </row>
        <row r="207">
          <cell r="N207">
            <v>1334665.2206366991</v>
          </cell>
        </row>
        <row r="208">
          <cell r="N208">
            <v>1224637.0624770834</v>
          </cell>
        </row>
        <row r="209">
          <cell r="N209">
            <v>861115.53795208328</v>
          </cell>
        </row>
        <row r="210">
          <cell r="N210">
            <v>988127.63361554488</v>
          </cell>
        </row>
        <row r="211">
          <cell r="N211">
            <v>1135808.9018703527</v>
          </cell>
        </row>
        <row r="212">
          <cell r="N212">
            <v>1307137.359915545</v>
          </cell>
        </row>
        <row r="213">
          <cell r="N213">
            <v>1197109.2017559295</v>
          </cell>
        </row>
        <row r="216">
          <cell r="N216">
            <v>842594.30251939094</v>
          </cell>
        </row>
        <row r="217">
          <cell r="N217">
            <v>969606.39818285243</v>
          </cell>
        </row>
        <row r="218">
          <cell r="N218">
            <v>1117287.6664376603</v>
          </cell>
        </row>
        <row r="219">
          <cell r="N219">
            <v>1288616.1244828529</v>
          </cell>
        </row>
        <row r="220">
          <cell r="N220">
            <v>1178587.9663232372</v>
          </cell>
        </row>
        <row r="221">
          <cell r="N221">
            <v>815066.44179823715</v>
          </cell>
        </row>
        <row r="222">
          <cell r="N222">
            <v>942078.53746169875</v>
          </cell>
        </row>
        <row r="223">
          <cell r="N223">
            <v>1089759.8057165064</v>
          </cell>
        </row>
        <row r="224">
          <cell r="N224">
            <v>1261088.2637616987</v>
          </cell>
        </row>
        <row r="225">
          <cell r="N225">
            <v>1151060.1056020833</v>
          </cell>
        </row>
        <row r="248">
          <cell r="N248">
            <v>46049.096153846156</v>
          </cell>
        </row>
        <row r="262">
          <cell r="N262">
            <v>717050.49437948701</v>
          </cell>
        </row>
        <row r="263">
          <cell r="N263">
            <v>601690.89933141007</v>
          </cell>
        </row>
        <row r="266">
          <cell r="N266">
            <v>671001.39822564088</v>
          </cell>
        </row>
        <row r="267">
          <cell r="N267">
            <v>555641.80317756394</v>
          </cell>
        </row>
        <row r="310">
          <cell r="N310">
            <v>46049.096153846156</v>
          </cell>
        </row>
        <row r="324">
          <cell r="N324">
            <v>871605.23309631401</v>
          </cell>
        </row>
        <row r="325">
          <cell r="N325">
            <v>998617.32875977561</v>
          </cell>
        </row>
        <row r="326">
          <cell r="N326">
            <v>1146298.5970145834</v>
          </cell>
        </row>
        <row r="327">
          <cell r="N327">
            <v>1317627.0550597759</v>
          </cell>
        </row>
        <row r="328">
          <cell r="N328">
            <v>1207598.8969001602</v>
          </cell>
        </row>
        <row r="329">
          <cell r="N329">
            <v>844077.37237516011</v>
          </cell>
        </row>
        <row r="330">
          <cell r="N330">
            <v>971089.46803862171</v>
          </cell>
        </row>
        <row r="331">
          <cell r="N331">
            <v>1118770.7362934295</v>
          </cell>
        </row>
        <row r="332">
          <cell r="N332">
            <v>1290099.1943386223</v>
          </cell>
        </row>
        <row r="333">
          <cell r="N333">
            <v>1180071.0361790063</v>
          </cell>
        </row>
        <row r="336">
          <cell r="N336">
            <v>825556.13694246789</v>
          </cell>
        </row>
        <row r="337">
          <cell r="N337">
            <v>952568.23260592949</v>
          </cell>
        </row>
        <row r="338">
          <cell r="N338">
            <v>1100249.5008607372</v>
          </cell>
        </row>
        <row r="339">
          <cell r="N339">
            <v>1271577.9589059297</v>
          </cell>
        </row>
        <row r="340">
          <cell r="N340">
            <v>1161549.800746314</v>
          </cell>
        </row>
        <row r="341">
          <cell r="N341">
            <v>798028.27622131398</v>
          </cell>
        </row>
        <row r="342">
          <cell r="N342">
            <v>925040.37188477558</v>
          </cell>
        </row>
        <row r="343">
          <cell r="N343">
            <v>1072721.6401395833</v>
          </cell>
        </row>
        <row r="344">
          <cell r="N344">
            <v>1244050.098184776</v>
          </cell>
        </row>
        <row r="345">
          <cell r="N345">
            <v>1134021.9400251601</v>
          </cell>
        </row>
        <row r="368">
          <cell r="N368">
            <v>46049.096153846156</v>
          </cell>
        </row>
        <row r="381">
          <cell r="N381">
            <v>798889.23702371796</v>
          </cell>
        </row>
        <row r="382">
          <cell r="N382">
            <v>683529.64197564102</v>
          </cell>
        </row>
        <row r="385">
          <cell r="N385">
            <v>752840.14086987183</v>
          </cell>
        </row>
        <row r="386">
          <cell r="N386">
            <v>637480.54582179489</v>
          </cell>
        </row>
        <row r="429">
          <cell r="N429">
            <v>46049.096153846156</v>
          </cell>
        </row>
        <row r="442">
          <cell r="N442">
            <v>1339648.1339329008</v>
          </cell>
        </row>
        <row r="443">
          <cell r="N443">
            <v>1504763.8582954006</v>
          </cell>
        </row>
        <row r="444">
          <cell r="N444">
            <v>1696899.2225963627</v>
          </cell>
        </row>
        <row r="445">
          <cell r="N445">
            <v>1919289.7679357855</v>
          </cell>
        </row>
        <row r="446">
          <cell r="N446">
            <v>1776718.3371425162</v>
          </cell>
        </row>
        <row r="447">
          <cell r="N447">
            <v>1302951.0927694393</v>
          </cell>
        </row>
        <row r="448">
          <cell r="N448">
            <v>1468066.8171319393</v>
          </cell>
        </row>
        <row r="449">
          <cell r="N449">
            <v>1660202.181432901</v>
          </cell>
        </row>
        <row r="450">
          <cell r="N450">
            <v>1882592.7267723239</v>
          </cell>
        </row>
        <row r="451">
          <cell r="N451">
            <v>1740021.2959790546</v>
          </cell>
        </row>
        <row r="454">
          <cell r="N454">
            <v>1279784.3089329009</v>
          </cell>
        </row>
        <row r="455">
          <cell r="N455">
            <v>1444900.0332954007</v>
          </cell>
        </row>
        <row r="456">
          <cell r="N456">
            <v>1637035.3975963627</v>
          </cell>
        </row>
        <row r="457">
          <cell r="N457">
            <v>1859425.9429357855</v>
          </cell>
        </row>
        <row r="458">
          <cell r="N458">
            <v>1716854.5121425162</v>
          </cell>
        </row>
        <row r="459">
          <cell r="N459">
            <v>1243087.2677694394</v>
          </cell>
        </row>
        <row r="460">
          <cell r="N460">
            <v>1408202.9921319394</v>
          </cell>
        </row>
        <row r="461">
          <cell r="N461">
            <v>1600338.356432901</v>
          </cell>
        </row>
        <row r="462">
          <cell r="N462">
            <v>1822728.901772324</v>
          </cell>
        </row>
        <row r="463">
          <cell r="N463">
            <v>1680157.4709790547</v>
          </cell>
        </row>
        <row r="486">
          <cell r="N486">
            <v>59863.824999999997</v>
          </cell>
        </row>
        <row r="498">
          <cell r="N498">
            <v>995680.14194583334</v>
          </cell>
        </row>
        <row r="499">
          <cell r="N499">
            <v>861101.84287852573</v>
          </cell>
        </row>
        <row r="502">
          <cell r="N502">
            <v>935816.31694583339</v>
          </cell>
        </row>
        <row r="503">
          <cell r="N503">
            <v>801238.01787852577</v>
          </cell>
        </row>
        <row r="546">
          <cell r="N546">
            <v>59863.824999999997</v>
          </cell>
        </row>
        <row r="559">
          <cell r="N559">
            <v>1550428.7839210737</v>
          </cell>
        </row>
        <row r="560">
          <cell r="N560">
            <v>1593972.23132492</v>
          </cell>
        </row>
        <row r="561">
          <cell r="N561">
            <v>1641870.0234691505</v>
          </cell>
        </row>
        <row r="562">
          <cell r="N562">
            <v>1694557.5948278042</v>
          </cell>
        </row>
        <row r="563">
          <cell r="N563">
            <v>1750728.6419787654</v>
          </cell>
        </row>
        <row r="564">
          <cell r="N564">
            <v>1551681.608296074</v>
          </cell>
        </row>
        <row r="565">
          <cell r="N565">
            <v>1595225.0556999203</v>
          </cell>
        </row>
        <row r="566">
          <cell r="N566">
            <v>1643122.8478441504</v>
          </cell>
        </row>
        <row r="567">
          <cell r="N567">
            <v>1695810.4192028046</v>
          </cell>
        </row>
        <row r="568">
          <cell r="N568">
            <v>1751981.4663537657</v>
          </cell>
        </row>
        <row r="571">
          <cell r="N571">
            <v>1518380.3177246395</v>
          </cell>
        </row>
        <row r="572">
          <cell r="N572">
            <v>1561923.7651284859</v>
          </cell>
        </row>
        <row r="573">
          <cell r="N573">
            <v>1609821.5572727164</v>
          </cell>
        </row>
        <row r="574">
          <cell r="N574">
            <v>1662509.1286313701</v>
          </cell>
        </row>
        <row r="575">
          <cell r="N575">
            <v>1718680.1757823313</v>
          </cell>
        </row>
        <row r="576">
          <cell r="N576">
            <v>1519633.1420996396</v>
          </cell>
        </row>
        <row r="577">
          <cell r="N577">
            <v>1563176.5895034859</v>
          </cell>
        </row>
        <row r="578">
          <cell r="N578">
            <v>1611074.3816477163</v>
          </cell>
        </row>
        <row r="579">
          <cell r="N579">
            <v>1663761.9530063702</v>
          </cell>
        </row>
        <row r="580">
          <cell r="N580">
            <v>1719933.0001573316</v>
          </cell>
        </row>
        <row r="619">
          <cell r="N619">
            <v>23024.548076923078</v>
          </cell>
        </row>
        <row r="621">
          <cell r="N621">
            <v>9023.9181195112178</v>
          </cell>
        </row>
        <row r="634">
          <cell r="N634">
            <v>1718060.7122864584</v>
          </cell>
        </row>
        <row r="635">
          <cell r="N635">
            <v>1761604.1596903042</v>
          </cell>
        </row>
        <row r="636">
          <cell r="N636">
            <v>1809501.9518345352</v>
          </cell>
        </row>
        <row r="637">
          <cell r="N637">
            <v>1861754.0887191505</v>
          </cell>
        </row>
        <row r="638">
          <cell r="N638">
            <v>1918360.5703441505</v>
          </cell>
        </row>
        <row r="639">
          <cell r="N639">
            <v>1719313.5366614582</v>
          </cell>
        </row>
        <row r="640">
          <cell r="N640">
            <v>1762856.9840653045</v>
          </cell>
        </row>
        <row r="641">
          <cell r="N641">
            <v>1810754.7762095351</v>
          </cell>
        </row>
        <row r="642">
          <cell r="N642">
            <v>1863006.9130941508</v>
          </cell>
        </row>
        <row r="643">
          <cell r="N643">
            <v>1919613.3947191504</v>
          </cell>
        </row>
        <row r="645">
          <cell r="N645">
            <v>1686012.246090024</v>
          </cell>
        </row>
        <row r="646">
          <cell r="N646">
            <v>1729555.6934938701</v>
          </cell>
        </row>
        <row r="647">
          <cell r="N647">
            <v>1777453.4856381009</v>
          </cell>
        </row>
        <row r="648">
          <cell r="N648">
            <v>1829705.6225227164</v>
          </cell>
        </row>
        <row r="649">
          <cell r="N649">
            <v>1886312.1041477162</v>
          </cell>
        </row>
        <row r="650">
          <cell r="N650">
            <v>1687265.0704650241</v>
          </cell>
        </row>
        <row r="651">
          <cell r="N651">
            <v>1730808.5178688702</v>
          </cell>
        </row>
        <row r="652">
          <cell r="N652">
            <v>1778706.310013101</v>
          </cell>
        </row>
        <row r="653">
          <cell r="N653">
            <v>1830958.4468977165</v>
          </cell>
        </row>
        <row r="654">
          <cell r="N654">
            <v>1887564.9285227163</v>
          </cell>
        </row>
        <row r="693">
          <cell r="N693">
            <v>23024.548076923078</v>
          </cell>
        </row>
        <row r="695">
          <cell r="N695">
            <v>9023.9181195112178</v>
          </cell>
        </row>
        <row r="707">
          <cell r="N707">
            <v>2260908.3670880804</v>
          </cell>
        </row>
        <row r="708">
          <cell r="N708">
            <v>2317514.8487130804</v>
          </cell>
        </row>
        <row r="709">
          <cell r="N709">
            <v>2379781.9785005804</v>
          </cell>
        </row>
        <row r="710">
          <cell r="N710">
            <v>2448145.1909246189</v>
          </cell>
        </row>
        <row r="711">
          <cell r="N711">
            <v>2522169.0515111578</v>
          </cell>
        </row>
        <row r="712">
          <cell r="N712">
            <v>2261511.093809234</v>
          </cell>
        </row>
        <row r="713">
          <cell r="N713">
            <v>2318117.5754342345</v>
          </cell>
        </row>
        <row r="714">
          <cell r="N714">
            <v>2380384.705221734</v>
          </cell>
        </row>
        <row r="715">
          <cell r="N715">
            <v>2448747.9176457725</v>
          </cell>
        </row>
        <row r="716">
          <cell r="N716">
            <v>2522771.7782323114</v>
          </cell>
        </row>
        <row r="719">
          <cell r="N719">
            <v>2219490.2685493384</v>
          </cell>
        </row>
        <row r="720">
          <cell r="N720">
            <v>2276096.7501743385</v>
          </cell>
        </row>
        <row r="721">
          <cell r="N721">
            <v>2338363.8799618385</v>
          </cell>
        </row>
        <row r="722">
          <cell r="N722">
            <v>2406727.0923858769</v>
          </cell>
        </row>
        <row r="723">
          <cell r="N723">
            <v>2480750.9529724158</v>
          </cell>
        </row>
        <row r="724">
          <cell r="N724">
            <v>2220092.995270492</v>
          </cell>
        </row>
        <row r="725">
          <cell r="N725">
            <v>2276699.4768954925</v>
          </cell>
        </row>
        <row r="726">
          <cell r="N726">
            <v>2338966.6066829921</v>
          </cell>
        </row>
        <row r="727">
          <cell r="N727">
            <v>2407329.8191070305</v>
          </cell>
        </row>
        <row r="728">
          <cell r="N728">
            <v>2481353.6796935694</v>
          </cell>
        </row>
        <row r="768">
          <cell r="N768">
            <v>29931.912499999999</v>
          </cell>
        </row>
        <row r="770">
          <cell r="N770">
            <v>11486.186038741986</v>
          </cell>
        </row>
      </sheetData>
      <sheetData sheetId="9" refreshError="1"/>
      <sheetData sheetId="10">
        <row r="8">
          <cell r="N8">
            <v>279934.45465709607</v>
          </cell>
        </row>
        <row r="9">
          <cell r="N9">
            <v>294021.55292721395</v>
          </cell>
        </row>
        <row r="10">
          <cell r="N10">
            <v>310926.09048668051</v>
          </cell>
        </row>
        <row r="11">
          <cell r="N11">
            <v>265740.09517566889</v>
          </cell>
        </row>
        <row r="12">
          <cell r="N12">
            <v>283280.85111316893</v>
          </cell>
        </row>
        <row r="13">
          <cell r="N13">
            <v>300185.33958432276</v>
          </cell>
        </row>
        <row r="15">
          <cell r="N15">
            <v>143680.44598049545</v>
          </cell>
        </row>
        <row r="16">
          <cell r="N16">
            <v>157767.54425061337</v>
          </cell>
        </row>
        <row r="17">
          <cell r="N17">
            <v>174672.08181007992</v>
          </cell>
        </row>
        <row r="18">
          <cell r="N18">
            <v>134866.37620579905</v>
          </cell>
        </row>
        <row r="19">
          <cell r="N19">
            <v>152407.1321432991</v>
          </cell>
        </row>
        <row r="20">
          <cell r="N20">
            <v>169311.62061445293</v>
          </cell>
        </row>
        <row r="46">
          <cell r="N46">
            <v>117423.47305442177</v>
          </cell>
        </row>
        <row r="47">
          <cell r="N47">
            <v>112043.18334769101</v>
          </cell>
        </row>
        <row r="80">
          <cell r="N80">
            <v>18830.535622178824</v>
          </cell>
        </row>
        <row r="100">
          <cell r="N100" t="str">
            <v>Đơn giá       sản phẩm</v>
          </cell>
        </row>
        <row r="103">
          <cell r="N103">
            <v>348528.92231602356</v>
          </cell>
        </row>
        <row r="104">
          <cell r="N104">
            <v>365433.41078717739</v>
          </cell>
        </row>
        <row r="105">
          <cell r="N105">
            <v>385718.79695256194</v>
          </cell>
        </row>
        <row r="106">
          <cell r="N106">
            <v>409948.56376121589</v>
          </cell>
        </row>
        <row r="107">
          <cell r="N107">
            <v>334334.9800852543</v>
          </cell>
        </row>
        <row r="108">
          <cell r="N108">
            <v>354693.15076794662</v>
          </cell>
        </row>
        <row r="109">
          <cell r="N109">
            <v>374978.53693333117</v>
          </cell>
        </row>
        <row r="110">
          <cell r="N110">
            <v>399208.30374198512</v>
          </cell>
        </row>
        <row r="113">
          <cell r="N113">
            <v>160153.6022292308</v>
          </cell>
        </row>
        <row r="114">
          <cell r="N114">
            <v>177058.09070038464</v>
          </cell>
        </row>
        <row r="115">
          <cell r="N115">
            <v>197343.47686576922</v>
          </cell>
        </row>
        <row r="116">
          <cell r="N116">
            <v>221573.24367442311</v>
          </cell>
        </row>
        <row r="117">
          <cell r="N117">
            <v>151339.94970519232</v>
          </cell>
        </row>
        <row r="118">
          <cell r="N118">
            <v>171698.12038788461</v>
          </cell>
        </row>
        <row r="119">
          <cell r="N119">
            <v>191983.50655326922</v>
          </cell>
        </row>
        <row r="120">
          <cell r="N120">
            <v>216213.27336192311</v>
          </cell>
        </row>
        <row r="147">
          <cell r="N147">
            <v>163604.06488931546</v>
          </cell>
        </row>
        <row r="148">
          <cell r="N148">
            <v>158223.77518258468</v>
          </cell>
        </row>
        <row r="181">
          <cell r="N181">
            <v>24771.255197477316</v>
          </cell>
        </row>
        <row r="202">
          <cell r="N202" t="str">
            <v>Đơn giá       sản phẩm</v>
          </cell>
        </row>
        <row r="205">
          <cell r="N205">
            <v>523061.49282379809</v>
          </cell>
        </row>
        <row r="206">
          <cell r="N206">
            <v>512802.04316033656</v>
          </cell>
        </row>
        <row r="208">
          <cell r="N208">
            <v>518097.85418221157</v>
          </cell>
        </row>
        <row r="209">
          <cell r="N209">
            <v>507838.40451875003</v>
          </cell>
        </row>
        <row r="234">
          <cell r="N234">
            <v>4963.6386415865381</v>
          </cell>
        </row>
        <row r="245">
          <cell r="N245" t="str">
            <v>Đơn giá       sản phẩm</v>
          </cell>
        </row>
        <row r="248">
          <cell r="N248">
            <v>478725.71200649044</v>
          </cell>
        </row>
        <row r="249">
          <cell r="N249">
            <v>509504.06099687499</v>
          </cell>
        </row>
        <row r="251">
          <cell r="N251">
            <v>473762.07336490392</v>
          </cell>
        </row>
        <row r="252">
          <cell r="N252">
            <v>504540.42235528847</v>
          </cell>
        </row>
        <row r="277">
          <cell r="N277">
            <v>4963.6386415865381</v>
          </cell>
        </row>
        <row r="287">
          <cell r="N287" t="str">
            <v>Đơn giá       sản phẩm</v>
          </cell>
        </row>
        <row r="290">
          <cell r="N290">
            <v>667095.84691862983</v>
          </cell>
        </row>
        <row r="291">
          <cell r="N291">
            <v>653758.56235612987</v>
          </cell>
        </row>
        <row r="294">
          <cell r="N294">
            <v>660876.55058456736</v>
          </cell>
        </row>
        <row r="295">
          <cell r="N295">
            <v>647539.2660220674</v>
          </cell>
        </row>
        <row r="320">
          <cell r="N320">
            <v>6219.2963340624992</v>
          </cell>
        </row>
        <row r="329">
          <cell r="N329" t="str">
            <v>Đơn giá       sản phẩm</v>
          </cell>
        </row>
        <row r="332">
          <cell r="N332">
            <v>761540.96836089727</v>
          </cell>
        </row>
        <row r="333">
          <cell r="N333">
            <v>751281.51869743585</v>
          </cell>
        </row>
        <row r="336">
          <cell r="N336">
            <v>752207.16566185886</v>
          </cell>
        </row>
        <row r="337">
          <cell r="N337">
            <v>741947.71599839744</v>
          </cell>
        </row>
        <row r="362">
          <cell r="N362">
            <v>4103.7798653846148</v>
          </cell>
        </row>
        <row r="364">
          <cell r="N364">
            <v>5230.0228336538457</v>
          </cell>
        </row>
        <row r="371">
          <cell r="N371" t="str">
            <v>Đơn giá       sản phẩm</v>
          </cell>
        </row>
        <row r="374">
          <cell r="N374">
            <v>717205.18754358962</v>
          </cell>
        </row>
        <row r="375">
          <cell r="N375">
            <v>706945.73788012809</v>
          </cell>
        </row>
        <row r="378">
          <cell r="N378">
            <v>707871.38484455121</v>
          </cell>
        </row>
        <row r="379">
          <cell r="N379">
            <v>697611.93518108968</v>
          </cell>
        </row>
        <row r="405">
          <cell r="N405">
            <v>4103.7798653846148</v>
          </cell>
        </row>
        <row r="407">
          <cell r="N407">
            <v>5230.0228336538457</v>
          </cell>
        </row>
        <row r="413">
          <cell r="N413" t="str">
            <v>Đơn giá       sản phẩm</v>
          </cell>
        </row>
        <row r="416">
          <cell r="N416">
            <v>982811.82936782076</v>
          </cell>
        </row>
        <row r="417">
          <cell r="N417">
            <v>969474.54480532079</v>
          </cell>
        </row>
        <row r="420">
          <cell r="N420">
            <v>970983.4178590707</v>
          </cell>
        </row>
        <row r="421">
          <cell r="N421">
            <v>957646.13329657074</v>
          </cell>
        </row>
        <row r="446">
          <cell r="N446">
            <v>5334.9138249999996</v>
          </cell>
        </row>
        <row r="448">
          <cell r="N448">
            <v>6493.4976837499999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10" sqref="B10"/>
    </sheetView>
  </sheetViews>
  <sheetFormatPr defaultRowHeight="16.5"/>
  <cols>
    <col min="1" max="1" width="5.77734375" style="95" customWidth="1"/>
    <col min="2" max="2" width="44.21875" style="50" customWidth="1"/>
    <col min="3" max="3" width="11.88671875" style="95" customWidth="1"/>
    <col min="4" max="4" width="14.5546875" style="95" customWidth="1"/>
    <col min="5" max="5" width="34.21875" style="50" bestFit="1" customWidth="1"/>
    <col min="6" max="16384" width="8.88671875" style="50"/>
  </cols>
  <sheetData>
    <row r="1" spans="1:6" ht="24" customHeight="1">
      <c r="A1" s="1089" t="s">
        <v>791</v>
      </c>
      <c r="B1" s="1089"/>
      <c r="C1" s="1089"/>
      <c r="D1" s="1089"/>
      <c r="E1" s="1089"/>
    </row>
    <row r="3" spans="1:6" s="240" customFormat="1" ht="22.5" customHeight="1">
      <c r="A3" s="249" t="s">
        <v>158</v>
      </c>
      <c r="B3" s="249" t="s">
        <v>159</v>
      </c>
      <c r="C3" s="249" t="s">
        <v>160</v>
      </c>
      <c r="D3" s="249" t="s">
        <v>161</v>
      </c>
      <c r="E3" s="249" t="s">
        <v>162</v>
      </c>
    </row>
    <row r="4" spans="1:6" s="96" customFormat="1" ht="21" customHeight="1">
      <c r="A4" s="16">
        <v>1</v>
      </c>
      <c r="B4" s="248" t="s">
        <v>72</v>
      </c>
      <c r="C4" s="16" t="s">
        <v>163</v>
      </c>
      <c r="D4" s="331">
        <v>1390000</v>
      </c>
      <c r="E4" s="453" t="s">
        <v>90</v>
      </c>
    </row>
    <row r="5" spans="1:6" s="96" customFormat="1" ht="21" customHeight="1">
      <c r="A5" s="18">
        <v>2</v>
      </c>
      <c r="B5" s="241" t="s">
        <v>164</v>
      </c>
      <c r="C5" s="18" t="s">
        <v>165</v>
      </c>
      <c r="D5" s="242">
        <v>0</v>
      </c>
      <c r="E5" s="241" t="s">
        <v>166</v>
      </c>
    </row>
    <row r="6" spans="1:6" s="96" customFormat="1" ht="21" customHeight="1">
      <c r="A6" s="18">
        <v>3</v>
      </c>
      <c r="B6" s="241" t="s">
        <v>167</v>
      </c>
      <c r="C6" s="18"/>
      <c r="D6" s="242">
        <v>0.4</v>
      </c>
      <c r="E6" s="241" t="s">
        <v>168</v>
      </c>
    </row>
    <row r="7" spans="1:6" s="96" customFormat="1" ht="21" customHeight="1">
      <c r="A7" s="18">
        <v>4</v>
      </c>
      <c r="B7" s="241" t="s">
        <v>169</v>
      </c>
      <c r="C7" s="18"/>
      <c r="D7" s="242">
        <v>0.2</v>
      </c>
      <c r="E7" s="241" t="s">
        <v>170</v>
      </c>
    </row>
    <row r="8" spans="1:6" s="379" customFormat="1" ht="21" hidden="1" customHeight="1">
      <c r="A8" s="370">
        <v>5</v>
      </c>
      <c r="B8" s="369" t="s">
        <v>171</v>
      </c>
      <c r="C8" s="370"/>
      <c r="D8" s="371">
        <v>0</v>
      </c>
      <c r="E8" s="369" t="s">
        <v>168</v>
      </c>
    </row>
    <row r="9" spans="1:6" s="96" customFormat="1" ht="21" customHeight="1">
      <c r="A9" s="18">
        <v>5</v>
      </c>
      <c r="B9" s="1026" t="s">
        <v>662</v>
      </c>
      <c r="C9" s="18" t="s">
        <v>165</v>
      </c>
      <c r="D9" s="242">
        <v>23.5</v>
      </c>
      <c r="E9" s="241" t="s">
        <v>166</v>
      </c>
    </row>
    <row r="10" spans="1:6" s="96" customFormat="1" ht="21" customHeight="1">
      <c r="A10" s="18">
        <v>6</v>
      </c>
      <c r="B10" s="241" t="s">
        <v>172</v>
      </c>
      <c r="C10" s="18" t="s">
        <v>173</v>
      </c>
      <c r="D10" s="242">
        <v>26</v>
      </c>
      <c r="E10" s="241"/>
    </row>
    <row r="11" spans="1:6" s="96" customFormat="1" ht="21" hidden="1" customHeight="1">
      <c r="A11" s="18">
        <v>7</v>
      </c>
      <c r="B11" s="241" t="s">
        <v>655</v>
      </c>
      <c r="C11" s="18" t="s">
        <v>174</v>
      </c>
      <c r="D11" s="331">
        <v>131000</v>
      </c>
      <c r="E11" s="241"/>
      <c r="F11" s="331">
        <v>123000</v>
      </c>
    </row>
    <row r="12" spans="1:6" s="96" customFormat="1" ht="21" customHeight="1">
      <c r="A12" s="18">
        <v>8</v>
      </c>
      <c r="B12" s="241" t="s">
        <v>656</v>
      </c>
      <c r="C12" s="18" t="s">
        <v>174</v>
      </c>
      <c r="D12" s="331">
        <v>131000</v>
      </c>
      <c r="E12" s="241"/>
      <c r="F12" s="331">
        <v>123000</v>
      </c>
    </row>
    <row r="13" spans="1:6" s="367" customFormat="1" ht="21" customHeight="1">
      <c r="A13" s="373">
        <v>9</v>
      </c>
      <c r="B13" s="374" t="s">
        <v>411</v>
      </c>
      <c r="C13" s="373"/>
      <c r="D13" s="375">
        <v>1.25</v>
      </c>
      <c r="E13" s="374"/>
    </row>
    <row r="14" spans="1:6" s="378" customFormat="1" ht="18.75" hidden="1" customHeight="1">
      <c r="A14" s="376">
        <v>11</v>
      </c>
      <c r="B14" s="369" t="s">
        <v>412</v>
      </c>
      <c r="C14" s="376"/>
      <c r="D14" s="372">
        <v>1</v>
      </c>
      <c r="E14" s="377"/>
    </row>
    <row r="15" spans="1:6" s="230" customFormat="1" ht="18.75" customHeight="1">
      <c r="A15" s="243">
        <v>10</v>
      </c>
      <c r="B15" s="244" t="s">
        <v>783</v>
      </c>
      <c r="C15" s="243"/>
      <c r="D15" s="245"/>
      <c r="E15" s="244"/>
    </row>
    <row r="16" spans="1:6" s="230" customFormat="1" ht="18.75" customHeight="1">
      <c r="A16" s="243"/>
      <c r="B16" s="244" t="s">
        <v>784</v>
      </c>
      <c r="C16" s="243"/>
      <c r="D16" s="245">
        <v>20</v>
      </c>
      <c r="E16" s="1088" t="s">
        <v>89</v>
      </c>
    </row>
    <row r="17" spans="1:5" s="230" customFormat="1" ht="18.75" customHeight="1">
      <c r="A17" s="243"/>
      <c r="B17" s="244" t="s">
        <v>785</v>
      </c>
      <c r="C17" s="243"/>
      <c r="D17" s="245">
        <v>15</v>
      </c>
      <c r="E17" s="1088"/>
    </row>
    <row r="18" spans="1:5" s="230" customFormat="1" ht="21.75" customHeight="1">
      <c r="A18" s="243">
        <v>11</v>
      </c>
      <c r="B18" s="244" t="s">
        <v>786</v>
      </c>
      <c r="C18" s="243" t="s">
        <v>174</v>
      </c>
      <c r="D18" s="381">
        <f>D19+D20</f>
        <v>6415.3846153846152</v>
      </c>
      <c r="E18" s="380"/>
    </row>
    <row r="19" spans="1:5" s="230" customFormat="1" ht="21.75" customHeight="1">
      <c r="A19" s="243"/>
      <c r="B19" s="246" t="s">
        <v>787</v>
      </c>
      <c r="C19" s="243" t="s">
        <v>174</v>
      </c>
      <c r="D19" s="381">
        <f>D4*0.1/D10</f>
        <v>5346.1538461538457</v>
      </c>
      <c r="E19" s="380"/>
    </row>
    <row r="20" spans="1:5" s="230" customFormat="1" ht="21.75" customHeight="1">
      <c r="A20" s="243"/>
      <c r="B20" s="246" t="s">
        <v>788</v>
      </c>
      <c r="C20" s="243" t="s">
        <v>174</v>
      </c>
      <c r="D20" s="381">
        <f>D19*D16/100</f>
        <v>1069.2307692307691</v>
      </c>
      <c r="E20" s="380"/>
    </row>
    <row r="21" spans="1:5" s="231" customFormat="1" ht="21.75" customHeight="1">
      <c r="A21" s="243">
        <v>12</v>
      </c>
      <c r="B21" s="244" t="s">
        <v>789</v>
      </c>
      <c r="C21" s="243" t="s">
        <v>174</v>
      </c>
      <c r="D21" s="381">
        <f>D22+D23</f>
        <v>6148.0769230769229</v>
      </c>
      <c r="E21" s="380"/>
    </row>
    <row r="22" spans="1:5" s="231" customFormat="1" ht="21.75" customHeight="1">
      <c r="A22" s="243"/>
      <c r="B22" s="246" t="s">
        <v>787</v>
      </c>
      <c r="C22" s="243" t="s">
        <v>174</v>
      </c>
      <c r="D22" s="381">
        <f>D4*0.1/D10</f>
        <v>5346.1538461538457</v>
      </c>
      <c r="E22" s="380"/>
    </row>
    <row r="23" spans="1:5" s="231" customFormat="1" ht="21.75" customHeight="1">
      <c r="A23" s="243"/>
      <c r="B23" s="246" t="s">
        <v>788</v>
      </c>
      <c r="C23" s="243" t="s">
        <v>174</v>
      </c>
      <c r="D23" s="381">
        <f>D22*D17/100</f>
        <v>801.92307692307691</v>
      </c>
      <c r="E23" s="380"/>
    </row>
    <row r="24" spans="1:5">
      <c r="A24" s="247"/>
      <c r="B24" s="145"/>
      <c r="C24" s="247"/>
      <c r="D24" s="247"/>
      <c r="E24" s="145"/>
    </row>
  </sheetData>
  <mergeCells count="2">
    <mergeCell ref="E16:E17"/>
    <mergeCell ref="A1:E1"/>
  </mergeCells>
  <phoneticPr fontId="45" type="noConversion"/>
  <printOptions horizontalCentered="1"/>
  <pageMargins left="0.7" right="0.7" top="1.1000000000000001"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R195"/>
  <sheetViews>
    <sheetView showZeros="0" topLeftCell="A93" zoomScale="85" zoomScaleNormal="85" workbookViewId="0">
      <selection activeCell="B101" sqref="B101:B104"/>
    </sheetView>
  </sheetViews>
  <sheetFormatPr defaultRowHeight="16.5"/>
  <cols>
    <col min="1" max="1" width="4.77734375" style="359" customWidth="1"/>
    <col min="2" max="2" width="52.44140625" style="368" customWidth="1"/>
    <col min="3" max="3" width="6.44140625" style="360" customWidth="1"/>
    <col min="4" max="4" width="7.109375" style="361" customWidth="1"/>
    <col min="5" max="6" width="7.77734375" style="336" customWidth="1"/>
    <col min="7" max="7" width="7.109375" style="362" hidden="1" customWidth="1"/>
    <col min="8" max="8" width="6.33203125" style="336" customWidth="1"/>
    <col min="9" max="9" width="6.77734375" style="336" customWidth="1"/>
    <col min="10" max="10" width="5.5546875" style="336" customWidth="1"/>
    <col min="11" max="11" width="6.21875" style="336" customWidth="1"/>
    <col min="12" max="12" width="7.109375" style="336" customWidth="1"/>
    <col min="13" max="13" width="8" style="336" customWidth="1"/>
    <col min="14" max="14" width="9.33203125" style="336" customWidth="1"/>
    <col min="15" max="15" width="7.77734375" style="336" customWidth="1"/>
    <col min="16" max="16" width="0" style="67" hidden="1" customWidth="1"/>
    <col min="17" max="17" width="5.21875" style="67" hidden="1" customWidth="1"/>
    <col min="18" max="18" width="4.33203125" style="67" hidden="1" customWidth="1"/>
    <col min="19" max="23" width="0" style="15" hidden="1" customWidth="1"/>
    <col min="24" max="16384" width="8.88671875" style="15"/>
  </cols>
  <sheetData>
    <row r="1" spans="1:18" ht="16.899999999999999" customHeight="1">
      <c r="A1" s="1168"/>
      <c r="B1" s="1169"/>
      <c r="C1" s="1169"/>
      <c r="D1" s="1169"/>
      <c r="E1" s="1169"/>
      <c r="F1" s="1169"/>
      <c r="G1" s="1169"/>
      <c r="H1" s="1169"/>
      <c r="I1" s="1169"/>
      <c r="J1" s="1169"/>
      <c r="K1" s="1169"/>
      <c r="L1" s="1169"/>
      <c r="M1" s="1169"/>
      <c r="N1" s="1169"/>
      <c r="O1" s="1169"/>
      <c r="P1" s="334" t="s">
        <v>790</v>
      </c>
      <c r="Q1" s="335">
        <v>0</v>
      </c>
    </row>
    <row r="2" spans="1:18" ht="33" customHeight="1">
      <c r="A2" s="1160" t="s">
        <v>830</v>
      </c>
      <c r="B2" s="1160"/>
      <c r="C2" s="1160"/>
      <c r="D2" s="1160"/>
      <c r="E2" s="1160"/>
      <c r="F2" s="1160"/>
      <c r="G2" s="1160"/>
      <c r="H2" s="1160"/>
      <c r="I2" s="1160"/>
      <c r="J2" s="1160"/>
      <c r="K2" s="1160"/>
      <c r="L2" s="1160"/>
      <c r="M2" s="1160"/>
      <c r="N2" s="1160"/>
      <c r="O2" s="1160"/>
      <c r="P2" s="1160"/>
      <c r="Q2" s="1160"/>
      <c r="R2" s="1160"/>
    </row>
    <row r="3" spans="1:18">
      <c r="A3" s="1113" t="s">
        <v>960</v>
      </c>
      <c r="B3" s="1113"/>
      <c r="C3" s="1113"/>
      <c r="D3" s="1113"/>
      <c r="E3" s="1113"/>
      <c r="F3" s="1113"/>
      <c r="G3" s="1113"/>
      <c r="H3" s="1113"/>
      <c r="I3" s="1113"/>
      <c r="J3" s="1113"/>
      <c r="K3" s="1113"/>
      <c r="L3" s="1113"/>
      <c r="M3" s="1113"/>
      <c r="N3" s="1113"/>
      <c r="O3" s="1113"/>
      <c r="P3" s="1113"/>
      <c r="Q3" s="1028"/>
      <c r="R3" s="1028"/>
    </row>
    <row r="4" spans="1:18" s="345" customFormat="1" ht="19.5" customHeight="1">
      <c r="A4" s="337"/>
      <c r="B4" s="363"/>
      <c r="C4" s="338"/>
      <c r="D4" s="339" t="s">
        <v>576</v>
      </c>
      <c r="E4" s="340"/>
      <c r="F4" s="341"/>
      <c r="G4" s="342"/>
      <c r="H4" s="341"/>
      <c r="I4" s="343"/>
      <c r="J4" s="341"/>
      <c r="K4" s="341"/>
      <c r="L4" s="991" t="s">
        <v>60</v>
      </c>
      <c r="M4" s="988"/>
      <c r="N4" s="982"/>
      <c r="O4" s="332"/>
      <c r="P4" s="332"/>
      <c r="Q4" s="332"/>
    </row>
    <row r="5" spans="1:18" s="345" customFormat="1" ht="15" customHeight="1">
      <c r="A5" s="337"/>
      <c r="B5" s="363"/>
      <c r="C5" s="338"/>
      <c r="D5" s="346"/>
      <c r="E5" s="340"/>
      <c r="F5" s="340"/>
      <c r="G5" s="347"/>
      <c r="H5" s="340"/>
      <c r="I5" s="340"/>
      <c r="J5" s="340"/>
      <c r="K5" s="340"/>
      <c r="L5" s="340"/>
      <c r="M5" s="340"/>
      <c r="N5" s="340"/>
      <c r="O5" s="340"/>
      <c r="P5" s="332"/>
      <c r="Q5" s="332"/>
      <c r="R5" s="332"/>
    </row>
    <row r="6" spans="1:18" s="345" customFormat="1" ht="26.25" customHeight="1">
      <c r="A6" s="1157" t="s">
        <v>876</v>
      </c>
      <c r="B6" s="1157" t="s">
        <v>381</v>
      </c>
      <c r="C6" s="1161" t="s">
        <v>981</v>
      </c>
      <c r="D6" s="1163" t="s">
        <v>382</v>
      </c>
      <c r="E6" s="1171" t="s">
        <v>466</v>
      </c>
      <c r="F6" s="1172"/>
      <c r="G6" s="1172"/>
      <c r="H6" s="1172"/>
      <c r="I6" s="1172"/>
      <c r="J6" s="1172"/>
      <c r="K6" s="1172"/>
      <c r="L6" s="1173"/>
      <c r="M6" s="1161" t="s">
        <v>581</v>
      </c>
      <c r="N6" s="1161" t="s">
        <v>467</v>
      </c>
      <c r="O6" s="1161" t="s">
        <v>468</v>
      </c>
      <c r="P6" s="398"/>
      <c r="Q6" s="398"/>
      <c r="R6" s="399"/>
    </row>
    <row r="7" spans="1:18" s="345" customFormat="1" ht="36" customHeight="1">
      <c r="A7" s="1159"/>
      <c r="B7" s="1159"/>
      <c r="C7" s="1162"/>
      <c r="D7" s="1164"/>
      <c r="E7" s="349" t="s">
        <v>469</v>
      </c>
      <c r="F7" s="349" t="s">
        <v>470</v>
      </c>
      <c r="G7" s="350" t="s">
        <v>1003</v>
      </c>
      <c r="H7" s="349" t="s">
        <v>59</v>
      </c>
      <c r="I7" s="349" t="s">
        <v>471</v>
      </c>
      <c r="J7" s="349" t="s">
        <v>280</v>
      </c>
      <c r="K7" s="349" t="s">
        <v>472</v>
      </c>
      <c r="L7" s="349" t="s">
        <v>473</v>
      </c>
      <c r="M7" s="1162"/>
      <c r="N7" s="1170"/>
      <c r="O7" s="1170"/>
      <c r="P7" s="400"/>
      <c r="Q7" s="400"/>
      <c r="R7" s="401"/>
    </row>
    <row r="8" spans="1:18" s="345" customFormat="1" ht="54" customHeight="1">
      <c r="A8" s="384"/>
      <c r="B8" s="439" t="s">
        <v>832</v>
      </c>
      <c r="C8" s="349"/>
      <c r="D8" s="382"/>
      <c r="E8" s="349"/>
      <c r="F8" s="349"/>
      <c r="G8" s="350"/>
      <c r="H8" s="349"/>
      <c r="I8" s="349"/>
      <c r="J8" s="349"/>
      <c r="K8" s="349"/>
      <c r="L8" s="349"/>
      <c r="M8" s="349"/>
      <c r="N8" s="349"/>
      <c r="O8" s="438"/>
      <c r="P8" s="349"/>
      <c r="Q8" s="451"/>
      <c r="R8" s="426"/>
    </row>
    <row r="9" spans="1:18" s="345" customFormat="1" ht="26.25" customHeight="1">
      <c r="A9" s="1156"/>
      <c r="B9" s="1152" t="s">
        <v>451</v>
      </c>
      <c r="C9" s="1124" t="s">
        <v>281</v>
      </c>
      <c r="D9" s="382">
        <v>1</v>
      </c>
      <c r="E9" s="383" t="e">
        <f>E16+E46+E80</f>
        <v>#VALUE!</v>
      </c>
      <c r="F9" s="383">
        <f t="shared" ref="F9:P9" si="0">F16+F46+F80</f>
        <v>4794.5999999999995</v>
      </c>
      <c r="G9" s="383">
        <f t="shared" si="0"/>
        <v>0</v>
      </c>
      <c r="H9" s="402">
        <f t="shared" si="0"/>
        <v>0.16377089466746794</v>
      </c>
      <c r="I9" s="402">
        <f t="shared" si="0"/>
        <v>0</v>
      </c>
      <c r="J9" s="402">
        <f t="shared" si="0"/>
        <v>8.6994749999999996E-2</v>
      </c>
      <c r="K9" s="402">
        <f t="shared" si="0"/>
        <v>0.17066804999999999</v>
      </c>
      <c r="L9" s="387" t="e">
        <f t="shared" si="0"/>
        <v>#VALUE!</v>
      </c>
      <c r="M9" s="387" t="e">
        <f t="shared" si="0"/>
        <v>#VALUE!</v>
      </c>
      <c r="N9" s="387" t="e">
        <f>N16+N46+N80</f>
        <v>#VALUE!</v>
      </c>
      <c r="O9" s="387">
        <f>O16+O46+O80</f>
        <v>2188.59375</v>
      </c>
      <c r="P9" s="402">
        <f t="shared" si="0"/>
        <v>0</v>
      </c>
      <c r="Q9" s="451"/>
      <c r="R9" s="426"/>
    </row>
    <row r="10" spans="1:18" s="345" customFormat="1" ht="26.25" customHeight="1">
      <c r="A10" s="1156"/>
      <c r="B10" s="1153"/>
      <c r="C10" s="1124"/>
      <c r="D10" s="382">
        <v>2</v>
      </c>
      <c r="E10" s="383" t="e">
        <f t="shared" ref="E10:P10" si="1">E17+E46+E80</f>
        <v>#VALUE!</v>
      </c>
      <c r="F10" s="383">
        <f t="shared" si="1"/>
        <v>5502</v>
      </c>
      <c r="G10" s="383">
        <f t="shared" si="1"/>
        <v>0</v>
      </c>
      <c r="H10" s="402">
        <f>H17+H46+H80</f>
        <v>0.16784719795072117</v>
      </c>
      <c r="I10" s="402">
        <f t="shared" si="1"/>
        <v>0</v>
      </c>
      <c r="J10" s="402">
        <f t="shared" si="1"/>
        <v>8.6994749999999996E-2</v>
      </c>
      <c r="K10" s="402">
        <f t="shared" si="1"/>
        <v>0.17066804999999999</v>
      </c>
      <c r="L10" s="387" t="e">
        <f t="shared" si="1"/>
        <v>#VALUE!</v>
      </c>
      <c r="M10" s="387" t="e">
        <f t="shared" si="1"/>
        <v>#VALUE!</v>
      </c>
      <c r="N10" s="387" t="e">
        <f t="shared" si="1"/>
        <v>#VALUE!</v>
      </c>
      <c r="O10" s="387">
        <f t="shared" si="1"/>
        <v>2464.59375</v>
      </c>
      <c r="P10" s="402">
        <f t="shared" si="1"/>
        <v>0</v>
      </c>
      <c r="Q10" s="451"/>
      <c r="R10" s="426"/>
    </row>
    <row r="11" spans="1:18" s="345" customFormat="1" ht="26.25" customHeight="1">
      <c r="A11" s="1156"/>
      <c r="B11" s="1154"/>
      <c r="C11" s="1124"/>
      <c r="D11" s="382">
        <v>3</v>
      </c>
      <c r="E11" s="383" t="e">
        <f t="shared" ref="E11:P11" si="2">E18+E46+E80</f>
        <v>#VALUE!</v>
      </c>
      <c r="F11" s="383">
        <f t="shared" si="2"/>
        <v>6327.3</v>
      </c>
      <c r="G11" s="383">
        <f t="shared" si="2"/>
        <v>0</v>
      </c>
      <c r="H11" s="402">
        <f t="shared" si="2"/>
        <v>0.17599980451722758</v>
      </c>
      <c r="I11" s="402">
        <f t="shared" si="2"/>
        <v>0</v>
      </c>
      <c r="J11" s="402">
        <f t="shared" si="2"/>
        <v>8.6994749999999996E-2</v>
      </c>
      <c r="K11" s="402">
        <f t="shared" si="2"/>
        <v>0.17066804999999999</v>
      </c>
      <c r="L11" s="387" t="e">
        <f t="shared" si="2"/>
        <v>#VALUE!</v>
      </c>
      <c r="M11" s="387" t="e">
        <f t="shared" si="2"/>
        <v>#VALUE!</v>
      </c>
      <c r="N11" s="387" t="e">
        <f t="shared" si="2"/>
        <v>#VALUE!</v>
      </c>
      <c r="O11" s="387">
        <f t="shared" si="2"/>
        <v>2779.40625</v>
      </c>
      <c r="P11" s="402">
        <f t="shared" si="2"/>
        <v>0</v>
      </c>
      <c r="Q11" s="451"/>
      <c r="R11" s="426"/>
    </row>
    <row r="12" spans="1:18" s="345" customFormat="1" ht="26.25" customHeight="1">
      <c r="A12" s="1157"/>
      <c r="B12" s="1152" t="s">
        <v>452</v>
      </c>
      <c r="C12" s="1124" t="s">
        <v>281</v>
      </c>
      <c r="D12" s="382">
        <v>1</v>
      </c>
      <c r="E12" s="383" t="e">
        <f t="shared" ref="E12:P12" si="3">E19+E47+E81</f>
        <v>#VALUE!</v>
      </c>
      <c r="F12" s="383">
        <f t="shared" si="3"/>
        <v>4794.5999999999995</v>
      </c>
      <c r="G12" s="383">
        <f t="shared" si="3"/>
        <v>0</v>
      </c>
      <c r="H12" s="430">
        <f t="shared" si="3"/>
        <v>0.16377089466746794</v>
      </c>
      <c r="I12" s="430">
        <f t="shared" si="3"/>
        <v>0</v>
      </c>
      <c r="J12" s="430">
        <f t="shared" si="3"/>
        <v>8.6994749999999996E-2</v>
      </c>
      <c r="K12" s="430">
        <f t="shared" si="3"/>
        <v>0.17066804999999999</v>
      </c>
      <c r="L12" s="383" t="e">
        <f t="shared" si="3"/>
        <v>#VALUE!</v>
      </c>
      <c r="M12" s="383" t="e">
        <f t="shared" si="3"/>
        <v>#VALUE!</v>
      </c>
      <c r="N12" s="383" t="e">
        <f t="shared" si="3"/>
        <v>#VALUE!</v>
      </c>
      <c r="O12" s="383">
        <f t="shared" si="3"/>
        <v>2188.59375</v>
      </c>
      <c r="P12" s="383">
        <f t="shared" si="3"/>
        <v>0</v>
      </c>
      <c r="Q12" s="451"/>
      <c r="R12" s="426"/>
    </row>
    <row r="13" spans="1:18" s="345" customFormat="1" ht="26.25" customHeight="1">
      <c r="A13" s="1158"/>
      <c r="B13" s="1153"/>
      <c r="C13" s="1124"/>
      <c r="D13" s="382">
        <v>2</v>
      </c>
      <c r="E13" s="383" t="e">
        <f>E20+E47+E81</f>
        <v>#VALUE!</v>
      </c>
      <c r="F13" s="383">
        <f t="shared" ref="F13:P13" si="4">F20+F47+F81</f>
        <v>5502</v>
      </c>
      <c r="G13" s="383">
        <f t="shared" si="4"/>
        <v>0</v>
      </c>
      <c r="H13" s="430">
        <f t="shared" si="4"/>
        <v>0.16784719795072117</v>
      </c>
      <c r="I13" s="430">
        <f t="shared" si="4"/>
        <v>0</v>
      </c>
      <c r="J13" s="430">
        <f t="shared" si="4"/>
        <v>8.6994749999999996E-2</v>
      </c>
      <c r="K13" s="430">
        <f t="shared" si="4"/>
        <v>0.17066804999999999</v>
      </c>
      <c r="L13" s="383" t="e">
        <f t="shared" si="4"/>
        <v>#VALUE!</v>
      </c>
      <c r="M13" s="383" t="e">
        <f t="shared" si="4"/>
        <v>#VALUE!</v>
      </c>
      <c r="N13" s="383" t="e">
        <f t="shared" si="4"/>
        <v>#VALUE!</v>
      </c>
      <c r="O13" s="383">
        <f t="shared" si="4"/>
        <v>2464.59375</v>
      </c>
      <c r="P13" s="383">
        <f t="shared" si="4"/>
        <v>0</v>
      </c>
      <c r="Q13" s="451"/>
      <c r="R13" s="426"/>
    </row>
    <row r="14" spans="1:18" s="345" customFormat="1" ht="26.25" customHeight="1">
      <c r="A14" s="1159"/>
      <c r="B14" s="1154"/>
      <c r="C14" s="1124"/>
      <c r="D14" s="382">
        <v>3</v>
      </c>
      <c r="E14" s="383" t="e">
        <f t="shared" ref="E14:P14" si="5">E21+E47+E81</f>
        <v>#VALUE!</v>
      </c>
      <c r="F14" s="383">
        <f t="shared" si="5"/>
        <v>6327.3</v>
      </c>
      <c r="G14" s="383">
        <f t="shared" si="5"/>
        <v>0</v>
      </c>
      <c r="H14" s="430">
        <f t="shared" si="5"/>
        <v>0.17599980451722758</v>
      </c>
      <c r="I14" s="430">
        <f t="shared" si="5"/>
        <v>0</v>
      </c>
      <c r="J14" s="430">
        <f t="shared" si="5"/>
        <v>8.6994749999999996E-2</v>
      </c>
      <c r="K14" s="430">
        <f t="shared" si="5"/>
        <v>0.17066804999999999</v>
      </c>
      <c r="L14" s="383" t="e">
        <f t="shared" si="5"/>
        <v>#VALUE!</v>
      </c>
      <c r="M14" s="383" t="e">
        <f t="shared" si="5"/>
        <v>#VALUE!</v>
      </c>
      <c r="N14" s="383" t="e">
        <f t="shared" si="5"/>
        <v>#VALUE!</v>
      </c>
      <c r="O14" s="383">
        <f t="shared" si="5"/>
        <v>2779.40625</v>
      </c>
      <c r="P14" s="383">
        <f t="shared" si="5"/>
        <v>0</v>
      </c>
      <c r="Q14" s="451"/>
      <c r="R14" s="426"/>
    </row>
    <row r="15" spans="1:18" s="345" customFormat="1" ht="23.25" hidden="1" customHeight="1">
      <c r="A15" s="424" t="s">
        <v>179</v>
      </c>
      <c r="B15" s="440" t="s">
        <v>606</v>
      </c>
      <c r="C15" s="349"/>
      <c r="D15" s="349"/>
      <c r="E15" s="349"/>
      <c r="F15" s="349"/>
      <c r="G15" s="350"/>
      <c r="H15" s="349"/>
      <c r="I15" s="349"/>
      <c r="J15" s="349"/>
      <c r="K15" s="349"/>
      <c r="L15" s="349"/>
      <c r="M15" s="349"/>
      <c r="N15" s="349"/>
      <c r="O15" s="349"/>
      <c r="P15" s="349"/>
      <c r="Q15" s="451"/>
      <c r="R15" s="426"/>
    </row>
    <row r="16" spans="1:18" s="345" customFormat="1" ht="23.25" hidden="1" customHeight="1">
      <c r="A16" s="1139" t="s">
        <v>665</v>
      </c>
      <c r="B16" s="1152" t="s">
        <v>451</v>
      </c>
      <c r="C16" s="1139" t="s">
        <v>281</v>
      </c>
      <c r="D16" s="386">
        <v>1</v>
      </c>
      <c r="E16" s="387" t="e">
        <f>(E29+E30+E31+E35+E37+E38+E40+E42)*0.3</f>
        <v>#VALUE!</v>
      </c>
      <c r="F16" s="387">
        <f>(F29+F30+F31+F35+F37+F38+F40+F42)*0.3</f>
        <v>4794.5999999999995</v>
      </c>
      <c r="G16" s="387">
        <f>G22+G29+G30+G31+G35+G36+G37+G38+G40+G41+G42+G43+G44</f>
        <v>0</v>
      </c>
      <c r="H16" s="402">
        <f>'Dcu-DKDD'!H28/8000*0.2</f>
        <v>6.929715581530449E-2</v>
      </c>
      <c r="I16" s="402">
        <f>'VL-DKDD'!$F$31/8000*0</f>
        <v>0</v>
      </c>
      <c r="J16" s="449">
        <f>'TB-DKDD'!$I$14/8000*0.2</f>
        <v>4.0994999999999998E-3</v>
      </c>
      <c r="K16" s="402">
        <f>'NL-DKDD'!$F$9/8000*0.2</f>
        <v>7.9642500000000008E-3</v>
      </c>
      <c r="L16" s="387" t="e">
        <f t="shared" ref="L16:L21" si="6">SUM(E16:K16)</f>
        <v>#VALUE!</v>
      </c>
      <c r="M16" s="387" t="e">
        <f>L16*'He so chung'!$D$17/100</f>
        <v>#VALUE!</v>
      </c>
      <c r="N16" s="387" t="e">
        <f t="shared" ref="N16:N21" si="7">L16+M16</f>
        <v>#VALUE!</v>
      </c>
      <c r="O16" s="387">
        <v>2188.59375</v>
      </c>
      <c r="P16" s="387">
        <f>P23+P24+P25+P27+P29+P30+P31+P35+P37+P38+P40+P42+P43+P44</f>
        <v>0</v>
      </c>
      <c r="Q16" s="451"/>
      <c r="R16" s="426"/>
    </row>
    <row r="17" spans="1:18" s="345" customFormat="1" ht="23.25" hidden="1" customHeight="1">
      <c r="A17" s="1139"/>
      <c r="B17" s="1153"/>
      <c r="C17" s="1139"/>
      <c r="D17" s="386">
        <v>2</v>
      </c>
      <c r="E17" s="387" t="e">
        <f>(E29+E30+E32+E35+E37+E38+E40+E42)*0.3</f>
        <v>#VALUE!</v>
      </c>
      <c r="F17" s="387">
        <f>(F29+F30+F32+F35+F37+F38+F40+F42)*0.3</f>
        <v>5502</v>
      </c>
      <c r="G17" s="387">
        <f>G22+G29+G30+G32+G35+G36+G37+G38+G40+G41+G42+G43+G44</f>
        <v>0</v>
      </c>
      <c r="H17" s="402">
        <f>'Dcu-DKDD'!H29/8000*0.2</f>
        <v>7.3373459098557706E-2</v>
      </c>
      <c r="I17" s="402">
        <f>'VL-DKDD'!$F$31/8000*0</f>
        <v>0</v>
      </c>
      <c r="J17" s="449">
        <f>'TB-DKDD'!$I$14/8000*0.2</f>
        <v>4.0994999999999998E-3</v>
      </c>
      <c r="K17" s="402">
        <f>'NL-DKDD'!$F$9/8000*0.2</f>
        <v>7.9642500000000008E-3</v>
      </c>
      <c r="L17" s="387" t="e">
        <f t="shared" si="6"/>
        <v>#VALUE!</v>
      </c>
      <c r="M17" s="387" t="e">
        <f>L17*'He so chung'!$D$17/100</f>
        <v>#VALUE!</v>
      </c>
      <c r="N17" s="387" t="e">
        <f t="shared" si="7"/>
        <v>#VALUE!</v>
      </c>
      <c r="O17" s="387">
        <v>2464.59375</v>
      </c>
      <c r="P17" s="387">
        <f>P23+P24+P25+P27+P29+P30+P32+P35+P37+P38+P40+P42+P43+P44</f>
        <v>0</v>
      </c>
      <c r="Q17" s="451"/>
      <c r="R17" s="426"/>
    </row>
    <row r="18" spans="1:18" s="345" customFormat="1" ht="23.25" hidden="1" customHeight="1">
      <c r="A18" s="1139"/>
      <c r="B18" s="1154"/>
      <c r="C18" s="1139"/>
      <c r="D18" s="386">
        <v>3</v>
      </c>
      <c r="E18" s="387" t="e">
        <f>(E29+E30+E33+E35+E37+E38+E40+E42)*0.3</f>
        <v>#VALUE!</v>
      </c>
      <c r="F18" s="387">
        <f>(F29+F30+F33+F35+F37+F38+F40+F42)*0.3</f>
        <v>6327.3</v>
      </c>
      <c r="G18" s="387">
        <f>G22+G29+G30+G33+G35+G36+G37+G38+G40+G41+G42+G43+G44</f>
        <v>0</v>
      </c>
      <c r="H18" s="402">
        <f>'Dcu-DKDD'!H30/8000*0.2</f>
        <v>8.1526065665064124E-2</v>
      </c>
      <c r="I18" s="402">
        <f>'VL-DKDD'!$F$31/8000*0</f>
        <v>0</v>
      </c>
      <c r="J18" s="449">
        <f>'TB-DKDD'!$I$14/8000*0.2</f>
        <v>4.0994999999999998E-3</v>
      </c>
      <c r="K18" s="402">
        <f>'NL-DKDD'!$F$9/8000*0.2</f>
        <v>7.9642500000000008E-3</v>
      </c>
      <c r="L18" s="387" t="e">
        <f t="shared" si="6"/>
        <v>#VALUE!</v>
      </c>
      <c r="M18" s="387" t="e">
        <f>L18*'He so chung'!$D$17/100</f>
        <v>#VALUE!</v>
      </c>
      <c r="N18" s="387" t="e">
        <f t="shared" si="7"/>
        <v>#VALUE!</v>
      </c>
      <c r="O18" s="387">
        <v>2779.40625</v>
      </c>
      <c r="P18" s="387">
        <f>P23+P24+P25+P27+P29+P30+P33+P35+P37+P38+P40+P42+P43+P44</f>
        <v>0</v>
      </c>
      <c r="Q18" s="451"/>
      <c r="R18" s="426"/>
    </row>
    <row r="19" spans="1:18" s="345" customFormat="1" ht="23.25" hidden="1" customHeight="1">
      <c r="A19" s="1145" t="s">
        <v>666</v>
      </c>
      <c r="B19" s="1152" t="s">
        <v>452</v>
      </c>
      <c r="C19" s="1139" t="s">
        <v>281</v>
      </c>
      <c r="D19" s="386">
        <v>1</v>
      </c>
      <c r="E19" s="387" t="e">
        <f>(E29+E30+E31+E36+E37+E38+E41+E42)*0.3</f>
        <v>#VALUE!</v>
      </c>
      <c r="F19" s="387">
        <f>(F29+F30+F31+F36+F37+F38+F41+F42)*0.3</f>
        <v>4794.5999999999995</v>
      </c>
      <c r="G19" s="387">
        <f>G25+G32+G33+G34+G38+G39+G40+G41+G43+G44+G46+G48+G49</f>
        <v>0</v>
      </c>
      <c r="H19" s="402">
        <f>H16</f>
        <v>6.929715581530449E-2</v>
      </c>
      <c r="I19" s="402">
        <f>'VL-DKDD'!$F$31/8000*0</f>
        <v>0</v>
      </c>
      <c r="J19" s="449">
        <f>'TB-DKDD'!$I$14/8000*0.2</f>
        <v>4.0994999999999998E-3</v>
      </c>
      <c r="K19" s="402">
        <f>'NL-DKDD'!$F$9/8000*0.2</f>
        <v>7.9642500000000008E-3</v>
      </c>
      <c r="L19" s="387" t="e">
        <f t="shared" si="6"/>
        <v>#VALUE!</v>
      </c>
      <c r="M19" s="387" t="e">
        <f>L19*'He so chung'!$D$17/100</f>
        <v>#VALUE!</v>
      </c>
      <c r="N19" s="387" t="e">
        <f t="shared" si="7"/>
        <v>#VALUE!</v>
      </c>
      <c r="O19" s="387">
        <v>2188.59375</v>
      </c>
      <c r="P19" s="387">
        <f>P23+P24+P25+P28+P29+P30+P31+P36+P37+P38+P41+P42+P43+P44</f>
        <v>0</v>
      </c>
      <c r="Q19" s="451"/>
      <c r="R19" s="426"/>
    </row>
    <row r="20" spans="1:18" s="345" customFormat="1" ht="23.25" hidden="1" customHeight="1">
      <c r="A20" s="1146"/>
      <c r="B20" s="1153"/>
      <c r="C20" s="1139"/>
      <c r="D20" s="386">
        <v>2</v>
      </c>
      <c r="E20" s="387" t="e">
        <f>(E29+E30+E32+E35+E36+E37+E38+E41+E42)*0.3</f>
        <v>#VALUE!</v>
      </c>
      <c r="F20" s="387">
        <f>(F29+F30+F32+F35+F36+F37+F38+F41+F42)*0.3</f>
        <v>5502</v>
      </c>
      <c r="G20" s="387">
        <f>G25+G32+G33+G35+G38+G39+G40+G41+G43+G44+G46+G48+G49</f>
        <v>0</v>
      </c>
      <c r="H20" s="402">
        <f>H17</f>
        <v>7.3373459098557706E-2</v>
      </c>
      <c r="I20" s="402">
        <f>'VL-DKDD'!$F$31/8000*0</f>
        <v>0</v>
      </c>
      <c r="J20" s="449">
        <f>'TB-DKDD'!$I$14/8000*0.2</f>
        <v>4.0994999999999998E-3</v>
      </c>
      <c r="K20" s="402">
        <f>'NL-DKDD'!$F$9/8000*0.2</f>
        <v>7.9642500000000008E-3</v>
      </c>
      <c r="L20" s="387" t="e">
        <f t="shared" si="6"/>
        <v>#VALUE!</v>
      </c>
      <c r="M20" s="387" t="e">
        <f>L20*'He so chung'!$D$17/100</f>
        <v>#VALUE!</v>
      </c>
      <c r="N20" s="387" t="e">
        <f t="shared" si="7"/>
        <v>#VALUE!</v>
      </c>
      <c r="O20" s="387">
        <v>2464.59375</v>
      </c>
      <c r="P20" s="387">
        <f>P23+P24+P25+P28+P29+P30+P32+P36+P37+P38+P41+P42+P43+P44</f>
        <v>0</v>
      </c>
      <c r="Q20" s="451"/>
      <c r="R20" s="426"/>
    </row>
    <row r="21" spans="1:18" s="345" customFormat="1" ht="23.25" hidden="1" customHeight="1">
      <c r="A21" s="1147"/>
      <c r="B21" s="1154"/>
      <c r="C21" s="1139"/>
      <c r="D21" s="386">
        <v>3</v>
      </c>
      <c r="E21" s="387" t="e">
        <f>(E29+E30+E33+E35+E36+E37+E38+E41+E42)*0.3</f>
        <v>#VALUE!</v>
      </c>
      <c r="F21" s="387">
        <f>(F29+F30+F33+F35+F36+F37+F38+F41+F42)*0.3</f>
        <v>6327.3</v>
      </c>
      <c r="G21" s="387">
        <f>G25+G32+G33+G36+G38+G39+G40+G41+G43+G44+G46+G48+G49</f>
        <v>0</v>
      </c>
      <c r="H21" s="402">
        <f>H18</f>
        <v>8.1526065665064124E-2</v>
      </c>
      <c r="I21" s="402">
        <f>'VL-DKDD'!$F$31/8000*0</f>
        <v>0</v>
      </c>
      <c r="J21" s="449">
        <f>'TB-DKDD'!$I$14/8000*0.2</f>
        <v>4.0994999999999998E-3</v>
      </c>
      <c r="K21" s="402">
        <f>'NL-DKDD'!$F$9/8000*0.2</f>
        <v>7.9642500000000008E-3</v>
      </c>
      <c r="L21" s="387" t="e">
        <f t="shared" si="6"/>
        <v>#VALUE!</v>
      </c>
      <c r="M21" s="387" t="e">
        <f>L21*'He so chung'!$D$17/100</f>
        <v>#VALUE!</v>
      </c>
      <c r="N21" s="387" t="e">
        <f t="shared" si="7"/>
        <v>#VALUE!</v>
      </c>
      <c r="O21" s="387">
        <v>2779.40625</v>
      </c>
      <c r="P21" s="387">
        <f>P23+P24+P25+P28+P29+P30+P33+P36+P37+P38+P41+P42+P43+P44</f>
        <v>0</v>
      </c>
      <c r="Q21" s="451"/>
      <c r="R21" s="426"/>
    </row>
    <row r="22" spans="1:18" s="345" customFormat="1" ht="23.25" hidden="1" customHeight="1">
      <c r="A22" s="421">
        <v>1</v>
      </c>
      <c r="B22" s="420" t="s">
        <v>599</v>
      </c>
      <c r="C22" s="421"/>
      <c r="D22" s="421"/>
      <c r="E22" s="387"/>
      <c r="F22" s="387"/>
      <c r="G22" s="387"/>
      <c r="H22" s="402"/>
      <c r="I22" s="402"/>
      <c r="J22" s="402"/>
      <c r="K22" s="402"/>
      <c r="L22" s="387"/>
      <c r="M22" s="387"/>
      <c r="N22" s="387"/>
      <c r="O22" s="387"/>
      <c r="P22" s="387"/>
      <c r="Q22" s="451"/>
      <c r="R22" s="426"/>
    </row>
    <row r="23" spans="1:18" s="345" customFormat="1" ht="23.25" hidden="1" customHeight="1">
      <c r="A23" s="421" t="s">
        <v>891</v>
      </c>
      <c r="B23" s="420" t="s">
        <v>21</v>
      </c>
      <c r="C23" s="421" t="s">
        <v>979</v>
      </c>
      <c r="D23" s="422" t="s">
        <v>370</v>
      </c>
      <c r="E23" s="405" t="e">
        <f>NC_DKDD!H8/8000*10</f>
        <v>#VALUE!</v>
      </c>
      <c r="F23" s="405">
        <f>NC_DKDD!H9/8000*10</f>
        <v>327.5</v>
      </c>
      <c r="G23" s="391">
        <f>$R$1*10*Q23</f>
        <v>0</v>
      </c>
      <c r="H23" s="428"/>
      <c r="I23" s="402"/>
      <c r="J23" s="402"/>
      <c r="K23" s="402"/>
      <c r="L23" s="387"/>
      <c r="M23" s="387"/>
      <c r="N23" s="387"/>
      <c r="O23" s="387"/>
      <c r="P23" s="387">
        <f>Q23+R23</f>
        <v>0</v>
      </c>
      <c r="Q23" s="451"/>
      <c r="R23" s="426"/>
    </row>
    <row r="24" spans="1:18" s="345" customFormat="1" ht="23.25" hidden="1" customHeight="1">
      <c r="A24" s="421" t="s">
        <v>899</v>
      </c>
      <c r="B24" s="420" t="s">
        <v>24</v>
      </c>
      <c r="C24" s="421" t="s">
        <v>979</v>
      </c>
      <c r="D24" s="422" t="s">
        <v>370</v>
      </c>
      <c r="E24" s="405" t="e">
        <f>NC_DKDD!H10/8000</f>
        <v>#VALUE!</v>
      </c>
      <c r="F24" s="405"/>
      <c r="G24" s="391">
        <f t="shared" ref="G24:G88" si="8">$R$1*10*Q24</f>
        <v>0</v>
      </c>
      <c r="H24" s="428"/>
      <c r="I24" s="402"/>
      <c r="J24" s="402"/>
      <c r="K24" s="402"/>
      <c r="L24" s="387"/>
      <c r="M24" s="387"/>
      <c r="N24" s="387"/>
      <c r="O24" s="387"/>
      <c r="P24" s="387">
        <f t="shared" ref="P24:P88" si="9">Q24+R24</f>
        <v>0</v>
      </c>
      <c r="Q24" s="451"/>
      <c r="R24" s="426"/>
    </row>
    <row r="25" spans="1:18" s="345" customFormat="1" ht="23.25" hidden="1" customHeight="1">
      <c r="A25" s="421" t="s">
        <v>892</v>
      </c>
      <c r="B25" s="420" t="s">
        <v>27</v>
      </c>
      <c r="C25" s="421" t="s">
        <v>979</v>
      </c>
      <c r="D25" s="422" t="s">
        <v>370</v>
      </c>
      <c r="E25" s="405" t="e">
        <f>NC_DKDD!H11/8000*10</f>
        <v>#VALUE!</v>
      </c>
      <c r="F25" s="405">
        <f>NC_DKDD!H12/8000*10</f>
        <v>409.375</v>
      </c>
      <c r="G25" s="391">
        <f t="shared" si="8"/>
        <v>0</v>
      </c>
      <c r="H25" s="428"/>
      <c r="I25" s="402"/>
      <c r="J25" s="402"/>
      <c r="K25" s="402"/>
      <c r="L25" s="387"/>
      <c r="M25" s="387"/>
      <c r="N25" s="387"/>
      <c r="O25" s="387"/>
      <c r="P25" s="387">
        <f t="shared" si="9"/>
        <v>0</v>
      </c>
      <c r="Q25" s="451"/>
      <c r="R25" s="426"/>
    </row>
    <row r="26" spans="1:18" s="345" customFormat="1" ht="23.25" hidden="1" customHeight="1">
      <c r="A26" s="421" t="s">
        <v>30</v>
      </c>
      <c r="B26" s="420" t="s">
        <v>31</v>
      </c>
      <c r="C26" s="421"/>
      <c r="D26" s="421"/>
      <c r="E26" s="429"/>
      <c r="F26" s="405"/>
      <c r="G26" s="391">
        <f t="shared" si="8"/>
        <v>0</v>
      </c>
      <c r="H26" s="428"/>
      <c r="I26" s="402"/>
      <c r="J26" s="402"/>
      <c r="K26" s="402"/>
      <c r="L26" s="387"/>
      <c r="M26" s="387"/>
      <c r="N26" s="387"/>
      <c r="O26" s="387"/>
      <c r="P26" s="387">
        <f t="shared" si="9"/>
        <v>0</v>
      </c>
      <c r="Q26" s="451"/>
      <c r="R26" s="426"/>
    </row>
    <row r="27" spans="1:18" s="345" customFormat="1" ht="23.25" hidden="1" customHeight="1">
      <c r="A27" s="421" t="s">
        <v>32</v>
      </c>
      <c r="B27" s="420" t="s">
        <v>33</v>
      </c>
      <c r="C27" s="421" t="s">
        <v>979</v>
      </c>
      <c r="D27" s="422" t="s">
        <v>370</v>
      </c>
      <c r="E27" s="405" t="e">
        <f>NC_DKDD!H14</f>
        <v>#VALUE!</v>
      </c>
      <c r="F27" s="405"/>
      <c r="G27" s="391">
        <f t="shared" si="8"/>
        <v>0</v>
      </c>
      <c r="H27" s="428"/>
      <c r="I27" s="402"/>
      <c r="J27" s="402"/>
      <c r="K27" s="402"/>
      <c r="L27" s="387"/>
      <c r="M27" s="387"/>
      <c r="N27" s="387"/>
      <c r="O27" s="387"/>
      <c r="P27" s="387">
        <f t="shared" si="9"/>
        <v>0</v>
      </c>
      <c r="Q27" s="451"/>
      <c r="R27" s="426"/>
    </row>
    <row r="28" spans="1:18" s="345" customFormat="1" ht="23.25" hidden="1" customHeight="1">
      <c r="A28" s="421" t="s">
        <v>35</v>
      </c>
      <c r="B28" s="420" t="s">
        <v>36</v>
      </c>
      <c r="C28" s="421" t="s">
        <v>979</v>
      </c>
      <c r="D28" s="422" t="s">
        <v>370</v>
      </c>
      <c r="E28" s="405" t="e">
        <f>NC_DKDD!H15</f>
        <v>#VALUE!</v>
      </c>
      <c r="F28" s="405"/>
      <c r="G28" s="391">
        <f t="shared" si="8"/>
        <v>0</v>
      </c>
      <c r="H28" s="428"/>
      <c r="I28" s="402"/>
      <c r="J28" s="402"/>
      <c r="K28" s="402"/>
      <c r="L28" s="387"/>
      <c r="M28" s="387"/>
      <c r="N28" s="387"/>
      <c r="O28" s="387"/>
      <c r="P28" s="387">
        <f t="shared" si="9"/>
        <v>0</v>
      </c>
      <c r="Q28" s="451"/>
      <c r="R28" s="426"/>
    </row>
    <row r="29" spans="1:18" s="345" customFormat="1" ht="23.25" hidden="1" customHeight="1">
      <c r="A29" s="421">
        <v>2</v>
      </c>
      <c r="B29" s="420" t="s">
        <v>37</v>
      </c>
      <c r="C29" s="421" t="s">
        <v>979</v>
      </c>
      <c r="D29" s="422" t="s">
        <v>370</v>
      </c>
      <c r="E29" s="405" t="e">
        <f>NC_DKDD!H16</f>
        <v>#VALUE!</v>
      </c>
      <c r="F29" s="405"/>
      <c r="G29" s="391">
        <f t="shared" si="8"/>
        <v>0</v>
      </c>
      <c r="H29" s="428"/>
      <c r="I29" s="402"/>
      <c r="J29" s="402"/>
      <c r="K29" s="402"/>
      <c r="L29" s="387"/>
      <c r="M29" s="387"/>
      <c r="N29" s="387"/>
      <c r="O29" s="387"/>
      <c r="P29" s="387">
        <f t="shared" si="9"/>
        <v>0</v>
      </c>
      <c r="Q29" s="451"/>
      <c r="R29" s="426"/>
    </row>
    <row r="30" spans="1:18" s="345" customFormat="1" ht="23.25" hidden="1" customHeight="1">
      <c r="A30" s="421">
        <v>3</v>
      </c>
      <c r="B30" s="420" t="s">
        <v>38</v>
      </c>
      <c r="C30" s="421" t="s">
        <v>627</v>
      </c>
      <c r="D30" s="422" t="s">
        <v>370</v>
      </c>
      <c r="E30" s="405" t="e">
        <f>NC_DKDD!H17</f>
        <v>#VALUE!</v>
      </c>
      <c r="F30" s="405"/>
      <c r="G30" s="391">
        <f t="shared" si="8"/>
        <v>0</v>
      </c>
      <c r="H30" s="428"/>
      <c r="I30" s="402"/>
      <c r="J30" s="402"/>
      <c r="K30" s="402"/>
      <c r="L30" s="387"/>
      <c r="M30" s="387"/>
      <c r="N30" s="387"/>
      <c r="O30" s="387"/>
      <c r="P30" s="387">
        <f t="shared" si="9"/>
        <v>0</v>
      </c>
      <c r="Q30" s="451"/>
      <c r="R30" s="426"/>
    </row>
    <row r="31" spans="1:18" s="345" customFormat="1" ht="23.25" hidden="1" customHeight="1">
      <c r="A31" s="1155">
        <v>4</v>
      </c>
      <c r="B31" s="1165" t="s">
        <v>39</v>
      </c>
      <c r="C31" s="1155" t="s">
        <v>979</v>
      </c>
      <c r="D31" s="421">
        <v>1</v>
      </c>
      <c r="E31" s="405" t="e">
        <f>NC_DKDD!H18</f>
        <v>#VALUE!</v>
      </c>
      <c r="F31" s="405">
        <f>NC_DKDD!H19</f>
        <v>15982</v>
      </c>
      <c r="G31" s="391">
        <f t="shared" si="8"/>
        <v>0</v>
      </c>
      <c r="H31" s="428"/>
      <c r="I31" s="402"/>
      <c r="J31" s="402"/>
      <c r="K31" s="402"/>
      <c r="L31" s="387"/>
      <c r="M31" s="387"/>
      <c r="N31" s="387"/>
      <c r="O31" s="387"/>
      <c r="P31" s="387">
        <f t="shared" si="9"/>
        <v>0</v>
      </c>
      <c r="Q31" s="451"/>
      <c r="R31" s="426"/>
    </row>
    <row r="32" spans="1:18" s="345" customFormat="1" ht="23.25" hidden="1" customHeight="1">
      <c r="A32" s="1155"/>
      <c r="B32" s="1165"/>
      <c r="C32" s="1155"/>
      <c r="D32" s="421">
        <v>2</v>
      </c>
      <c r="E32" s="405" t="e">
        <f>NC_DKDD!H20</f>
        <v>#VALUE!</v>
      </c>
      <c r="F32" s="405">
        <f>NC_DKDD!H21</f>
        <v>18340</v>
      </c>
      <c r="G32" s="391">
        <f t="shared" si="8"/>
        <v>0</v>
      </c>
      <c r="H32" s="428"/>
      <c r="I32" s="402"/>
      <c r="J32" s="402"/>
      <c r="K32" s="402"/>
      <c r="L32" s="387"/>
      <c r="M32" s="387"/>
      <c r="N32" s="387"/>
      <c r="O32" s="387"/>
      <c r="P32" s="387">
        <f t="shared" si="9"/>
        <v>0</v>
      </c>
      <c r="Q32" s="451"/>
      <c r="R32" s="426"/>
    </row>
    <row r="33" spans="1:18" s="345" customFormat="1" ht="23.25" hidden="1" customHeight="1">
      <c r="A33" s="1155"/>
      <c r="B33" s="1165"/>
      <c r="C33" s="1155"/>
      <c r="D33" s="421">
        <v>3</v>
      </c>
      <c r="E33" s="405" t="e">
        <f>NC_DKDD!H22</f>
        <v>#VALUE!</v>
      </c>
      <c r="F33" s="405">
        <f>NC_DKDD!H23</f>
        <v>21091</v>
      </c>
      <c r="G33" s="391">
        <f t="shared" si="8"/>
        <v>0</v>
      </c>
      <c r="H33" s="428"/>
      <c r="I33" s="402"/>
      <c r="J33" s="402"/>
      <c r="K33" s="402"/>
      <c r="L33" s="387"/>
      <c r="M33" s="387"/>
      <c r="N33" s="387"/>
      <c r="O33" s="387"/>
      <c r="P33" s="387">
        <f t="shared" si="9"/>
        <v>0</v>
      </c>
      <c r="Q33" s="451"/>
      <c r="R33" s="426"/>
    </row>
    <row r="34" spans="1:18" s="345" customFormat="1" ht="23.25" hidden="1" customHeight="1">
      <c r="A34" s="421">
        <v>5</v>
      </c>
      <c r="B34" s="420" t="s">
        <v>340</v>
      </c>
      <c r="C34" s="421"/>
      <c r="D34" s="421"/>
      <c r="E34" s="429"/>
      <c r="F34" s="405"/>
      <c r="G34" s="391">
        <f t="shared" si="8"/>
        <v>0</v>
      </c>
      <c r="H34" s="428"/>
      <c r="I34" s="402"/>
      <c r="J34" s="402"/>
      <c r="K34" s="402"/>
      <c r="L34" s="387"/>
      <c r="M34" s="387"/>
      <c r="N34" s="387"/>
      <c r="O34" s="387"/>
      <c r="P34" s="387">
        <f t="shared" si="9"/>
        <v>0</v>
      </c>
      <c r="Q34" s="451"/>
      <c r="R34" s="426"/>
    </row>
    <row r="35" spans="1:18" s="345" customFormat="1" ht="23.25" hidden="1" customHeight="1">
      <c r="A35" s="421" t="s">
        <v>607</v>
      </c>
      <c r="B35" s="420" t="s">
        <v>33</v>
      </c>
      <c r="C35" s="421" t="s">
        <v>979</v>
      </c>
      <c r="D35" s="422" t="s">
        <v>370</v>
      </c>
      <c r="E35" s="405" t="e">
        <f>NC_DKDD!H25</f>
        <v>#VALUE!</v>
      </c>
      <c r="F35" s="405"/>
      <c r="G35" s="391">
        <f t="shared" si="8"/>
        <v>0</v>
      </c>
      <c r="H35" s="428"/>
      <c r="I35" s="402"/>
      <c r="J35" s="402"/>
      <c r="K35" s="402"/>
      <c r="L35" s="387"/>
      <c r="M35" s="387"/>
      <c r="N35" s="387"/>
      <c r="O35" s="387"/>
      <c r="P35" s="387">
        <f t="shared" si="9"/>
        <v>0</v>
      </c>
      <c r="Q35" s="451"/>
      <c r="R35" s="426"/>
    </row>
    <row r="36" spans="1:18" s="345" customFormat="1" ht="23.25" hidden="1" customHeight="1">
      <c r="A36" s="421" t="s">
        <v>608</v>
      </c>
      <c r="B36" s="420" t="s">
        <v>36</v>
      </c>
      <c r="C36" s="421" t="s">
        <v>979</v>
      </c>
      <c r="D36" s="422" t="s">
        <v>370</v>
      </c>
      <c r="E36" s="405" t="e">
        <f>NC_DKDD!H26</f>
        <v>#VALUE!</v>
      </c>
      <c r="F36" s="405"/>
      <c r="G36" s="391">
        <f t="shared" si="8"/>
        <v>0</v>
      </c>
      <c r="H36" s="428"/>
      <c r="I36" s="402"/>
      <c r="J36" s="402"/>
      <c r="K36" s="402"/>
      <c r="L36" s="387"/>
      <c r="M36" s="387"/>
      <c r="N36" s="387"/>
      <c r="O36" s="387"/>
      <c r="P36" s="387">
        <f t="shared" si="9"/>
        <v>0</v>
      </c>
      <c r="Q36" s="451"/>
      <c r="R36" s="426"/>
    </row>
    <row r="37" spans="1:18" s="345" customFormat="1" ht="23.25" hidden="1" customHeight="1">
      <c r="A37" s="421">
        <v>6</v>
      </c>
      <c r="B37" s="420" t="s">
        <v>341</v>
      </c>
      <c r="C37" s="421" t="s">
        <v>627</v>
      </c>
      <c r="D37" s="422" t="s">
        <v>370</v>
      </c>
      <c r="E37" s="405" t="e">
        <f>NC_DKDD!H27</f>
        <v>#VALUE!</v>
      </c>
      <c r="F37" s="405"/>
      <c r="G37" s="391">
        <f t="shared" si="8"/>
        <v>0</v>
      </c>
      <c r="H37" s="428"/>
      <c r="I37" s="402"/>
      <c r="J37" s="402"/>
      <c r="K37" s="402"/>
      <c r="L37" s="387"/>
      <c r="M37" s="387"/>
      <c r="N37" s="387"/>
      <c r="O37" s="387"/>
      <c r="P37" s="387">
        <f t="shared" si="9"/>
        <v>0</v>
      </c>
      <c r="Q37" s="451"/>
      <c r="R37" s="426"/>
    </row>
    <row r="38" spans="1:18" s="345" customFormat="1" ht="23.25" hidden="1" customHeight="1">
      <c r="A38" s="421">
        <v>7</v>
      </c>
      <c r="B38" s="420" t="s">
        <v>855</v>
      </c>
      <c r="C38" s="421" t="s">
        <v>979</v>
      </c>
      <c r="D38" s="422" t="s">
        <v>370</v>
      </c>
      <c r="E38" s="405" t="e">
        <f>NC_DKDD!H28</f>
        <v>#VALUE!</v>
      </c>
      <c r="F38" s="405"/>
      <c r="G38" s="391">
        <f t="shared" si="8"/>
        <v>0</v>
      </c>
      <c r="H38" s="428"/>
      <c r="I38" s="402"/>
      <c r="J38" s="402"/>
      <c r="K38" s="402"/>
      <c r="L38" s="387"/>
      <c r="M38" s="387"/>
      <c r="N38" s="387"/>
      <c r="O38" s="387"/>
      <c r="P38" s="387">
        <f t="shared" si="9"/>
        <v>0</v>
      </c>
      <c r="Q38" s="451"/>
      <c r="R38" s="426"/>
    </row>
    <row r="39" spans="1:18" s="345" customFormat="1" ht="23.25" hidden="1" customHeight="1">
      <c r="A39" s="421">
        <v>8</v>
      </c>
      <c r="B39" s="420" t="s">
        <v>348</v>
      </c>
      <c r="C39" s="421"/>
      <c r="D39" s="421"/>
      <c r="E39" s="405">
        <f>NC_DKDD!H29</f>
        <v>0</v>
      </c>
      <c r="F39" s="405"/>
      <c r="G39" s="391">
        <f t="shared" si="8"/>
        <v>0</v>
      </c>
      <c r="H39" s="428"/>
      <c r="I39" s="402"/>
      <c r="J39" s="402"/>
      <c r="K39" s="402"/>
      <c r="L39" s="387"/>
      <c r="M39" s="387"/>
      <c r="N39" s="387"/>
      <c r="O39" s="387"/>
      <c r="P39" s="387">
        <f t="shared" si="9"/>
        <v>0</v>
      </c>
      <c r="Q39" s="451"/>
      <c r="R39" s="426"/>
    </row>
    <row r="40" spans="1:18" s="345" customFormat="1" ht="23.25" hidden="1" customHeight="1">
      <c r="A40" s="421" t="s">
        <v>374</v>
      </c>
      <c r="B40" s="420" t="s">
        <v>33</v>
      </c>
      <c r="C40" s="421" t="s">
        <v>979</v>
      </c>
      <c r="D40" s="422" t="s">
        <v>370</v>
      </c>
      <c r="E40" s="405" t="e">
        <f>NC_DKDD!H30</f>
        <v>#VALUE!</v>
      </c>
      <c r="F40" s="405"/>
      <c r="G40" s="391">
        <f t="shared" si="8"/>
        <v>0</v>
      </c>
      <c r="H40" s="428"/>
      <c r="I40" s="402"/>
      <c r="J40" s="402"/>
      <c r="K40" s="402"/>
      <c r="L40" s="387"/>
      <c r="M40" s="387"/>
      <c r="N40" s="387"/>
      <c r="O40" s="387"/>
      <c r="P40" s="387">
        <f t="shared" si="9"/>
        <v>0</v>
      </c>
      <c r="Q40" s="451"/>
      <c r="R40" s="426"/>
    </row>
    <row r="41" spans="1:18" s="345" customFormat="1" ht="23.25" hidden="1" customHeight="1">
      <c r="A41" s="421" t="s">
        <v>375</v>
      </c>
      <c r="B41" s="420" t="s">
        <v>36</v>
      </c>
      <c r="C41" s="421" t="s">
        <v>979</v>
      </c>
      <c r="D41" s="422" t="s">
        <v>370</v>
      </c>
      <c r="E41" s="405" t="e">
        <f>NC_DKDD!H31</f>
        <v>#VALUE!</v>
      </c>
      <c r="F41" s="405"/>
      <c r="G41" s="391">
        <f t="shared" si="8"/>
        <v>0</v>
      </c>
      <c r="H41" s="428"/>
      <c r="I41" s="402"/>
      <c r="J41" s="402"/>
      <c r="K41" s="402"/>
      <c r="L41" s="387"/>
      <c r="M41" s="387"/>
      <c r="N41" s="387"/>
      <c r="O41" s="387"/>
      <c r="P41" s="387">
        <f t="shared" si="9"/>
        <v>0</v>
      </c>
      <c r="Q41" s="451"/>
      <c r="R41" s="426"/>
    </row>
    <row r="42" spans="1:18" s="345" customFormat="1" ht="23.25" hidden="1" customHeight="1">
      <c r="A42" s="421">
        <v>9</v>
      </c>
      <c r="B42" s="420" t="s">
        <v>856</v>
      </c>
      <c r="C42" s="421" t="s">
        <v>979</v>
      </c>
      <c r="D42" s="422" t="s">
        <v>370</v>
      </c>
      <c r="E42" s="405" t="e">
        <f>NC_DKDD!H32</f>
        <v>#VALUE!</v>
      </c>
      <c r="F42" s="405"/>
      <c r="G42" s="391">
        <f t="shared" si="8"/>
        <v>0</v>
      </c>
      <c r="H42" s="428"/>
      <c r="I42" s="402"/>
      <c r="J42" s="402"/>
      <c r="K42" s="402"/>
      <c r="L42" s="387"/>
      <c r="M42" s="387"/>
      <c r="N42" s="387"/>
      <c r="O42" s="387"/>
      <c r="P42" s="387">
        <f t="shared" si="9"/>
        <v>0</v>
      </c>
      <c r="Q42" s="451"/>
      <c r="R42" s="426"/>
    </row>
    <row r="43" spans="1:18" s="345" customFormat="1" ht="48.75" hidden="1" customHeight="1">
      <c r="A43" s="421">
        <v>10</v>
      </c>
      <c r="B43" s="420" t="s">
        <v>857</v>
      </c>
      <c r="C43" s="421" t="s">
        <v>979</v>
      </c>
      <c r="D43" s="422" t="s">
        <v>370</v>
      </c>
      <c r="E43" s="405" t="e">
        <f>NC_DKDD!H33</f>
        <v>#VALUE!</v>
      </c>
      <c r="F43" s="405"/>
      <c r="G43" s="391">
        <f t="shared" si="8"/>
        <v>0</v>
      </c>
      <c r="H43" s="428"/>
      <c r="I43" s="402"/>
      <c r="J43" s="402"/>
      <c r="K43" s="402"/>
      <c r="L43" s="387"/>
      <c r="M43" s="387"/>
      <c r="N43" s="387"/>
      <c r="O43" s="387"/>
      <c r="P43" s="387">
        <f t="shared" si="9"/>
        <v>0</v>
      </c>
      <c r="Q43" s="451"/>
      <c r="R43" s="426"/>
    </row>
    <row r="44" spans="1:18" s="345" customFormat="1" ht="41.25" hidden="1" customHeight="1">
      <c r="A44" s="421">
        <v>11</v>
      </c>
      <c r="B44" s="420" t="s">
        <v>764</v>
      </c>
      <c r="C44" s="421" t="s">
        <v>979</v>
      </c>
      <c r="D44" s="422" t="s">
        <v>370</v>
      </c>
      <c r="E44" s="405" t="e">
        <f>NC_DKDD!H34</f>
        <v>#VALUE!</v>
      </c>
      <c r="F44" s="405"/>
      <c r="G44" s="391">
        <f t="shared" si="8"/>
        <v>0</v>
      </c>
      <c r="H44" s="428"/>
      <c r="I44" s="402"/>
      <c r="J44" s="402"/>
      <c r="K44" s="402"/>
      <c r="L44" s="387"/>
      <c r="M44" s="387"/>
      <c r="N44" s="387"/>
      <c r="O44" s="387"/>
      <c r="P44" s="387">
        <f t="shared" si="9"/>
        <v>0</v>
      </c>
      <c r="Q44" s="451"/>
      <c r="R44" s="426"/>
    </row>
    <row r="45" spans="1:18" s="345" customFormat="1" ht="23.25" hidden="1" customHeight="1">
      <c r="A45" s="421"/>
      <c r="B45" s="423" t="s">
        <v>765</v>
      </c>
      <c r="C45" s="421"/>
      <c r="D45" s="422"/>
      <c r="E45" s="405"/>
      <c r="F45" s="405"/>
      <c r="G45" s="391"/>
      <c r="H45" s="428"/>
      <c r="I45" s="402"/>
      <c r="J45" s="402"/>
      <c r="K45" s="402"/>
      <c r="L45" s="387"/>
      <c r="M45" s="387"/>
      <c r="N45" s="387"/>
      <c r="O45" s="387"/>
      <c r="P45" s="387"/>
      <c r="Q45" s="351">
        <f>'He so chung'!D$23</f>
        <v>801.92307692307691</v>
      </c>
      <c r="R45" s="352"/>
    </row>
    <row r="46" spans="1:18" s="345" customFormat="1" ht="23.25" hidden="1" customHeight="1">
      <c r="A46" s="425" t="s">
        <v>667</v>
      </c>
      <c r="B46" s="423" t="s">
        <v>451</v>
      </c>
      <c r="C46" s="421" t="s">
        <v>979</v>
      </c>
      <c r="D46" s="422" t="s">
        <v>370</v>
      </c>
      <c r="E46" s="448" t="e">
        <f>(E49+E52+E53+E55+E63)*0.3</f>
        <v>#VALUE!</v>
      </c>
      <c r="F46" s="448">
        <f>(F49+F52+F53+F55+F63)*0.3</f>
        <v>0</v>
      </c>
      <c r="G46" s="391">
        <f t="shared" si="8"/>
        <v>0</v>
      </c>
      <c r="H46" s="428">
        <f>'Dcu-DKDD'!J28/8000*0.3</f>
        <v>9.4473738852163452E-2</v>
      </c>
      <c r="I46" s="402">
        <f>'VL-DKDD'!H31/8000*0</f>
        <v>0</v>
      </c>
      <c r="J46" s="402">
        <f>'TB-DKDD'!K14/8000*0.3</f>
        <v>8.289524999999999E-2</v>
      </c>
      <c r="K46" s="402">
        <f>'NL-DKDD'!H9/8000*0.3</f>
        <v>0.16270379999999998</v>
      </c>
      <c r="L46" s="387" t="e">
        <f>SUM(E46:K46)</f>
        <v>#VALUE!</v>
      </c>
      <c r="M46" s="387" t="e">
        <f>L46*'He so chung'!$D$17/100</f>
        <v>#VALUE!</v>
      </c>
      <c r="N46" s="387" t="e">
        <f>L46+M46</f>
        <v>#VALUE!</v>
      </c>
      <c r="O46" s="387"/>
      <c r="P46" s="448">
        <f>P49+P51+P52+P53+P55+P59+P61+P63+P64+P66+P68+P69+P70+P73+P74+P75+P76+P77+P78</f>
        <v>0</v>
      </c>
      <c r="Q46" s="351"/>
      <c r="R46" s="352"/>
    </row>
    <row r="47" spans="1:18" s="345" customFormat="1" ht="23.25" hidden="1" customHeight="1">
      <c r="A47" s="425" t="s">
        <v>668</v>
      </c>
      <c r="B47" s="423" t="s">
        <v>452</v>
      </c>
      <c r="C47" s="421" t="s">
        <v>979</v>
      </c>
      <c r="D47" s="422" t="s">
        <v>370</v>
      </c>
      <c r="E47" s="448" t="e">
        <f>(E50+E52+E53+E55+E63)*0.3</f>
        <v>#VALUE!</v>
      </c>
      <c r="F47" s="448">
        <f>(F50+F52+F53+F55+F63)*0.3</f>
        <v>0</v>
      </c>
      <c r="G47" s="391"/>
      <c r="H47" s="428">
        <f>H46</f>
        <v>9.4473738852163452E-2</v>
      </c>
      <c r="I47" s="402">
        <f t="shared" ref="I47:O47" si="10">I46</f>
        <v>0</v>
      </c>
      <c r="J47" s="402">
        <f>J46</f>
        <v>8.289524999999999E-2</v>
      </c>
      <c r="K47" s="402">
        <f>K46</f>
        <v>0.16270379999999998</v>
      </c>
      <c r="L47" s="405" t="e">
        <f t="shared" si="10"/>
        <v>#VALUE!</v>
      </c>
      <c r="M47" s="405" t="e">
        <f t="shared" si="10"/>
        <v>#VALUE!</v>
      </c>
      <c r="N47" s="405" t="e">
        <f t="shared" si="10"/>
        <v>#VALUE!</v>
      </c>
      <c r="O47" s="428">
        <f t="shared" si="10"/>
        <v>0</v>
      </c>
      <c r="P47" s="448">
        <f>P50+P51+P52+P53+P55+P58+P62+P63+P64+P66+P68+P69+P70+P73+P74+P75+P76+P77+P78</f>
        <v>0</v>
      </c>
      <c r="Q47" s="351"/>
      <c r="R47" s="352"/>
    </row>
    <row r="48" spans="1:18" s="345" customFormat="1" ht="23.25" hidden="1" customHeight="1">
      <c r="A48" s="421">
        <v>1</v>
      </c>
      <c r="B48" s="420" t="s">
        <v>766</v>
      </c>
      <c r="C48" s="421"/>
      <c r="D48" s="421"/>
      <c r="E48" s="405"/>
      <c r="F48" s="405"/>
      <c r="G48" s="391">
        <f t="shared" si="8"/>
        <v>0</v>
      </c>
      <c r="H48" s="428"/>
      <c r="I48" s="402"/>
      <c r="J48" s="402"/>
      <c r="K48" s="402"/>
      <c r="L48" s="387"/>
      <c r="M48" s="387"/>
      <c r="N48" s="387"/>
      <c r="O48" s="387"/>
      <c r="P48" s="387">
        <f t="shared" si="9"/>
        <v>0</v>
      </c>
      <c r="Q48" s="351"/>
      <c r="R48" s="352"/>
    </row>
    <row r="49" spans="1:18" s="345" customFormat="1" ht="23.25" hidden="1" customHeight="1">
      <c r="A49" s="421" t="s">
        <v>891</v>
      </c>
      <c r="B49" s="420" t="s">
        <v>33</v>
      </c>
      <c r="C49" s="421" t="s">
        <v>979</v>
      </c>
      <c r="D49" s="422" t="s">
        <v>370</v>
      </c>
      <c r="E49" s="405" t="e">
        <f>NC_DKDD!H37</f>
        <v>#VALUE!</v>
      </c>
      <c r="F49" s="405"/>
      <c r="G49" s="391">
        <f t="shared" si="8"/>
        <v>0</v>
      </c>
      <c r="H49" s="428"/>
      <c r="I49" s="402"/>
      <c r="J49" s="402"/>
      <c r="K49" s="402"/>
      <c r="L49" s="387"/>
      <c r="M49" s="387"/>
      <c r="N49" s="387"/>
      <c r="O49" s="387"/>
      <c r="P49" s="387">
        <f t="shared" si="9"/>
        <v>0</v>
      </c>
      <c r="Q49" s="351"/>
      <c r="R49" s="352"/>
    </row>
    <row r="50" spans="1:18" s="345" customFormat="1" ht="23.25" hidden="1" customHeight="1">
      <c r="A50" s="421" t="s">
        <v>899</v>
      </c>
      <c r="B50" s="420" t="s">
        <v>36</v>
      </c>
      <c r="C50" s="421" t="s">
        <v>979</v>
      </c>
      <c r="D50" s="422" t="s">
        <v>370</v>
      </c>
      <c r="E50" s="405" t="e">
        <f>NC_DKDD!H38</f>
        <v>#VALUE!</v>
      </c>
      <c r="F50" s="405"/>
      <c r="G50" s="391">
        <f t="shared" si="8"/>
        <v>0</v>
      </c>
      <c r="H50" s="428"/>
      <c r="I50" s="402"/>
      <c r="J50" s="402"/>
      <c r="K50" s="402"/>
      <c r="L50" s="387"/>
      <c r="M50" s="387"/>
      <c r="N50" s="387"/>
      <c r="O50" s="387"/>
      <c r="P50" s="387">
        <f t="shared" si="9"/>
        <v>0</v>
      </c>
      <c r="Q50" s="351"/>
      <c r="R50" s="352"/>
    </row>
    <row r="51" spans="1:18" s="345" customFormat="1" ht="23.25" hidden="1" customHeight="1">
      <c r="A51" s="421">
        <v>2</v>
      </c>
      <c r="B51" s="420" t="s">
        <v>767</v>
      </c>
      <c r="C51" s="421" t="s">
        <v>979</v>
      </c>
      <c r="D51" s="422" t="s">
        <v>370</v>
      </c>
      <c r="E51" s="405" t="e">
        <f>NC_DKDD!H39</f>
        <v>#VALUE!</v>
      </c>
      <c r="F51" s="405"/>
      <c r="G51" s="391">
        <f t="shared" si="8"/>
        <v>0</v>
      </c>
      <c r="H51" s="428"/>
      <c r="I51" s="402"/>
      <c r="J51" s="402"/>
      <c r="K51" s="402"/>
      <c r="L51" s="387"/>
      <c r="M51" s="387"/>
      <c r="N51" s="387"/>
      <c r="O51" s="387"/>
      <c r="P51" s="387">
        <f t="shared" si="9"/>
        <v>0</v>
      </c>
      <c r="Q51" s="351"/>
      <c r="R51" s="352"/>
    </row>
    <row r="52" spans="1:18" s="345" customFormat="1" ht="23.25" hidden="1" customHeight="1">
      <c r="A52" s="421">
        <v>3</v>
      </c>
      <c r="B52" s="420" t="s">
        <v>768</v>
      </c>
      <c r="C52" s="421" t="s">
        <v>979</v>
      </c>
      <c r="D52" s="422" t="s">
        <v>370</v>
      </c>
      <c r="E52" s="405" t="e">
        <f>NC_DKDD!H40</f>
        <v>#VALUE!</v>
      </c>
      <c r="F52" s="405"/>
      <c r="G52" s="391">
        <f t="shared" si="8"/>
        <v>0</v>
      </c>
      <c r="H52" s="428"/>
      <c r="I52" s="402"/>
      <c r="J52" s="402"/>
      <c r="K52" s="402"/>
      <c r="L52" s="387"/>
      <c r="M52" s="387"/>
      <c r="N52" s="387"/>
      <c r="O52" s="387"/>
      <c r="P52" s="387">
        <f t="shared" si="9"/>
        <v>0</v>
      </c>
      <c r="Q52" s="351"/>
      <c r="R52" s="352"/>
    </row>
    <row r="53" spans="1:18" s="345" customFormat="1" ht="23.25" hidden="1" customHeight="1">
      <c r="A53" s="421">
        <v>4</v>
      </c>
      <c r="B53" s="420" t="s">
        <v>69</v>
      </c>
      <c r="C53" s="421" t="s">
        <v>627</v>
      </c>
      <c r="D53" s="422" t="s">
        <v>370</v>
      </c>
      <c r="E53" s="405" t="e">
        <f>NC_DKDD!H41</f>
        <v>#VALUE!</v>
      </c>
      <c r="F53" s="405"/>
      <c r="G53" s="391">
        <f t="shared" si="8"/>
        <v>0</v>
      </c>
      <c r="H53" s="428"/>
      <c r="I53" s="402"/>
      <c r="J53" s="402"/>
      <c r="K53" s="402"/>
      <c r="L53" s="387"/>
      <c r="M53" s="387"/>
      <c r="N53" s="387"/>
      <c r="O53" s="387"/>
      <c r="P53" s="387">
        <f t="shared" si="9"/>
        <v>0</v>
      </c>
      <c r="Q53" s="351"/>
      <c r="R53" s="352"/>
    </row>
    <row r="54" spans="1:18" s="345" customFormat="1" ht="23.25" hidden="1" customHeight="1">
      <c r="A54" s="421">
        <v>5</v>
      </c>
      <c r="B54" s="420" t="s">
        <v>660</v>
      </c>
      <c r="C54" s="421"/>
      <c r="D54" s="432"/>
      <c r="E54" s="405">
        <f>NC_DKDD!H42</f>
        <v>0</v>
      </c>
      <c r="F54" s="405"/>
      <c r="G54" s="391">
        <f t="shared" si="8"/>
        <v>0</v>
      </c>
      <c r="H54" s="428"/>
      <c r="I54" s="402"/>
      <c r="J54" s="402"/>
      <c r="K54" s="402"/>
      <c r="L54" s="387"/>
      <c r="M54" s="387"/>
      <c r="N54" s="387"/>
      <c r="O54" s="387"/>
      <c r="P54" s="387">
        <f t="shared" si="9"/>
        <v>0</v>
      </c>
      <c r="Q54" s="351"/>
      <c r="R54" s="352"/>
    </row>
    <row r="55" spans="1:18" s="345" customFormat="1" ht="23.25" hidden="1" customHeight="1">
      <c r="A55" s="421" t="s">
        <v>607</v>
      </c>
      <c r="B55" s="420" t="s">
        <v>770</v>
      </c>
      <c r="C55" s="421" t="s">
        <v>627</v>
      </c>
      <c r="D55" s="422" t="s">
        <v>370</v>
      </c>
      <c r="E55" s="405" t="e">
        <f>NC_DKDD!H43</f>
        <v>#VALUE!</v>
      </c>
      <c r="F55" s="405"/>
      <c r="G55" s="391">
        <f t="shared" si="8"/>
        <v>0</v>
      </c>
      <c r="H55" s="428"/>
      <c r="I55" s="402"/>
      <c r="J55" s="402"/>
      <c r="K55" s="402"/>
      <c r="L55" s="387"/>
      <c r="M55" s="387"/>
      <c r="N55" s="387"/>
      <c r="O55" s="387"/>
      <c r="P55" s="387">
        <f t="shared" si="9"/>
        <v>0</v>
      </c>
      <c r="Q55" s="351"/>
      <c r="R55" s="352"/>
    </row>
    <row r="56" spans="1:18" s="345" customFormat="1" ht="23.25" hidden="1" customHeight="1">
      <c r="A56" s="421" t="s">
        <v>608</v>
      </c>
      <c r="B56" s="420" t="s">
        <v>771</v>
      </c>
      <c r="C56" s="421" t="s">
        <v>627</v>
      </c>
      <c r="D56" s="422" t="s">
        <v>370</v>
      </c>
      <c r="E56" s="405" t="e">
        <f>NC_DKDD!H44</f>
        <v>#VALUE!</v>
      </c>
      <c r="F56" s="405"/>
      <c r="G56" s="391">
        <f t="shared" si="8"/>
        <v>0</v>
      </c>
      <c r="H56" s="428"/>
      <c r="I56" s="402"/>
      <c r="J56" s="402"/>
      <c r="K56" s="402"/>
      <c r="L56" s="387"/>
      <c r="M56" s="387"/>
      <c r="N56" s="387"/>
      <c r="O56" s="387"/>
      <c r="P56" s="387">
        <f t="shared" si="9"/>
        <v>0</v>
      </c>
      <c r="Q56" s="351"/>
      <c r="R56" s="352"/>
    </row>
    <row r="57" spans="1:18" s="345" customFormat="1" ht="23.25" hidden="1" customHeight="1">
      <c r="A57" s="421">
        <v>6</v>
      </c>
      <c r="B57" s="420" t="s">
        <v>772</v>
      </c>
      <c r="C57" s="421"/>
      <c r="D57" s="421"/>
      <c r="E57" s="405">
        <f>NC_DKDD!H45</f>
        <v>0</v>
      </c>
      <c r="F57" s="405"/>
      <c r="G57" s="391">
        <f t="shared" si="8"/>
        <v>0</v>
      </c>
      <c r="H57" s="428"/>
      <c r="I57" s="402"/>
      <c r="J57" s="402"/>
      <c r="K57" s="402"/>
      <c r="L57" s="387"/>
      <c r="M57" s="387"/>
      <c r="N57" s="387"/>
      <c r="O57" s="387"/>
      <c r="P57" s="387">
        <f t="shared" si="9"/>
        <v>0</v>
      </c>
      <c r="Q57" s="351"/>
      <c r="R57" s="352"/>
    </row>
    <row r="58" spans="1:18" s="345" customFormat="1" ht="23.25" hidden="1" customHeight="1">
      <c r="A58" s="421" t="s">
        <v>444</v>
      </c>
      <c r="B58" s="420" t="s">
        <v>773</v>
      </c>
      <c r="C58" s="421" t="s">
        <v>979</v>
      </c>
      <c r="D58" s="422" t="s">
        <v>370</v>
      </c>
      <c r="E58" s="405" t="e">
        <f>NC_DKDD!H46</f>
        <v>#VALUE!</v>
      </c>
      <c r="F58" s="405"/>
      <c r="G58" s="391">
        <f t="shared" si="8"/>
        <v>0</v>
      </c>
      <c r="H58" s="428"/>
      <c r="I58" s="402"/>
      <c r="J58" s="402"/>
      <c r="K58" s="402"/>
      <c r="L58" s="387"/>
      <c r="M58" s="387"/>
      <c r="N58" s="387"/>
      <c r="O58" s="387"/>
      <c r="P58" s="387">
        <f t="shared" si="9"/>
        <v>0</v>
      </c>
      <c r="Q58" s="351"/>
      <c r="R58" s="352"/>
    </row>
    <row r="59" spans="1:18" s="345" customFormat="1" ht="23.25" hidden="1" customHeight="1">
      <c r="A59" s="421" t="s">
        <v>445</v>
      </c>
      <c r="B59" s="420" t="s">
        <v>774</v>
      </c>
      <c r="C59" s="421" t="s">
        <v>979</v>
      </c>
      <c r="D59" s="422" t="s">
        <v>370</v>
      </c>
      <c r="E59" s="405" t="e">
        <f>NC_DKDD!H47</f>
        <v>#VALUE!</v>
      </c>
      <c r="F59" s="405"/>
      <c r="G59" s="391">
        <f t="shared" si="8"/>
        <v>0</v>
      </c>
      <c r="H59" s="428"/>
      <c r="I59" s="402"/>
      <c r="J59" s="402"/>
      <c r="K59" s="402"/>
      <c r="L59" s="387"/>
      <c r="M59" s="387"/>
      <c r="N59" s="387"/>
      <c r="O59" s="387"/>
      <c r="P59" s="387">
        <f t="shared" si="9"/>
        <v>0</v>
      </c>
      <c r="Q59" s="351"/>
      <c r="R59" s="352"/>
    </row>
    <row r="60" spans="1:18" s="345" customFormat="1" ht="23.25" hidden="1" customHeight="1">
      <c r="A60" s="421">
        <v>7</v>
      </c>
      <c r="B60" s="420" t="s">
        <v>775</v>
      </c>
      <c r="C60" s="421"/>
      <c r="D60" s="421"/>
      <c r="E60" s="405">
        <f>NC_DKDD!H48</f>
        <v>0</v>
      </c>
      <c r="F60" s="405"/>
      <c r="G60" s="391">
        <f t="shared" si="8"/>
        <v>0</v>
      </c>
      <c r="H60" s="428"/>
      <c r="I60" s="402"/>
      <c r="J60" s="402"/>
      <c r="K60" s="402"/>
      <c r="L60" s="387"/>
      <c r="M60" s="387"/>
      <c r="N60" s="387"/>
      <c r="O60" s="387"/>
      <c r="P60" s="387">
        <f t="shared" si="9"/>
        <v>0</v>
      </c>
      <c r="Q60" s="351"/>
      <c r="R60" s="352"/>
    </row>
    <row r="61" spans="1:18" s="345" customFormat="1" ht="23.25" hidden="1" customHeight="1">
      <c r="A61" s="421" t="s">
        <v>872</v>
      </c>
      <c r="B61" s="420" t="s">
        <v>776</v>
      </c>
      <c r="C61" s="421" t="s">
        <v>979</v>
      </c>
      <c r="D61" s="422" t="s">
        <v>370</v>
      </c>
      <c r="E61" s="405" t="e">
        <f>NC_DKDD!H49</f>
        <v>#VALUE!</v>
      </c>
      <c r="F61" s="405"/>
      <c r="G61" s="391">
        <f t="shared" si="8"/>
        <v>0</v>
      </c>
      <c r="H61" s="428"/>
      <c r="I61" s="402"/>
      <c r="J61" s="402"/>
      <c r="K61" s="402"/>
      <c r="L61" s="387"/>
      <c r="M61" s="387"/>
      <c r="N61" s="387"/>
      <c r="O61" s="387"/>
      <c r="P61" s="387">
        <f t="shared" si="9"/>
        <v>0</v>
      </c>
      <c r="Q61" s="351"/>
      <c r="R61" s="352"/>
    </row>
    <row r="62" spans="1:18" s="345" customFormat="1" ht="23.25" hidden="1" customHeight="1">
      <c r="A62" s="421" t="s">
        <v>873</v>
      </c>
      <c r="B62" s="420" t="s">
        <v>777</v>
      </c>
      <c r="C62" s="421" t="s">
        <v>979</v>
      </c>
      <c r="D62" s="422" t="s">
        <v>370</v>
      </c>
      <c r="E62" s="405" t="e">
        <f>NC_DKDD!H50</f>
        <v>#VALUE!</v>
      </c>
      <c r="F62" s="405"/>
      <c r="G62" s="391">
        <f t="shared" si="8"/>
        <v>0</v>
      </c>
      <c r="H62" s="428"/>
      <c r="I62" s="402"/>
      <c r="J62" s="402"/>
      <c r="K62" s="402"/>
      <c r="L62" s="387"/>
      <c r="M62" s="387"/>
      <c r="N62" s="387"/>
      <c r="O62" s="387"/>
      <c r="P62" s="387">
        <f t="shared" si="9"/>
        <v>0</v>
      </c>
      <c r="Q62" s="351"/>
      <c r="R62" s="352"/>
    </row>
    <row r="63" spans="1:18" s="345" customFormat="1" ht="23.25" hidden="1" customHeight="1">
      <c r="A63" s="421">
        <v>8</v>
      </c>
      <c r="B63" s="420" t="s">
        <v>211</v>
      </c>
      <c r="C63" s="421" t="s">
        <v>627</v>
      </c>
      <c r="D63" s="422" t="s">
        <v>370</v>
      </c>
      <c r="E63" s="405" t="e">
        <f>NC_DKDD!H51</f>
        <v>#VALUE!</v>
      </c>
      <c r="F63" s="405"/>
      <c r="G63" s="391">
        <f t="shared" si="8"/>
        <v>0</v>
      </c>
      <c r="H63" s="428"/>
      <c r="I63" s="402"/>
      <c r="J63" s="402"/>
      <c r="K63" s="402"/>
      <c r="L63" s="387"/>
      <c r="M63" s="387"/>
      <c r="N63" s="387"/>
      <c r="O63" s="387"/>
      <c r="P63" s="387">
        <f t="shared" si="9"/>
        <v>0</v>
      </c>
      <c r="Q63" s="351"/>
      <c r="R63" s="352"/>
    </row>
    <row r="64" spans="1:18" s="345" customFormat="1" ht="23.25" hidden="1" customHeight="1">
      <c r="A64" s="421">
        <v>9</v>
      </c>
      <c r="B64" s="420" t="s">
        <v>978</v>
      </c>
      <c r="C64" s="421" t="s">
        <v>212</v>
      </c>
      <c r="D64" s="422" t="s">
        <v>370</v>
      </c>
      <c r="E64" s="405" t="e">
        <f>NC_DKDD!H52</f>
        <v>#VALUE!</v>
      </c>
      <c r="F64" s="405"/>
      <c r="G64" s="391">
        <f t="shared" si="8"/>
        <v>0</v>
      </c>
      <c r="H64" s="428"/>
      <c r="I64" s="402"/>
      <c r="J64" s="402"/>
      <c r="K64" s="402"/>
      <c r="L64" s="387"/>
      <c r="M64" s="387"/>
      <c r="N64" s="387"/>
      <c r="O64" s="387"/>
      <c r="P64" s="387">
        <f t="shared" si="9"/>
        <v>0</v>
      </c>
      <c r="Q64" s="351"/>
      <c r="R64" s="352"/>
    </row>
    <row r="65" spans="1:18" s="345" customFormat="1" ht="23.25" hidden="1" customHeight="1">
      <c r="A65" s="421">
        <v>10</v>
      </c>
      <c r="B65" s="420" t="s">
        <v>213</v>
      </c>
      <c r="C65" s="421"/>
      <c r="D65" s="421"/>
      <c r="E65" s="405">
        <f>NC_DKDD!H53</f>
        <v>0</v>
      </c>
      <c r="F65" s="405"/>
      <c r="G65" s="391">
        <f t="shared" si="8"/>
        <v>0</v>
      </c>
      <c r="H65" s="428"/>
      <c r="I65" s="402"/>
      <c r="J65" s="402"/>
      <c r="K65" s="402"/>
      <c r="L65" s="387"/>
      <c r="M65" s="387"/>
      <c r="N65" s="387"/>
      <c r="O65" s="387"/>
      <c r="P65" s="387">
        <f t="shared" si="9"/>
        <v>0</v>
      </c>
      <c r="Q65" s="351"/>
      <c r="R65" s="352"/>
    </row>
    <row r="66" spans="1:18" s="345" customFormat="1" ht="23.25" hidden="1" customHeight="1">
      <c r="A66" s="421" t="s">
        <v>214</v>
      </c>
      <c r="B66" s="420" t="s">
        <v>215</v>
      </c>
      <c r="C66" s="421" t="s">
        <v>320</v>
      </c>
      <c r="D66" s="422" t="s">
        <v>370</v>
      </c>
      <c r="E66" s="405" t="e">
        <f>NC_DKDD!H54</f>
        <v>#VALUE!</v>
      </c>
      <c r="F66" s="405"/>
      <c r="G66" s="391">
        <f t="shared" si="8"/>
        <v>0</v>
      </c>
      <c r="H66" s="428"/>
      <c r="I66" s="402"/>
      <c r="J66" s="402"/>
      <c r="K66" s="402"/>
      <c r="L66" s="387"/>
      <c r="M66" s="387"/>
      <c r="N66" s="387"/>
      <c r="O66" s="387"/>
      <c r="P66" s="387">
        <f t="shared" si="9"/>
        <v>0</v>
      </c>
      <c r="Q66" s="351"/>
      <c r="R66" s="352"/>
    </row>
    <row r="67" spans="1:18" s="345" customFormat="1" ht="23.25" hidden="1" customHeight="1">
      <c r="A67" s="421" t="s">
        <v>216</v>
      </c>
      <c r="B67" s="420" t="s">
        <v>217</v>
      </c>
      <c r="C67" s="421" t="s">
        <v>320</v>
      </c>
      <c r="D67" s="422" t="s">
        <v>370</v>
      </c>
      <c r="E67" s="405" t="e">
        <f>NC_DKDD!H55</f>
        <v>#VALUE!</v>
      </c>
      <c r="F67" s="405"/>
      <c r="G67" s="391">
        <f t="shared" si="8"/>
        <v>0</v>
      </c>
      <c r="H67" s="428"/>
      <c r="I67" s="402"/>
      <c r="J67" s="402"/>
      <c r="K67" s="402"/>
      <c r="L67" s="387"/>
      <c r="M67" s="387"/>
      <c r="N67" s="387"/>
      <c r="O67" s="387"/>
      <c r="P67" s="387">
        <f t="shared" si="9"/>
        <v>0</v>
      </c>
      <c r="Q67" s="351"/>
      <c r="R67" s="352"/>
    </row>
    <row r="68" spans="1:18" s="345" customFormat="1" ht="23.25" hidden="1" customHeight="1">
      <c r="A68" s="421">
        <v>11</v>
      </c>
      <c r="B68" s="420" t="s">
        <v>218</v>
      </c>
      <c r="C68" s="421" t="s">
        <v>979</v>
      </c>
      <c r="D68" s="422" t="s">
        <v>370</v>
      </c>
      <c r="E68" s="405" t="e">
        <f>NC_DKDD!H56</f>
        <v>#VALUE!</v>
      </c>
      <c r="F68" s="405"/>
      <c r="G68" s="391">
        <f t="shared" si="8"/>
        <v>0</v>
      </c>
      <c r="H68" s="428"/>
      <c r="I68" s="402"/>
      <c r="J68" s="402"/>
      <c r="K68" s="402"/>
      <c r="L68" s="387"/>
      <c r="M68" s="387"/>
      <c r="N68" s="387"/>
      <c r="O68" s="387"/>
      <c r="P68" s="387">
        <f t="shared" si="9"/>
        <v>0</v>
      </c>
      <c r="Q68" s="351"/>
      <c r="R68" s="352"/>
    </row>
    <row r="69" spans="1:18" s="345" customFormat="1" ht="23.25" hidden="1" customHeight="1">
      <c r="A69" s="421">
        <v>12</v>
      </c>
      <c r="B69" s="420" t="s">
        <v>219</v>
      </c>
      <c r="C69" s="421" t="s">
        <v>979</v>
      </c>
      <c r="D69" s="422" t="s">
        <v>370</v>
      </c>
      <c r="E69" s="405" t="e">
        <f>NC_DKDD!H57</f>
        <v>#VALUE!</v>
      </c>
      <c r="F69" s="405"/>
      <c r="G69" s="391">
        <f t="shared" si="8"/>
        <v>0</v>
      </c>
      <c r="H69" s="428"/>
      <c r="I69" s="402"/>
      <c r="J69" s="402"/>
      <c r="K69" s="402"/>
      <c r="L69" s="387"/>
      <c r="M69" s="387"/>
      <c r="N69" s="387"/>
      <c r="O69" s="387"/>
      <c r="P69" s="387">
        <f t="shared" si="9"/>
        <v>0</v>
      </c>
      <c r="Q69" s="351"/>
      <c r="R69" s="352"/>
    </row>
    <row r="70" spans="1:18" s="345" customFormat="1" ht="23.25" hidden="1" customHeight="1">
      <c r="A70" s="421">
        <v>13</v>
      </c>
      <c r="B70" s="420" t="s">
        <v>220</v>
      </c>
      <c r="C70" s="421" t="s">
        <v>627</v>
      </c>
      <c r="D70" s="422" t="s">
        <v>370</v>
      </c>
      <c r="E70" s="405" t="e">
        <f>NC_DKDD!H58</f>
        <v>#VALUE!</v>
      </c>
      <c r="F70" s="405"/>
      <c r="G70" s="391">
        <f t="shared" si="8"/>
        <v>0</v>
      </c>
      <c r="H70" s="428"/>
      <c r="I70" s="402"/>
      <c r="J70" s="402"/>
      <c r="K70" s="402"/>
      <c r="L70" s="387"/>
      <c r="M70" s="387"/>
      <c r="N70" s="387"/>
      <c r="O70" s="387"/>
      <c r="P70" s="387">
        <f t="shared" si="9"/>
        <v>0</v>
      </c>
      <c r="Q70" s="351"/>
      <c r="R70" s="352"/>
    </row>
    <row r="71" spans="1:18" s="345" customFormat="1" ht="23.25" hidden="1" customHeight="1">
      <c r="A71" s="421">
        <v>14</v>
      </c>
      <c r="B71" s="420" t="s">
        <v>221</v>
      </c>
      <c r="C71" s="421"/>
      <c r="D71" s="421"/>
      <c r="E71" s="405">
        <f>NC_DKDD!H59</f>
        <v>0</v>
      </c>
      <c r="F71" s="405"/>
      <c r="G71" s="391">
        <f t="shared" si="8"/>
        <v>0</v>
      </c>
      <c r="H71" s="428"/>
      <c r="I71" s="402"/>
      <c r="J71" s="402"/>
      <c r="K71" s="402"/>
      <c r="L71" s="387"/>
      <c r="M71" s="387"/>
      <c r="N71" s="387"/>
      <c r="O71" s="387"/>
      <c r="P71" s="387">
        <f t="shared" si="9"/>
        <v>0</v>
      </c>
      <c r="Q71" s="351"/>
      <c r="R71" s="352"/>
    </row>
    <row r="72" spans="1:18" s="345" customFormat="1" ht="23.25" hidden="1" customHeight="1">
      <c r="A72" s="421" t="s">
        <v>47</v>
      </c>
      <c r="B72" s="420" t="s">
        <v>931</v>
      </c>
      <c r="C72" s="421"/>
      <c r="D72" s="421"/>
      <c r="E72" s="405">
        <f>NC_DKDD!H60</f>
        <v>0</v>
      </c>
      <c r="F72" s="405"/>
      <c r="G72" s="391">
        <f t="shared" si="8"/>
        <v>0</v>
      </c>
      <c r="H72" s="428"/>
      <c r="I72" s="402"/>
      <c r="J72" s="402"/>
      <c r="K72" s="402"/>
      <c r="L72" s="387"/>
      <c r="M72" s="387"/>
      <c r="N72" s="387"/>
      <c r="O72" s="387"/>
      <c r="P72" s="387">
        <f t="shared" si="9"/>
        <v>0</v>
      </c>
      <c r="Q72" s="351"/>
      <c r="R72" s="352"/>
    </row>
    <row r="73" spans="1:18" s="345" customFormat="1" ht="23.25" hidden="1" customHeight="1">
      <c r="A73" s="421" t="s">
        <v>932</v>
      </c>
      <c r="B73" s="420" t="s">
        <v>933</v>
      </c>
      <c r="C73" s="421" t="s">
        <v>934</v>
      </c>
      <c r="D73" s="422" t="s">
        <v>370</v>
      </c>
      <c r="E73" s="405" t="e">
        <f>NC_DKDD!H61</f>
        <v>#VALUE!</v>
      </c>
      <c r="F73" s="405"/>
      <c r="G73" s="391">
        <f t="shared" si="8"/>
        <v>0</v>
      </c>
      <c r="H73" s="428"/>
      <c r="I73" s="402"/>
      <c r="J73" s="402"/>
      <c r="K73" s="402"/>
      <c r="L73" s="387"/>
      <c r="M73" s="387"/>
      <c r="N73" s="387"/>
      <c r="O73" s="387"/>
      <c r="P73" s="387">
        <f t="shared" si="9"/>
        <v>0</v>
      </c>
      <c r="Q73" s="351"/>
      <c r="R73" s="352"/>
    </row>
    <row r="74" spans="1:18" s="345" customFormat="1" ht="23.25" hidden="1" customHeight="1">
      <c r="A74" s="421" t="s">
        <v>936</v>
      </c>
      <c r="B74" s="420" t="s">
        <v>937</v>
      </c>
      <c r="C74" s="421" t="s">
        <v>934</v>
      </c>
      <c r="D74" s="422" t="s">
        <v>370</v>
      </c>
      <c r="E74" s="405" t="e">
        <f>NC_DKDD!H62</f>
        <v>#VALUE!</v>
      </c>
      <c r="F74" s="405"/>
      <c r="G74" s="391">
        <f t="shared" si="8"/>
        <v>0</v>
      </c>
      <c r="H74" s="428"/>
      <c r="I74" s="402"/>
      <c r="J74" s="402"/>
      <c r="K74" s="402"/>
      <c r="L74" s="387"/>
      <c r="M74" s="387"/>
      <c r="N74" s="387"/>
      <c r="O74" s="387"/>
      <c r="P74" s="387">
        <f t="shared" si="9"/>
        <v>0</v>
      </c>
      <c r="Q74" s="351"/>
      <c r="R74" s="352"/>
    </row>
    <row r="75" spans="1:18" s="345" customFormat="1" ht="23.25" hidden="1" customHeight="1">
      <c r="A75" s="421" t="s">
        <v>938</v>
      </c>
      <c r="B75" s="420" t="s">
        <v>48</v>
      </c>
      <c r="C75" s="421" t="s">
        <v>934</v>
      </c>
      <c r="D75" s="422" t="s">
        <v>370</v>
      </c>
      <c r="E75" s="405" t="e">
        <f>NC_DKDD!H63</f>
        <v>#VALUE!</v>
      </c>
      <c r="F75" s="405"/>
      <c r="G75" s="391">
        <f t="shared" si="8"/>
        <v>0</v>
      </c>
      <c r="H75" s="428"/>
      <c r="I75" s="402"/>
      <c r="J75" s="402"/>
      <c r="K75" s="402"/>
      <c r="L75" s="387"/>
      <c r="M75" s="387"/>
      <c r="N75" s="387"/>
      <c r="O75" s="387"/>
      <c r="P75" s="387">
        <f t="shared" si="9"/>
        <v>0</v>
      </c>
      <c r="Q75" s="351"/>
      <c r="R75" s="352"/>
    </row>
    <row r="76" spans="1:18" s="345" customFormat="1" ht="23.25" hidden="1" customHeight="1">
      <c r="A76" s="421" t="s">
        <v>49</v>
      </c>
      <c r="B76" s="420" t="s">
        <v>50</v>
      </c>
      <c r="C76" s="421" t="s">
        <v>627</v>
      </c>
      <c r="D76" s="422" t="s">
        <v>370</v>
      </c>
      <c r="E76" s="405" t="e">
        <f>NC_DKDD!H64</f>
        <v>#VALUE!</v>
      </c>
      <c r="F76" s="405"/>
      <c r="G76" s="391">
        <f t="shared" si="8"/>
        <v>0</v>
      </c>
      <c r="H76" s="428"/>
      <c r="I76" s="402"/>
      <c r="J76" s="402"/>
      <c r="K76" s="402"/>
      <c r="L76" s="387"/>
      <c r="M76" s="387"/>
      <c r="N76" s="387"/>
      <c r="O76" s="387"/>
      <c r="P76" s="387">
        <f t="shared" si="9"/>
        <v>0</v>
      </c>
      <c r="Q76" s="351"/>
      <c r="R76" s="352"/>
    </row>
    <row r="77" spans="1:18" s="345" customFormat="1" ht="23.25" hidden="1" customHeight="1">
      <c r="A77" s="421">
        <v>15</v>
      </c>
      <c r="B77" s="420" t="s">
        <v>1054</v>
      </c>
      <c r="C77" s="421" t="s">
        <v>979</v>
      </c>
      <c r="D77" s="422" t="s">
        <v>370</v>
      </c>
      <c r="E77" s="405" t="e">
        <f>NC_DKDD!H65</f>
        <v>#VALUE!</v>
      </c>
      <c r="F77" s="405"/>
      <c r="G77" s="391">
        <f t="shared" si="8"/>
        <v>0</v>
      </c>
      <c r="H77" s="428"/>
      <c r="I77" s="402"/>
      <c r="J77" s="402"/>
      <c r="K77" s="402"/>
      <c r="L77" s="387"/>
      <c r="M77" s="387"/>
      <c r="N77" s="387"/>
      <c r="O77" s="387"/>
      <c r="P77" s="387">
        <f t="shared" si="9"/>
        <v>0</v>
      </c>
      <c r="Q77" s="351"/>
      <c r="R77" s="352"/>
    </row>
    <row r="78" spans="1:18" s="345" customFormat="1" ht="23.25" hidden="1" customHeight="1">
      <c r="A78" s="421">
        <v>16</v>
      </c>
      <c r="B78" s="420" t="s">
        <v>1055</v>
      </c>
      <c r="C78" s="421" t="s">
        <v>904</v>
      </c>
      <c r="D78" s="422" t="s">
        <v>370</v>
      </c>
      <c r="E78" s="405" t="e">
        <f>NC_DKDD!H66</f>
        <v>#VALUE!</v>
      </c>
      <c r="F78" s="405"/>
      <c r="G78" s="391">
        <f t="shared" si="8"/>
        <v>0</v>
      </c>
      <c r="H78" s="428"/>
      <c r="I78" s="402"/>
      <c r="J78" s="402"/>
      <c r="K78" s="402"/>
      <c r="L78" s="387"/>
      <c r="M78" s="387"/>
      <c r="N78" s="387"/>
      <c r="O78" s="387"/>
      <c r="P78" s="387">
        <f t="shared" si="9"/>
        <v>0</v>
      </c>
      <c r="Q78" s="351"/>
      <c r="R78" s="352"/>
    </row>
    <row r="79" spans="1:18" s="345" customFormat="1" ht="23.25" hidden="1" customHeight="1">
      <c r="A79" s="425" t="s">
        <v>913</v>
      </c>
      <c r="B79" s="423" t="s">
        <v>1057</v>
      </c>
      <c r="C79" s="421"/>
      <c r="D79" s="422"/>
      <c r="E79" s="405"/>
      <c r="F79" s="405"/>
      <c r="G79" s="391"/>
      <c r="H79" s="428"/>
      <c r="I79" s="402"/>
      <c r="J79" s="402"/>
      <c r="K79" s="402"/>
      <c r="L79" s="387"/>
      <c r="M79" s="387"/>
      <c r="N79" s="387"/>
      <c r="O79" s="387"/>
      <c r="P79" s="387"/>
      <c r="Q79" s="351"/>
      <c r="R79" s="352"/>
    </row>
    <row r="80" spans="1:18" s="345" customFormat="1" ht="23.25" hidden="1" customHeight="1">
      <c r="A80" s="425" t="s">
        <v>669</v>
      </c>
      <c r="B80" s="423" t="s">
        <v>451</v>
      </c>
      <c r="C80" s="421"/>
      <c r="D80" s="421"/>
      <c r="E80" s="448" t="e">
        <f>(E83+E84+E86+E87)*0.3</f>
        <v>#VALUE!</v>
      </c>
      <c r="F80" s="448">
        <f>(F83+F84+F86+F87)*0.3</f>
        <v>0</v>
      </c>
      <c r="G80" s="391">
        <f t="shared" si="8"/>
        <v>0</v>
      </c>
      <c r="H80" s="428">
        <f>'Dcu-DKDD'!L28/8000*0</f>
        <v>0</v>
      </c>
      <c r="I80" s="402">
        <f>'VL-DKDD'!J31/8000*0</f>
        <v>0</v>
      </c>
      <c r="J80" s="402">
        <f>'TB-DKDD'!M14/8000*0</f>
        <v>0</v>
      </c>
      <c r="K80" s="402">
        <f>'NL-DKDD'!J9/8000*0</f>
        <v>0</v>
      </c>
      <c r="L80" s="387" t="e">
        <f>SUM(E80:K80)</f>
        <v>#VALUE!</v>
      </c>
      <c r="M80" s="387" t="e">
        <f>L80*'He so chung'!$D$17/100</f>
        <v>#VALUE!</v>
      </c>
      <c r="N80" s="387" t="e">
        <f>L80+M80</f>
        <v>#VALUE!</v>
      </c>
      <c r="O80" s="387"/>
      <c r="P80" s="448">
        <f>SUM(P82:P88)</f>
        <v>0</v>
      </c>
      <c r="Q80" s="351"/>
      <c r="R80" s="352"/>
    </row>
    <row r="81" spans="1:18" s="345" customFormat="1" ht="23.25" hidden="1" customHeight="1">
      <c r="A81" s="425" t="s">
        <v>670</v>
      </c>
      <c r="B81" s="423" t="s">
        <v>452</v>
      </c>
      <c r="C81" s="421"/>
      <c r="D81" s="421"/>
      <c r="E81" s="448" t="e">
        <f>(E83+E84+E86+E87)*0.3</f>
        <v>#VALUE!</v>
      </c>
      <c r="F81" s="448">
        <f>(F83+F84+F86+F87)*0.3</f>
        <v>0</v>
      </c>
      <c r="G81" s="391"/>
      <c r="H81" s="428">
        <f>H80</f>
        <v>0</v>
      </c>
      <c r="I81" s="402">
        <f t="shared" ref="I81:O81" si="11">I80</f>
        <v>0</v>
      </c>
      <c r="J81" s="402">
        <f t="shared" si="11"/>
        <v>0</v>
      </c>
      <c r="K81" s="402">
        <f t="shared" si="11"/>
        <v>0</v>
      </c>
      <c r="L81" s="387" t="e">
        <f t="shared" si="11"/>
        <v>#VALUE!</v>
      </c>
      <c r="M81" s="405" t="e">
        <f t="shared" si="11"/>
        <v>#VALUE!</v>
      </c>
      <c r="N81" s="405" t="e">
        <f t="shared" si="11"/>
        <v>#VALUE!</v>
      </c>
      <c r="O81" s="428">
        <f t="shared" si="11"/>
        <v>0</v>
      </c>
      <c r="P81" s="448">
        <f>SUM(P82:P88)</f>
        <v>0</v>
      </c>
      <c r="Q81" s="351"/>
      <c r="R81" s="352"/>
    </row>
    <row r="82" spans="1:18" s="345" customFormat="1" ht="23.25" hidden="1" customHeight="1">
      <c r="A82" s="421">
        <v>1</v>
      </c>
      <c r="B82" s="420" t="s">
        <v>279</v>
      </c>
      <c r="C82" s="421"/>
      <c r="D82" s="421"/>
      <c r="E82" s="405"/>
      <c r="F82" s="405"/>
      <c r="G82" s="391">
        <f t="shared" si="8"/>
        <v>0</v>
      </c>
      <c r="H82" s="428"/>
      <c r="I82" s="402"/>
      <c r="J82" s="402"/>
      <c r="K82" s="402"/>
      <c r="L82" s="387"/>
      <c r="M82" s="387"/>
      <c r="N82" s="387"/>
      <c r="O82" s="387"/>
      <c r="P82" s="387">
        <f t="shared" si="9"/>
        <v>0</v>
      </c>
      <c r="Q82" s="351"/>
      <c r="R82" s="352"/>
    </row>
    <row r="83" spans="1:18" s="345" customFormat="1" ht="23.25" hidden="1" customHeight="1">
      <c r="A83" s="421" t="s">
        <v>891</v>
      </c>
      <c r="B83" s="420" t="s">
        <v>1058</v>
      </c>
      <c r="C83" s="421" t="s">
        <v>979</v>
      </c>
      <c r="D83" s="422" t="s">
        <v>370</v>
      </c>
      <c r="E83" s="405" t="e">
        <f>NC_DKDD!H69/8000</f>
        <v>#VALUE!</v>
      </c>
      <c r="F83" s="405"/>
      <c r="G83" s="391">
        <f t="shared" si="8"/>
        <v>0</v>
      </c>
      <c r="H83" s="428"/>
      <c r="I83" s="402"/>
      <c r="J83" s="402"/>
      <c r="K83" s="402"/>
      <c r="L83" s="387"/>
      <c r="M83" s="387"/>
      <c r="N83" s="387"/>
      <c r="O83" s="387"/>
      <c r="P83" s="387">
        <f t="shared" si="9"/>
        <v>0</v>
      </c>
      <c r="Q83" s="351"/>
      <c r="R83" s="352"/>
    </row>
    <row r="84" spans="1:18" s="345" customFormat="1" ht="23.25" hidden="1" customHeight="1">
      <c r="A84" s="421" t="s">
        <v>899</v>
      </c>
      <c r="B84" s="420" t="s">
        <v>491</v>
      </c>
      <c r="C84" s="421" t="s">
        <v>627</v>
      </c>
      <c r="D84" s="422" t="s">
        <v>370</v>
      </c>
      <c r="E84" s="405" t="e">
        <f>NC_DKDD!H70/8000</f>
        <v>#VALUE!</v>
      </c>
      <c r="F84" s="405"/>
      <c r="G84" s="391">
        <f t="shared" si="8"/>
        <v>0</v>
      </c>
      <c r="H84" s="428"/>
      <c r="I84" s="402"/>
      <c r="J84" s="402"/>
      <c r="K84" s="402"/>
      <c r="L84" s="387"/>
      <c r="M84" s="387"/>
      <c r="N84" s="387"/>
      <c r="O84" s="387"/>
      <c r="P84" s="387">
        <f t="shared" si="9"/>
        <v>0</v>
      </c>
      <c r="Q84" s="351"/>
      <c r="R84" s="352"/>
    </row>
    <row r="85" spans="1:18" s="345" customFormat="1" ht="23.25" hidden="1" customHeight="1">
      <c r="A85" s="421">
        <v>2</v>
      </c>
      <c r="B85" s="420" t="s">
        <v>492</v>
      </c>
      <c r="C85" s="421"/>
      <c r="D85" s="421"/>
      <c r="E85" s="405">
        <f>NC_DKDD!H71/8000</f>
        <v>0</v>
      </c>
      <c r="F85" s="405"/>
      <c r="G85" s="391">
        <f t="shared" si="8"/>
        <v>0</v>
      </c>
      <c r="H85" s="428"/>
      <c r="I85" s="402"/>
      <c r="J85" s="402"/>
      <c r="K85" s="402"/>
      <c r="L85" s="387"/>
      <c r="M85" s="387"/>
      <c r="N85" s="387"/>
      <c r="O85" s="387"/>
      <c r="P85" s="387">
        <f t="shared" si="9"/>
        <v>0</v>
      </c>
      <c r="Q85" s="351"/>
      <c r="R85" s="352"/>
    </row>
    <row r="86" spans="1:18" s="345" customFormat="1" ht="23.25" hidden="1" customHeight="1">
      <c r="A86" s="421" t="s">
        <v>900</v>
      </c>
      <c r="B86" s="420" t="s">
        <v>493</v>
      </c>
      <c r="C86" s="421" t="s">
        <v>760</v>
      </c>
      <c r="D86" s="422" t="s">
        <v>370</v>
      </c>
      <c r="E86" s="405" t="e">
        <f>NC_DKDD!H72/8000</f>
        <v>#VALUE!</v>
      </c>
      <c r="F86" s="405"/>
      <c r="G86" s="391">
        <f t="shared" si="8"/>
        <v>0</v>
      </c>
      <c r="H86" s="428"/>
      <c r="I86" s="402"/>
      <c r="J86" s="402"/>
      <c r="K86" s="402"/>
      <c r="L86" s="387"/>
      <c r="M86" s="387"/>
      <c r="N86" s="387"/>
      <c r="O86" s="387"/>
      <c r="P86" s="387">
        <f t="shared" si="9"/>
        <v>0</v>
      </c>
      <c r="Q86" s="351"/>
      <c r="R86" s="352"/>
    </row>
    <row r="87" spans="1:18" s="345" customFormat="1" ht="23.25" hidden="1" customHeight="1">
      <c r="A87" s="421" t="s">
        <v>901</v>
      </c>
      <c r="B87" s="420" t="s">
        <v>494</v>
      </c>
      <c r="C87" s="421" t="s">
        <v>904</v>
      </c>
      <c r="D87" s="422" t="s">
        <v>370</v>
      </c>
      <c r="E87" s="405" t="e">
        <f>NC_DKDD!H73/8000</f>
        <v>#VALUE!</v>
      </c>
      <c r="F87" s="405"/>
      <c r="G87" s="391">
        <f t="shared" si="8"/>
        <v>0</v>
      </c>
      <c r="H87" s="428"/>
      <c r="I87" s="402"/>
      <c r="J87" s="402"/>
      <c r="K87" s="402"/>
      <c r="L87" s="387"/>
      <c r="M87" s="387"/>
      <c r="N87" s="387"/>
      <c r="O87" s="387"/>
      <c r="P87" s="387">
        <f t="shared" si="9"/>
        <v>0</v>
      </c>
      <c r="Q87" s="351"/>
      <c r="R87" s="352"/>
    </row>
    <row r="88" spans="1:18" s="345" customFormat="1" ht="23.25" hidden="1" customHeight="1">
      <c r="A88" s="421">
        <v>3</v>
      </c>
      <c r="B88" s="420" t="s">
        <v>495</v>
      </c>
      <c r="C88" s="421" t="s">
        <v>904</v>
      </c>
      <c r="D88" s="422" t="s">
        <v>370</v>
      </c>
      <c r="E88" s="405" t="e">
        <f>NC_DKDD!H74/8000</f>
        <v>#VALUE!</v>
      </c>
      <c r="F88" s="405"/>
      <c r="G88" s="391">
        <f t="shared" si="8"/>
        <v>0</v>
      </c>
      <c r="H88" s="428"/>
      <c r="I88" s="402"/>
      <c r="J88" s="402"/>
      <c r="K88" s="402"/>
      <c r="L88" s="387"/>
      <c r="M88" s="387"/>
      <c r="N88" s="387"/>
      <c r="O88" s="387"/>
      <c r="P88" s="387">
        <f t="shared" si="9"/>
        <v>0</v>
      </c>
      <c r="Q88" s="351"/>
      <c r="R88" s="352"/>
    </row>
    <row r="89" spans="1:18" s="345" customFormat="1" ht="23.25" hidden="1" customHeight="1">
      <c r="A89" s="444"/>
      <c r="B89" s="445"/>
      <c r="C89" s="446"/>
      <c r="D89" s="447"/>
      <c r="E89" s="446"/>
      <c r="F89" s="446"/>
      <c r="G89" s="450"/>
      <c r="H89" s="446"/>
      <c r="I89" s="446"/>
      <c r="J89" s="446"/>
      <c r="K89" s="446"/>
      <c r="L89" s="446"/>
      <c r="M89" s="446"/>
      <c r="N89" s="446"/>
      <c r="O89" s="446"/>
      <c r="P89" s="351"/>
      <c r="Q89" s="351"/>
      <c r="R89" s="352"/>
    </row>
    <row r="90" spans="1:18" ht="33" hidden="1" customHeight="1">
      <c r="A90" s="353"/>
      <c r="B90" s="366" t="s">
        <v>282</v>
      </c>
      <c r="C90" s="354"/>
      <c r="D90" s="353"/>
      <c r="E90" s="355"/>
      <c r="F90" s="355"/>
      <c r="G90" s="356"/>
      <c r="H90" s="355"/>
      <c r="I90" s="355"/>
      <c r="J90" s="357"/>
      <c r="K90" s="357"/>
      <c r="L90" s="357"/>
      <c r="M90" s="340"/>
      <c r="N90" s="340"/>
      <c r="O90" s="365"/>
      <c r="P90" s="332"/>
      <c r="Q90" s="332"/>
    </row>
    <row r="91" spans="1:18" ht="40.9" hidden="1" customHeight="1">
      <c r="A91" s="358"/>
      <c r="B91" s="1129" t="s">
        <v>41</v>
      </c>
      <c r="C91" s="1129"/>
      <c r="D91" s="1129"/>
      <c r="E91" s="1129"/>
      <c r="F91" s="1129"/>
      <c r="G91" s="1129"/>
      <c r="H91" s="1129"/>
      <c r="I91" s="1129"/>
      <c r="J91" s="1129"/>
      <c r="K91" s="1129"/>
      <c r="L91" s="1129"/>
      <c r="M91" s="1129"/>
      <c r="N91" s="1129"/>
      <c r="O91" s="1129"/>
      <c r="P91" s="332"/>
      <c r="Q91" s="332"/>
    </row>
    <row r="92" spans="1:18" ht="26.45" hidden="1" customHeight="1">
      <c r="A92" s="358"/>
      <c r="B92" s="1118" t="s">
        <v>902</v>
      </c>
      <c r="C92" s="1118"/>
      <c r="D92" s="1118"/>
      <c r="E92" s="1118"/>
      <c r="F92" s="1118"/>
      <c r="G92" s="1118"/>
      <c r="H92" s="1118"/>
      <c r="I92" s="1118"/>
      <c r="J92" s="1118"/>
      <c r="K92" s="1118"/>
      <c r="L92" s="1118"/>
      <c r="M92" s="1118"/>
      <c r="N92" s="1118"/>
      <c r="O92" s="1118"/>
      <c r="P92" s="332"/>
      <c r="Q92" s="332"/>
    </row>
    <row r="93" spans="1:18" ht="38.25" customHeight="1">
      <c r="A93" s="1160" t="s">
        <v>831</v>
      </c>
      <c r="B93" s="1160"/>
      <c r="C93" s="1160"/>
      <c r="D93" s="1160"/>
      <c r="E93" s="1160"/>
      <c r="F93" s="1160"/>
      <c r="G93" s="1160"/>
      <c r="H93" s="1160"/>
      <c r="I93" s="1160"/>
      <c r="J93" s="1160"/>
      <c r="K93" s="1160"/>
      <c r="L93" s="1160"/>
      <c r="M93" s="1160"/>
      <c r="N93" s="1160"/>
      <c r="O93" s="1160"/>
      <c r="P93" s="1160"/>
      <c r="Q93" s="1160"/>
      <c r="R93" s="1160"/>
    </row>
    <row r="94" spans="1:18" ht="15.75" customHeight="1">
      <c r="A94" s="1113" t="s">
        <v>960</v>
      </c>
      <c r="B94" s="1113"/>
      <c r="C94" s="1113"/>
      <c r="D94" s="1113"/>
      <c r="E94" s="1113"/>
      <c r="F94" s="1113"/>
      <c r="G94" s="1113"/>
      <c r="H94" s="1113"/>
      <c r="I94" s="1113"/>
      <c r="J94" s="1113"/>
      <c r="K94" s="1113"/>
      <c r="L94" s="1113"/>
      <c r="M94" s="1113"/>
      <c r="N94" s="1113"/>
      <c r="O94" s="1113"/>
      <c r="P94" s="1113"/>
      <c r="Q94" s="1028"/>
      <c r="R94" s="1028"/>
    </row>
    <row r="95" spans="1:18" s="345" customFormat="1" ht="15.75">
      <c r="A95" s="337"/>
      <c r="B95" s="363"/>
      <c r="C95" s="338"/>
      <c r="D95" s="339" t="s">
        <v>576</v>
      </c>
      <c r="E95" s="340"/>
      <c r="F95" s="341"/>
      <c r="G95" s="342"/>
      <c r="H95" s="341"/>
      <c r="I95" s="343"/>
      <c r="J95" s="341"/>
      <c r="K95" s="341"/>
      <c r="L95" s="991" t="s">
        <v>980</v>
      </c>
      <c r="M95" s="988"/>
      <c r="N95" s="990"/>
      <c r="O95" s="340"/>
      <c r="P95" s="332"/>
      <c r="Q95" s="332"/>
      <c r="R95" s="332"/>
    </row>
    <row r="96" spans="1:18" s="345" customFormat="1" ht="14.25">
      <c r="A96" s="337"/>
      <c r="B96" s="363"/>
      <c r="C96" s="338"/>
      <c r="D96" s="346"/>
      <c r="E96" s="340"/>
      <c r="F96" s="340"/>
      <c r="G96" s="347"/>
      <c r="H96" s="340"/>
      <c r="I96" s="340"/>
      <c r="J96" s="340"/>
      <c r="K96" s="340"/>
      <c r="L96" s="340"/>
      <c r="M96" s="340"/>
      <c r="N96" s="340"/>
      <c r="O96" s="340"/>
      <c r="P96" s="332"/>
      <c r="Q96" s="332"/>
      <c r="R96" s="332"/>
    </row>
    <row r="97" spans="1:18" s="345" customFormat="1" ht="18" customHeight="1">
      <c r="A97" s="1157" t="s">
        <v>876</v>
      </c>
      <c r="B97" s="1157" t="s">
        <v>381</v>
      </c>
      <c r="C97" s="1161" t="s">
        <v>981</v>
      </c>
      <c r="D97" s="1163" t="s">
        <v>982</v>
      </c>
      <c r="E97" s="1171" t="s">
        <v>466</v>
      </c>
      <c r="F97" s="1172"/>
      <c r="G97" s="1172"/>
      <c r="H97" s="1172"/>
      <c r="I97" s="1172"/>
      <c r="J97" s="1172"/>
      <c r="K97" s="1172"/>
      <c r="L97" s="1173"/>
      <c r="M97" s="1161" t="s">
        <v>581</v>
      </c>
      <c r="N97" s="1161" t="s">
        <v>467</v>
      </c>
      <c r="O97" s="1161" t="s">
        <v>468</v>
      </c>
      <c r="P97" s="348"/>
      <c r="Q97" s="348"/>
      <c r="R97" s="332"/>
    </row>
    <row r="98" spans="1:18" s="345" customFormat="1" ht="36" customHeight="1">
      <c r="A98" s="1159"/>
      <c r="B98" s="1159"/>
      <c r="C98" s="1162"/>
      <c r="D98" s="1164"/>
      <c r="E98" s="349" t="s">
        <v>469</v>
      </c>
      <c r="F98" s="349" t="s">
        <v>470</v>
      </c>
      <c r="G98" s="350" t="s">
        <v>1003</v>
      </c>
      <c r="H98" s="349" t="s">
        <v>59</v>
      </c>
      <c r="I98" s="349" t="s">
        <v>471</v>
      </c>
      <c r="J98" s="349" t="s">
        <v>280</v>
      </c>
      <c r="K98" s="349" t="s">
        <v>472</v>
      </c>
      <c r="L98" s="349" t="s">
        <v>473</v>
      </c>
      <c r="M98" s="1162"/>
      <c r="N98" s="1162"/>
      <c r="O98" s="1162"/>
      <c r="P98" s="348"/>
      <c r="Q98" s="348"/>
      <c r="R98" s="332"/>
    </row>
    <row r="99" spans="1:18" s="345" customFormat="1" ht="37.5" customHeight="1">
      <c r="A99" s="384"/>
      <c r="B99" s="439" t="s">
        <v>43</v>
      </c>
      <c r="C99" s="349"/>
      <c r="D99" s="382"/>
      <c r="E99" s="349"/>
      <c r="F99" s="349"/>
      <c r="G99" s="350"/>
      <c r="H99" s="349"/>
      <c r="I99" s="349"/>
      <c r="J99" s="349"/>
      <c r="K99" s="349"/>
      <c r="L99" s="349"/>
      <c r="M99" s="349"/>
      <c r="N99" s="349"/>
      <c r="O99" s="438"/>
      <c r="P99" s="349"/>
      <c r="Q99" s="348"/>
      <c r="R99" s="332"/>
    </row>
    <row r="100" spans="1:18" s="345" customFormat="1" ht="15.75" customHeight="1">
      <c r="A100" s="384"/>
      <c r="B100" s="384"/>
      <c r="C100" s="349"/>
      <c r="D100" s="382"/>
      <c r="E100" s="349"/>
      <c r="F100" s="349"/>
      <c r="G100" s="350"/>
      <c r="H100" s="349"/>
      <c r="I100" s="349"/>
      <c r="J100" s="349"/>
      <c r="K100" s="349"/>
      <c r="L100" s="349"/>
      <c r="M100" s="349"/>
      <c r="N100" s="349"/>
      <c r="O100" s="438"/>
      <c r="P100" s="349"/>
      <c r="Q100" s="348"/>
      <c r="R100" s="332"/>
    </row>
    <row r="101" spans="1:18" s="345" customFormat="1" ht="24" customHeight="1">
      <c r="A101" s="1156"/>
      <c r="B101" s="1166" t="s">
        <v>451</v>
      </c>
      <c r="C101" s="1124" t="s">
        <v>281</v>
      </c>
      <c r="D101" s="382">
        <v>2</v>
      </c>
      <c r="E101" s="383" t="e">
        <f>E110+E143+E177</f>
        <v>#VALUE!</v>
      </c>
      <c r="F101" s="383">
        <f>F110+F143+F177</f>
        <v>9825</v>
      </c>
      <c r="G101" s="430">
        <f t="shared" ref="G101:N101" si="12">G110+G143+G177</f>
        <v>0</v>
      </c>
      <c r="H101" s="430">
        <f t="shared" si="12"/>
        <v>0.45949192089903845</v>
      </c>
      <c r="I101" s="430">
        <f t="shared" si="12"/>
        <v>0</v>
      </c>
      <c r="J101" s="430">
        <f t="shared" si="12"/>
        <v>0.17974080000000001</v>
      </c>
      <c r="K101" s="430">
        <f t="shared" si="12"/>
        <v>0.42657299999999998</v>
      </c>
      <c r="L101" s="383" t="e">
        <f t="shared" si="12"/>
        <v>#VALUE!</v>
      </c>
      <c r="M101" s="383" t="e">
        <f t="shared" si="12"/>
        <v>#VALUE!</v>
      </c>
      <c r="N101" s="383" t="e">
        <f t="shared" si="12"/>
        <v>#VALUE!</v>
      </c>
      <c r="O101" s="383">
        <v>3933</v>
      </c>
      <c r="P101" s="383">
        <f>P110+P143+P177</f>
        <v>0</v>
      </c>
      <c r="Q101" s="348"/>
      <c r="R101" s="332"/>
    </row>
    <row r="102" spans="1:18" s="345" customFormat="1" ht="24" customHeight="1">
      <c r="A102" s="1156"/>
      <c r="B102" s="1166"/>
      <c r="C102" s="1124"/>
      <c r="D102" s="382">
        <v>3</v>
      </c>
      <c r="E102" s="383" t="e">
        <f>E111+E143+E177</f>
        <v>#VALUE!</v>
      </c>
      <c r="F102" s="383">
        <f>F111+F143+F177</f>
        <v>11790</v>
      </c>
      <c r="G102" s="430">
        <f t="shared" ref="G102:N102" si="13">G111+G143+G177</f>
        <v>0</v>
      </c>
      <c r="H102" s="430">
        <f t="shared" si="13"/>
        <v>0.48473363850961532</v>
      </c>
      <c r="I102" s="430">
        <f t="shared" si="13"/>
        <v>0</v>
      </c>
      <c r="J102" s="430">
        <f t="shared" si="13"/>
        <v>0.17974080000000001</v>
      </c>
      <c r="K102" s="430">
        <f t="shared" si="13"/>
        <v>0.42657299999999998</v>
      </c>
      <c r="L102" s="383" t="e">
        <f t="shared" si="13"/>
        <v>#VALUE!</v>
      </c>
      <c r="M102" s="383" t="e">
        <f t="shared" si="13"/>
        <v>#VALUE!</v>
      </c>
      <c r="N102" s="383" t="e">
        <f t="shared" si="13"/>
        <v>#VALUE!</v>
      </c>
      <c r="O102" s="383">
        <v>4312.5</v>
      </c>
      <c r="P102" s="383">
        <f>P111+P143+P177</f>
        <v>0</v>
      </c>
      <c r="Q102" s="348"/>
      <c r="R102" s="332"/>
    </row>
    <row r="103" spans="1:18" s="345" customFormat="1" ht="24" customHeight="1">
      <c r="A103" s="1156"/>
      <c r="B103" s="1166"/>
      <c r="C103" s="1124"/>
      <c r="D103" s="382">
        <v>4</v>
      </c>
      <c r="E103" s="383" t="e">
        <f>E112+E143+E177</f>
        <v>#VALUE!</v>
      </c>
      <c r="F103" s="383">
        <f>F112+F143+F177</f>
        <v>14148</v>
      </c>
      <c r="G103" s="430">
        <f t="shared" ref="G103:N103" si="14">G112+G143+G177</f>
        <v>0</v>
      </c>
      <c r="H103" s="430">
        <f t="shared" si="14"/>
        <v>0.50997535612019229</v>
      </c>
      <c r="I103" s="430">
        <f t="shared" si="14"/>
        <v>0</v>
      </c>
      <c r="J103" s="430">
        <f t="shared" si="14"/>
        <v>0.17974080000000001</v>
      </c>
      <c r="K103" s="430">
        <f t="shared" si="14"/>
        <v>0.42657299999999998</v>
      </c>
      <c r="L103" s="383" t="e">
        <f t="shared" si="14"/>
        <v>#VALUE!</v>
      </c>
      <c r="M103" s="383" t="e">
        <f t="shared" si="14"/>
        <v>#VALUE!</v>
      </c>
      <c r="N103" s="383" t="e">
        <f t="shared" si="14"/>
        <v>#VALUE!</v>
      </c>
      <c r="O103" s="383">
        <v>4726.5</v>
      </c>
      <c r="P103" s="383">
        <f>P112+P143+P177</f>
        <v>0</v>
      </c>
      <c r="Q103" s="348"/>
      <c r="R103" s="332"/>
    </row>
    <row r="104" spans="1:18" s="345" customFormat="1" ht="24" customHeight="1">
      <c r="A104" s="1156"/>
      <c r="B104" s="1166"/>
      <c r="C104" s="1124"/>
      <c r="D104" s="382">
        <v>5</v>
      </c>
      <c r="E104" s="383" t="e">
        <f>E113+E143+E177</f>
        <v>#VALUE!</v>
      </c>
      <c r="F104" s="383">
        <f>F113+F143+F177</f>
        <v>16977.599999999999</v>
      </c>
      <c r="G104" s="430">
        <f t="shared" ref="G104:N104" si="15">G113+G143+G177</f>
        <v>0</v>
      </c>
      <c r="H104" s="430">
        <f t="shared" si="15"/>
        <v>0.5352170737307691</v>
      </c>
      <c r="I104" s="430">
        <f t="shared" si="15"/>
        <v>0</v>
      </c>
      <c r="J104" s="430">
        <f t="shared" si="15"/>
        <v>0.17974080000000001</v>
      </c>
      <c r="K104" s="430">
        <f t="shared" si="15"/>
        <v>0.42657299999999998</v>
      </c>
      <c r="L104" s="383" t="e">
        <f t="shared" si="15"/>
        <v>#VALUE!</v>
      </c>
      <c r="M104" s="383" t="e">
        <f t="shared" si="15"/>
        <v>#VALUE!</v>
      </c>
      <c r="N104" s="383" t="e">
        <f t="shared" si="15"/>
        <v>#VALUE!</v>
      </c>
      <c r="O104" s="383">
        <v>5185.3500000000904</v>
      </c>
      <c r="P104" s="383">
        <f>P113+P143+P177</f>
        <v>0</v>
      </c>
      <c r="Q104" s="348"/>
      <c r="R104" s="332"/>
    </row>
    <row r="105" spans="1:18" s="345" customFormat="1" ht="24" customHeight="1">
      <c r="A105" s="1156"/>
      <c r="B105" s="1166" t="s">
        <v>452</v>
      </c>
      <c r="C105" s="1124" t="s">
        <v>281</v>
      </c>
      <c r="D105" s="382">
        <v>2</v>
      </c>
      <c r="E105" s="383" t="e">
        <f>E114+E144+E178</f>
        <v>#VALUE!</v>
      </c>
      <c r="F105" s="383">
        <f t="shared" ref="F105:N105" si="16">F114+F144+F178</f>
        <v>9825</v>
      </c>
      <c r="G105" s="383">
        <f t="shared" si="16"/>
        <v>0</v>
      </c>
      <c r="H105" s="383">
        <f t="shared" si="16"/>
        <v>0.45949192089903845</v>
      </c>
      <c r="I105" s="383">
        <f t="shared" si="16"/>
        <v>0</v>
      </c>
      <c r="J105" s="383">
        <f t="shared" si="16"/>
        <v>0.17974080000000001</v>
      </c>
      <c r="K105" s="383">
        <f t="shared" si="16"/>
        <v>0.42657299999999998</v>
      </c>
      <c r="L105" s="383" t="e">
        <f t="shared" si="16"/>
        <v>#VALUE!</v>
      </c>
      <c r="M105" s="383" t="e">
        <f t="shared" si="16"/>
        <v>#VALUE!</v>
      </c>
      <c r="N105" s="383" t="e">
        <f t="shared" si="16"/>
        <v>#VALUE!</v>
      </c>
      <c r="O105" s="383"/>
      <c r="P105" s="383">
        <f>P114+P144+P178</f>
        <v>0</v>
      </c>
      <c r="Q105" s="348"/>
      <c r="R105" s="332"/>
    </row>
    <row r="106" spans="1:18" s="345" customFormat="1" ht="24" customHeight="1">
      <c r="A106" s="1156"/>
      <c r="B106" s="1166"/>
      <c r="C106" s="1124"/>
      <c r="D106" s="382">
        <v>3</v>
      </c>
      <c r="E106" s="383" t="e">
        <f>E115+E144+E178</f>
        <v>#VALUE!</v>
      </c>
      <c r="F106" s="383">
        <f t="shared" ref="F106:N106" si="17">F115+F144+F178</f>
        <v>11790</v>
      </c>
      <c r="G106" s="383">
        <f t="shared" si="17"/>
        <v>0</v>
      </c>
      <c r="H106" s="383">
        <f t="shared" si="17"/>
        <v>0.48473363850961532</v>
      </c>
      <c r="I106" s="383">
        <f t="shared" si="17"/>
        <v>0</v>
      </c>
      <c r="J106" s="383">
        <f t="shared" si="17"/>
        <v>0.17974080000000001</v>
      </c>
      <c r="K106" s="383">
        <f t="shared" si="17"/>
        <v>0.42657299999999998</v>
      </c>
      <c r="L106" s="383" t="e">
        <f t="shared" si="17"/>
        <v>#VALUE!</v>
      </c>
      <c r="M106" s="383" t="e">
        <f t="shared" si="17"/>
        <v>#VALUE!</v>
      </c>
      <c r="N106" s="383" t="e">
        <f t="shared" si="17"/>
        <v>#VALUE!</v>
      </c>
      <c r="O106" s="383"/>
      <c r="P106" s="383">
        <f>P115+P144+P178</f>
        <v>0</v>
      </c>
      <c r="Q106" s="348"/>
      <c r="R106" s="332"/>
    </row>
    <row r="107" spans="1:18" s="345" customFormat="1" ht="24" customHeight="1">
      <c r="A107" s="1156"/>
      <c r="B107" s="1166"/>
      <c r="C107" s="1124"/>
      <c r="D107" s="382">
        <v>4</v>
      </c>
      <c r="E107" s="383" t="e">
        <f>E116+E144+E178</f>
        <v>#VALUE!</v>
      </c>
      <c r="F107" s="383">
        <f t="shared" ref="F107:N107" si="18">F116+F144+F178</f>
        <v>14148</v>
      </c>
      <c r="G107" s="383">
        <f t="shared" si="18"/>
        <v>0</v>
      </c>
      <c r="H107" s="383">
        <f t="shared" si="18"/>
        <v>0.50997535612019229</v>
      </c>
      <c r="I107" s="383">
        <f t="shared" si="18"/>
        <v>0</v>
      </c>
      <c r="J107" s="383">
        <f t="shared" si="18"/>
        <v>0.17974080000000001</v>
      </c>
      <c r="K107" s="383">
        <f t="shared" si="18"/>
        <v>0.42657299999999998</v>
      </c>
      <c r="L107" s="383" t="e">
        <f t="shared" si="18"/>
        <v>#VALUE!</v>
      </c>
      <c r="M107" s="383" t="e">
        <f t="shared" si="18"/>
        <v>#VALUE!</v>
      </c>
      <c r="N107" s="383" t="e">
        <f t="shared" si="18"/>
        <v>#VALUE!</v>
      </c>
      <c r="O107" s="383"/>
      <c r="P107" s="383">
        <f>P116+P144+P178</f>
        <v>0</v>
      </c>
      <c r="Q107" s="348"/>
      <c r="R107" s="332"/>
    </row>
    <row r="108" spans="1:18" s="345" customFormat="1" ht="24" customHeight="1">
      <c r="A108" s="1156"/>
      <c r="B108" s="1166"/>
      <c r="C108" s="1124"/>
      <c r="D108" s="382">
        <v>5</v>
      </c>
      <c r="E108" s="383" t="e">
        <f>E117+E144+E178</f>
        <v>#VALUE!</v>
      </c>
      <c r="F108" s="383">
        <f t="shared" ref="F108:N108" si="19">F117+F144+F178</f>
        <v>16977.599999999999</v>
      </c>
      <c r="G108" s="383">
        <f t="shared" si="19"/>
        <v>0</v>
      </c>
      <c r="H108" s="383">
        <f t="shared" si="19"/>
        <v>0.5352170737307691</v>
      </c>
      <c r="I108" s="383">
        <f t="shared" si="19"/>
        <v>0</v>
      </c>
      <c r="J108" s="383">
        <f t="shared" si="19"/>
        <v>0.17974080000000001</v>
      </c>
      <c r="K108" s="383">
        <f t="shared" si="19"/>
        <v>0.42657299999999998</v>
      </c>
      <c r="L108" s="383" t="e">
        <f t="shared" si="19"/>
        <v>#VALUE!</v>
      </c>
      <c r="M108" s="383" t="e">
        <f t="shared" si="19"/>
        <v>#VALUE!</v>
      </c>
      <c r="N108" s="383" t="e">
        <f t="shared" si="19"/>
        <v>#VALUE!</v>
      </c>
      <c r="O108" s="383"/>
      <c r="P108" s="383">
        <f>P117+P144+P178</f>
        <v>0</v>
      </c>
      <c r="Q108" s="348"/>
      <c r="R108" s="332"/>
    </row>
    <row r="109" spans="1:18" s="345" customFormat="1" ht="24" hidden="1" customHeight="1">
      <c r="A109" s="384" t="s">
        <v>179</v>
      </c>
      <c r="B109" s="385" t="s">
        <v>453</v>
      </c>
      <c r="C109" s="349"/>
      <c r="D109" s="382"/>
      <c r="E109" s="349"/>
      <c r="F109" s="349"/>
      <c r="G109" s="431"/>
      <c r="H109" s="431"/>
      <c r="I109" s="431"/>
      <c r="J109" s="431"/>
      <c r="K109" s="431"/>
      <c r="L109" s="349"/>
      <c r="M109" s="349"/>
      <c r="N109" s="349"/>
      <c r="O109" s="349"/>
      <c r="P109" s="349"/>
      <c r="Q109" s="348"/>
      <c r="R109" s="332"/>
    </row>
    <row r="110" spans="1:18" s="345" customFormat="1" ht="24" hidden="1" customHeight="1">
      <c r="A110" s="1139" t="s">
        <v>665</v>
      </c>
      <c r="B110" s="1167" t="s">
        <v>451</v>
      </c>
      <c r="C110" s="1139" t="s">
        <v>281</v>
      </c>
      <c r="D110" s="386">
        <v>2</v>
      </c>
      <c r="E110" s="387" t="e">
        <f>(E125+E126+E127+E132+E134+E135+E137+E139)*0.3</f>
        <v>#VALUE!</v>
      </c>
      <c r="F110" s="387">
        <f>(F125+F126+F127+F132+F134+F135+F137+F139)*0.3</f>
        <v>9825</v>
      </c>
      <c r="G110" s="402">
        <f>G118+G133</f>
        <v>0</v>
      </c>
      <c r="H110" s="402">
        <f>'Dcu-DKDD'!H64/5000*0.3</f>
        <v>0.22717545849519233</v>
      </c>
      <c r="I110" s="402">
        <f>'VL-DKDD'!F66/5000*0</f>
        <v>0</v>
      </c>
      <c r="J110" s="402">
        <f>'TB-DKDD'!I32/5000*0.3</f>
        <v>5.5848E-3</v>
      </c>
      <c r="K110" s="402">
        <f>'NL-DKDD'!F23/5000*0.3</f>
        <v>1.1655E-2</v>
      </c>
      <c r="L110" s="387" t="e">
        <f t="shared" ref="L110:L117" si="20">SUM(E110:K110)</f>
        <v>#VALUE!</v>
      </c>
      <c r="M110" s="387" t="e">
        <f>L110*'He so chung'!$D$17/100</f>
        <v>#VALUE!</v>
      </c>
      <c r="N110" s="387" t="e">
        <f t="shared" ref="N110:N117" si="21">L110+M110</f>
        <v>#VALUE!</v>
      </c>
      <c r="O110" s="387">
        <v>3795</v>
      </c>
      <c r="P110" s="387">
        <f>P119+P120+P121+P123+P125+P126+P127+P132+P134+P135+P137+P139+P140+P141</f>
        <v>0</v>
      </c>
      <c r="Q110" s="348"/>
      <c r="R110" s="332"/>
    </row>
    <row r="111" spans="1:18" s="345" customFormat="1" ht="24" hidden="1" customHeight="1">
      <c r="A111" s="1139"/>
      <c r="B111" s="1167"/>
      <c r="C111" s="1139"/>
      <c r="D111" s="386">
        <v>3</v>
      </c>
      <c r="E111" s="387" t="e">
        <f>(E125+E126+E128+E132+E134+E135+E137+E139)*0.3</f>
        <v>#VALUE!</v>
      </c>
      <c r="F111" s="387">
        <f>(F125+F126+F128+F132+F134+F135+F137+F139)*0.3</f>
        <v>11790</v>
      </c>
      <c r="G111" s="402">
        <f>G119+G133</f>
        <v>0</v>
      </c>
      <c r="H111" s="402">
        <f>'Dcu-DKDD'!H65/5000*0.3</f>
        <v>0.25241717610576919</v>
      </c>
      <c r="I111" s="402">
        <f>'VL-DKDD'!F66/5000*0</f>
        <v>0</v>
      </c>
      <c r="J111" s="402">
        <f>'TB-DKDD'!I32/5000*0.3</f>
        <v>5.5848E-3</v>
      </c>
      <c r="K111" s="402">
        <f>'NL-DKDD'!F23/5000*0.3</f>
        <v>1.1655E-2</v>
      </c>
      <c r="L111" s="387" t="e">
        <f t="shared" si="20"/>
        <v>#VALUE!</v>
      </c>
      <c r="M111" s="387" t="e">
        <f>L111*'He so chung'!$D$17/100</f>
        <v>#VALUE!</v>
      </c>
      <c r="N111" s="387" t="e">
        <f t="shared" si="21"/>
        <v>#VALUE!</v>
      </c>
      <c r="O111" s="387">
        <v>4174.5</v>
      </c>
      <c r="P111" s="387">
        <f>P119+P120+P121+P123+P125+P126+P128+P132+P134+P135+P137+P139+P140+P141</f>
        <v>0</v>
      </c>
      <c r="Q111" s="348"/>
      <c r="R111" s="332"/>
    </row>
    <row r="112" spans="1:18" s="345" customFormat="1" ht="24" hidden="1" customHeight="1">
      <c r="A112" s="1139"/>
      <c r="B112" s="1167"/>
      <c r="C112" s="1139"/>
      <c r="D112" s="386">
        <v>4</v>
      </c>
      <c r="E112" s="387" t="e">
        <f>(E125+E126+E129+E132+E134+E135+E137+E139)*0.3</f>
        <v>#VALUE!</v>
      </c>
      <c r="F112" s="387">
        <f>(F125+F126+F129+F132+F134+F135+F137+F139)*0.3</f>
        <v>14148</v>
      </c>
      <c r="G112" s="402">
        <f>G120+G133</f>
        <v>0</v>
      </c>
      <c r="H112" s="402">
        <f>'Dcu-DKDD'!H66/5000*0.3</f>
        <v>0.27765889371634617</v>
      </c>
      <c r="I112" s="402">
        <f>'VL-DKDD'!F66/5000*0</f>
        <v>0</v>
      </c>
      <c r="J112" s="402">
        <f>'TB-DKDD'!I32/5000*0.3</f>
        <v>5.5848E-3</v>
      </c>
      <c r="K112" s="402">
        <f>'NL-DKDD'!F23/5000*0.3</f>
        <v>1.1655E-2</v>
      </c>
      <c r="L112" s="387" t="e">
        <f t="shared" si="20"/>
        <v>#VALUE!</v>
      </c>
      <c r="M112" s="387" t="e">
        <f>L112*'He so chung'!$D$17/100</f>
        <v>#VALUE!</v>
      </c>
      <c r="N112" s="387" t="e">
        <f t="shared" si="21"/>
        <v>#VALUE!</v>
      </c>
      <c r="O112" s="387">
        <v>4588.5</v>
      </c>
      <c r="P112" s="387">
        <f>P119+P120+P121+P123+P125+P126+P129+P132+P134+P135+P137+P139+P140+P141</f>
        <v>0</v>
      </c>
      <c r="Q112" s="348"/>
      <c r="R112" s="332"/>
    </row>
    <row r="113" spans="1:18" s="345" customFormat="1" ht="24" hidden="1" customHeight="1">
      <c r="A113" s="1139"/>
      <c r="B113" s="1167"/>
      <c r="C113" s="443"/>
      <c r="D113" s="386">
        <v>5</v>
      </c>
      <c r="E113" s="387" t="e">
        <f>(E125+E126+E130+E132+E134+E135+E137+E139)*0.3</f>
        <v>#VALUE!</v>
      </c>
      <c r="F113" s="387">
        <f>(F125+F126+F130+F132+F134+F135+F137+F139)*0.3</f>
        <v>16977.599999999999</v>
      </c>
      <c r="G113" s="402">
        <f>G121+G133</f>
        <v>0</v>
      </c>
      <c r="H113" s="402">
        <f>'Dcu-DKDD'!H67/5000*0.3</f>
        <v>0.30290061132692303</v>
      </c>
      <c r="I113" s="402">
        <f>'VL-DKDD'!F66/5000*0</f>
        <v>0</v>
      </c>
      <c r="J113" s="402">
        <f>'TB-DKDD'!I32/5000*0.3</f>
        <v>5.5848E-3</v>
      </c>
      <c r="K113" s="402">
        <f>'NL-DKDD'!F23/5000*0.3</f>
        <v>1.1655E-2</v>
      </c>
      <c r="L113" s="387" t="e">
        <f t="shared" si="20"/>
        <v>#VALUE!</v>
      </c>
      <c r="M113" s="387" t="e">
        <f>L113*'He so chung'!$D$17/100</f>
        <v>#VALUE!</v>
      </c>
      <c r="N113" s="387" t="e">
        <f t="shared" si="21"/>
        <v>#VALUE!</v>
      </c>
      <c r="O113" s="387">
        <v>5047.3500000000349</v>
      </c>
      <c r="P113" s="387">
        <f>P119+P120+P121+P123+P125+P126+P130+P132+P134+P135+P137+P139+P140+P141</f>
        <v>0</v>
      </c>
      <c r="Q113" s="348"/>
      <c r="R113" s="332"/>
    </row>
    <row r="114" spans="1:18" s="345" customFormat="1" ht="24" hidden="1" customHeight="1">
      <c r="A114" s="1145" t="s">
        <v>666</v>
      </c>
      <c r="B114" s="1152" t="s">
        <v>452</v>
      </c>
      <c r="C114" s="1145" t="s">
        <v>281</v>
      </c>
      <c r="D114" s="386">
        <v>2</v>
      </c>
      <c r="E114" s="387" t="e">
        <f>(E125+E126+E127+E133+E134+E135+E138+E139)*0.3</f>
        <v>#VALUE!</v>
      </c>
      <c r="F114" s="387">
        <f>(F125+F126+F127+F133+F134+F135+F138+F139)*0.3</f>
        <v>9825</v>
      </c>
      <c r="G114" s="402"/>
      <c r="H114" s="402">
        <f>H110</f>
        <v>0.22717545849519233</v>
      </c>
      <c r="I114" s="402">
        <f t="shared" ref="H114:K117" si="22">I110</f>
        <v>0</v>
      </c>
      <c r="J114" s="402">
        <f t="shared" si="22"/>
        <v>5.5848E-3</v>
      </c>
      <c r="K114" s="402">
        <f t="shared" si="22"/>
        <v>1.1655E-2</v>
      </c>
      <c r="L114" s="387" t="e">
        <f t="shared" si="20"/>
        <v>#VALUE!</v>
      </c>
      <c r="M114" s="387" t="e">
        <f>L114*'He so chung'!$D$17/100</f>
        <v>#VALUE!</v>
      </c>
      <c r="N114" s="387" t="e">
        <f t="shared" si="21"/>
        <v>#VALUE!</v>
      </c>
      <c r="O114" s="387"/>
      <c r="P114" s="387">
        <f>P119+P120+P121+P124+P125+P126+P127+P133+P134+P135+P138+P139+P140+P141</f>
        <v>0</v>
      </c>
      <c r="Q114" s="348"/>
      <c r="R114" s="332"/>
    </row>
    <row r="115" spans="1:18" s="345" customFormat="1" ht="24" hidden="1" customHeight="1">
      <c r="A115" s="1146"/>
      <c r="B115" s="1153"/>
      <c r="C115" s="1146"/>
      <c r="D115" s="386">
        <v>3</v>
      </c>
      <c r="E115" s="387" t="e">
        <f>(E125+E126+E128+E132+E133+E134+E135+E138+E139)*0.3</f>
        <v>#VALUE!</v>
      </c>
      <c r="F115" s="387">
        <f>(F125+F126+F128+F132+F133+F134+F135+F138+F139)*0.3</f>
        <v>11790</v>
      </c>
      <c r="G115" s="402"/>
      <c r="H115" s="402">
        <f t="shared" si="22"/>
        <v>0.25241717610576919</v>
      </c>
      <c r="I115" s="402">
        <f t="shared" si="22"/>
        <v>0</v>
      </c>
      <c r="J115" s="402">
        <f t="shared" si="22"/>
        <v>5.5848E-3</v>
      </c>
      <c r="K115" s="402">
        <f t="shared" si="22"/>
        <v>1.1655E-2</v>
      </c>
      <c r="L115" s="387" t="e">
        <f t="shared" si="20"/>
        <v>#VALUE!</v>
      </c>
      <c r="M115" s="387" t="e">
        <f>L115*'He so chung'!$D$17/100</f>
        <v>#VALUE!</v>
      </c>
      <c r="N115" s="387" t="e">
        <f t="shared" si="21"/>
        <v>#VALUE!</v>
      </c>
      <c r="O115" s="387"/>
      <c r="P115" s="387">
        <f>P119+P120+P121+P124+P125+P126+P128+P133+P134+P135+P138+P139+P140+P141</f>
        <v>0</v>
      </c>
      <c r="Q115" s="348"/>
      <c r="R115" s="332"/>
    </row>
    <row r="116" spans="1:18" s="345" customFormat="1" ht="24" hidden="1" customHeight="1">
      <c r="A116" s="1146"/>
      <c r="B116" s="1153"/>
      <c r="C116" s="1146"/>
      <c r="D116" s="386">
        <v>4</v>
      </c>
      <c r="E116" s="387" t="e">
        <f>(E125+E126+E129+E133+E134+E135+E138+E139)*0.3</f>
        <v>#VALUE!</v>
      </c>
      <c r="F116" s="387">
        <f>(F125+F126+F129+F133+F134+F135+F138+F139)*0.3</f>
        <v>14148</v>
      </c>
      <c r="G116" s="402"/>
      <c r="H116" s="402">
        <f t="shared" si="22"/>
        <v>0.27765889371634617</v>
      </c>
      <c r="I116" s="402">
        <f t="shared" si="22"/>
        <v>0</v>
      </c>
      <c r="J116" s="402">
        <f t="shared" si="22"/>
        <v>5.5848E-3</v>
      </c>
      <c r="K116" s="402">
        <f t="shared" si="22"/>
        <v>1.1655E-2</v>
      </c>
      <c r="L116" s="387" t="e">
        <f t="shared" si="20"/>
        <v>#VALUE!</v>
      </c>
      <c r="M116" s="387" t="e">
        <f>L116*'He so chung'!$D$17/100</f>
        <v>#VALUE!</v>
      </c>
      <c r="N116" s="387" t="e">
        <f t="shared" si="21"/>
        <v>#VALUE!</v>
      </c>
      <c r="O116" s="387"/>
      <c r="P116" s="387">
        <f>P119+P120+P121+P124+P125+P126+P129+P133+P134+P135+P138+P139+P140+P141</f>
        <v>0</v>
      </c>
      <c r="Q116" s="348"/>
      <c r="R116" s="332"/>
    </row>
    <row r="117" spans="1:18" s="345" customFormat="1" ht="24" hidden="1" customHeight="1">
      <c r="A117" s="1147"/>
      <c r="B117" s="1154"/>
      <c r="C117" s="1147"/>
      <c r="D117" s="386">
        <v>5</v>
      </c>
      <c r="E117" s="387" t="e">
        <f>(E125+E126+E130+E133+E134+E135+E138+E139)*0.3</f>
        <v>#VALUE!</v>
      </c>
      <c r="F117" s="387">
        <f>(F125+F126+F130+F133+F134+F135+F138+F139)*0.3</f>
        <v>16977.599999999999</v>
      </c>
      <c r="G117" s="402"/>
      <c r="H117" s="402">
        <f t="shared" si="22"/>
        <v>0.30290061132692303</v>
      </c>
      <c r="I117" s="402">
        <f t="shared" si="22"/>
        <v>0</v>
      </c>
      <c r="J117" s="402">
        <f t="shared" si="22"/>
        <v>5.5848E-3</v>
      </c>
      <c r="K117" s="402">
        <f t="shared" si="22"/>
        <v>1.1655E-2</v>
      </c>
      <c r="L117" s="387" t="e">
        <f t="shared" si="20"/>
        <v>#VALUE!</v>
      </c>
      <c r="M117" s="387" t="e">
        <f>L117*'He so chung'!$D$17/100</f>
        <v>#VALUE!</v>
      </c>
      <c r="N117" s="387" t="e">
        <f t="shared" si="21"/>
        <v>#VALUE!</v>
      </c>
      <c r="O117" s="387"/>
      <c r="P117" s="387">
        <f>P119+P120+P121+P124+P125+P126+P130+P133+P134+P135+P138+P139+P140+P141</f>
        <v>0</v>
      </c>
      <c r="Q117" s="348"/>
      <c r="R117" s="332"/>
    </row>
    <row r="118" spans="1:18" s="345" customFormat="1" ht="24" hidden="1" customHeight="1">
      <c r="A118" s="421">
        <v>1</v>
      </c>
      <c r="B118" s="420" t="s">
        <v>599</v>
      </c>
      <c r="C118" s="421"/>
      <c r="D118" s="433"/>
      <c r="E118" s="389"/>
      <c r="F118" s="389"/>
      <c r="G118" s="389"/>
      <c r="H118" s="389"/>
      <c r="I118" s="389"/>
      <c r="J118" s="389"/>
      <c r="K118" s="389"/>
      <c r="L118" s="404"/>
      <c r="M118" s="404"/>
      <c r="N118" s="404"/>
      <c r="O118" s="404"/>
      <c r="P118" s="389"/>
      <c r="Q118" s="348"/>
      <c r="R118" s="332"/>
    </row>
    <row r="119" spans="1:18" s="345" customFormat="1" ht="24" hidden="1" customHeight="1">
      <c r="A119" s="421" t="s">
        <v>891</v>
      </c>
      <c r="B119" s="420" t="s">
        <v>21</v>
      </c>
      <c r="C119" s="421" t="s">
        <v>281</v>
      </c>
      <c r="D119" s="422" t="s">
        <v>880</v>
      </c>
      <c r="E119" s="389" t="e">
        <f>NC_DKDD!H82/5000*10</f>
        <v>#VALUE!</v>
      </c>
      <c r="F119" s="389">
        <f>NC_DKDD!H83/5000*10</f>
        <v>524</v>
      </c>
      <c r="G119" s="389"/>
      <c r="H119" s="389"/>
      <c r="I119" s="389"/>
      <c r="J119" s="389"/>
      <c r="K119" s="389"/>
      <c r="L119" s="404"/>
      <c r="M119" s="404"/>
      <c r="N119" s="404"/>
      <c r="O119" s="404"/>
      <c r="P119" s="389">
        <f>Q119+R119</f>
        <v>0</v>
      </c>
      <c r="Q119" s="348"/>
      <c r="R119" s="332"/>
    </row>
    <row r="120" spans="1:18" s="345" customFormat="1" ht="24" hidden="1" customHeight="1">
      <c r="A120" s="421" t="s">
        <v>899</v>
      </c>
      <c r="B120" s="420" t="s">
        <v>65</v>
      </c>
      <c r="C120" s="421" t="s">
        <v>488</v>
      </c>
      <c r="D120" s="422" t="s">
        <v>880</v>
      </c>
      <c r="E120" s="389" t="e">
        <f>NC_DKDD!H84/5000</f>
        <v>#VALUE!</v>
      </c>
      <c r="F120" s="389"/>
      <c r="G120" s="389"/>
      <c r="H120" s="389"/>
      <c r="I120" s="389"/>
      <c r="J120" s="389"/>
      <c r="K120" s="389"/>
      <c r="L120" s="404"/>
      <c r="M120" s="404"/>
      <c r="N120" s="404"/>
      <c r="O120" s="404"/>
      <c r="P120" s="389">
        <f>Q120+R120</f>
        <v>0</v>
      </c>
      <c r="Q120" s="348"/>
      <c r="R120" s="332"/>
    </row>
    <row r="121" spans="1:18" s="345" customFormat="1" ht="24" hidden="1" customHeight="1">
      <c r="A121" s="421" t="s">
        <v>892</v>
      </c>
      <c r="B121" s="420" t="s">
        <v>27</v>
      </c>
      <c r="C121" s="421" t="s">
        <v>281</v>
      </c>
      <c r="D121" s="422" t="s">
        <v>880</v>
      </c>
      <c r="E121" s="389" t="e">
        <f>NC_DKDD!H85/5000*10</f>
        <v>#VALUE!</v>
      </c>
      <c r="F121" s="389">
        <f>NC_DKDD!H86/5000*10</f>
        <v>655</v>
      </c>
      <c r="G121" s="389"/>
      <c r="H121" s="389"/>
      <c r="I121" s="389"/>
      <c r="J121" s="389"/>
      <c r="K121" s="389"/>
      <c r="L121" s="404"/>
      <c r="M121" s="404"/>
      <c r="N121" s="404"/>
      <c r="O121" s="404"/>
      <c r="P121" s="389">
        <f>Q121+R121</f>
        <v>0</v>
      </c>
      <c r="Q121" s="348"/>
      <c r="R121" s="332"/>
    </row>
    <row r="122" spans="1:18" s="345" customFormat="1" ht="24" hidden="1" customHeight="1">
      <c r="A122" s="421" t="s">
        <v>30</v>
      </c>
      <c r="B122" s="420" t="s">
        <v>31</v>
      </c>
      <c r="C122" s="421"/>
      <c r="D122" s="421"/>
      <c r="E122" s="390"/>
      <c r="F122" s="390"/>
      <c r="G122" s="391"/>
      <c r="H122" s="390"/>
      <c r="I122" s="390"/>
      <c r="J122" s="390"/>
      <c r="K122" s="390"/>
      <c r="L122" s="404"/>
      <c r="M122" s="404"/>
      <c r="N122" s="404"/>
      <c r="O122" s="404"/>
      <c r="P122" s="389">
        <f>Q122+R122</f>
        <v>0</v>
      </c>
      <c r="Q122" s="348"/>
      <c r="R122" s="332"/>
    </row>
    <row r="123" spans="1:18" s="345" customFormat="1" ht="24" hidden="1" customHeight="1">
      <c r="A123" s="421" t="s">
        <v>32</v>
      </c>
      <c r="B123" s="420" t="s">
        <v>33</v>
      </c>
      <c r="C123" s="421" t="s">
        <v>979</v>
      </c>
      <c r="D123" s="422" t="s">
        <v>880</v>
      </c>
      <c r="E123" s="390" t="e">
        <f>NC_DKDD!H88</f>
        <v>#VALUE!</v>
      </c>
      <c r="F123" s="390"/>
      <c r="G123" s="391"/>
      <c r="H123" s="390"/>
      <c r="I123" s="390"/>
      <c r="J123" s="390"/>
      <c r="K123" s="390"/>
      <c r="L123" s="404"/>
      <c r="M123" s="404"/>
      <c r="N123" s="404"/>
      <c r="O123" s="404"/>
      <c r="P123" s="389">
        <f t="shared" ref="P123:P185" si="23">Q123+R123</f>
        <v>0</v>
      </c>
      <c r="Q123" s="348"/>
      <c r="R123" s="332"/>
    </row>
    <row r="124" spans="1:18" s="345" customFormat="1" ht="24" hidden="1" customHeight="1">
      <c r="A124" s="421" t="s">
        <v>35</v>
      </c>
      <c r="B124" s="420" t="s">
        <v>36</v>
      </c>
      <c r="C124" s="421" t="s">
        <v>979</v>
      </c>
      <c r="D124" s="422" t="s">
        <v>880</v>
      </c>
      <c r="E124" s="390" t="e">
        <f>NC_DKDD!H89</f>
        <v>#VALUE!</v>
      </c>
      <c r="F124" s="390"/>
      <c r="G124" s="391"/>
      <c r="H124" s="390"/>
      <c r="I124" s="390"/>
      <c r="J124" s="390"/>
      <c r="K124" s="390"/>
      <c r="L124" s="404"/>
      <c r="M124" s="404"/>
      <c r="N124" s="404"/>
      <c r="O124" s="404"/>
      <c r="P124" s="389">
        <f t="shared" si="23"/>
        <v>0</v>
      </c>
      <c r="Q124" s="348"/>
      <c r="R124" s="332"/>
    </row>
    <row r="125" spans="1:18" s="345" customFormat="1" ht="24" hidden="1" customHeight="1">
      <c r="A125" s="421">
        <v>2</v>
      </c>
      <c r="B125" s="420" t="s">
        <v>37</v>
      </c>
      <c r="C125" s="421" t="s">
        <v>979</v>
      </c>
      <c r="D125" s="422" t="s">
        <v>880</v>
      </c>
      <c r="E125" s="390" t="e">
        <f>NC_DKDD!H90</f>
        <v>#VALUE!</v>
      </c>
      <c r="F125" s="390"/>
      <c r="G125" s="391"/>
      <c r="H125" s="390"/>
      <c r="I125" s="390"/>
      <c r="J125" s="390"/>
      <c r="K125" s="390"/>
      <c r="L125" s="404"/>
      <c r="M125" s="404"/>
      <c r="N125" s="404"/>
      <c r="O125" s="404"/>
      <c r="P125" s="389">
        <f t="shared" si="23"/>
        <v>0</v>
      </c>
      <c r="Q125" s="348"/>
      <c r="R125" s="332"/>
    </row>
    <row r="126" spans="1:18" s="345" customFormat="1" ht="24" hidden="1" customHeight="1">
      <c r="A126" s="421">
        <v>3</v>
      </c>
      <c r="B126" s="420" t="s">
        <v>38</v>
      </c>
      <c r="C126" s="421" t="s">
        <v>627</v>
      </c>
      <c r="D126" s="422" t="s">
        <v>880</v>
      </c>
      <c r="E126" s="390" t="e">
        <f>NC_DKDD!H91</f>
        <v>#VALUE!</v>
      </c>
      <c r="F126" s="390"/>
      <c r="G126" s="391"/>
      <c r="H126" s="390"/>
      <c r="I126" s="390"/>
      <c r="J126" s="390"/>
      <c r="K126" s="390"/>
      <c r="L126" s="404"/>
      <c r="M126" s="404"/>
      <c r="N126" s="404"/>
      <c r="O126" s="404"/>
      <c r="P126" s="389">
        <f t="shared" si="23"/>
        <v>0</v>
      </c>
      <c r="Q126" s="348"/>
      <c r="R126" s="332"/>
    </row>
    <row r="127" spans="1:18" s="345" customFormat="1" ht="24" hidden="1" customHeight="1">
      <c r="A127" s="1155">
        <v>4</v>
      </c>
      <c r="B127" s="1165" t="s">
        <v>39</v>
      </c>
      <c r="C127" s="1155" t="s">
        <v>979</v>
      </c>
      <c r="D127" s="421">
        <v>2</v>
      </c>
      <c r="E127" s="390" t="e">
        <f>NC_DKDD!H92</f>
        <v>#VALUE!</v>
      </c>
      <c r="F127" s="390">
        <f>NC_DKDD!H93</f>
        <v>32750</v>
      </c>
      <c r="G127" s="391"/>
      <c r="H127" s="390"/>
      <c r="I127" s="390"/>
      <c r="J127" s="390"/>
      <c r="K127" s="390"/>
      <c r="L127" s="404"/>
      <c r="M127" s="404"/>
      <c r="N127" s="404"/>
      <c r="O127" s="404"/>
      <c r="P127" s="389">
        <f t="shared" si="23"/>
        <v>0</v>
      </c>
      <c r="Q127" s="348"/>
      <c r="R127" s="332"/>
    </row>
    <row r="128" spans="1:18" s="345" customFormat="1" ht="24" hidden="1" customHeight="1">
      <c r="A128" s="1155"/>
      <c r="B128" s="1165"/>
      <c r="C128" s="1155"/>
      <c r="D128" s="421">
        <v>3</v>
      </c>
      <c r="E128" s="390" t="e">
        <f>NC_DKDD!H94</f>
        <v>#VALUE!</v>
      </c>
      <c r="F128" s="390">
        <f>NC_DKDD!H95</f>
        <v>39300</v>
      </c>
      <c r="G128" s="391"/>
      <c r="H128" s="390"/>
      <c r="I128" s="390"/>
      <c r="J128" s="390"/>
      <c r="K128" s="390"/>
      <c r="L128" s="404"/>
      <c r="M128" s="404"/>
      <c r="N128" s="404"/>
      <c r="O128" s="404"/>
      <c r="P128" s="389">
        <f t="shared" si="23"/>
        <v>0</v>
      </c>
      <c r="Q128" s="348"/>
      <c r="R128" s="332"/>
    </row>
    <row r="129" spans="1:18" s="345" customFormat="1" ht="24" hidden="1" customHeight="1">
      <c r="A129" s="1155"/>
      <c r="B129" s="1165"/>
      <c r="C129" s="1155"/>
      <c r="D129" s="421">
        <v>4</v>
      </c>
      <c r="E129" s="390" t="e">
        <f>NC_DKDD!H96</f>
        <v>#VALUE!</v>
      </c>
      <c r="F129" s="390">
        <f>NC_DKDD!H97</f>
        <v>47160</v>
      </c>
      <c r="G129" s="391"/>
      <c r="H129" s="390"/>
      <c r="I129" s="390"/>
      <c r="J129" s="390"/>
      <c r="K129" s="390"/>
      <c r="L129" s="404"/>
      <c r="M129" s="404"/>
      <c r="N129" s="404"/>
      <c r="O129" s="404"/>
      <c r="P129" s="389">
        <f t="shared" si="23"/>
        <v>0</v>
      </c>
      <c r="Q129" s="348"/>
      <c r="R129" s="332"/>
    </row>
    <row r="130" spans="1:18" s="345" customFormat="1" ht="24" hidden="1" customHeight="1">
      <c r="A130" s="1155"/>
      <c r="B130" s="1165"/>
      <c r="C130" s="1155"/>
      <c r="D130" s="421">
        <v>5</v>
      </c>
      <c r="E130" s="390" t="e">
        <f>NC_DKDD!H98</f>
        <v>#VALUE!</v>
      </c>
      <c r="F130" s="390">
        <f>NC_DKDD!H99</f>
        <v>56592</v>
      </c>
      <c r="G130" s="391"/>
      <c r="H130" s="390"/>
      <c r="I130" s="390"/>
      <c r="J130" s="390"/>
      <c r="K130" s="390"/>
      <c r="L130" s="404"/>
      <c r="M130" s="404"/>
      <c r="N130" s="404"/>
      <c r="O130" s="404"/>
      <c r="P130" s="389">
        <f t="shared" si="23"/>
        <v>0</v>
      </c>
      <c r="Q130" s="348"/>
      <c r="R130" s="332"/>
    </row>
    <row r="131" spans="1:18" s="345" customFormat="1" ht="24" hidden="1" customHeight="1">
      <c r="A131" s="421">
        <v>5</v>
      </c>
      <c r="B131" s="420" t="s">
        <v>340</v>
      </c>
      <c r="C131" s="421"/>
      <c r="D131" s="421"/>
      <c r="E131" s="390"/>
      <c r="F131" s="390"/>
      <c r="G131" s="391"/>
      <c r="H131" s="390"/>
      <c r="I131" s="390"/>
      <c r="J131" s="390"/>
      <c r="K131" s="390"/>
      <c r="L131" s="404"/>
      <c r="M131" s="404"/>
      <c r="N131" s="404"/>
      <c r="O131" s="404"/>
      <c r="P131" s="389">
        <f t="shared" si="23"/>
        <v>0</v>
      </c>
      <c r="Q131" s="348"/>
      <c r="R131" s="332"/>
    </row>
    <row r="132" spans="1:18" s="345" customFormat="1" ht="24" hidden="1" customHeight="1">
      <c r="A132" s="421" t="s">
        <v>607</v>
      </c>
      <c r="B132" s="420" t="s">
        <v>33</v>
      </c>
      <c r="C132" s="421" t="s">
        <v>979</v>
      </c>
      <c r="D132" s="422" t="s">
        <v>880</v>
      </c>
      <c r="E132" s="390" t="e">
        <f>NC_DKDD!H101</f>
        <v>#VALUE!</v>
      </c>
      <c r="F132" s="390"/>
      <c r="G132" s="391"/>
      <c r="H132" s="390"/>
      <c r="I132" s="390"/>
      <c r="J132" s="390"/>
      <c r="K132" s="390"/>
      <c r="L132" s="404"/>
      <c r="M132" s="404"/>
      <c r="N132" s="404"/>
      <c r="O132" s="404"/>
      <c r="P132" s="389">
        <f t="shared" si="23"/>
        <v>0</v>
      </c>
      <c r="Q132" s="348"/>
      <c r="R132" s="332"/>
    </row>
    <row r="133" spans="1:18" s="345" customFormat="1" ht="24" hidden="1" customHeight="1">
      <c r="A133" s="421" t="s">
        <v>608</v>
      </c>
      <c r="B133" s="420" t="s">
        <v>36</v>
      </c>
      <c r="C133" s="421" t="s">
        <v>979</v>
      </c>
      <c r="D133" s="422" t="s">
        <v>880</v>
      </c>
      <c r="E133" s="390" t="e">
        <f>NC_DKDD!H102</f>
        <v>#VALUE!</v>
      </c>
      <c r="F133" s="389"/>
      <c r="G133" s="391"/>
      <c r="H133" s="389"/>
      <c r="I133" s="389"/>
      <c r="J133" s="389"/>
      <c r="K133" s="389"/>
      <c r="L133" s="404"/>
      <c r="M133" s="404"/>
      <c r="N133" s="404"/>
      <c r="O133" s="404"/>
      <c r="P133" s="389">
        <f t="shared" si="23"/>
        <v>0</v>
      </c>
      <c r="Q133" s="348"/>
      <c r="R133" s="332"/>
    </row>
    <row r="134" spans="1:18" s="345" customFormat="1" ht="24" hidden="1" customHeight="1">
      <c r="A134" s="421">
        <v>6</v>
      </c>
      <c r="B134" s="420" t="s">
        <v>66</v>
      </c>
      <c r="C134" s="421" t="s">
        <v>627</v>
      </c>
      <c r="D134" s="422" t="s">
        <v>880</v>
      </c>
      <c r="E134" s="390" t="e">
        <f>NC_DKDD!H103</f>
        <v>#VALUE!</v>
      </c>
      <c r="F134" s="434"/>
      <c r="G134" s="434"/>
      <c r="H134" s="387"/>
      <c r="I134" s="387"/>
      <c r="J134" s="387"/>
      <c r="K134" s="387"/>
      <c r="L134" s="387"/>
      <c r="M134" s="387"/>
      <c r="N134" s="387"/>
      <c r="O134" s="387"/>
      <c r="P134" s="389">
        <f t="shared" si="23"/>
        <v>0</v>
      </c>
      <c r="Q134" s="348"/>
      <c r="R134" s="332"/>
    </row>
    <row r="135" spans="1:18" s="345" customFormat="1" ht="24" hidden="1" customHeight="1">
      <c r="A135" s="421">
        <v>7</v>
      </c>
      <c r="B135" s="420" t="s">
        <v>855</v>
      </c>
      <c r="C135" s="421" t="s">
        <v>979</v>
      </c>
      <c r="D135" s="422" t="s">
        <v>880</v>
      </c>
      <c r="E135" s="390" t="e">
        <f>NC_DKDD!H104</f>
        <v>#VALUE!</v>
      </c>
      <c r="F135" s="389"/>
      <c r="G135" s="389"/>
      <c r="H135" s="389"/>
      <c r="I135" s="389"/>
      <c r="J135" s="389"/>
      <c r="K135" s="389"/>
      <c r="L135" s="404"/>
      <c r="M135" s="404"/>
      <c r="N135" s="404"/>
      <c r="O135" s="404"/>
      <c r="P135" s="389">
        <f t="shared" si="23"/>
        <v>0</v>
      </c>
      <c r="Q135" s="348"/>
      <c r="R135" s="332"/>
    </row>
    <row r="136" spans="1:18" s="345" customFormat="1" ht="24" hidden="1" customHeight="1">
      <c r="A136" s="421">
        <v>8</v>
      </c>
      <c r="B136" s="420" t="s">
        <v>348</v>
      </c>
      <c r="C136" s="421"/>
      <c r="D136" s="421"/>
      <c r="E136" s="390">
        <f>NC_DKDD!H105</f>
        <v>0</v>
      </c>
      <c r="F136" s="390"/>
      <c r="G136" s="391"/>
      <c r="H136" s="390"/>
      <c r="I136" s="390"/>
      <c r="J136" s="390"/>
      <c r="K136" s="390"/>
      <c r="L136" s="404"/>
      <c r="M136" s="404"/>
      <c r="N136" s="404"/>
      <c r="O136" s="404"/>
      <c r="P136" s="389">
        <f t="shared" si="23"/>
        <v>0</v>
      </c>
      <c r="Q136" s="348"/>
      <c r="R136" s="332"/>
    </row>
    <row r="137" spans="1:18" s="345" customFormat="1" ht="24" hidden="1" customHeight="1">
      <c r="A137" s="421" t="s">
        <v>374</v>
      </c>
      <c r="B137" s="420" t="s">
        <v>33</v>
      </c>
      <c r="C137" s="421" t="s">
        <v>979</v>
      </c>
      <c r="D137" s="422" t="s">
        <v>880</v>
      </c>
      <c r="E137" s="390" t="e">
        <f>NC_DKDD!H106</f>
        <v>#VALUE!</v>
      </c>
      <c r="F137" s="390"/>
      <c r="G137" s="391"/>
      <c r="H137" s="390"/>
      <c r="I137" s="390"/>
      <c r="J137" s="390"/>
      <c r="K137" s="390"/>
      <c r="L137" s="404"/>
      <c r="M137" s="404"/>
      <c r="N137" s="404"/>
      <c r="O137" s="404"/>
      <c r="P137" s="389">
        <f t="shared" si="23"/>
        <v>0</v>
      </c>
      <c r="Q137" s="348"/>
      <c r="R137" s="332"/>
    </row>
    <row r="138" spans="1:18" s="345" customFormat="1" ht="24" hidden="1" customHeight="1">
      <c r="A138" s="421" t="s">
        <v>375</v>
      </c>
      <c r="B138" s="420" t="s">
        <v>36</v>
      </c>
      <c r="C138" s="421" t="s">
        <v>979</v>
      </c>
      <c r="D138" s="422" t="s">
        <v>880</v>
      </c>
      <c r="E138" s="390" t="e">
        <f>NC_DKDD!H107</f>
        <v>#VALUE!</v>
      </c>
      <c r="F138" s="390"/>
      <c r="G138" s="391"/>
      <c r="H138" s="390"/>
      <c r="I138" s="390"/>
      <c r="J138" s="390"/>
      <c r="K138" s="390"/>
      <c r="L138" s="404"/>
      <c r="M138" s="404"/>
      <c r="N138" s="404"/>
      <c r="O138" s="404"/>
      <c r="P138" s="389">
        <f t="shared" si="23"/>
        <v>0</v>
      </c>
      <c r="Q138" s="348"/>
      <c r="R138" s="332"/>
    </row>
    <row r="139" spans="1:18" s="345" customFormat="1" ht="24" hidden="1" customHeight="1">
      <c r="A139" s="421">
        <v>9</v>
      </c>
      <c r="B139" s="420" t="s">
        <v>856</v>
      </c>
      <c r="C139" s="421" t="s">
        <v>979</v>
      </c>
      <c r="D139" s="422" t="s">
        <v>880</v>
      </c>
      <c r="E139" s="390" t="e">
        <f>NC_DKDD!H108</f>
        <v>#VALUE!</v>
      </c>
      <c r="F139" s="435"/>
      <c r="G139" s="389"/>
      <c r="H139" s="389"/>
      <c r="I139" s="389"/>
      <c r="J139" s="389"/>
      <c r="K139" s="389"/>
      <c r="L139" s="404"/>
      <c r="M139" s="404"/>
      <c r="N139" s="404"/>
      <c r="O139" s="404"/>
      <c r="P139" s="389">
        <f t="shared" si="23"/>
        <v>0</v>
      </c>
      <c r="Q139" s="348"/>
      <c r="R139" s="332"/>
    </row>
    <row r="140" spans="1:18" s="345" customFormat="1" ht="41.25" hidden="1" customHeight="1">
      <c r="A140" s="421">
        <v>10</v>
      </c>
      <c r="B140" s="420" t="s">
        <v>67</v>
      </c>
      <c r="C140" s="421" t="s">
        <v>979</v>
      </c>
      <c r="D140" s="422" t="s">
        <v>880</v>
      </c>
      <c r="E140" s="390" t="e">
        <f>NC_DKDD!H109</f>
        <v>#VALUE!</v>
      </c>
      <c r="F140" s="390"/>
      <c r="G140" s="391"/>
      <c r="H140" s="390"/>
      <c r="I140" s="390"/>
      <c r="J140" s="390"/>
      <c r="K140" s="390"/>
      <c r="L140" s="404"/>
      <c r="M140" s="404"/>
      <c r="N140" s="404"/>
      <c r="O140" s="404"/>
      <c r="P140" s="389">
        <f t="shared" si="23"/>
        <v>0</v>
      </c>
      <c r="Q140" s="348"/>
      <c r="R140" s="332"/>
    </row>
    <row r="141" spans="1:18" s="345" customFormat="1" ht="36.75" hidden="1" customHeight="1">
      <c r="A141" s="421">
        <v>11</v>
      </c>
      <c r="B141" s="420" t="s">
        <v>764</v>
      </c>
      <c r="C141" s="421" t="s">
        <v>979</v>
      </c>
      <c r="D141" s="422" t="s">
        <v>880</v>
      </c>
      <c r="E141" s="390" t="e">
        <f>NC_DKDD!H110</f>
        <v>#VALUE!</v>
      </c>
      <c r="F141" s="390"/>
      <c r="G141" s="391"/>
      <c r="H141" s="390"/>
      <c r="I141" s="390"/>
      <c r="J141" s="390"/>
      <c r="K141" s="390"/>
      <c r="L141" s="404"/>
      <c r="M141" s="404"/>
      <c r="N141" s="404"/>
      <c r="O141" s="404"/>
      <c r="P141" s="389">
        <f t="shared" si="23"/>
        <v>0</v>
      </c>
      <c r="Q141" s="348"/>
      <c r="R141" s="332"/>
    </row>
    <row r="142" spans="1:18" s="345" customFormat="1" ht="24" hidden="1" customHeight="1">
      <c r="A142" s="421" t="s">
        <v>184</v>
      </c>
      <c r="B142" s="423" t="s">
        <v>765</v>
      </c>
      <c r="C142" s="421"/>
      <c r="D142" s="422"/>
      <c r="E142" s="390"/>
      <c r="F142" s="390"/>
      <c r="G142" s="391"/>
      <c r="H142" s="390"/>
      <c r="I142" s="390"/>
      <c r="J142" s="390"/>
      <c r="K142" s="390"/>
      <c r="L142" s="404"/>
      <c r="M142" s="404"/>
      <c r="N142" s="404"/>
      <c r="O142" s="404"/>
      <c r="P142" s="389">
        <f t="shared" si="23"/>
        <v>0</v>
      </c>
      <c r="Q142" s="348"/>
      <c r="R142" s="332"/>
    </row>
    <row r="143" spans="1:18" s="345" customFormat="1" ht="24" hidden="1" customHeight="1">
      <c r="A143" s="425" t="s">
        <v>667</v>
      </c>
      <c r="B143" s="423" t="s">
        <v>451</v>
      </c>
      <c r="C143" s="421" t="s">
        <v>979</v>
      </c>
      <c r="D143" s="422" t="s">
        <v>880</v>
      </c>
      <c r="E143" s="436" t="e">
        <f>(E146+E149+E150+E152+E160)*0.3</f>
        <v>#VALUE!</v>
      </c>
      <c r="F143" s="436">
        <f>F146+F148+F149+F150+F152+F156+F158+F160+F161+F163+F165+F166+F167+F170+F171+F172+F173+F174+F175</f>
        <v>0</v>
      </c>
      <c r="G143" s="391"/>
      <c r="H143" s="437">
        <f>'Dcu-DKDD'!J64/5000*0.3</f>
        <v>0.23231646240384612</v>
      </c>
      <c r="I143" s="437">
        <f>'VL-DKDD'!H66/5000*0</f>
        <v>0</v>
      </c>
      <c r="J143" s="437">
        <f>'TB-DKDD'!K32/5000*0.3</f>
        <v>0.17415600000000001</v>
      </c>
      <c r="K143" s="437">
        <f>'NL-DKDD'!H23/5000*0.3</f>
        <v>0.41491799999999995</v>
      </c>
      <c r="L143" s="387" t="e">
        <f>SUM(E143:K143)</f>
        <v>#VALUE!</v>
      </c>
      <c r="M143" s="387" t="e">
        <f>L143*'He so chung'!$D$17/100</f>
        <v>#VALUE!</v>
      </c>
      <c r="N143" s="387" t="e">
        <f>L143+M143</f>
        <v>#VALUE!</v>
      </c>
      <c r="O143" s="404"/>
      <c r="P143" s="389">
        <f t="shared" si="23"/>
        <v>0</v>
      </c>
      <c r="Q143" s="348"/>
      <c r="R143" s="332"/>
    </row>
    <row r="144" spans="1:18" s="345" customFormat="1" ht="24" hidden="1" customHeight="1">
      <c r="A144" s="425" t="s">
        <v>673</v>
      </c>
      <c r="B144" s="423" t="s">
        <v>452</v>
      </c>
      <c r="C144" s="421" t="s">
        <v>979</v>
      </c>
      <c r="D144" s="422" t="s">
        <v>880</v>
      </c>
      <c r="E144" s="436" t="e">
        <f>(E147+E149+E150+E152+E160)*0.3</f>
        <v>#VALUE!</v>
      </c>
      <c r="F144" s="436">
        <f>F147+F148+F149+F150+F152+F155+F159+F160+F161+F163+F165+F166+F167+F170+F171+F172+F173+F174+F175</f>
        <v>0</v>
      </c>
      <c r="G144" s="391"/>
      <c r="H144" s="437">
        <f>H143</f>
        <v>0.23231646240384612</v>
      </c>
      <c r="I144" s="437">
        <f>I143</f>
        <v>0</v>
      </c>
      <c r="J144" s="437">
        <f>J143</f>
        <v>0.17415600000000001</v>
      </c>
      <c r="K144" s="437">
        <f>K143</f>
        <v>0.41491799999999995</v>
      </c>
      <c r="L144" s="387" t="e">
        <f>SUM(E144:K144)</f>
        <v>#VALUE!</v>
      </c>
      <c r="M144" s="387" t="e">
        <f>L144*'He so chung'!$D$17/100</f>
        <v>#VALUE!</v>
      </c>
      <c r="N144" s="387" t="e">
        <f>L144+M144</f>
        <v>#VALUE!</v>
      </c>
      <c r="O144" s="404"/>
      <c r="P144" s="389">
        <f t="shared" si="23"/>
        <v>0</v>
      </c>
      <c r="Q144" s="348"/>
      <c r="R144" s="332"/>
    </row>
    <row r="145" spans="1:18" s="345" customFormat="1" ht="24" hidden="1" customHeight="1">
      <c r="A145" s="421">
        <v>1</v>
      </c>
      <c r="B145" s="420" t="s">
        <v>68</v>
      </c>
      <c r="C145" s="421"/>
      <c r="D145" s="421"/>
      <c r="E145" s="392"/>
      <c r="F145" s="391"/>
      <c r="G145" s="391"/>
      <c r="H145" s="388"/>
      <c r="I145" s="388"/>
      <c r="J145" s="388"/>
      <c r="K145" s="388"/>
      <c r="L145" s="404"/>
      <c r="M145" s="404"/>
      <c r="N145" s="404"/>
      <c r="O145" s="404"/>
      <c r="P145" s="389">
        <f t="shared" si="23"/>
        <v>0</v>
      </c>
      <c r="Q145" s="348"/>
      <c r="R145" s="332"/>
    </row>
    <row r="146" spans="1:18" s="345" customFormat="1" ht="24" hidden="1" customHeight="1">
      <c r="A146" s="421" t="s">
        <v>891</v>
      </c>
      <c r="B146" s="420" t="s">
        <v>33</v>
      </c>
      <c r="C146" s="421" t="s">
        <v>979</v>
      </c>
      <c r="D146" s="422" t="s">
        <v>880</v>
      </c>
      <c r="E146" s="392" t="e">
        <f>NC_DKDD!H113</f>
        <v>#VALUE!</v>
      </c>
      <c r="F146" s="391"/>
      <c r="G146" s="391"/>
      <c r="H146" s="388"/>
      <c r="I146" s="388"/>
      <c r="J146" s="388"/>
      <c r="K146" s="388"/>
      <c r="L146" s="404"/>
      <c r="M146" s="404"/>
      <c r="N146" s="404"/>
      <c r="O146" s="404"/>
      <c r="P146" s="389">
        <f t="shared" si="23"/>
        <v>0</v>
      </c>
      <c r="Q146" s="348"/>
      <c r="R146" s="332"/>
    </row>
    <row r="147" spans="1:18" s="345" customFormat="1" ht="24" hidden="1" customHeight="1">
      <c r="A147" s="421" t="s">
        <v>899</v>
      </c>
      <c r="B147" s="420" t="s">
        <v>36</v>
      </c>
      <c r="C147" s="421" t="s">
        <v>979</v>
      </c>
      <c r="D147" s="422" t="s">
        <v>880</v>
      </c>
      <c r="E147" s="392" t="e">
        <f>NC_DKDD!H114</f>
        <v>#VALUE!</v>
      </c>
      <c r="F147" s="391"/>
      <c r="G147" s="391"/>
      <c r="H147" s="388"/>
      <c r="I147" s="388"/>
      <c r="J147" s="388"/>
      <c r="K147" s="388"/>
      <c r="L147" s="404"/>
      <c r="M147" s="404"/>
      <c r="N147" s="404"/>
      <c r="O147" s="404"/>
      <c r="P147" s="389">
        <f t="shared" si="23"/>
        <v>0</v>
      </c>
      <c r="Q147" s="348"/>
      <c r="R147" s="332"/>
    </row>
    <row r="148" spans="1:18" s="345" customFormat="1" ht="24" hidden="1" customHeight="1">
      <c r="A148" s="421">
        <v>2</v>
      </c>
      <c r="B148" s="420" t="s">
        <v>767</v>
      </c>
      <c r="C148" s="421" t="s">
        <v>979</v>
      </c>
      <c r="D148" s="422" t="s">
        <v>880</v>
      </c>
      <c r="E148" s="392" t="e">
        <f>NC_DKDD!H115</f>
        <v>#VALUE!</v>
      </c>
      <c r="F148" s="391"/>
      <c r="G148" s="391"/>
      <c r="H148" s="388"/>
      <c r="I148" s="388"/>
      <c r="J148" s="388"/>
      <c r="K148" s="388"/>
      <c r="L148" s="404"/>
      <c r="M148" s="404"/>
      <c r="N148" s="404"/>
      <c r="O148" s="404"/>
      <c r="P148" s="389">
        <f t="shared" si="23"/>
        <v>0</v>
      </c>
      <c r="Q148" s="348"/>
      <c r="R148" s="332"/>
    </row>
    <row r="149" spans="1:18" s="345" customFormat="1" ht="28.5" hidden="1" customHeight="1">
      <c r="A149" s="421">
        <v>3</v>
      </c>
      <c r="B149" s="420" t="s">
        <v>768</v>
      </c>
      <c r="C149" s="421" t="s">
        <v>979</v>
      </c>
      <c r="D149" s="422" t="s">
        <v>880</v>
      </c>
      <c r="E149" s="392" t="e">
        <f>NC_DKDD!H116</f>
        <v>#VALUE!</v>
      </c>
      <c r="F149" s="391"/>
      <c r="G149" s="391"/>
      <c r="H149" s="388"/>
      <c r="I149" s="388"/>
      <c r="J149" s="388"/>
      <c r="K149" s="388"/>
      <c r="L149" s="404"/>
      <c r="M149" s="404"/>
      <c r="N149" s="404"/>
      <c r="O149" s="404"/>
      <c r="P149" s="389">
        <f t="shared" si="23"/>
        <v>0</v>
      </c>
      <c r="Q149" s="348"/>
      <c r="R149" s="332"/>
    </row>
    <row r="150" spans="1:18" s="345" customFormat="1" ht="25.5" hidden="1" customHeight="1">
      <c r="A150" s="421">
        <v>4</v>
      </c>
      <c r="B150" s="420" t="s">
        <v>69</v>
      </c>
      <c r="C150" s="421" t="s">
        <v>627</v>
      </c>
      <c r="D150" s="422" t="s">
        <v>880</v>
      </c>
      <c r="E150" s="392" t="e">
        <f>NC_DKDD!H117</f>
        <v>#VALUE!</v>
      </c>
      <c r="F150" s="391"/>
      <c r="G150" s="391"/>
      <c r="H150" s="388"/>
      <c r="I150" s="388"/>
      <c r="J150" s="388"/>
      <c r="K150" s="388"/>
      <c r="L150" s="404"/>
      <c r="M150" s="404"/>
      <c r="N150" s="404"/>
      <c r="O150" s="404"/>
      <c r="P150" s="389">
        <f t="shared" si="23"/>
        <v>0</v>
      </c>
      <c r="Q150" s="348"/>
      <c r="R150" s="332"/>
    </row>
    <row r="151" spans="1:18" s="345" customFormat="1" ht="24" hidden="1" customHeight="1">
      <c r="A151" s="421">
        <v>5</v>
      </c>
      <c r="B151" s="420" t="s">
        <v>660</v>
      </c>
      <c r="C151" s="421"/>
      <c r="D151" s="421"/>
      <c r="E151" s="392">
        <f>NC_DKDD!H118</f>
        <v>0</v>
      </c>
      <c r="F151" s="391"/>
      <c r="G151" s="391"/>
      <c r="H151" s="388"/>
      <c r="I151" s="388"/>
      <c r="J151" s="388"/>
      <c r="K151" s="388"/>
      <c r="L151" s="404"/>
      <c r="M151" s="404"/>
      <c r="N151" s="404"/>
      <c r="O151" s="404"/>
      <c r="P151" s="389">
        <f t="shared" si="23"/>
        <v>0</v>
      </c>
      <c r="Q151" s="348"/>
      <c r="R151" s="332"/>
    </row>
    <row r="152" spans="1:18" s="345" customFormat="1" ht="24" hidden="1" customHeight="1">
      <c r="A152" s="421" t="s">
        <v>607</v>
      </c>
      <c r="B152" s="420" t="s">
        <v>770</v>
      </c>
      <c r="C152" s="421" t="s">
        <v>979</v>
      </c>
      <c r="D152" s="422" t="s">
        <v>880</v>
      </c>
      <c r="E152" s="392" t="e">
        <f>NC_DKDD!H119</f>
        <v>#VALUE!</v>
      </c>
      <c r="F152" s="391"/>
      <c r="G152" s="391"/>
      <c r="H152" s="388"/>
      <c r="I152" s="388"/>
      <c r="J152" s="388"/>
      <c r="K152" s="388"/>
      <c r="L152" s="404"/>
      <c r="M152" s="404"/>
      <c r="N152" s="404"/>
      <c r="O152" s="404"/>
      <c r="P152" s="389">
        <f t="shared" si="23"/>
        <v>0</v>
      </c>
      <c r="Q152" s="348"/>
      <c r="R152" s="332"/>
    </row>
    <row r="153" spans="1:18" s="345" customFormat="1" ht="24" hidden="1" customHeight="1">
      <c r="A153" s="421" t="s">
        <v>608</v>
      </c>
      <c r="B153" s="420" t="s">
        <v>771</v>
      </c>
      <c r="C153" s="421" t="s">
        <v>979</v>
      </c>
      <c r="D153" s="422" t="s">
        <v>880</v>
      </c>
      <c r="E153" s="392" t="e">
        <f>NC_DKDD!H120</f>
        <v>#VALUE!</v>
      </c>
      <c r="F153" s="391"/>
      <c r="G153" s="391"/>
      <c r="H153" s="388"/>
      <c r="I153" s="388"/>
      <c r="J153" s="388"/>
      <c r="K153" s="388"/>
      <c r="L153" s="404"/>
      <c r="M153" s="404"/>
      <c r="N153" s="404"/>
      <c r="O153" s="404"/>
      <c r="P153" s="389">
        <f t="shared" si="23"/>
        <v>0</v>
      </c>
      <c r="Q153" s="348"/>
      <c r="R153" s="332"/>
    </row>
    <row r="154" spans="1:18" s="345" customFormat="1" ht="24" hidden="1" customHeight="1">
      <c r="A154" s="421">
        <v>6</v>
      </c>
      <c r="B154" s="420" t="s">
        <v>772</v>
      </c>
      <c r="C154" s="421"/>
      <c r="D154" s="421"/>
      <c r="E154" s="392">
        <f>NC_DKDD!H121</f>
        <v>0</v>
      </c>
      <c r="F154" s="391"/>
      <c r="G154" s="391"/>
      <c r="H154" s="388"/>
      <c r="I154" s="388"/>
      <c r="J154" s="388"/>
      <c r="K154" s="388"/>
      <c r="L154" s="404"/>
      <c r="M154" s="404"/>
      <c r="N154" s="404"/>
      <c r="O154" s="404"/>
      <c r="P154" s="389">
        <f t="shared" si="23"/>
        <v>0</v>
      </c>
      <c r="Q154" s="348"/>
      <c r="R154" s="332"/>
    </row>
    <row r="155" spans="1:18" s="345" customFormat="1" ht="24" hidden="1" customHeight="1">
      <c r="A155" s="421" t="s">
        <v>444</v>
      </c>
      <c r="B155" s="420" t="s">
        <v>773</v>
      </c>
      <c r="C155" s="421" t="s">
        <v>979</v>
      </c>
      <c r="D155" s="422" t="s">
        <v>880</v>
      </c>
      <c r="E155" s="392" t="e">
        <f>NC_DKDD!H122</f>
        <v>#VALUE!</v>
      </c>
      <c r="F155" s="391"/>
      <c r="G155" s="391"/>
      <c r="H155" s="388"/>
      <c r="I155" s="388"/>
      <c r="J155" s="388"/>
      <c r="K155" s="388"/>
      <c r="L155" s="404"/>
      <c r="M155" s="404"/>
      <c r="N155" s="404"/>
      <c r="O155" s="404"/>
      <c r="P155" s="389">
        <f t="shared" si="23"/>
        <v>0</v>
      </c>
      <c r="Q155" s="348"/>
      <c r="R155" s="332"/>
    </row>
    <row r="156" spans="1:18" s="345" customFormat="1" ht="24" hidden="1" customHeight="1">
      <c r="A156" s="421" t="s">
        <v>445</v>
      </c>
      <c r="B156" s="420" t="s">
        <v>774</v>
      </c>
      <c r="C156" s="421" t="s">
        <v>979</v>
      </c>
      <c r="D156" s="422" t="s">
        <v>880</v>
      </c>
      <c r="E156" s="392" t="e">
        <f>NC_DKDD!H123</f>
        <v>#VALUE!</v>
      </c>
      <c r="F156" s="391"/>
      <c r="G156" s="391"/>
      <c r="H156" s="388"/>
      <c r="I156" s="388"/>
      <c r="J156" s="388"/>
      <c r="K156" s="388"/>
      <c r="L156" s="404"/>
      <c r="M156" s="404"/>
      <c r="N156" s="404"/>
      <c r="O156" s="404"/>
      <c r="P156" s="389">
        <f t="shared" si="23"/>
        <v>0</v>
      </c>
      <c r="Q156" s="348"/>
      <c r="R156" s="332"/>
    </row>
    <row r="157" spans="1:18" s="345" customFormat="1" ht="24" hidden="1" customHeight="1">
      <c r="A157" s="421">
        <v>7</v>
      </c>
      <c r="B157" s="420" t="s">
        <v>775</v>
      </c>
      <c r="C157" s="421"/>
      <c r="D157" s="421"/>
      <c r="E157" s="392">
        <f>NC_DKDD!H124</f>
        <v>0</v>
      </c>
      <c r="F157" s="388"/>
      <c r="G157" s="391"/>
      <c r="H157" s="388"/>
      <c r="I157" s="388"/>
      <c r="J157" s="393"/>
      <c r="K157" s="393"/>
      <c r="L157" s="404"/>
      <c r="M157" s="404"/>
      <c r="N157" s="404"/>
      <c r="O157" s="404"/>
      <c r="P157" s="389">
        <f t="shared" si="23"/>
        <v>0</v>
      </c>
      <c r="Q157" s="348"/>
      <c r="R157" s="332"/>
    </row>
    <row r="158" spans="1:18" s="345" customFormat="1" ht="24" hidden="1" customHeight="1">
      <c r="A158" s="421" t="s">
        <v>872</v>
      </c>
      <c r="B158" s="420" t="s">
        <v>70</v>
      </c>
      <c r="C158" s="421" t="s">
        <v>979</v>
      </c>
      <c r="D158" s="422" t="s">
        <v>880</v>
      </c>
      <c r="E158" s="392" t="e">
        <f>NC_DKDD!H125</f>
        <v>#VALUE!</v>
      </c>
      <c r="F158" s="434"/>
      <c r="G158" s="452"/>
      <c r="H158" s="452"/>
      <c r="I158" s="452"/>
      <c r="J158" s="452"/>
      <c r="K158" s="452"/>
      <c r="L158" s="452"/>
      <c r="M158" s="387"/>
      <c r="N158" s="387"/>
      <c r="O158" s="387"/>
      <c r="P158" s="389">
        <f t="shared" si="23"/>
        <v>0</v>
      </c>
      <c r="Q158" s="348"/>
      <c r="R158" s="332"/>
    </row>
    <row r="159" spans="1:18" s="345" customFormat="1" ht="24" hidden="1" customHeight="1">
      <c r="A159" s="421" t="s">
        <v>873</v>
      </c>
      <c r="B159" s="420" t="s">
        <v>777</v>
      </c>
      <c r="C159" s="421" t="s">
        <v>979</v>
      </c>
      <c r="D159" s="422" t="s">
        <v>880</v>
      </c>
      <c r="E159" s="392" t="e">
        <f>NC_DKDD!H126</f>
        <v>#VALUE!</v>
      </c>
      <c r="F159" s="435"/>
      <c r="G159" s="388"/>
      <c r="H159" s="388"/>
      <c r="I159" s="388"/>
      <c r="J159" s="388"/>
      <c r="K159" s="388"/>
      <c r="L159" s="403"/>
      <c r="M159" s="404"/>
      <c r="N159" s="404"/>
      <c r="O159" s="404"/>
      <c r="P159" s="389">
        <f t="shared" si="23"/>
        <v>0</v>
      </c>
      <c r="Q159" s="348"/>
      <c r="R159" s="332"/>
    </row>
    <row r="160" spans="1:18" s="345" customFormat="1" ht="24" hidden="1" customHeight="1">
      <c r="A160" s="421">
        <v>8</v>
      </c>
      <c r="B160" s="420" t="s">
        <v>211</v>
      </c>
      <c r="C160" s="421" t="s">
        <v>627</v>
      </c>
      <c r="D160" s="422" t="s">
        <v>880</v>
      </c>
      <c r="E160" s="392" t="e">
        <f>NC_DKDD!H127</f>
        <v>#VALUE!</v>
      </c>
      <c r="F160" s="395"/>
      <c r="G160" s="391"/>
      <c r="H160" s="388"/>
      <c r="I160" s="388"/>
      <c r="J160" s="393"/>
      <c r="K160" s="393"/>
      <c r="L160" s="403"/>
      <c r="M160" s="404"/>
      <c r="N160" s="404"/>
      <c r="O160" s="404"/>
      <c r="P160" s="389">
        <f t="shared" si="23"/>
        <v>0</v>
      </c>
      <c r="Q160" s="348"/>
      <c r="R160" s="332"/>
    </row>
    <row r="161" spans="1:18" s="345" customFormat="1" ht="24" hidden="1" customHeight="1">
      <c r="A161" s="421">
        <v>9</v>
      </c>
      <c r="B161" s="420" t="s">
        <v>978</v>
      </c>
      <c r="C161" s="421" t="s">
        <v>212</v>
      </c>
      <c r="D161" s="422" t="s">
        <v>880</v>
      </c>
      <c r="E161" s="392" t="e">
        <f>NC_DKDD!H128</f>
        <v>#VALUE!</v>
      </c>
      <c r="F161" s="395"/>
      <c r="G161" s="391"/>
      <c r="H161" s="388"/>
      <c r="I161" s="388"/>
      <c r="J161" s="393"/>
      <c r="K161" s="393"/>
      <c r="L161" s="403"/>
      <c r="M161" s="404"/>
      <c r="N161" s="404"/>
      <c r="O161" s="404"/>
      <c r="P161" s="389">
        <f t="shared" si="23"/>
        <v>0</v>
      </c>
      <c r="Q161" s="348"/>
      <c r="R161" s="332"/>
    </row>
    <row r="162" spans="1:18" s="345" customFormat="1" ht="24" hidden="1" customHeight="1">
      <c r="A162" s="421">
        <v>10</v>
      </c>
      <c r="B162" s="420" t="s">
        <v>213</v>
      </c>
      <c r="C162" s="421"/>
      <c r="D162" s="421"/>
      <c r="E162" s="392">
        <f>NC_DKDD!H129</f>
        <v>0</v>
      </c>
      <c r="F162" s="395"/>
      <c r="G162" s="391"/>
      <c r="H162" s="388"/>
      <c r="I162" s="388"/>
      <c r="J162" s="393"/>
      <c r="K162" s="393"/>
      <c r="L162" s="403"/>
      <c r="M162" s="404"/>
      <c r="N162" s="404"/>
      <c r="O162" s="404"/>
      <c r="P162" s="389">
        <f t="shared" si="23"/>
        <v>0</v>
      </c>
      <c r="Q162" s="348"/>
      <c r="R162" s="332"/>
    </row>
    <row r="163" spans="1:18" s="345" customFormat="1" ht="24" hidden="1" customHeight="1">
      <c r="A163" s="421" t="s">
        <v>214</v>
      </c>
      <c r="B163" s="420" t="s">
        <v>215</v>
      </c>
      <c r="C163" s="421" t="s">
        <v>320</v>
      </c>
      <c r="D163" s="422" t="s">
        <v>880</v>
      </c>
      <c r="E163" s="392" t="e">
        <f>NC_DKDD!H130</f>
        <v>#VALUE!</v>
      </c>
      <c r="F163" s="395"/>
      <c r="G163" s="391"/>
      <c r="H163" s="388"/>
      <c r="I163" s="388"/>
      <c r="J163" s="393"/>
      <c r="K163" s="393"/>
      <c r="L163" s="403"/>
      <c r="M163" s="404"/>
      <c r="N163" s="404"/>
      <c r="O163" s="404"/>
      <c r="P163" s="389">
        <f t="shared" si="23"/>
        <v>0</v>
      </c>
      <c r="Q163" s="348"/>
      <c r="R163" s="332"/>
    </row>
    <row r="164" spans="1:18" s="345" customFormat="1" ht="24" hidden="1" customHeight="1">
      <c r="A164" s="421" t="s">
        <v>216</v>
      </c>
      <c r="B164" s="420" t="s">
        <v>217</v>
      </c>
      <c r="C164" s="421" t="s">
        <v>320</v>
      </c>
      <c r="D164" s="422" t="s">
        <v>880</v>
      </c>
      <c r="E164" s="392" t="e">
        <f>NC_DKDD!H131</f>
        <v>#VALUE!</v>
      </c>
      <c r="F164" s="395"/>
      <c r="G164" s="391"/>
      <c r="H164" s="388"/>
      <c r="I164" s="388"/>
      <c r="J164" s="393"/>
      <c r="K164" s="393"/>
      <c r="L164" s="403"/>
      <c r="M164" s="404"/>
      <c r="N164" s="404"/>
      <c r="O164" s="404"/>
      <c r="P164" s="389">
        <f t="shared" si="23"/>
        <v>0</v>
      </c>
      <c r="Q164" s="348"/>
      <c r="R164" s="332"/>
    </row>
    <row r="165" spans="1:18" s="345" customFormat="1" ht="24" hidden="1" customHeight="1">
      <c r="A165" s="421">
        <v>11</v>
      </c>
      <c r="B165" s="420" t="s">
        <v>218</v>
      </c>
      <c r="C165" s="421" t="s">
        <v>979</v>
      </c>
      <c r="D165" s="422" t="s">
        <v>880</v>
      </c>
      <c r="E165" s="392" t="e">
        <f>NC_DKDD!H132</f>
        <v>#VALUE!</v>
      </c>
      <c r="F165" s="395"/>
      <c r="G165" s="391"/>
      <c r="H165" s="388"/>
      <c r="I165" s="388"/>
      <c r="J165" s="393"/>
      <c r="K165" s="393"/>
      <c r="L165" s="403"/>
      <c r="M165" s="404"/>
      <c r="N165" s="404"/>
      <c r="O165" s="404"/>
      <c r="P165" s="389">
        <f t="shared" si="23"/>
        <v>0</v>
      </c>
      <c r="Q165" s="348"/>
      <c r="R165" s="332"/>
    </row>
    <row r="166" spans="1:18" s="345" customFormat="1" ht="24" hidden="1" customHeight="1">
      <c r="A166" s="421">
        <v>12</v>
      </c>
      <c r="B166" s="420" t="s">
        <v>219</v>
      </c>
      <c r="C166" s="421" t="s">
        <v>979</v>
      </c>
      <c r="D166" s="422" t="s">
        <v>880</v>
      </c>
      <c r="E166" s="392" t="e">
        <f>NC_DKDD!H133</f>
        <v>#VALUE!</v>
      </c>
      <c r="F166" s="395"/>
      <c r="G166" s="391"/>
      <c r="H166" s="388"/>
      <c r="I166" s="388"/>
      <c r="J166" s="393"/>
      <c r="K166" s="393"/>
      <c r="L166" s="403"/>
      <c r="M166" s="404"/>
      <c r="N166" s="404"/>
      <c r="O166" s="404"/>
      <c r="P166" s="389">
        <f t="shared" si="23"/>
        <v>0</v>
      </c>
      <c r="Q166" s="348"/>
      <c r="R166" s="332"/>
    </row>
    <row r="167" spans="1:18" s="345" customFormat="1" ht="24" hidden="1" customHeight="1">
      <c r="A167" s="421">
        <v>13</v>
      </c>
      <c r="B167" s="420" t="s">
        <v>220</v>
      </c>
      <c r="C167" s="421" t="s">
        <v>627</v>
      </c>
      <c r="D167" s="422" t="s">
        <v>880</v>
      </c>
      <c r="E167" s="392" t="e">
        <f>NC_DKDD!H134</f>
        <v>#VALUE!</v>
      </c>
      <c r="F167" s="396"/>
      <c r="G167" s="397"/>
      <c r="H167" s="396"/>
      <c r="I167" s="396"/>
      <c r="J167" s="394"/>
      <c r="K167" s="394"/>
      <c r="L167" s="394"/>
      <c r="M167" s="394"/>
      <c r="N167" s="394"/>
      <c r="O167" s="394"/>
      <c r="P167" s="389">
        <f t="shared" si="23"/>
        <v>0</v>
      </c>
      <c r="Q167" s="348"/>
      <c r="R167" s="332"/>
    </row>
    <row r="168" spans="1:18" s="345" customFormat="1" ht="24" hidden="1" customHeight="1">
      <c r="A168" s="421">
        <v>14</v>
      </c>
      <c r="B168" s="420" t="s">
        <v>71</v>
      </c>
      <c r="C168" s="421"/>
      <c r="D168" s="421"/>
      <c r="E168" s="392">
        <f>NC_DKDD!H135</f>
        <v>0</v>
      </c>
      <c r="F168" s="396"/>
      <c r="G168" s="397"/>
      <c r="H168" s="396"/>
      <c r="I168" s="396"/>
      <c r="J168" s="394"/>
      <c r="K168" s="394"/>
      <c r="L168" s="394"/>
      <c r="M168" s="394"/>
      <c r="N168" s="394"/>
      <c r="O168" s="394"/>
      <c r="P168" s="389">
        <f t="shared" si="23"/>
        <v>0</v>
      </c>
      <c r="Q168" s="348"/>
      <c r="R168" s="332"/>
    </row>
    <row r="169" spans="1:18" s="345" customFormat="1" ht="24" hidden="1" customHeight="1">
      <c r="A169" s="421" t="s">
        <v>47</v>
      </c>
      <c r="B169" s="420" t="s">
        <v>931</v>
      </c>
      <c r="C169" s="421"/>
      <c r="D169" s="421"/>
      <c r="E169" s="392">
        <f>NC_DKDD!H136</f>
        <v>0</v>
      </c>
      <c r="F169" s="396"/>
      <c r="G169" s="397"/>
      <c r="H169" s="396"/>
      <c r="I169" s="396"/>
      <c r="J169" s="394"/>
      <c r="K169" s="394"/>
      <c r="L169" s="394"/>
      <c r="M169" s="394"/>
      <c r="N169" s="394"/>
      <c r="O169" s="394"/>
      <c r="P169" s="389">
        <f t="shared" si="23"/>
        <v>0</v>
      </c>
      <c r="Q169" s="348"/>
      <c r="R169" s="332"/>
    </row>
    <row r="170" spans="1:18" s="345" customFormat="1" ht="24" hidden="1" customHeight="1">
      <c r="A170" s="421" t="s">
        <v>932</v>
      </c>
      <c r="B170" s="420" t="s">
        <v>933</v>
      </c>
      <c r="C170" s="421" t="s">
        <v>934</v>
      </c>
      <c r="D170" s="422" t="s">
        <v>880</v>
      </c>
      <c r="E170" s="396" t="e">
        <f>NC_DKDD!H137</f>
        <v>#VALUE!</v>
      </c>
      <c r="F170" s="396"/>
      <c r="G170" s="397"/>
      <c r="H170" s="396"/>
      <c r="I170" s="396"/>
      <c r="J170" s="394"/>
      <c r="K170" s="394"/>
      <c r="L170" s="394"/>
      <c r="M170" s="394"/>
      <c r="N170" s="394"/>
      <c r="O170" s="394"/>
      <c r="P170" s="389">
        <f t="shared" si="23"/>
        <v>0</v>
      </c>
      <c r="Q170" s="348"/>
      <c r="R170" s="332"/>
    </row>
    <row r="171" spans="1:18" s="345" customFormat="1" ht="24" hidden="1" customHeight="1">
      <c r="A171" s="421" t="s">
        <v>936</v>
      </c>
      <c r="B171" s="420" t="s">
        <v>937</v>
      </c>
      <c r="C171" s="421" t="s">
        <v>934</v>
      </c>
      <c r="D171" s="422" t="s">
        <v>880</v>
      </c>
      <c r="E171" s="396" t="e">
        <f>NC_DKDD!H138</f>
        <v>#VALUE!</v>
      </c>
      <c r="F171" s="396"/>
      <c r="G171" s="397"/>
      <c r="H171" s="396"/>
      <c r="I171" s="396"/>
      <c r="J171" s="394"/>
      <c r="K171" s="394"/>
      <c r="L171" s="394"/>
      <c r="M171" s="394"/>
      <c r="N171" s="394"/>
      <c r="O171" s="394"/>
      <c r="P171" s="389">
        <f t="shared" si="23"/>
        <v>0</v>
      </c>
      <c r="Q171" s="348"/>
      <c r="R171" s="332"/>
    </row>
    <row r="172" spans="1:18" s="345" customFormat="1" ht="24" hidden="1" customHeight="1">
      <c r="A172" s="421" t="s">
        <v>938</v>
      </c>
      <c r="B172" s="420" t="s">
        <v>48</v>
      </c>
      <c r="C172" s="421" t="s">
        <v>934</v>
      </c>
      <c r="D172" s="422" t="s">
        <v>880</v>
      </c>
      <c r="E172" s="396" t="e">
        <f>NC_DKDD!H139</f>
        <v>#VALUE!</v>
      </c>
      <c r="F172" s="396"/>
      <c r="G172" s="397"/>
      <c r="H172" s="396"/>
      <c r="I172" s="396"/>
      <c r="J172" s="394"/>
      <c r="K172" s="394"/>
      <c r="L172" s="394"/>
      <c r="M172" s="394"/>
      <c r="N172" s="394"/>
      <c r="O172" s="394"/>
      <c r="P172" s="389">
        <f t="shared" si="23"/>
        <v>0</v>
      </c>
      <c r="Q172" s="348"/>
      <c r="R172" s="332"/>
    </row>
    <row r="173" spans="1:18" s="345" customFormat="1" ht="24" hidden="1" customHeight="1">
      <c r="A173" s="421" t="s">
        <v>49</v>
      </c>
      <c r="B173" s="420" t="s">
        <v>50</v>
      </c>
      <c r="C173" s="421" t="s">
        <v>627</v>
      </c>
      <c r="D173" s="422" t="s">
        <v>880</v>
      </c>
      <c r="E173" s="396" t="e">
        <f>NC_DKDD!H140</f>
        <v>#VALUE!</v>
      </c>
      <c r="F173" s="396"/>
      <c r="G173" s="397"/>
      <c r="H173" s="396"/>
      <c r="I173" s="396"/>
      <c r="J173" s="394"/>
      <c r="K173" s="394"/>
      <c r="L173" s="394"/>
      <c r="M173" s="394"/>
      <c r="N173" s="394"/>
      <c r="O173" s="394"/>
      <c r="P173" s="389">
        <f t="shared" si="23"/>
        <v>0</v>
      </c>
      <c r="Q173" s="348"/>
      <c r="R173" s="332"/>
    </row>
    <row r="174" spans="1:18" s="345" customFormat="1" ht="24" hidden="1" customHeight="1">
      <c r="A174" s="421">
        <v>15</v>
      </c>
      <c r="B174" s="420" t="s">
        <v>273</v>
      </c>
      <c r="C174" s="421" t="s">
        <v>979</v>
      </c>
      <c r="D174" s="422" t="s">
        <v>880</v>
      </c>
      <c r="E174" s="396" t="e">
        <f>NC_DKDD!H141</f>
        <v>#VALUE!</v>
      </c>
      <c r="F174" s="396"/>
      <c r="G174" s="397"/>
      <c r="H174" s="396"/>
      <c r="I174" s="396"/>
      <c r="J174" s="394"/>
      <c r="K174" s="394"/>
      <c r="L174" s="394"/>
      <c r="M174" s="394"/>
      <c r="N174" s="394"/>
      <c r="O174" s="394"/>
      <c r="P174" s="389">
        <f t="shared" si="23"/>
        <v>0</v>
      </c>
      <c r="Q174" s="348"/>
      <c r="R174" s="332"/>
    </row>
    <row r="175" spans="1:18" s="345" customFormat="1" ht="24" hidden="1" customHeight="1">
      <c r="A175" s="421">
        <v>16</v>
      </c>
      <c r="B175" s="420" t="s">
        <v>274</v>
      </c>
      <c r="C175" s="421" t="s">
        <v>979</v>
      </c>
      <c r="D175" s="422" t="s">
        <v>880</v>
      </c>
      <c r="E175" s="396" t="e">
        <f>NC_DKDD!H142/5000</f>
        <v>#VALUE!</v>
      </c>
      <c r="F175" s="396"/>
      <c r="G175" s="397"/>
      <c r="H175" s="396"/>
      <c r="I175" s="396"/>
      <c r="J175" s="394"/>
      <c r="K175" s="394"/>
      <c r="L175" s="394"/>
      <c r="M175" s="394"/>
      <c r="N175" s="394"/>
      <c r="O175" s="394"/>
      <c r="P175" s="389">
        <f t="shared" si="23"/>
        <v>0</v>
      </c>
      <c r="Q175" s="348"/>
      <c r="R175" s="332"/>
    </row>
    <row r="176" spans="1:18" s="345" customFormat="1" ht="24" hidden="1" customHeight="1">
      <c r="A176" s="425" t="s">
        <v>913</v>
      </c>
      <c r="B176" s="423" t="s">
        <v>1057</v>
      </c>
      <c r="C176" s="421"/>
      <c r="D176" s="422"/>
      <c r="E176" s="396"/>
      <c r="F176" s="396"/>
      <c r="G176" s="397"/>
      <c r="H176" s="396"/>
      <c r="I176" s="396"/>
      <c r="J176" s="394"/>
      <c r="K176" s="394"/>
      <c r="L176" s="394"/>
      <c r="M176" s="394"/>
      <c r="N176" s="394"/>
      <c r="O176" s="394"/>
      <c r="P176" s="389">
        <f t="shared" si="23"/>
        <v>0</v>
      </c>
      <c r="Q176" s="348"/>
      <c r="R176" s="332"/>
    </row>
    <row r="177" spans="1:18" s="345" customFormat="1" ht="24" hidden="1" customHeight="1">
      <c r="A177" s="425" t="s">
        <v>669</v>
      </c>
      <c r="B177" s="423" t="s">
        <v>451</v>
      </c>
      <c r="C177" s="421" t="s">
        <v>979</v>
      </c>
      <c r="D177" s="422" t="s">
        <v>880</v>
      </c>
      <c r="E177" s="441" t="e">
        <f>(E180+E181+E183+E184)*0.3</f>
        <v>#VALUE!</v>
      </c>
      <c r="F177" s="441">
        <f>(F180+F181+F183+F184)*0.3</f>
        <v>0</v>
      </c>
      <c r="G177" s="397"/>
      <c r="H177" s="442">
        <f>'Dcu-DKDD'!L64/5000*0</f>
        <v>0</v>
      </c>
      <c r="I177" s="442">
        <f>'VL-DKDD'!J66/5000*0</f>
        <v>0</v>
      </c>
      <c r="J177" s="442">
        <f>'TB-DKDD'!M32/5000*0</f>
        <v>0</v>
      </c>
      <c r="K177" s="442">
        <f>'NL-DKDD'!J23/5000*0</f>
        <v>0</v>
      </c>
      <c r="L177" s="387" t="e">
        <f>SUM(E177:K177)</f>
        <v>#VALUE!</v>
      </c>
      <c r="M177" s="387" t="e">
        <f>L177*'He so chung'!$D$17/100</f>
        <v>#VALUE!</v>
      </c>
      <c r="N177" s="387" t="e">
        <f>L177+M177</f>
        <v>#VALUE!</v>
      </c>
      <c r="O177" s="394"/>
      <c r="P177" s="389">
        <f t="shared" si="23"/>
        <v>0</v>
      </c>
      <c r="Q177" s="348"/>
      <c r="R177" s="332"/>
    </row>
    <row r="178" spans="1:18" s="345" customFormat="1" ht="24" hidden="1" customHeight="1">
      <c r="A178" s="425" t="s">
        <v>806</v>
      </c>
      <c r="B178" s="423" t="s">
        <v>452</v>
      </c>
      <c r="C178" s="421" t="s">
        <v>979</v>
      </c>
      <c r="D178" s="422" t="s">
        <v>807</v>
      </c>
      <c r="E178" s="441" t="e">
        <f>(E180+E181+E183+E184)*0.3</f>
        <v>#VALUE!</v>
      </c>
      <c r="F178" s="441">
        <f>(F180+F181+F183+F184)*0.3</f>
        <v>0</v>
      </c>
      <c r="G178" s="397"/>
      <c r="H178" s="442">
        <f>H177</f>
        <v>0</v>
      </c>
      <c r="I178" s="442">
        <f>I177</f>
        <v>0</v>
      </c>
      <c r="J178" s="442">
        <f>J177</f>
        <v>0</v>
      </c>
      <c r="K178" s="442">
        <f>K177</f>
        <v>0</v>
      </c>
      <c r="L178" s="387" t="e">
        <f>SUM(E178:K178)</f>
        <v>#VALUE!</v>
      </c>
      <c r="M178" s="387" t="e">
        <f>L178*'He so chung'!$D$17/100</f>
        <v>#VALUE!</v>
      </c>
      <c r="N178" s="387" t="e">
        <f>L178+M178</f>
        <v>#VALUE!</v>
      </c>
      <c r="O178" s="394"/>
      <c r="P178" s="389">
        <f t="shared" si="23"/>
        <v>0</v>
      </c>
      <c r="Q178" s="348"/>
      <c r="R178" s="332"/>
    </row>
    <row r="179" spans="1:18" s="345" customFormat="1" ht="24" hidden="1" customHeight="1">
      <c r="A179" s="421">
        <v>1</v>
      </c>
      <c r="B179" s="420" t="s">
        <v>279</v>
      </c>
      <c r="C179" s="421"/>
      <c r="D179" s="421"/>
      <c r="E179" s="396"/>
      <c r="F179" s="396"/>
      <c r="G179" s="397"/>
      <c r="H179" s="396"/>
      <c r="I179" s="396"/>
      <c r="J179" s="394"/>
      <c r="K179" s="394"/>
      <c r="L179" s="394"/>
      <c r="M179" s="394"/>
      <c r="N179" s="394"/>
      <c r="O179" s="394"/>
      <c r="P179" s="389">
        <f t="shared" si="23"/>
        <v>0</v>
      </c>
      <c r="Q179" s="348"/>
      <c r="R179" s="332"/>
    </row>
    <row r="180" spans="1:18" s="345" customFormat="1" ht="24" hidden="1" customHeight="1">
      <c r="A180" s="421" t="s">
        <v>891</v>
      </c>
      <c r="B180" s="420" t="s">
        <v>1058</v>
      </c>
      <c r="C180" s="421" t="s">
        <v>979</v>
      </c>
      <c r="D180" s="422" t="s">
        <v>880</v>
      </c>
      <c r="E180" s="396" t="e">
        <f>NC_DKDD!H145/5000</f>
        <v>#VALUE!</v>
      </c>
      <c r="F180" s="396"/>
      <c r="G180" s="397"/>
      <c r="H180" s="396"/>
      <c r="I180" s="396"/>
      <c r="J180" s="394"/>
      <c r="K180" s="394"/>
      <c r="L180" s="394"/>
      <c r="M180" s="394"/>
      <c r="N180" s="394"/>
      <c r="O180" s="394"/>
      <c r="P180" s="389">
        <f t="shared" si="23"/>
        <v>0</v>
      </c>
      <c r="Q180" s="348"/>
      <c r="R180" s="332"/>
    </row>
    <row r="181" spans="1:18" s="345" customFormat="1" ht="24" hidden="1" customHeight="1">
      <c r="A181" s="421" t="s">
        <v>899</v>
      </c>
      <c r="B181" s="420" t="s">
        <v>491</v>
      </c>
      <c r="C181" s="421" t="s">
        <v>627</v>
      </c>
      <c r="D181" s="422" t="s">
        <v>880</v>
      </c>
      <c r="E181" s="396" t="e">
        <f>NC_DKDD!H146</f>
        <v>#VALUE!</v>
      </c>
      <c r="F181" s="396"/>
      <c r="G181" s="397"/>
      <c r="H181" s="396"/>
      <c r="I181" s="396"/>
      <c r="J181" s="394"/>
      <c r="K181" s="394"/>
      <c r="L181" s="394"/>
      <c r="M181" s="394"/>
      <c r="N181" s="394"/>
      <c r="O181" s="394"/>
      <c r="P181" s="389">
        <f t="shared" si="23"/>
        <v>0</v>
      </c>
      <c r="Q181" s="348"/>
      <c r="R181" s="332"/>
    </row>
    <row r="182" spans="1:18" s="345" customFormat="1" ht="24" hidden="1" customHeight="1">
      <c r="A182" s="421">
        <v>2</v>
      </c>
      <c r="B182" s="420" t="s">
        <v>277</v>
      </c>
      <c r="C182" s="421"/>
      <c r="D182" s="421"/>
      <c r="E182" s="396">
        <f>NC_DKDD!H147</f>
        <v>0</v>
      </c>
      <c r="F182" s="396"/>
      <c r="G182" s="397"/>
      <c r="H182" s="396"/>
      <c r="I182" s="396"/>
      <c r="J182" s="394"/>
      <c r="K182" s="394"/>
      <c r="L182" s="394"/>
      <c r="M182" s="394"/>
      <c r="N182" s="394"/>
      <c r="O182" s="394"/>
      <c r="P182" s="389">
        <f t="shared" si="23"/>
        <v>0</v>
      </c>
      <c r="Q182" s="348"/>
      <c r="R182" s="332"/>
    </row>
    <row r="183" spans="1:18" s="345" customFormat="1" ht="24" hidden="1" customHeight="1">
      <c r="A183" s="421" t="s">
        <v>900</v>
      </c>
      <c r="B183" s="420" t="s">
        <v>493</v>
      </c>
      <c r="C183" s="421" t="s">
        <v>760</v>
      </c>
      <c r="D183" s="422" t="s">
        <v>880</v>
      </c>
      <c r="E183" s="396" t="e">
        <f>NC_DKDD!H148</f>
        <v>#VALUE!</v>
      </c>
      <c r="F183" s="396"/>
      <c r="G183" s="397"/>
      <c r="H183" s="396"/>
      <c r="I183" s="396"/>
      <c r="J183" s="394"/>
      <c r="K183" s="394"/>
      <c r="L183" s="394"/>
      <c r="M183" s="394"/>
      <c r="N183" s="394"/>
      <c r="O183" s="394"/>
      <c r="P183" s="389">
        <f t="shared" si="23"/>
        <v>0</v>
      </c>
      <c r="Q183" s="348"/>
      <c r="R183" s="332"/>
    </row>
    <row r="184" spans="1:18" s="345" customFormat="1" ht="24" hidden="1" customHeight="1">
      <c r="A184" s="421" t="s">
        <v>901</v>
      </c>
      <c r="B184" s="420" t="s">
        <v>494</v>
      </c>
      <c r="C184" s="421" t="s">
        <v>979</v>
      </c>
      <c r="D184" s="422" t="s">
        <v>880</v>
      </c>
      <c r="E184" s="396" t="e">
        <f>NC_DKDD!H149/5000</f>
        <v>#VALUE!</v>
      </c>
      <c r="F184" s="396"/>
      <c r="G184" s="397"/>
      <c r="H184" s="396"/>
      <c r="I184" s="396"/>
      <c r="J184" s="394"/>
      <c r="K184" s="394"/>
      <c r="L184" s="394"/>
      <c r="M184" s="394"/>
      <c r="N184" s="394"/>
      <c r="O184" s="394"/>
      <c r="P184" s="389">
        <f t="shared" si="23"/>
        <v>0</v>
      </c>
      <c r="Q184" s="348"/>
      <c r="R184" s="332"/>
    </row>
    <row r="185" spans="1:18" s="345" customFormat="1" ht="24" hidden="1" customHeight="1">
      <c r="A185" s="421">
        <v>3</v>
      </c>
      <c r="B185" s="420" t="s">
        <v>278</v>
      </c>
      <c r="C185" s="421" t="s">
        <v>979</v>
      </c>
      <c r="D185" s="422" t="s">
        <v>880</v>
      </c>
      <c r="E185" s="396" t="e">
        <f>NC_DKDD!H150/5000</f>
        <v>#VALUE!</v>
      </c>
      <c r="F185" s="396"/>
      <c r="G185" s="397"/>
      <c r="H185" s="396"/>
      <c r="I185" s="396"/>
      <c r="J185" s="394"/>
      <c r="K185" s="394"/>
      <c r="L185" s="394"/>
      <c r="M185" s="394"/>
      <c r="N185" s="394"/>
      <c r="O185" s="394"/>
      <c r="P185" s="389">
        <f t="shared" si="23"/>
        <v>0</v>
      </c>
      <c r="Q185" s="348"/>
      <c r="R185" s="332"/>
    </row>
    <row r="186" spans="1:18" ht="18" hidden="1" customHeight="1">
      <c r="A186" s="353"/>
      <c r="B186" s="333"/>
      <c r="C186" s="354"/>
      <c r="D186" s="364"/>
      <c r="E186" s="355"/>
      <c r="F186" s="355"/>
      <c r="G186" s="356"/>
      <c r="H186" s="355"/>
      <c r="I186" s="355"/>
      <c r="J186" s="357"/>
      <c r="K186" s="357"/>
      <c r="L186" s="357"/>
      <c r="M186" s="357"/>
      <c r="N186" s="357"/>
      <c r="O186" s="365"/>
      <c r="P186" s="332"/>
      <c r="Q186" s="332"/>
    </row>
    <row r="187" spans="1:18" ht="21" hidden="1" customHeight="1">
      <c r="A187" s="353"/>
      <c r="B187" s="366" t="s">
        <v>282</v>
      </c>
      <c r="C187" s="354"/>
      <c r="D187" s="353"/>
      <c r="E187" s="355"/>
      <c r="F187" s="355"/>
      <c r="G187" s="356"/>
      <c r="H187" s="355"/>
      <c r="I187" s="355"/>
      <c r="J187" s="357"/>
      <c r="K187" s="357"/>
      <c r="L187" s="357"/>
      <c r="M187" s="340"/>
      <c r="N187" s="340"/>
      <c r="O187" s="365"/>
      <c r="P187" s="332"/>
      <c r="Q187" s="332"/>
    </row>
    <row r="188" spans="1:18" ht="33" hidden="1" customHeight="1">
      <c r="A188" s="358"/>
      <c r="B188" s="1129" t="s">
        <v>41</v>
      </c>
      <c r="C188" s="1129"/>
      <c r="D188" s="1129"/>
      <c r="E188" s="1129"/>
      <c r="F188" s="1129"/>
      <c r="G188" s="1129"/>
      <c r="H188" s="1129"/>
      <c r="I188" s="1129"/>
      <c r="J188" s="1129"/>
      <c r="K188" s="1129"/>
      <c r="L188" s="1129"/>
      <c r="M188" s="1129"/>
      <c r="N188" s="1129"/>
      <c r="O188" s="1129"/>
      <c r="P188" s="332"/>
      <c r="Q188" s="332"/>
    </row>
    <row r="189" spans="1:18" ht="37.15" hidden="1" customHeight="1">
      <c r="A189" s="358"/>
      <c r="B189" s="1118" t="s">
        <v>902</v>
      </c>
      <c r="C189" s="1118"/>
      <c r="D189" s="1118"/>
      <c r="E189" s="1118"/>
      <c r="F189" s="1118"/>
      <c r="G189" s="1118"/>
      <c r="H189" s="1118"/>
      <c r="I189" s="1118"/>
      <c r="J189" s="1118"/>
      <c r="K189" s="1118"/>
      <c r="L189" s="1118"/>
      <c r="M189" s="1118"/>
      <c r="N189" s="1118"/>
      <c r="O189" s="1118"/>
      <c r="P189" s="332"/>
      <c r="Q189" s="332"/>
    </row>
    <row r="190" spans="1:18" hidden="1"/>
    <row r="191" spans="1:18" hidden="1"/>
    <row r="192" spans="1:18" hidden="1"/>
    <row r="193" hidden="1"/>
    <row r="194" hidden="1"/>
    <row r="195" hidden="1"/>
  </sheetData>
  <mergeCells count="55">
    <mergeCell ref="B188:O188"/>
    <mergeCell ref="E97:L97"/>
    <mergeCell ref="A2:R2"/>
    <mergeCell ref="O97:O98"/>
    <mergeCell ref="C105:C108"/>
    <mergeCell ref="A110:A113"/>
    <mergeCell ref="B91:O91"/>
    <mergeCell ref="B92:O92"/>
    <mergeCell ref="A1:O1"/>
    <mergeCell ref="A6:A7"/>
    <mergeCell ref="B6:B7"/>
    <mergeCell ref="C6:C7"/>
    <mergeCell ref="O6:O7"/>
    <mergeCell ref="E6:L6"/>
    <mergeCell ref="D6:D7"/>
    <mergeCell ref="M6:M7"/>
    <mergeCell ref="N6:N7"/>
    <mergeCell ref="B189:O189"/>
    <mergeCell ref="A97:A98"/>
    <mergeCell ref="B114:B117"/>
    <mergeCell ref="C114:C117"/>
    <mergeCell ref="B110:B113"/>
    <mergeCell ref="C110:C112"/>
    <mergeCell ref="A114:A117"/>
    <mergeCell ref="A101:A104"/>
    <mergeCell ref="B101:B104"/>
    <mergeCell ref="C101:C104"/>
    <mergeCell ref="B31:B33"/>
    <mergeCell ref="A127:A130"/>
    <mergeCell ref="B127:B130"/>
    <mergeCell ref="C127:C130"/>
    <mergeCell ref="A105:A108"/>
    <mergeCell ref="B105:B108"/>
    <mergeCell ref="B97:B98"/>
    <mergeCell ref="C97:C98"/>
    <mergeCell ref="A16:A18"/>
    <mergeCell ref="A93:R93"/>
    <mergeCell ref="M97:M98"/>
    <mergeCell ref="D97:D98"/>
    <mergeCell ref="N97:N98"/>
    <mergeCell ref="C16:C18"/>
    <mergeCell ref="A19:A21"/>
    <mergeCell ref="B19:B21"/>
    <mergeCell ref="C19:C21"/>
    <mergeCell ref="A31:A33"/>
    <mergeCell ref="B16:B18"/>
    <mergeCell ref="C31:C33"/>
    <mergeCell ref="A3:P3"/>
    <mergeCell ref="A94:P94"/>
    <mergeCell ref="A9:A11"/>
    <mergeCell ref="B9:B11"/>
    <mergeCell ref="C9:C11"/>
    <mergeCell ref="A12:A14"/>
    <mergeCell ref="B12:B14"/>
    <mergeCell ref="C12:C14"/>
  </mergeCells>
  <phoneticPr fontId="45" type="noConversion"/>
  <printOptions horizontalCentered="1"/>
  <pageMargins left="0.65055118110236199" right="0.65055118110236199" top="0.78740157480314998" bottom="0.64" header="0.31496062992126" footer="0.39370078740157499"/>
  <pageSetup paperSize="9" scale="80" firstPageNumber="162" fitToHeight="0" orientation="landscape" useFirstPageNumber="1" r:id="rId1"/>
  <headerFooter alignWithMargins="0">
    <oddFooter>&amp;C&amp;P</oddFooter>
  </headerFooter>
  <rowBreaks count="3" manualBreakCount="3">
    <brk id="89" max="16383" man="1"/>
    <brk id="92" max="16383" man="1"/>
    <brk id="186"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K460"/>
  <sheetViews>
    <sheetView showZeros="0" topLeftCell="A25" zoomScale="75" zoomScaleNormal="85" workbookViewId="0">
      <selection activeCell="I33" sqref="I33"/>
    </sheetView>
  </sheetViews>
  <sheetFormatPr defaultRowHeight="15"/>
  <cols>
    <col min="1" max="1" width="6.88671875" style="1005" customWidth="1"/>
    <col min="2" max="2" width="56.77734375" style="1006" customWidth="1"/>
    <col min="3" max="3" width="7.33203125" style="1007" customWidth="1"/>
    <col min="4" max="4" width="6.33203125" style="1008" customWidth="1"/>
    <col min="5" max="5" width="8" style="975" customWidth="1"/>
    <col min="6" max="6" width="7.44140625" style="975" customWidth="1"/>
    <col min="7" max="7" width="8.33203125" style="994" hidden="1" customWidth="1"/>
    <col min="8" max="8" width="6.6640625" style="975" customWidth="1"/>
    <col min="9" max="9" width="6.77734375" style="975" customWidth="1"/>
    <col min="10" max="11" width="7" style="975" customWidth="1"/>
    <col min="12" max="12" width="9" style="975" customWidth="1"/>
    <col min="13" max="13" width="8.44140625" style="975" customWidth="1"/>
    <col min="14" max="14" width="9.77734375" style="975" customWidth="1"/>
    <col min="15" max="15" width="11.77734375" style="975" customWidth="1"/>
    <col min="16" max="16" width="8.5546875" style="975" customWidth="1"/>
    <col min="17" max="21" width="0" style="982" hidden="1" customWidth="1"/>
    <col min="22" max="37" width="8.88671875" style="982"/>
    <col min="38" max="16384" width="8.88671875" style="983"/>
  </cols>
  <sheetData>
    <row r="1" spans="1:37" ht="6" customHeight="1">
      <c r="A1" s="1177"/>
      <c r="B1" s="1177"/>
      <c r="C1" s="1177"/>
      <c r="D1" s="1177"/>
      <c r="E1" s="1177"/>
      <c r="F1" s="1177"/>
      <c r="G1" s="1177"/>
      <c r="H1" s="1177"/>
      <c r="I1" s="1177"/>
      <c r="J1" s="1177"/>
      <c r="K1" s="1177"/>
      <c r="L1" s="1177"/>
      <c r="M1" s="1177"/>
      <c r="N1" s="1177"/>
      <c r="O1" s="1177"/>
      <c r="P1" s="1177"/>
      <c r="Q1" s="980" t="s">
        <v>790</v>
      </c>
      <c r="R1" s="981">
        <v>0</v>
      </c>
    </row>
    <row r="2" spans="1:37" ht="22.9" customHeight="1">
      <c r="A2" s="1114" t="s">
        <v>1013</v>
      </c>
      <c r="B2" s="1114"/>
      <c r="C2" s="1114"/>
      <c r="D2" s="1114"/>
      <c r="E2" s="1114"/>
      <c r="F2" s="1114"/>
      <c r="G2" s="1114"/>
      <c r="H2" s="1114"/>
      <c r="I2" s="1114"/>
      <c r="J2" s="1114"/>
      <c r="K2" s="1114"/>
      <c r="L2" s="1114"/>
      <c r="M2" s="1114"/>
      <c r="N2" s="1114"/>
      <c r="O2" s="1114"/>
      <c r="P2" s="1114"/>
    </row>
    <row r="3" spans="1:37" ht="18.75" customHeight="1">
      <c r="A3" s="1113" t="s">
        <v>960</v>
      </c>
      <c r="B3" s="1113"/>
      <c r="C3" s="1113"/>
      <c r="D3" s="1113"/>
      <c r="E3" s="1113"/>
      <c r="F3" s="1113"/>
      <c r="G3" s="1113"/>
      <c r="H3" s="1113"/>
      <c r="I3" s="1113"/>
      <c r="J3" s="1113"/>
      <c r="K3" s="1113"/>
      <c r="L3" s="1113"/>
      <c r="M3" s="1113"/>
      <c r="N3" s="1113"/>
      <c r="O3" s="1113"/>
      <c r="P3" s="1113"/>
    </row>
    <row r="4" spans="1:37" s="992" customFormat="1" ht="22.5" customHeight="1">
      <c r="A4" s="984"/>
      <c r="B4" s="985"/>
      <c r="C4" s="986"/>
      <c r="D4" s="987" t="s">
        <v>576</v>
      </c>
      <c r="E4" s="975"/>
      <c r="F4" s="988"/>
      <c r="G4" s="989"/>
      <c r="H4" s="988"/>
      <c r="I4" s="990"/>
      <c r="J4" s="988"/>
      <c r="K4" s="988"/>
      <c r="L4" s="991" t="s">
        <v>980</v>
      </c>
      <c r="M4" s="988"/>
      <c r="N4" s="990"/>
      <c r="O4" s="990"/>
      <c r="P4" s="975"/>
      <c r="Q4" s="982"/>
      <c r="R4" s="982"/>
      <c r="S4" s="982"/>
      <c r="T4" s="982"/>
      <c r="U4" s="982"/>
      <c r="V4" s="982"/>
      <c r="W4" s="982"/>
      <c r="X4" s="982"/>
      <c r="Y4" s="982"/>
      <c r="Z4" s="982"/>
      <c r="AA4" s="982"/>
      <c r="AB4" s="982"/>
      <c r="AC4" s="982"/>
      <c r="AD4" s="982"/>
      <c r="AE4" s="982"/>
      <c r="AF4" s="982"/>
      <c r="AG4" s="982"/>
      <c r="AH4" s="982"/>
      <c r="AI4" s="982"/>
      <c r="AJ4" s="982"/>
      <c r="AK4" s="982"/>
    </row>
    <row r="5" spans="1:37" s="992" customFormat="1" ht="7.5" customHeight="1">
      <c r="A5" s="984"/>
      <c r="B5" s="985"/>
      <c r="C5" s="986"/>
      <c r="D5" s="993"/>
      <c r="E5" s="975"/>
      <c r="F5" s="975"/>
      <c r="G5" s="994"/>
      <c r="H5" s="975"/>
      <c r="I5" s="975"/>
      <c r="J5" s="975"/>
      <c r="K5" s="975"/>
      <c r="L5" s="975"/>
      <c r="M5" s="975"/>
      <c r="N5" s="975"/>
      <c r="O5" s="975"/>
      <c r="P5" s="975"/>
      <c r="Q5" s="982"/>
      <c r="R5" s="982"/>
      <c r="S5" s="982"/>
      <c r="T5" s="982"/>
      <c r="U5" s="982"/>
      <c r="V5" s="982"/>
      <c r="W5" s="982"/>
      <c r="X5" s="982"/>
      <c r="Y5" s="982"/>
      <c r="Z5" s="982"/>
      <c r="AA5" s="982"/>
      <c r="AB5" s="982"/>
      <c r="AC5" s="982"/>
      <c r="AD5" s="982"/>
      <c r="AE5" s="982"/>
      <c r="AF5" s="982"/>
      <c r="AG5" s="982"/>
      <c r="AH5" s="982"/>
      <c r="AI5" s="982"/>
      <c r="AJ5" s="982"/>
      <c r="AK5" s="982"/>
    </row>
    <row r="6" spans="1:37" s="841" customFormat="1" ht="23.25" customHeight="1">
      <c r="A6" s="1112" t="s">
        <v>876</v>
      </c>
      <c r="B6" s="1112" t="s">
        <v>381</v>
      </c>
      <c r="C6" s="1124" t="s">
        <v>981</v>
      </c>
      <c r="D6" s="1124" t="s">
        <v>982</v>
      </c>
      <c r="E6" s="1124" t="s">
        <v>466</v>
      </c>
      <c r="F6" s="1124"/>
      <c r="G6" s="1124"/>
      <c r="H6" s="1124"/>
      <c r="I6" s="1124"/>
      <c r="J6" s="1124"/>
      <c r="K6" s="1124"/>
      <c r="L6" s="1124"/>
      <c r="M6" s="1124" t="s">
        <v>581</v>
      </c>
      <c r="N6" s="1124" t="s">
        <v>467</v>
      </c>
      <c r="O6" s="1124" t="s">
        <v>657</v>
      </c>
      <c r="P6" s="1124" t="s">
        <v>468</v>
      </c>
      <c r="Q6" s="839"/>
      <c r="R6" s="839"/>
      <c r="S6" s="840"/>
      <c r="T6" s="1124" t="s">
        <v>536</v>
      </c>
      <c r="U6" s="1124" t="s">
        <v>657</v>
      </c>
      <c r="V6" s="840"/>
      <c r="W6" s="840"/>
      <c r="X6" s="840"/>
      <c r="Y6" s="840"/>
      <c r="Z6" s="840"/>
      <c r="AA6" s="840"/>
      <c r="AB6" s="840"/>
      <c r="AC6" s="840"/>
      <c r="AD6" s="840"/>
      <c r="AE6" s="840"/>
      <c r="AF6" s="840"/>
      <c r="AG6" s="840"/>
      <c r="AH6" s="840"/>
      <c r="AI6" s="840"/>
      <c r="AJ6" s="840"/>
      <c r="AK6" s="840"/>
    </row>
    <row r="7" spans="1:37" s="841" customFormat="1" ht="52.5" customHeight="1">
      <c r="A7" s="1112"/>
      <c r="B7" s="1112"/>
      <c r="C7" s="1124"/>
      <c r="D7" s="1124"/>
      <c r="E7" s="382" t="s">
        <v>469</v>
      </c>
      <c r="F7" s="382" t="s">
        <v>470</v>
      </c>
      <c r="G7" s="837" t="s">
        <v>1003</v>
      </c>
      <c r="H7" s="382" t="s">
        <v>59</v>
      </c>
      <c r="I7" s="382" t="s">
        <v>471</v>
      </c>
      <c r="J7" s="382" t="s">
        <v>280</v>
      </c>
      <c r="K7" s="382" t="s">
        <v>472</v>
      </c>
      <c r="L7" s="382" t="s">
        <v>473</v>
      </c>
      <c r="M7" s="1124"/>
      <c r="N7" s="1124"/>
      <c r="O7" s="1124"/>
      <c r="P7" s="1124"/>
      <c r="Q7" s="839"/>
      <c r="R7" s="839"/>
      <c r="S7" s="840"/>
      <c r="T7" s="1124"/>
      <c r="U7" s="1124"/>
      <c r="V7" s="840"/>
      <c r="W7" s="840"/>
      <c r="X7" s="840"/>
      <c r="Y7" s="840"/>
      <c r="Z7" s="840"/>
      <c r="AA7" s="840"/>
      <c r="AB7" s="840"/>
      <c r="AC7" s="840"/>
      <c r="AD7" s="840"/>
      <c r="AE7" s="840"/>
      <c r="AF7" s="840"/>
      <c r="AG7" s="840"/>
      <c r="AH7" s="840"/>
      <c r="AI7" s="840"/>
      <c r="AJ7" s="840"/>
      <c r="AK7" s="840"/>
    </row>
    <row r="8" spans="1:37" s="841" customFormat="1" ht="36" customHeight="1">
      <c r="A8" s="831"/>
      <c r="B8" s="838" t="s">
        <v>42</v>
      </c>
      <c r="C8" s="382"/>
      <c r="D8" s="382"/>
      <c r="E8" s="382"/>
      <c r="F8" s="382"/>
      <c r="G8" s="837"/>
      <c r="H8" s="382"/>
      <c r="I8" s="382"/>
      <c r="J8" s="382"/>
      <c r="K8" s="382"/>
      <c r="L8" s="382"/>
      <c r="M8" s="382"/>
      <c r="N8" s="382"/>
      <c r="O8" s="382"/>
      <c r="P8" s="382"/>
      <c r="Q8" s="839"/>
      <c r="R8" s="839"/>
      <c r="S8" s="840"/>
      <c r="T8" s="840"/>
      <c r="U8" s="840"/>
      <c r="V8" s="840"/>
      <c r="W8" s="840"/>
      <c r="X8" s="840"/>
      <c r="Y8" s="840"/>
      <c r="Z8" s="840"/>
      <c r="AA8" s="840"/>
      <c r="AB8" s="840"/>
      <c r="AC8" s="840"/>
      <c r="AD8" s="840"/>
      <c r="AE8" s="840"/>
      <c r="AF8" s="840"/>
      <c r="AG8" s="840"/>
      <c r="AH8" s="840"/>
      <c r="AI8" s="840"/>
      <c r="AJ8" s="840"/>
      <c r="AK8" s="840"/>
    </row>
    <row r="9" spans="1:37" s="841" customFormat="1" ht="21.75" customHeight="1">
      <c r="A9" s="1112"/>
      <c r="B9" s="1174" t="s">
        <v>451</v>
      </c>
      <c r="C9" s="1124" t="s">
        <v>281</v>
      </c>
      <c r="D9" s="382">
        <v>1</v>
      </c>
      <c r="E9" s="383" t="e">
        <f t="shared" ref="E9:N9" si="0">E16+E47+E81</f>
        <v>#VALUE!</v>
      </c>
      <c r="F9" s="383">
        <f t="shared" si="0"/>
        <v>17111.875</v>
      </c>
      <c r="G9" s="383">
        <f t="shared" si="0"/>
        <v>0</v>
      </c>
      <c r="H9" s="383">
        <f t="shared" si="0"/>
        <v>0.79757781011618578</v>
      </c>
      <c r="I9" s="383">
        <f t="shared" si="0"/>
        <v>5.1638850000000005</v>
      </c>
      <c r="J9" s="383">
        <f t="shared" si="0"/>
        <v>0.34016000000000002</v>
      </c>
      <c r="K9" s="383">
        <f t="shared" si="0"/>
        <v>0.65326274999999989</v>
      </c>
      <c r="L9" s="383" t="e">
        <f t="shared" si="0"/>
        <v>#VALUE!</v>
      </c>
      <c r="M9" s="383" t="e">
        <f t="shared" si="0"/>
        <v>#VALUE!</v>
      </c>
      <c r="N9" s="383" t="e">
        <f t="shared" si="0"/>
        <v>#VALUE!</v>
      </c>
      <c r="O9" s="383">
        <v>2403.5</v>
      </c>
      <c r="P9" s="383">
        <f>P16+P47+P81</f>
        <v>7407.6641826923078</v>
      </c>
      <c r="Q9" s="839"/>
      <c r="R9" s="847"/>
      <c r="S9" s="847"/>
      <c r="T9" s="946">
        <f>'[1]2,DG-capdoi'!N8</f>
        <v>279934.45465709607</v>
      </c>
      <c r="U9" s="946" t="e">
        <f>T9-N9</f>
        <v>#VALUE!</v>
      </c>
      <c r="V9" s="840"/>
      <c r="W9" s="840"/>
      <c r="X9" s="840"/>
      <c r="Y9" s="840"/>
      <c r="Z9" s="840"/>
      <c r="AA9" s="840"/>
      <c r="AB9" s="840"/>
      <c r="AC9" s="840"/>
      <c r="AD9" s="840"/>
      <c r="AE9" s="840"/>
      <c r="AF9" s="840"/>
      <c r="AG9" s="840"/>
      <c r="AH9" s="840"/>
      <c r="AI9" s="840"/>
      <c r="AJ9" s="840"/>
      <c r="AK9" s="840"/>
    </row>
    <row r="10" spans="1:37" s="841" customFormat="1" ht="21.75" customHeight="1">
      <c r="A10" s="1112"/>
      <c r="B10" s="1174"/>
      <c r="C10" s="1124"/>
      <c r="D10" s="382">
        <v>2</v>
      </c>
      <c r="E10" s="383" t="e">
        <f t="shared" ref="E10:N10" si="1">E17+E47+E81</f>
        <v>#VALUE!</v>
      </c>
      <c r="F10" s="383">
        <f t="shared" si="1"/>
        <v>20386.875</v>
      </c>
      <c r="G10" s="383">
        <f t="shared" si="1"/>
        <v>0</v>
      </c>
      <c r="H10" s="383">
        <f t="shared" si="1"/>
        <v>0.81892055476762815</v>
      </c>
      <c r="I10" s="383">
        <f t="shared" si="1"/>
        <v>5.1638850000000005</v>
      </c>
      <c r="J10" s="383">
        <f t="shared" si="1"/>
        <v>0.34016000000000002</v>
      </c>
      <c r="K10" s="383">
        <f t="shared" si="1"/>
        <v>0.65326274999999989</v>
      </c>
      <c r="L10" s="383" t="e">
        <f t="shared" si="1"/>
        <v>#VALUE!</v>
      </c>
      <c r="M10" s="383" t="e">
        <f t="shared" si="1"/>
        <v>#VALUE!</v>
      </c>
      <c r="N10" s="383" t="e">
        <f t="shared" si="1"/>
        <v>#VALUE!</v>
      </c>
      <c r="O10" s="383">
        <v>2863.5</v>
      </c>
      <c r="P10" s="383">
        <f>P17+P47+P81</f>
        <v>7715.0680288461544</v>
      </c>
      <c r="Q10" s="839"/>
      <c r="R10" s="839"/>
      <c r="S10" s="840"/>
      <c r="T10" s="946">
        <f>'[1]2,DG-capdoi'!N9</f>
        <v>294021.55292721395</v>
      </c>
      <c r="U10" s="946" t="e">
        <f t="shared" ref="U10:U73" si="2">T10-N10</f>
        <v>#VALUE!</v>
      </c>
      <c r="V10" s="840"/>
      <c r="W10" s="840"/>
      <c r="X10" s="840"/>
      <c r="Y10" s="840"/>
      <c r="Z10" s="840"/>
      <c r="AA10" s="840"/>
      <c r="AB10" s="840"/>
      <c r="AC10" s="840"/>
      <c r="AD10" s="840"/>
      <c r="AE10" s="840"/>
      <c r="AF10" s="840"/>
      <c r="AG10" s="840"/>
      <c r="AH10" s="840"/>
      <c r="AI10" s="840"/>
      <c r="AJ10" s="840"/>
      <c r="AK10" s="840"/>
    </row>
    <row r="11" spans="1:37" s="841" customFormat="1" ht="21.75" customHeight="1">
      <c r="A11" s="1112"/>
      <c r="B11" s="1174"/>
      <c r="C11" s="1124"/>
      <c r="D11" s="382">
        <v>3</v>
      </c>
      <c r="E11" s="383" t="e">
        <f t="shared" ref="E11:N11" si="3">E18+E47+E81</f>
        <v>#VALUE!</v>
      </c>
      <c r="F11" s="383">
        <f t="shared" si="3"/>
        <v>24316.875</v>
      </c>
      <c r="G11" s="383">
        <f t="shared" si="3"/>
        <v>0</v>
      </c>
      <c r="H11" s="383">
        <f t="shared" si="3"/>
        <v>0.86160604407051267</v>
      </c>
      <c r="I11" s="383">
        <f t="shared" si="3"/>
        <v>5.1638850000000005</v>
      </c>
      <c r="J11" s="383">
        <f t="shared" si="3"/>
        <v>0.34016000000000002</v>
      </c>
      <c r="K11" s="383">
        <f t="shared" si="3"/>
        <v>0.65326274999999989</v>
      </c>
      <c r="L11" s="383" t="e">
        <f t="shared" si="3"/>
        <v>#VALUE!</v>
      </c>
      <c r="M11" s="383" t="e">
        <f t="shared" si="3"/>
        <v>#VALUE!</v>
      </c>
      <c r="N11" s="383" t="e">
        <f t="shared" si="3"/>
        <v>#VALUE!</v>
      </c>
      <c r="O11" s="383">
        <v>3415.5</v>
      </c>
      <c r="P11" s="383">
        <f>P18+P47+P81</f>
        <v>8083.9526442307688</v>
      </c>
      <c r="Q11" s="839"/>
      <c r="R11" s="839"/>
      <c r="S11" s="840"/>
      <c r="T11" s="946">
        <f>'[1]2,DG-capdoi'!N10</f>
        <v>310926.09048668051</v>
      </c>
      <c r="U11" s="946" t="e">
        <f t="shared" si="2"/>
        <v>#VALUE!</v>
      </c>
      <c r="V11" s="840"/>
      <c r="W11" s="840"/>
      <c r="X11" s="840"/>
      <c r="Y11" s="840"/>
      <c r="Z11" s="840"/>
      <c r="AA11" s="840"/>
      <c r="AB11" s="840"/>
      <c r="AC11" s="840"/>
      <c r="AD11" s="840"/>
      <c r="AE11" s="840"/>
      <c r="AF11" s="840"/>
      <c r="AG11" s="840"/>
      <c r="AH11" s="840"/>
      <c r="AI11" s="840"/>
      <c r="AJ11" s="840"/>
      <c r="AK11" s="840"/>
    </row>
    <row r="12" spans="1:37" s="841" customFormat="1" ht="21.75" customHeight="1">
      <c r="A12" s="1112"/>
      <c r="B12" s="1174" t="s">
        <v>452</v>
      </c>
      <c r="C12" s="1124" t="s">
        <v>281</v>
      </c>
      <c r="D12" s="382">
        <v>1</v>
      </c>
      <c r="E12" s="383" t="e">
        <f>E19+E48+E81</f>
        <v>#VALUE!</v>
      </c>
      <c r="F12" s="383">
        <f t="shared" ref="F12:P12" si="4">F19+F48+F81</f>
        <v>17111.875</v>
      </c>
      <c r="G12" s="383">
        <f t="shared" si="4"/>
        <v>0</v>
      </c>
      <c r="H12" s="383">
        <f t="shared" si="4"/>
        <v>0.43475115104166662</v>
      </c>
      <c r="I12" s="383">
        <f t="shared" si="4"/>
        <v>5.1638850000000005</v>
      </c>
      <c r="J12" s="383">
        <f t="shared" si="4"/>
        <v>0.34016000000000002</v>
      </c>
      <c r="K12" s="383">
        <f t="shared" si="4"/>
        <v>0.65326274999999989</v>
      </c>
      <c r="L12" s="383" t="e">
        <f t="shared" si="4"/>
        <v>#VALUE!</v>
      </c>
      <c r="M12" s="383" t="e">
        <f t="shared" si="4"/>
        <v>#VALUE!</v>
      </c>
      <c r="N12" s="383" t="e">
        <f t="shared" si="4"/>
        <v>#VALUE!</v>
      </c>
      <c r="O12" s="383">
        <v>2403.5</v>
      </c>
      <c r="P12" s="383">
        <f t="shared" si="4"/>
        <v>7001.8911057692303</v>
      </c>
      <c r="Q12" s="839"/>
      <c r="R12" s="839"/>
      <c r="S12" s="840"/>
      <c r="T12" s="946">
        <f>'[1]2,DG-capdoi'!N11</f>
        <v>265740.09517566889</v>
      </c>
      <c r="U12" s="946" t="e">
        <f t="shared" si="2"/>
        <v>#VALUE!</v>
      </c>
      <c r="V12" s="840"/>
      <c r="W12" s="840"/>
      <c r="X12" s="840"/>
      <c r="Y12" s="840"/>
      <c r="Z12" s="840"/>
      <c r="AA12" s="840"/>
      <c r="AB12" s="840"/>
      <c r="AC12" s="840"/>
      <c r="AD12" s="840"/>
      <c r="AE12" s="840"/>
      <c r="AF12" s="840"/>
      <c r="AG12" s="840"/>
      <c r="AH12" s="840"/>
      <c r="AI12" s="840"/>
      <c r="AJ12" s="840"/>
      <c r="AK12" s="840"/>
    </row>
    <row r="13" spans="1:37" s="841" customFormat="1" ht="21.75" customHeight="1">
      <c r="A13" s="1112"/>
      <c r="B13" s="1174"/>
      <c r="C13" s="1124"/>
      <c r="D13" s="382">
        <v>2</v>
      </c>
      <c r="E13" s="383" t="e">
        <f>E20+E48+E81</f>
        <v>#VALUE!</v>
      </c>
      <c r="F13" s="383">
        <f t="shared" ref="F13:P13" si="5">F20+F48+F81</f>
        <v>20386.875</v>
      </c>
      <c r="G13" s="383">
        <f t="shared" si="5"/>
        <v>0</v>
      </c>
      <c r="H13" s="383">
        <f t="shared" si="5"/>
        <v>0.43475115104166662</v>
      </c>
      <c r="I13" s="383">
        <f t="shared" si="5"/>
        <v>5.1638850000000005</v>
      </c>
      <c r="J13" s="383">
        <f t="shared" si="5"/>
        <v>0.34016000000000002</v>
      </c>
      <c r="K13" s="383">
        <f t="shared" si="5"/>
        <v>0.65326274999999989</v>
      </c>
      <c r="L13" s="383" t="e">
        <f t="shared" si="5"/>
        <v>#VALUE!</v>
      </c>
      <c r="M13" s="383" t="e">
        <f t="shared" si="5"/>
        <v>#VALUE!</v>
      </c>
      <c r="N13" s="383" t="e">
        <f t="shared" si="5"/>
        <v>#VALUE!</v>
      </c>
      <c r="O13" s="383">
        <v>2863.5000000000582</v>
      </c>
      <c r="P13" s="383">
        <f t="shared" si="5"/>
        <v>7401.5161057692303</v>
      </c>
      <c r="Q13" s="839"/>
      <c r="R13" s="839"/>
      <c r="S13" s="840"/>
      <c r="T13" s="946">
        <f>'[1]2,DG-capdoi'!N12</f>
        <v>283280.85111316893</v>
      </c>
      <c r="U13" s="946" t="e">
        <f t="shared" si="2"/>
        <v>#VALUE!</v>
      </c>
      <c r="V13" s="840"/>
      <c r="W13" s="840"/>
      <c r="X13" s="840"/>
      <c r="Y13" s="840"/>
      <c r="Z13" s="840"/>
      <c r="AA13" s="840"/>
      <c r="AB13" s="840"/>
      <c r="AC13" s="840"/>
      <c r="AD13" s="840"/>
      <c r="AE13" s="840"/>
      <c r="AF13" s="840"/>
      <c r="AG13" s="840"/>
      <c r="AH13" s="840"/>
      <c r="AI13" s="840"/>
      <c r="AJ13" s="840"/>
      <c r="AK13" s="840"/>
    </row>
    <row r="14" spans="1:37" s="841" customFormat="1" ht="21.75" customHeight="1">
      <c r="A14" s="1112"/>
      <c r="B14" s="1174"/>
      <c r="C14" s="1124"/>
      <c r="D14" s="382">
        <v>3</v>
      </c>
      <c r="E14" s="383" t="e">
        <f>E21+E48+E81</f>
        <v>#VALUE!</v>
      </c>
      <c r="F14" s="383">
        <f t="shared" ref="F14:P14" si="6">F21+F48+F81</f>
        <v>24316.875</v>
      </c>
      <c r="G14" s="383">
        <f t="shared" si="6"/>
        <v>0</v>
      </c>
      <c r="H14" s="383">
        <f t="shared" si="6"/>
        <v>0.43475115104166662</v>
      </c>
      <c r="I14" s="383">
        <f t="shared" si="6"/>
        <v>5.1638850000000005</v>
      </c>
      <c r="J14" s="383">
        <f t="shared" si="6"/>
        <v>0.34016000000000002</v>
      </c>
      <c r="K14" s="383">
        <f t="shared" si="6"/>
        <v>0.65326274999999989</v>
      </c>
      <c r="L14" s="383" t="e">
        <f t="shared" si="6"/>
        <v>#VALUE!</v>
      </c>
      <c r="M14" s="383" t="e">
        <f t="shared" si="6"/>
        <v>#VALUE!</v>
      </c>
      <c r="N14" s="383" t="e">
        <f t="shared" si="6"/>
        <v>#VALUE!</v>
      </c>
      <c r="O14" s="383">
        <v>3415.5</v>
      </c>
      <c r="P14" s="383">
        <f t="shared" si="6"/>
        <v>7770.4007211538456</v>
      </c>
      <c r="Q14" s="839"/>
      <c r="R14" s="839"/>
      <c r="S14" s="840"/>
      <c r="T14" s="946">
        <f>'[1]2,DG-capdoi'!N13</f>
        <v>300185.33958432276</v>
      </c>
      <c r="U14" s="946" t="e">
        <f t="shared" si="2"/>
        <v>#VALUE!</v>
      </c>
      <c r="V14" s="840"/>
      <c r="W14" s="840"/>
      <c r="X14" s="840"/>
      <c r="Y14" s="840"/>
      <c r="Z14" s="840"/>
      <c r="AA14" s="840"/>
      <c r="AB14" s="840"/>
      <c r="AC14" s="840"/>
      <c r="AD14" s="840"/>
      <c r="AE14" s="840"/>
      <c r="AF14" s="840"/>
      <c r="AG14" s="840"/>
      <c r="AH14" s="840"/>
      <c r="AI14" s="840"/>
      <c r="AJ14" s="840"/>
      <c r="AK14" s="840"/>
    </row>
    <row r="15" spans="1:37" s="841" customFormat="1" ht="26.25" customHeight="1">
      <c r="A15" s="831" t="s">
        <v>179</v>
      </c>
      <c r="B15" s="1035" t="s">
        <v>606</v>
      </c>
      <c r="C15" s="382"/>
      <c r="D15" s="382"/>
      <c r="E15" s="383"/>
      <c r="F15" s="383"/>
      <c r="G15" s="383"/>
      <c r="H15" s="383"/>
      <c r="I15" s="383"/>
      <c r="J15" s="383"/>
      <c r="K15" s="383"/>
      <c r="L15" s="383"/>
      <c r="M15" s="383"/>
      <c r="N15" s="383"/>
      <c r="O15" s="383">
        <v>0</v>
      </c>
      <c r="P15" s="383"/>
      <c r="Q15" s="839"/>
      <c r="R15" s="839"/>
      <c r="S15" s="840"/>
      <c r="T15" s="946">
        <f>'[1]2,DG-capdoi'!N14</f>
        <v>0</v>
      </c>
      <c r="U15" s="946">
        <f t="shared" si="2"/>
        <v>0</v>
      </c>
      <c r="V15" s="840"/>
      <c r="W15" s="840"/>
      <c r="X15" s="840"/>
      <c r="Y15" s="840"/>
      <c r="Z15" s="840"/>
      <c r="AA15" s="840"/>
      <c r="AB15" s="840"/>
      <c r="AC15" s="840"/>
      <c r="AD15" s="840"/>
      <c r="AE15" s="840"/>
      <c r="AF15" s="840"/>
      <c r="AG15" s="840"/>
      <c r="AH15" s="840"/>
      <c r="AI15" s="840"/>
      <c r="AJ15" s="840"/>
      <c r="AK15" s="840"/>
    </row>
    <row r="16" spans="1:37" s="855" customFormat="1" ht="20.25" customHeight="1">
      <c r="A16" s="1139" t="s">
        <v>665</v>
      </c>
      <c r="B16" s="1174" t="s">
        <v>451</v>
      </c>
      <c r="C16" s="1124" t="s">
        <v>281</v>
      </c>
      <c r="D16" s="892">
        <v>1</v>
      </c>
      <c r="E16" s="893" t="e">
        <f>E23+E24+E25+E27+E29+E30+E31+E35+E38+E40+E42+E44+E45</f>
        <v>#VALUE!</v>
      </c>
      <c r="F16" s="893">
        <f>F23+F24+F25+F27+F29+F30+F31+F35+F38+F40+F42+F44+F45</f>
        <v>17111.875</v>
      </c>
      <c r="G16" s="893">
        <f>G23+G24+G25+G27+G28+G29+G30+G31+G35+G36+G38+G39+G40+G42+G43+G44+G45</f>
        <v>0</v>
      </c>
      <c r="H16" s="894">
        <f>'Dcu-DKDD'!H180/8000</f>
        <v>0.36282665907451911</v>
      </c>
      <c r="I16" s="894">
        <f>'VL-DKDD'!$F$189/8000</f>
        <v>0.907335</v>
      </c>
      <c r="J16" s="894">
        <f>'TB-DKDD'!$I$102/8000</f>
        <v>4.1449999999999994E-3</v>
      </c>
      <c r="K16" s="894">
        <f>'NL-DKDD'!$F$72/8000</f>
        <v>7.1872500000000001E-3</v>
      </c>
      <c r="L16" s="893" t="e">
        <f t="shared" ref="L16:L21" si="7">SUM(E16:K16)</f>
        <v>#VALUE!</v>
      </c>
      <c r="M16" s="893" t="e">
        <f>L16*'He so chung'!$D$17/100</f>
        <v>#VALUE!</v>
      </c>
      <c r="N16" s="893" t="e">
        <f t="shared" ref="N16:N21" si="8">L16+M16</f>
        <v>#VALUE!</v>
      </c>
      <c r="O16" s="893">
        <v>2403.5</v>
      </c>
      <c r="P16" s="893">
        <f>P23+P24+P25+P27+P29+P30+P31+P35+P38+P40+P42+P44+P45</f>
        <v>3566.6531249999998</v>
      </c>
      <c r="Q16" s="854"/>
      <c r="R16" s="854"/>
      <c r="S16" s="848"/>
      <c r="T16" s="946">
        <f>'[1]2,DG-capdoi'!N15</f>
        <v>143680.44598049545</v>
      </c>
      <c r="U16" s="946" t="e">
        <f t="shared" si="2"/>
        <v>#VALUE!</v>
      </c>
      <c r="V16" s="848"/>
      <c r="W16" s="848"/>
      <c r="X16" s="848"/>
      <c r="Y16" s="848"/>
      <c r="Z16" s="848"/>
      <c r="AA16" s="848"/>
      <c r="AB16" s="848"/>
      <c r="AC16" s="848"/>
      <c r="AD16" s="848"/>
      <c r="AE16" s="848"/>
      <c r="AF16" s="848"/>
      <c r="AG16" s="848"/>
      <c r="AH16" s="848"/>
      <c r="AI16" s="848"/>
      <c r="AJ16" s="848"/>
      <c r="AK16" s="848"/>
    </row>
    <row r="17" spans="1:37" s="855" customFormat="1" ht="20.25" customHeight="1">
      <c r="A17" s="1139"/>
      <c r="B17" s="1174"/>
      <c r="C17" s="1124"/>
      <c r="D17" s="892">
        <v>2</v>
      </c>
      <c r="E17" s="893" t="e">
        <f>E23+E24+E25+E27+E29+E30+E32+E35+E38+E40+E42+E44+E45</f>
        <v>#VALUE!</v>
      </c>
      <c r="F17" s="893">
        <f>F23+F24+F25+F27+F29+F30+F32+F35+F38+F40+F42+F44+F45</f>
        <v>20386.875</v>
      </c>
      <c r="G17" s="893">
        <f>G23+G24+G25+G27+G28+G29+G30+G32+G35+G36+G38+G39+G40+G42+G43+G44+G45</f>
        <v>0</v>
      </c>
      <c r="H17" s="894">
        <f>'Dcu-DKDD'!H181/8000</f>
        <v>0.38416940372596142</v>
      </c>
      <c r="I17" s="894">
        <f>'VL-DKDD'!$F$189/8000</f>
        <v>0.907335</v>
      </c>
      <c r="J17" s="894">
        <f>'TB-DKDD'!$I$102/8000</f>
        <v>4.1449999999999994E-3</v>
      </c>
      <c r="K17" s="894">
        <f>'NL-DKDD'!$F$72/8000</f>
        <v>7.1872500000000001E-3</v>
      </c>
      <c r="L17" s="893" t="e">
        <f t="shared" si="7"/>
        <v>#VALUE!</v>
      </c>
      <c r="M17" s="893" t="e">
        <f>L17*'He so chung'!$D$17/100</f>
        <v>#VALUE!</v>
      </c>
      <c r="N17" s="893" t="e">
        <f t="shared" si="8"/>
        <v>#VALUE!</v>
      </c>
      <c r="O17" s="893">
        <v>2863.5</v>
      </c>
      <c r="P17" s="893">
        <f>P23+P24+P25+P27+P29+P30+P32+P35+P38+P40+P42+P44+P45</f>
        <v>3874.056971153846</v>
      </c>
      <c r="Q17" s="854"/>
      <c r="R17" s="854"/>
      <c r="S17" s="848"/>
      <c r="T17" s="946">
        <f>'[1]2,DG-capdoi'!N16</f>
        <v>157767.54425061337</v>
      </c>
      <c r="U17" s="946" t="e">
        <f t="shared" si="2"/>
        <v>#VALUE!</v>
      </c>
      <c r="V17" s="848"/>
      <c r="W17" s="848"/>
      <c r="X17" s="848"/>
      <c r="Y17" s="848"/>
      <c r="Z17" s="848"/>
      <c r="AA17" s="848"/>
      <c r="AB17" s="848"/>
      <c r="AC17" s="848"/>
      <c r="AD17" s="848"/>
      <c r="AE17" s="848"/>
      <c r="AF17" s="848"/>
      <c r="AG17" s="848"/>
      <c r="AH17" s="848"/>
      <c r="AI17" s="848"/>
      <c r="AJ17" s="848"/>
      <c r="AK17" s="848"/>
    </row>
    <row r="18" spans="1:37" s="855" customFormat="1" ht="20.25" customHeight="1">
      <c r="A18" s="1139"/>
      <c r="B18" s="1174"/>
      <c r="C18" s="1124"/>
      <c r="D18" s="892">
        <v>3</v>
      </c>
      <c r="E18" s="893" t="e">
        <f>E23+E24+E25+E27+E29+E30+E33+E35+E38+E40+E42+E44+E45</f>
        <v>#VALUE!</v>
      </c>
      <c r="F18" s="893">
        <f>F23+F24+F25+F27+F29+F30+F33+F35+F38+F40+F42+F44+F45</f>
        <v>24316.875</v>
      </c>
      <c r="G18" s="893">
        <f>G23+G24+G25+G27+G28+G29+G30+G33+G35+G36+G38+G39+G40+G42+G43+G44+G45</f>
        <v>0</v>
      </c>
      <c r="H18" s="894">
        <f>'Dcu-DKDD'!H182/8000</f>
        <v>0.42685489302884605</v>
      </c>
      <c r="I18" s="894">
        <f>'VL-DKDD'!$F$189/8000</f>
        <v>0.907335</v>
      </c>
      <c r="J18" s="894">
        <f>'TB-DKDD'!$I$102/8000</f>
        <v>4.1449999999999994E-3</v>
      </c>
      <c r="K18" s="894">
        <f>'NL-DKDD'!$F$72/8000</f>
        <v>7.1872500000000001E-3</v>
      </c>
      <c r="L18" s="871" t="e">
        <f t="shared" si="7"/>
        <v>#VALUE!</v>
      </c>
      <c r="M18" s="871" t="e">
        <f>L18*'He so chung'!$D$17/100</f>
        <v>#VALUE!</v>
      </c>
      <c r="N18" s="871" t="e">
        <f t="shared" si="8"/>
        <v>#VALUE!</v>
      </c>
      <c r="O18" s="871">
        <v>3415.5</v>
      </c>
      <c r="P18" s="893">
        <f>P23+P24+P25+P27+P29+P30+P33+P35+P38+P40+P42+P44+P45</f>
        <v>4242.9415865384608</v>
      </c>
      <c r="Q18" s="854"/>
      <c r="R18" s="854"/>
      <c r="S18" s="848"/>
      <c r="T18" s="946">
        <f>'[1]2,DG-capdoi'!N17</f>
        <v>174672.08181007992</v>
      </c>
      <c r="U18" s="946" t="e">
        <f t="shared" si="2"/>
        <v>#VALUE!</v>
      </c>
      <c r="V18" s="848"/>
      <c r="W18" s="848"/>
      <c r="X18" s="848"/>
      <c r="Y18" s="848"/>
      <c r="Z18" s="848"/>
      <c r="AA18" s="848"/>
      <c r="AB18" s="848"/>
      <c r="AC18" s="848"/>
      <c r="AD18" s="848"/>
      <c r="AE18" s="848"/>
      <c r="AF18" s="848"/>
      <c r="AG18" s="848"/>
      <c r="AH18" s="848"/>
      <c r="AI18" s="848"/>
      <c r="AJ18" s="848"/>
      <c r="AK18" s="848"/>
    </row>
    <row r="19" spans="1:37" s="855" customFormat="1" ht="20.25" customHeight="1">
      <c r="A19" s="1139" t="s">
        <v>666</v>
      </c>
      <c r="B19" s="1174" t="s">
        <v>452</v>
      </c>
      <c r="C19" s="1124" t="s">
        <v>281</v>
      </c>
      <c r="D19" s="892">
        <v>1</v>
      </c>
      <c r="E19" s="893" t="e">
        <f>E23+E24+E25+E28+E29+E30+E31+E36+E39+E40+E43+E44+E45</f>
        <v>#VALUE!</v>
      </c>
      <c r="F19" s="893">
        <f>F23+F24+F25+F28+F29+F30+F31+F36+F39+F40+F43+F44+F45</f>
        <v>17111.875</v>
      </c>
      <c r="G19" s="893"/>
      <c r="H19" s="894">
        <f>'Dcu-DKDD'!H183/8000</f>
        <v>0</v>
      </c>
      <c r="I19" s="894">
        <f>'VL-DKDD'!$F$189/8000</f>
        <v>0.907335</v>
      </c>
      <c r="J19" s="894">
        <f>'TB-DKDD'!$I$102/8000</f>
        <v>4.1449999999999994E-3</v>
      </c>
      <c r="K19" s="894">
        <f>'NL-DKDD'!$F$72/8000</f>
        <v>7.1872500000000001E-3</v>
      </c>
      <c r="L19" s="893" t="e">
        <f t="shared" si="7"/>
        <v>#VALUE!</v>
      </c>
      <c r="M19" s="893" t="e">
        <f>L19*'He so chung'!$D$17/100</f>
        <v>#VALUE!</v>
      </c>
      <c r="N19" s="893" t="e">
        <f t="shared" si="8"/>
        <v>#VALUE!</v>
      </c>
      <c r="O19" s="871">
        <v>2403.5</v>
      </c>
      <c r="P19" s="893">
        <f>P23+P24+P25+P28+P29+P30+P31+P36+P39+P40+P43+P44+P45</f>
        <v>3314.5819711538456</v>
      </c>
      <c r="Q19" s="854"/>
      <c r="R19" s="854"/>
      <c r="S19" s="848"/>
      <c r="T19" s="946">
        <f>'[1]2,DG-capdoi'!N18</f>
        <v>134866.37620579905</v>
      </c>
      <c r="U19" s="946" t="e">
        <f t="shared" si="2"/>
        <v>#VALUE!</v>
      </c>
      <c r="V19" s="848"/>
      <c r="W19" s="848"/>
      <c r="X19" s="848"/>
      <c r="Y19" s="848"/>
      <c r="Z19" s="848"/>
      <c r="AA19" s="848"/>
      <c r="AB19" s="848"/>
      <c r="AC19" s="848"/>
      <c r="AD19" s="848"/>
      <c r="AE19" s="848"/>
      <c r="AF19" s="848"/>
      <c r="AG19" s="848"/>
      <c r="AH19" s="848"/>
      <c r="AI19" s="848"/>
      <c r="AJ19" s="848"/>
      <c r="AK19" s="848"/>
    </row>
    <row r="20" spans="1:37" s="855" customFormat="1" ht="20.25" customHeight="1">
      <c r="A20" s="1139"/>
      <c r="B20" s="1174"/>
      <c r="C20" s="1124"/>
      <c r="D20" s="892">
        <v>2</v>
      </c>
      <c r="E20" s="893" t="e">
        <f>E23+E24+E25+E28+E29+E30+E32+E35+E36+E39+E40+E43+E44+E45</f>
        <v>#VALUE!</v>
      </c>
      <c r="F20" s="893">
        <f>F23+F24+F25+F28+F29+F30+F32+F35+F36+F39+F40+F43+F44+F45</f>
        <v>20386.875</v>
      </c>
      <c r="G20" s="893"/>
      <c r="H20" s="894">
        <f>'Dcu-DKDD'!H184/8000</f>
        <v>0</v>
      </c>
      <c r="I20" s="894">
        <f>'VL-DKDD'!$F$189/8000</f>
        <v>0.907335</v>
      </c>
      <c r="J20" s="894">
        <f>'TB-DKDD'!$I$102/8000</f>
        <v>4.1449999999999994E-3</v>
      </c>
      <c r="K20" s="894">
        <f>'NL-DKDD'!$F$72/8000</f>
        <v>7.1872500000000001E-3</v>
      </c>
      <c r="L20" s="893" t="e">
        <f t="shared" si="7"/>
        <v>#VALUE!</v>
      </c>
      <c r="M20" s="893" t="e">
        <f>L20*'He so chung'!$D$17/100</f>
        <v>#VALUE!</v>
      </c>
      <c r="N20" s="893" t="e">
        <f t="shared" si="8"/>
        <v>#VALUE!</v>
      </c>
      <c r="O20" s="871">
        <v>2863.5000000000582</v>
      </c>
      <c r="P20" s="893">
        <f>P23+P24+P25+P28+P29+P30+P32+P35+P36+P39+P40+P43+P44+P45</f>
        <v>3714.2069711538456</v>
      </c>
      <c r="Q20" s="854"/>
      <c r="R20" s="854"/>
      <c r="S20" s="848"/>
      <c r="T20" s="946">
        <f>'[1]2,DG-capdoi'!N19</f>
        <v>152407.1321432991</v>
      </c>
      <c r="U20" s="946" t="e">
        <f t="shared" si="2"/>
        <v>#VALUE!</v>
      </c>
      <c r="V20" s="848"/>
      <c r="W20" s="848"/>
      <c r="X20" s="848"/>
      <c r="Y20" s="848"/>
      <c r="Z20" s="848"/>
      <c r="AA20" s="848"/>
      <c r="AB20" s="848"/>
      <c r="AC20" s="848"/>
      <c r="AD20" s="848"/>
      <c r="AE20" s="848"/>
      <c r="AF20" s="848"/>
      <c r="AG20" s="848"/>
      <c r="AH20" s="848"/>
      <c r="AI20" s="848"/>
      <c r="AJ20" s="848"/>
      <c r="AK20" s="848"/>
    </row>
    <row r="21" spans="1:37" s="855" customFormat="1" ht="20.25" customHeight="1">
      <c r="A21" s="1139"/>
      <c r="B21" s="1174"/>
      <c r="C21" s="1124"/>
      <c r="D21" s="892">
        <v>3</v>
      </c>
      <c r="E21" s="893" t="e">
        <f>E23+E24+E25+E28+E29+E30+E33+E35+E36+E39+E40+E43+E44+E45</f>
        <v>#VALUE!</v>
      </c>
      <c r="F21" s="893">
        <f>F23+F24+F25+F28+F29+F30+F33+F35+F36+F39+F40+F43+F44+F45</f>
        <v>24316.875</v>
      </c>
      <c r="G21" s="893"/>
      <c r="H21" s="894">
        <f>'Dcu-DKDD'!H185/8000</f>
        <v>0</v>
      </c>
      <c r="I21" s="894">
        <f>'VL-DKDD'!$F$189/8000</f>
        <v>0.907335</v>
      </c>
      <c r="J21" s="894">
        <f>'TB-DKDD'!$I$102/8000</f>
        <v>4.1449999999999994E-3</v>
      </c>
      <c r="K21" s="894">
        <f>'NL-DKDD'!$F$72/8000</f>
        <v>7.1872500000000001E-3</v>
      </c>
      <c r="L21" s="893" t="e">
        <f t="shared" si="7"/>
        <v>#VALUE!</v>
      </c>
      <c r="M21" s="893" t="e">
        <f>L21*'He so chung'!$D$17/100</f>
        <v>#VALUE!</v>
      </c>
      <c r="N21" s="893" t="e">
        <f t="shared" si="8"/>
        <v>#VALUE!</v>
      </c>
      <c r="O21" s="871">
        <v>3415.5</v>
      </c>
      <c r="P21" s="893">
        <f>P23+P24+P25+P28+P29+P30+P33+P35+P36+P39+P40+P43+P44+P45</f>
        <v>4083.0915865384609</v>
      </c>
      <c r="Q21" s="854"/>
      <c r="R21" s="854"/>
      <c r="S21" s="848"/>
      <c r="T21" s="946">
        <f>'[1]2,DG-capdoi'!N20</f>
        <v>169311.62061445293</v>
      </c>
      <c r="U21" s="946" t="e">
        <f t="shared" si="2"/>
        <v>#VALUE!</v>
      </c>
      <c r="V21" s="848"/>
      <c r="W21" s="848"/>
      <c r="X21" s="848"/>
      <c r="Y21" s="848"/>
      <c r="Z21" s="848"/>
      <c r="AA21" s="848"/>
      <c r="AB21" s="848"/>
      <c r="AC21" s="848"/>
      <c r="AD21" s="848"/>
      <c r="AE21" s="848"/>
      <c r="AF21" s="848"/>
      <c r="AG21" s="848"/>
      <c r="AH21" s="848"/>
      <c r="AI21" s="848"/>
      <c r="AJ21" s="848"/>
      <c r="AK21" s="848"/>
    </row>
    <row r="22" spans="1:37" s="1037" customFormat="1" ht="22.5" customHeight="1">
      <c r="A22" s="832">
        <v>1</v>
      </c>
      <c r="B22" s="827" t="s">
        <v>599</v>
      </c>
      <c r="C22" s="832"/>
      <c r="D22" s="951"/>
      <c r="E22" s="903"/>
      <c r="F22" s="903"/>
      <c r="G22" s="391"/>
      <c r="H22" s="903"/>
      <c r="I22" s="903"/>
      <c r="J22" s="903"/>
      <c r="K22" s="903"/>
      <c r="L22" s="925"/>
      <c r="M22" s="925"/>
      <c r="N22" s="925"/>
      <c r="O22" s="925"/>
      <c r="P22" s="903"/>
      <c r="Q22" s="847">
        <f>'He so chung'!$D$22</f>
        <v>5346.1538461538457</v>
      </c>
      <c r="R22" s="847">
        <f>'He so chung'!$D$23</f>
        <v>801.92307692307691</v>
      </c>
      <c r="S22" s="856"/>
      <c r="T22" s="946">
        <f>'[1]2,DG-capdoi'!N21</f>
        <v>0</v>
      </c>
      <c r="U22" s="946">
        <f t="shared" si="2"/>
        <v>0</v>
      </c>
      <c r="V22" s="1036"/>
      <c r="W22" s="1036"/>
      <c r="X22" s="1036"/>
      <c r="Y22" s="1036"/>
      <c r="Z22" s="1036"/>
      <c r="AA22" s="1036"/>
      <c r="AB22" s="1036"/>
      <c r="AC22" s="1036"/>
      <c r="AD22" s="1036"/>
      <c r="AE22" s="1036"/>
      <c r="AF22" s="1036"/>
      <c r="AG22" s="1036"/>
      <c r="AH22" s="1036"/>
      <c r="AI22" s="1036"/>
      <c r="AJ22" s="1036"/>
      <c r="AK22" s="1036"/>
    </row>
    <row r="23" spans="1:37" s="1037" customFormat="1" ht="22.5" customHeight="1">
      <c r="A23" s="832" t="s">
        <v>891</v>
      </c>
      <c r="B23" s="827" t="s">
        <v>21</v>
      </c>
      <c r="C23" s="832" t="s">
        <v>281</v>
      </c>
      <c r="D23" s="901" t="s">
        <v>370</v>
      </c>
      <c r="E23" s="903" t="e">
        <f>NC_DKDD!H528/8000*10</f>
        <v>#VALUE!</v>
      </c>
      <c r="F23" s="903">
        <f>NC_DKDD!H529/8000*10</f>
        <v>327.5</v>
      </c>
      <c r="G23" s="391"/>
      <c r="H23" s="903"/>
      <c r="I23" s="903"/>
      <c r="J23" s="903"/>
      <c r="K23" s="903"/>
      <c r="L23" s="925"/>
      <c r="M23" s="925"/>
      <c r="N23" s="925"/>
      <c r="O23" s="925"/>
      <c r="P23" s="903">
        <f>Q23+R23</f>
        <v>30.740384615384613</v>
      </c>
      <c r="Q23" s="856">
        <f>S23*$Q$22</f>
        <v>26.73076923076923</v>
      </c>
      <c r="R23" s="856">
        <f>S23*$R$22</f>
        <v>4.009615384615385</v>
      </c>
      <c r="S23" s="1038">
        <f>NC_DKDD!G528/8000*10</f>
        <v>5.0000000000000001E-3</v>
      </c>
      <c r="T23" s="946">
        <f>'[1]2,DG-capdoi'!N22</f>
        <v>0</v>
      </c>
      <c r="U23" s="946">
        <f t="shared" si="2"/>
        <v>0</v>
      </c>
      <c r="V23" s="1036"/>
      <c r="W23" s="1036"/>
      <c r="X23" s="1036"/>
      <c r="Y23" s="1036"/>
      <c r="Z23" s="1036"/>
      <c r="AA23" s="1036"/>
      <c r="AB23" s="1036"/>
      <c r="AC23" s="1036"/>
      <c r="AD23" s="1036"/>
      <c r="AE23" s="1036"/>
      <c r="AF23" s="1036"/>
      <c r="AG23" s="1036"/>
      <c r="AH23" s="1036"/>
      <c r="AI23" s="1036"/>
      <c r="AJ23" s="1036"/>
      <c r="AK23" s="1036"/>
    </row>
    <row r="24" spans="1:37" s="1037" customFormat="1" ht="40.5" customHeight="1">
      <c r="A24" s="832" t="s">
        <v>899</v>
      </c>
      <c r="B24" s="827" t="s">
        <v>24</v>
      </c>
      <c r="C24" s="832" t="s">
        <v>281</v>
      </c>
      <c r="D24" s="901" t="s">
        <v>370</v>
      </c>
      <c r="E24" s="903" t="e">
        <f>NC_DKDD!H530/8000</f>
        <v>#VALUE!</v>
      </c>
      <c r="F24" s="903"/>
      <c r="G24" s="391"/>
      <c r="H24" s="903"/>
      <c r="I24" s="903"/>
      <c r="J24" s="903"/>
      <c r="K24" s="903"/>
      <c r="L24" s="925"/>
      <c r="M24" s="925"/>
      <c r="N24" s="925"/>
      <c r="O24" s="925"/>
      <c r="P24" s="903">
        <f t="shared" ref="P24:P88" si="9">Q24+R24</f>
        <v>12.296153846153846</v>
      </c>
      <c r="Q24" s="856">
        <f>S24*$Q$22</f>
        <v>10.692307692307692</v>
      </c>
      <c r="R24" s="856">
        <f>S24*$R$22</f>
        <v>1.6038461538461539</v>
      </c>
      <c r="S24" s="1038">
        <f>NC_DKDD!G530/8000</f>
        <v>2E-3</v>
      </c>
      <c r="T24" s="946">
        <f>'[1]2,DG-capdoi'!N23</f>
        <v>0</v>
      </c>
      <c r="U24" s="946">
        <f t="shared" si="2"/>
        <v>0</v>
      </c>
      <c r="V24" s="1036"/>
      <c r="W24" s="1036"/>
      <c r="X24" s="1036"/>
      <c r="Y24" s="1036"/>
      <c r="Z24" s="1036"/>
      <c r="AA24" s="1036"/>
      <c r="AB24" s="1036"/>
      <c r="AC24" s="1036"/>
      <c r="AD24" s="1036"/>
      <c r="AE24" s="1036"/>
      <c r="AF24" s="1036"/>
      <c r="AG24" s="1036"/>
      <c r="AH24" s="1036"/>
      <c r="AI24" s="1036"/>
      <c r="AJ24" s="1036"/>
      <c r="AK24" s="1036"/>
    </row>
    <row r="25" spans="1:37" s="1037" customFormat="1" ht="33.75" customHeight="1">
      <c r="A25" s="832" t="s">
        <v>892</v>
      </c>
      <c r="B25" s="827" t="s">
        <v>812</v>
      </c>
      <c r="C25" s="832" t="s">
        <v>281</v>
      </c>
      <c r="D25" s="901" t="s">
        <v>370</v>
      </c>
      <c r="E25" s="903" t="e">
        <f>NC_DKDD!H531/8000*10</f>
        <v>#VALUE!</v>
      </c>
      <c r="F25" s="903">
        <f>NC_DKDD!H532/8000*10</f>
        <v>409.375</v>
      </c>
      <c r="G25" s="391"/>
      <c r="H25" s="903"/>
      <c r="I25" s="903"/>
      <c r="J25" s="903"/>
      <c r="K25" s="903"/>
      <c r="L25" s="925"/>
      <c r="M25" s="925"/>
      <c r="N25" s="925"/>
      <c r="O25" s="925"/>
      <c r="P25" s="903">
        <f t="shared" si="9"/>
        <v>19.212740384615387</v>
      </c>
      <c r="Q25" s="856">
        <f t="shared" ref="Q25:Q35" si="10">S25*$Q$22</f>
        <v>16.70673076923077</v>
      </c>
      <c r="R25" s="856">
        <f t="shared" ref="R25:R88" si="11">S25*$R$22</f>
        <v>2.5060096153846154</v>
      </c>
      <c r="S25" s="1038">
        <f>NC_DKDD!G531/8000*10</f>
        <v>3.1250000000000002E-3</v>
      </c>
      <c r="T25" s="946">
        <f>'[1]2,DG-capdoi'!N24</f>
        <v>0</v>
      </c>
      <c r="U25" s="946">
        <f t="shared" si="2"/>
        <v>0</v>
      </c>
      <c r="V25" s="1036"/>
      <c r="W25" s="1036"/>
      <c r="X25" s="1036"/>
      <c r="Y25" s="1036"/>
      <c r="Z25" s="1036"/>
      <c r="AA25" s="1036"/>
      <c r="AB25" s="1036"/>
      <c r="AC25" s="1036"/>
      <c r="AD25" s="1036"/>
      <c r="AE25" s="1036"/>
      <c r="AF25" s="1036"/>
      <c r="AG25" s="1036"/>
      <c r="AH25" s="1036"/>
      <c r="AI25" s="1036"/>
      <c r="AJ25" s="1036"/>
      <c r="AK25" s="1036"/>
    </row>
    <row r="26" spans="1:37" s="1037" customFormat="1" ht="20.25" customHeight="1">
      <c r="A26" s="832" t="s">
        <v>30</v>
      </c>
      <c r="B26" s="827" t="s">
        <v>813</v>
      </c>
      <c r="C26" s="832"/>
      <c r="D26" s="832"/>
      <c r="E26" s="827"/>
      <c r="F26" s="827"/>
      <c r="G26" s="391"/>
      <c r="H26" s="903"/>
      <c r="I26" s="903"/>
      <c r="J26" s="903"/>
      <c r="K26" s="903"/>
      <c r="L26" s="925"/>
      <c r="M26" s="925"/>
      <c r="N26" s="925"/>
      <c r="O26" s="925"/>
      <c r="P26" s="903">
        <f t="shared" si="9"/>
        <v>0</v>
      </c>
      <c r="Q26" s="856">
        <f t="shared" si="10"/>
        <v>0</v>
      </c>
      <c r="R26" s="856">
        <f t="shared" si="11"/>
        <v>0</v>
      </c>
      <c r="S26" s="1038"/>
      <c r="T26" s="946">
        <f>'[1]2,DG-capdoi'!N25</f>
        <v>0</v>
      </c>
      <c r="U26" s="946">
        <f t="shared" si="2"/>
        <v>0</v>
      </c>
      <c r="V26" s="1036"/>
      <c r="W26" s="1036"/>
      <c r="X26" s="1036"/>
      <c r="Y26" s="1036"/>
      <c r="Z26" s="1036"/>
      <c r="AA26" s="1036"/>
      <c r="AB26" s="1036"/>
      <c r="AC26" s="1036"/>
      <c r="AD26" s="1036"/>
      <c r="AE26" s="1036"/>
      <c r="AF26" s="1036"/>
      <c r="AG26" s="1036"/>
      <c r="AH26" s="1036"/>
      <c r="AI26" s="1036"/>
      <c r="AJ26" s="1036"/>
      <c r="AK26" s="1036"/>
    </row>
    <row r="27" spans="1:37" s="1037" customFormat="1" ht="28.5" customHeight="1">
      <c r="A27" s="832" t="s">
        <v>32</v>
      </c>
      <c r="B27" s="827" t="s">
        <v>33</v>
      </c>
      <c r="C27" s="832" t="s">
        <v>281</v>
      </c>
      <c r="D27" s="901" t="s">
        <v>370</v>
      </c>
      <c r="E27" s="903" t="e">
        <f>NC_DKDD!H534</f>
        <v>#VALUE!</v>
      </c>
      <c r="F27" s="903"/>
      <c r="G27" s="391"/>
      <c r="H27" s="903"/>
      <c r="I27" s="903"/>
      <c r="J27" s="903"/>
      <c r="K27" s="903"/>
      <c r="L27" s="925"/>
      <c r="M27" s="925"/>
      <c r="N27" s="925"/>
      <c r="O27" s="925"/>
      <c r="P27" s="903">
        <f t="shared" si="9"/>
        <v>307.40384615384619</v>
      </c>
      <c r="Q27" s="856">
        <f t="shared" si="10"/>
        <v>267.30769230769232</v>
      </c>
      <c r="R27" s="856">
        <f t="shared" si="11"/>
        <v>40.096153846153847</v>
      </c>
      <c r="S27" s="1038">
        <f>NC_DKDD!G534</f>
        <v>0.05</v>
      </c>
      <c r="T27" s="946">
        <f>'[1]2,DG-capdoi'!N26</f>
        <v>0</v>
      </c>
      <c r="U27" s="946">
        <f t="shared" si="2"/>
        <v>0</v>
      </c>
      <c r="V27" s="1036"/>
      <c r="W27" s="1036"/>
      <c r="X27" s="1036"/>
      <c r="Y27" s="1036"/>
      <c r="Z27" s="1036"/>
      <c r="AA27" s="1036"/>
      <c r="AB27" s="1036"/>
      <c r="AC27" s="1036"/>
      <c r="AD27" s="1036"/>
      <c r="AE27" s="1036"/>
      <c r="AF27" s="1036"/>
      <c r="AG27" s="1036"/>
      <c r="AH27" s="1036"/>
      <c r="AI27" s="1036"/>
      <c r="AJ27" s="1036"/>
      <c r="AK27" s="1036"/>
    </row>
    <row r="28" spans="1:37" s="1037" customFormat="1" ht="28.5" customHeight="1">
      <c r="A28" s="832" t="s">
        <v>35</v>
      </c>
      <c r="B28" s="827" t="s">
        <v>36</v>
      </c>
      <c r="C28" s="832" t="s">
        <v>281</v>
      </c>
      <c r="D28" s="901" t="s">
        <v>370</v>
      </c>
      <c r="E28" s="903" t="e">
        <f>NC_DKDD!H535</f>
        <v>#VALUE!</v>
      </c>
      <c r="F28" s="903"/>
      <c r="G28" s="391"/>
      <c r="H28" s="903"/>
      <c r="I28" s="903"/>
      <c r="J28" s="903"/>
      <c r="K28" s="903"/>
      <c r="L28" s="925"/>
      <c r="M28" s="925"/>
      <c r="N28" s="925"/>
      <c r="O28" s="925"/>
      <c r="P28" s="903">
        <f t="shared" si="9"/>
        <v>153.70192307692309</v>
      </c>
      <c r="Q28" s="856">
        <f t="shared" si="10"/>
        <v>133.65384615384616</v>
      </c>
      <c r="R28" s="856">
        <f t="shared" si="11"/>
        <v>20.048076923076923</v>
      </c>
      <c r="S28" s="1038">
        <f>NC_DKDD!G535</f>
        <v>2.5000000000000001E-2</v>
      </c>
      <c r="T28" s="946">
        <f>'[1]2,DG-capdoi'!N27</f>
        <v>0</v>
      </c>
      <c r="U28" s="946">
        <f t="shared" si="2"/>
        <v>0</v>
      </c>
      <c r="V28" s="1036"/>
      <c r="W28" s="1036"/>
      <c r="X28" s="1036"/>
      <c r="Y28" s="1036"/>
      <c r="Z28" s="1036"/>
      <c r="AA28" s="1036"/>
      <c r="AB28" s="1036"/>
      <c r="AC28" s="1036"/>
      <c r="AD28" s="1036"/>
      <c r="AE28" s="1036"/>
      <c r="AF28" s="1036"/>
      <c r="AG28" s="1036"/>
      <c r="AH28" s="1036"/>
      <c r="AI28" s="1036"/>
      <c r="AJ28" s="1036"/>
      <c r="AK28" s="1036"/>
    </row>
    <row r="29" spans="1:37" s="1037" customFormat="1" ht="45" customHeight="1">
      <c r="A29" s="832">
        <v>2</v>
      </c>
      <c r="B29" s="827" t="s">
        <v>953</v>
      </c>
      <c r="C29" s="832" t="s">
        <v>281</v>
      </c>
      <c r="D29" s="901" t="s">
        <v>370</v>
      </c>
      <c r="E29" s="903" t="e">
        <f>NC_DKDD!H536</f>
        <v>#VALUE!</v>
      </c>
      <c r="F29" s="903"/>
      <c r="G29" s="391"/>
      <c r="H29" s="903"/>
      <c r="I29" s="903"/>
      <c r="J29" s="903"/>
      <c r="K29" s="903"/>
      <c r="L29" s="925"/>
      <c r="M29" s="925"/>
      <c r="N29" s="925"/>
      <c r="O29" s="925"/>
      <c r="P29" s="903">
        <f t="shared" si="9"/>
        <v>307.40384615384619</v>
      </c>
      <c r="Q29" s="856">
        <f t="shared" si="10"/>
        <v>267.30769230769232</v>
      </c>
      <c r="R29" s="856">
        <f t="shared" si="11"/>
        <v>40.096153846153847</v>
      </c>
      <c r="S29" s="1038">
        <f>NC_DKDD!G536</f>
        <v>0.05</v>
      </c>
      <c r="T29" s="946">
        <f>'[1]2,DG-capdoi'!N28</f>
        <v>0</v>
      </c>
      <c r="U29" s="946">
        <f t="shared" si="2"/>
        <v>0</v>
      </c>
      <c r="V29" s="1036"/>
      <c r="W29" s="1036"/>
      <c r="X29" s="1036"/>
      <c r="Y29" s="1036"/>
      <c r="Z29" s="1036"/>
      <c r="AA29" s="1036"/>
      <c r="AB29" s="1036"/>
      <c r="AC29" s="1036"/>
      <c r="AD29" s="1036"/>
      <c r="AE29" s="1036"/>
      <c r="AF29" s="1036"/>
      <c r="AG29" s="1036"/>
      <c r="AH29" s="1036"/>
      <c r="AI29" s="1036"/>
      <c r="AJ29" s="1036"/>
      <c r="AK29" s="1036"/>
    </row>
    <row r="30" spans="1:37" s="1037" customFormat="1" ht="40.5" customHeight="1">
      <c r="A30" s="832">
        <v>3</v>
      </c>
      <c r="B30" s="827" t="s">
        <v>38</v>
      </c>
      <c r="C30" s="832" t="s">
        <v>523</v>
      </c>
      <c r="D30" s="901" t="s">
        <v>370</v>
      </c>
      <c r="E30" s="903" t="e">
        <f>NC_DKDD!H537</f>
        <v>#VALUE!</v>
      </c>
      <c r="F30" s="903"/>
      <c r="G30" s="391"/>
      <c r="H30" s="903"/>
      <c r="I30" s="903"/>
      <c r="J30" s="903"/>
      <c r="K30" s="903"/>
      <c r="L30" s="925"/>
      <c r="M30" s="925"/>
      <c r="N30" s="925"/>
      <c r="O30" s="925"/>
      <c r="P30" s="903">
        <f t="shared" si="9"/>
        <v>657.84423076923065</v>
      </c>
      <c r="Q30" s="856">
        <f t="shared" si="10"/>
        <v>572.03846153846143</v>
      </c>
      <c r="R30" s="856">
        <f t="shared" si="11"/>
        <v>85.805769230769229</v>
      </c>
      <c r="S30" s="1038">
        <f>NC_DKDD!G537</f>
        <v>0.107</v>
      </c>
      <c r="T30" s="946">
        <f>'[1]2,DG-capdoi'!N29</f>
        <v>0</v>
      </c>
      <c r="U30" s="946">
        <f t="shared" si="2"/>
        <v>0</v>
      </c>
      <c r="V30" s="1036"/>
      <c r="W30" s="1036"/>
      <c r="X30" s="1036"/>
      <c r="Y30" s="1036"/>
      <c r="Z30" s="1036"/>
      <c r="AA30" s="1036"/>
      <c r="AB30" s="1036"/>
      <c r="AC30" s="1036"/>
      <c r="AD30" s="1036"/>
      <c r="AE30" s="1036"/>
      <c r="AF30" s="1036"/>
      <c r="AG30" s="1036"/>
      <c r="AH30" s="1036"/>
      <c r="AI30" s="1036"/>
      <c r="AJ30" s="1036"/>
      <c r="AK30" s="1036"/>
    </row>
    <row r="31" spans="1:37" s="1037" customFormat="1" ht="22.5" customHeight="1">
      <c r="A31" s="1116">
        <v>4</v>
      </c>
      <c r="B31" s="1137" t="s">
        <v>814</v>
      </c>
      <c r="C31" s="1116" t="s">
        <v>281</v>
      </c>
      <c r="D31" s="832">
        <v>1</v>
      </c>
      <c r="E31" s="903" t="e">
        <f>NC_DKDD!H538</f>
        <v>#VALUE!</v>
      </c>
      <c r="F31" s="903">
        <f>NC_DKDD!H539</f>
        <v>16375</v>
      </c>
      <c r="G31" s="391"/>
      <c r="H31" s="903"/>
      <c r="I31" s="903"/>
      <c r="J31" s="903"/>
      <c r="K31" s="903"/>
      <c r="L31" s="925"/>
      <c r="M31" s="925"/>
      <c r="N31" s="925"/>
      <c r="O31" s="925"/>
      <c r="P31" s="903">
        <f t="shared" si="9"/>
        <v>1537.0192307692307</v>
      </c>
      <c r="Q31" s="856">
        <f t="shared" si="10"/>
        <v>1336.5384615384614</v>
      </c>
      <c r="R31" s="856">
        <f t="shared" si="11"/>
        <v>200.48076923076923</v>
      </c>
      <c r="S31" s="1038">
        <f>NC_DKDD!G538</f>
        <v>0.25</v>
      </c>
      <c r="T31" s="946">
        <f>'[1]2,DG-capdoi'!N30</f>
        <v>0</v>
      </c>
      <c r="U31" s="946">
        <f t="shared" si="2"/>
        <v>0</v>
      </c>
      <c r="V31" s="1036"/>
      <c r="W31" s="1036"/>
      <c r="X31" s="1036"/>
      <c r="Y31" s="1036"/>
      <c r="Z31" s="1036"/>
      <c r="AA31" s="1036"/>
      <c r="AB31" s="1036"/>
      <c r="AC31" s="1036"/>
      <c r="AD31" s="1036"/>
      <c r="AE31" s="1036"/>
      <c r="AF31" s="1036"/>
      <c r="AG31" s="1036"/>
      <c r="AH31" s="1036"/>
      <c r="AI31" s="1036"/>
      <c r="AJ31" s="1036"/>
      <c r="AK31" s="1036"/>
    </row>
    <row r="32" spans="1:37" s="1037" customFormat="1" ht="24.75" customHeight="1">
      <c r="A32" s="1116"/>
      <c r="B32" s="1137"/>
      <c r="C32" s="1116"/>
      <c r="D32" s="832">
        <v>2</v>
      </c>
      <c r="E32" s="903" t="e">
        <f>NC_DKDD!H540</f>
        <v>#VALUE!</v>
      </c>
      <c r="F32" s="903">
        <f>NC_DKDD!H541</f>
        <v>19650</v>
      </c>
      <c r="G32" s="391"/>
      <c r="H32" s="903"/>
      <c r="I32" s="903"/>
      <c r="J32" s="903"/>
      <c r="K32" s="903"/>
      <c r="L32" s="925"/>
      <c r="M32" s="925"/>
      <c r="N32" s="925"/>
      <c r="O32" s="925"/>
      <c r="P32" s="903">
        <f t="shared" si="9"/>
        <v>1844.4230769230767</v>
      </c>
      <c r="Q32" s="856">
        <f t="shared" si="10"/>
        <v>1603.8461538461536</v>
      </c>
      <c r="R32" s="856">
        <f t="shared" si="11"/>
        <v>240.57692307692307</v>
      </c>
      <c r="S32" s="1038">
        <f>NC_DKDD!G540</f>
        <v>0.3</v>
      </c>
      <c r="T32" s="946">
        <f>'[1]2,DG-capdoi'!N31</f>
        <v>0</v>
      </c>
      <c r="U32" s="946">
        <f t="shared" si="2"/>
        <v>0</v>
      </c>
      <c r="V32" s="1036"/>
      <c r="W32" s="1036"/>
      <c r="X32" s="1036"/>
      <c r="Y32" s="1036"/>
      <c r="Z32" s="1036"/>
      <c r="AA32" s="1036"/>
      <c r="AB32" s="1036"/>
      <c r="AC32" s="1036"/>
      <c r="AD32" s="1036"/>
      <c r="AE32" s="1036"/>
      <c r="AF32" s="1036"/>
      <c r="AG32" s="1036"/>
      <c r="AH32" s="1036"/>
      <c r="AI32" s="1036"/>
      <c r="AJ32" s="1036"/>
      <c r="AK32" s="1036"/>
    </row>
    <row r="33" spans="1:37" s="1037" customFormat="1" ht="22.5" customHeight="1">
      <c r="A33" s="1116"/>
      <c r="B33" s="1137"/>
      <c r="C33" s="1116"/>
      <c r="D33" s="832">
        <v>3</v>
      </c>
      <c r="E33" s="903" t="e">
        <f>NC_DKDD!H542</f>
        <v>#VALUE!</v>
      </c>
      <c r="F33" s="903">
        <f>NC_DKDD!H543</f>
        <v>23580</v>
      </c>
      <c r="G33" s="391"/>
      <c r="H33" s="903"/>
      <c r="I33" s="903"/>
      <c r="J33" s="903"/>
      <c r="K33" s="903"/>
      <c r="L33" s="925"/>
      <c r="M33" s="925"/>
      <c r="N33" s="925"/>
      <c r="O33" s="925"/>
      <c r="P33" s="903">
        <f t="shared" si="9"/>
        <v>2213.3076923076919</v>
      </c>
      <c r="Q33" s="856">
        <f t="shared" si="10"/>
        <v>1924.6153846153843</v>
      </c>
      <c r="R33" s="856">
        <f t="shared" si="11"/>
        <v>288.69230769230768</v>
      </c>
      <c r="S33" s="1038">
        <f>NC_DKDD!G542</f>
        <v>0.36</v>
      </c>
      <c r="T33" s="946">
        <f>'[1]2,DG-capdoi'!N32</f>
        <v>0</v>
      </c>
      <c r="U33" s="946">
        <f t="shared" si="2"/>
        <v>0</v>
      </c>
      <c r="V33" s="1036"/>
      <c r="W33" s="1036"/>
      <c r="X33" s="1036"/>
      <c r="Y33" s="1036"/>
      <c r="Z33" s="1036"/>
      <c r="AA33" s="1036"/>
      <c r="AB33" s="1036"/>
      <c r="AC33" s="1036"/>
      <c r="AD33" s="1036"/>
      <c r="AE33" s="1036"/>
      <c r="AF33" s="1036"/>
      <c r="AG33" s="1036"/>
      <c r="AH33" s="1036"/>
      <c r="AI33" s="1036"/>
      <c r="AJ33" s="1036"/>
      <c r="AK33" s="1036"/>
    </row>
    <row r="34" spans="1:37" s="1037" customFormat="1" ht="26.25" customHeight="1">
      <c r="A34" s="832">
        <v>5</v>
      </c>
      <c r="B34" s="827" t="s">
        <v>348</v>
      </c>
      <c r="C34" s="832"/>
      <c r="D34" s="832"/>
      <c r="E34" s="903"/>
      <c r="F34" s="903"/>
      <c r="G34" s="391"/>
      <c r="H34" s="903"/>
      <c r="I34" s="903"/>
      <c r="J34" s="903"/>
      <c r="K34" s="903"/>
      <c r="L34" s="925"/>
      <c r="M34" s="925"/>
      <c r="N34" s="925"/>
      <c r="O34" s="925"/>
      <c r="P34" s="903">
        <f t="shared" si="9"/>
        <v>0</v>
      </c>
      <c r="Q34" s="856">
        <f t="shared" si="10"/>
        <v>0</v>
      </c>
      <c r="R34" s="856">
        <f t="shared" si="11"/>
        <v>0</v>
      </c>
      <c r="S34" s="1038"/>
      <c r="T34" s="946">
        <f>'[1]2,DG-capdoi'!N33</f>
        <v>0</v>
      </c>
      <c r="U34" s="946">
        <f t="shared" si="2"/>
        <v>0</v>
      </c>
      <c r="V34" s="1036"/>
      <c r="W34" s="1036"/>
      <c r="X34" s="1036"/>
      <c r="Y34" s="1036"/>
      <c r="Z34" s="1036"/>
      <c r="AA34" s="1036"/>
      <c r="AB34" s="1036"/>
      <c r="AC34" s="1036"/>
      <c r="AD34" s="1036"/>
      <c r="AE34" s="1036"/>
      <c r="AF34" s="1036"/>
      <c r="AG34" s="1036"/>
      <c r="AH34" s="1036"/>
      <c r="AI34" s="1036"/>
      <c r="AJ34" s="1036"/>
      <c r="AK34" s="1036"/>
    </row>
    <row r="35" spans="1:37" s="1037" customFormat="1" ht="26.25" customHeight="1">
      <c r="A35" s="832" t="s">
        <v>607</v>
      </c>
      <c r="B35" s="827" t="s">
        <v>33</v>
      </c>
      <c r="C35" s="832" t="s">
        <v>281</v>
      </c>
      <c r="D35" s="901" t="s">
        <v>370</v>
      </c>
      <c r="E35" s="903" t="e">
        <f>NC_DKDD!H545</f>
        <v>#VALUE!</v>
      </c>
      <c r="F35" s="903"/>
      <c r="G35" s="391"/>
      <c r="H35" s="903"/>
      <c r="I35" s="903"/>
      <c r="J35" s="903"/>
      <c r="K35" s="903"/>
      <c r="L35" s="925"/>
      <c r="M35" s="925"/>
      <c r="N35" s="925"/>
      <c r="O35" s="925"/>
      <c r="P35" s="903">
        <f t="shared" si="9"/>
        <v>92.22115384615384</v>
      </c>
      <c r="Q35" s="856">
        <f t="shared" si="10"/>
        <v>80.192307692307679</v>
      </c>
      <c r="R35" s="856">
        <f t="shared" si="11"/>
        <v>12.028846153846153</v>
      </c>
      <c r="S35" s="1038">
        <f>NC_DKDD!G545</f>
        <v>1.4999999999999999E-2</v>
      </c>
      <c r="T35" s="946">
        <f>'[1]2,DG-capdoi'!N34</f>
        <v>0</v>
      </c>
      <c r="U35" s="946">
        <f t="shared" si="2"/>
        <v>0</v>
      </c>
      <c r="V35" s="1036"/>
      <c r="W35" s="1036"/>
      <c r="X35" s="1036"/>
      <c r="Y35" s="1036"/>
      <c r="Z35" s="1036"/>
      <c r="AA35" s="1036"/>
      <c r="AB35" s="1036"/>
      <c r="AC35" s="1036"/>
      <c r="AD35" s="1036"/>
      <c r="AE35" s="1036"/>
      <c r="AF35" s="1036"/>
      <c r="AG35" s="1036"/>
      <c r="AH35" s="1036"/>
      <c r="AI35" s="1036"/>
      <c r="AJ35" s="1036"/>
      <c r="AK35" s="1036"/>
    </row>
    <row r="36" spans="1:37" s="1037" customFormat="1" ht="26.25" customHeight="1">
      <c r="A36" s="832" t="s">
        <v>608</v>
      </c>
      <c r="B36" s="827" t="s">
        <v>36</v>
      </c>
      <c r="C36" s="832" t="s">
        <v>281</v>
      </c>
      <c r="D36" s="901" t="s">
        <v>370</v>
      </c>
      <c r="E36" s="903" t="e">
        <f>NC_DKDD!H546</f>
        <v>#VALUE!</v>
      </c>
      <c r="F36" s="903"/>
      <c r="G36" s="391"/>
      <c r="H36" s="903"/>
      <c r="I36" s="903"/>
      <c r="J36" s="903"/>
      <c r="K36" s="903"/>
      <c r="L36" s="925"/>
      <c r="M36" s="925"/>
      <c r="N36" s="925"/>
      <c r="O36" s="925"/>
      <c r="P36" s="903">
        <f t="shared" si="9"/>
        <v>61.480769230769226</v>
      </c>
      <c r="Q36" s="856">
        <f>S36*$Q$22</f>
        <v>53.46153846153846</v>
      </c>
      <c r="R36" s="856">
        <f>S36*$R$22</f>
        <v>8.0192307692307701</v>
      </c>
      <c r="S36" s="1038">
        <f>NC_DKDD!G546</f>
        <v>0.01</v>
      </c>
      <c r="T36" s="946">
        <f>'[1]2,DG-capdoi'!N35</f>
        <v>0</v>
      </c>
      <c r="U36" s="946">
        <f t="shared" si="2"/>
        <v>0</v>
      </c>
      <c r="V36" s="1036"/>
      <c r="W36" s="1036"/>
      <c r="X36" s="1036"/>
      <c r="Y36" s="1036"/>
      <c r="Z36" s="1036"/>
      <c r="AA36" s="1036"/>
      <c r="AB36" s="1036"/>
      <c r="AC36" s="1036"/>
      <c r="AD36" s="1036"/>
      <c r="AE36" s="1036"/>
      <c r="AF36" s="1036"/>
      <c r="AG36" s="1036"/>
      <c r="AH36" s="1036"/>
      <c r="AI36" s="1036"/>
      <c r="AJ36" s="1036"/>
      <c r="AK36" s="1036"/>
    </row>
    <row r="37" spans="1:37" s="1037" customFormat="1" ht="35.25" customHeight="1">
      <c r="A37" s="832">
        <v>6</v>
      </c>
      <c r="B37" s="827" t="s">
        <v>815</v>
      </c>
      <c r="C37" s="832"/>
      <c r="D37" s="832"/>
      <c r="E37" s="903"/>
      <c r="F37" s="903"/>
      <c r="G37" s="391"/>
      <c r="H37" s="903"/>
      <c r="I37" s="903"/>
      <c r="J37" s="903"/>
      <c r="K37" s="903"/>
      <c r="L37" s="925"/>
      <c r="M37" s="925"/>
      <c r="N37" s="925"/>
      <c r="O37" s="925"/>
      <c r="P37" s="903">
        <f t="shared" si="9"/>
        <v>0</v>
      </c>
      <c r="Q37" s="856">
        <f t="shared" ref="Q37:Q44" si="12">S37*$Q$22</f>
        <v>0</v>
      </c>
      <c r="R37" s="856">
        <f t="shared" si="11"/>
        <v>0</v>
      </c>
      <c r="S37" s="1038">
        <f>NC_DKDD!G547</f>
        <v>0</v>
      </c>
      <c r="T37" s="946">
        <f>'[1]2,DG-capdoi'!N36</f>
        <v>0</v>
      </c>
      <c r="U37" s="946">
        <f t="shared" si="2"/>
        <v>0</v>
      </c>
      <c r="V37" s="1036"/>
      <c r="W37" s="1036"/>
      <c r="X37" s="1036"/>
      <c r="Y37" s="1036"/>
      <c r="Z37" s="1036"/>
      <c r="AA37" s="1036"/>
      <c r="AB37" s="1036"/>
      <c r="AC37" s="1036"/>
      <c r="AD37" s="1036"/>
      <c r="AE37" s="1036"/>
      <c r="AF37" s="1036"/>
      <c r="AG37" s="1036"/>
      <c r="AH37" s="1036"/>
      <c r="AI37" s="1036"/>
      <c r="AJ37" s="1036"/>
      <c r="AK37" s="1036"/>
    </row>
    <row r="38" spans="1:37" s="1037" customFormat="1" ht="29.25" customHeight="1">
      <c r="A38" s="832" t="s">
        <v>444</v>
      </c>
      <c r="B38" s="827" t="s">
        <v>33</v>
      </c>
      <c r="C38" s="832" t="s">
        <v>281</v>
      </c>
      <c r="D38" s="901" t="s">
        <v>370</v>
      </c>
      <c r="E38" s="903" t="e">
        <f>NC_DKDD!H548</f>
        <v>#VALUE!</v>
      </c>
      <c r="F38" s="903"/>
      <c r="G38" s="391"/>
      <c r="H38" s="903"/>
      <c r="I38" s="903"/>
      <c r="J38" s="903"/>
      <c r="K38" s="903"/>
      <c r="L38" s="925"/>
      <c r="M38" s="925"/>
      <c r="N38" s="925"/>
      <c r="O38" s="925"/>
      <c r="P38" s="903">
        <f t="shared" si="9"/>
        <v>307.40384615384619</v>
      </c>
      <c r="Q38" s="856">
        <f t="shared" si="12"/>
        <v>267.30769230769232</v>
      </c>
      <c r="R38" s="856">
        <f t="shared" si="11"/>
        <v>40.096153846153847</v>
      </c>
      <c r="S38" s="1038">
        <f>NC_DKDD!G548</f>
        <v>0.05</v>
      </c>
      <c r="T38" s="946">
        <f>'[1]2,DG-capdoi'!N37</f>
        <v>0</v>
      </c>
      <c r="U38" s="946">
        <f t="shared" si="2"/>
        <v>0</v>
      </c>
      <c r="V38" s="1036"/>
      <c r="W38" s="1036"/>
      <c r="X38" s="1036"/>
      <c r="Y38" s="1036"/>
      <c r="Z38" s="1036"/>
      <c r="AA38" s="1036"/>
      <c r="AB38" s="1036"/>
      <c r="AC38" s="1036"/>
      <c r="AD38" s="1036"/>
      <c r="AE38" s="1036"/>
      <c r="AF38" s="1036"/>
      <c r="AG38" s="1036"/>
      <c r="AH38" s="1036"/>
      <c r="AI38" s="1036"/>
      <c r="AJ38" s="1036"/>
      <c r="AK38" s="1036"/>
    </row>
    <row r="39" spans="1:37" s="1037" customFormat="1" ht="29.25" customHeight="1">
      <c r="A39" s="832" t="s">
        <v>445</v>
      </c>
      <c r="B39" s="827" t="s">
        <v>36</v>
      </c>
      <c r="C39" s="832" t="s">
        <v>281</v>
      </c>
      <c r="D39" s="901" t="s">
        <v>370</v>
      </c>
      <c r="E39" s="903" t="e">
        <f>NC_DKDD!H549</f>
        <v>#VALUE!</v>
      </c>
      <c r="F39" s="903"/>
      <c r="G39" s="391"/>
      <c r="H39" s="903"/>
      <c r="I39" s="903"/>
      <c r="J39" s="903"/>
      <c r="K39" s="903"/>
      <c r="L39" s="925"/>
      <c r="M39" s="925"/>
      <c r="N39" s="925"/>
      <c r="O39" s="925"/>
      <c r="P39" s="903">
        <f t="shared" si="9"/>
        <v>245.92307692307691</v>
      </c>
      <c r="Q39" s="856">
        <f t="shared" si="12"/>
        <v>213.84615384615384</v>
      </c>
      <c r="R39" s="856">
        <f t="shared" si="11"/>
        <v>32.07692307692308</v>
      </c>
      <c r="S39" s="1038">
        <f>NC_DKDD!G549</f>
        <v>0.04</v>
      </c>
      <c r="T39" s="946">
        <f>'[1]2,DG-capdoi'!N38</f>
        <v>0</v>
      </c>
      <c r="U39" s="946">
        <f t="shared" si="2"/>
        <v>0</v>
      </c>
      <c r="V39" s="1036"/>
      <c r="W39" s="1036"/>
      <c r="X39" s="1036"/>
      <c r="Y39" s="1036"/>
      <c r="Z39" s="1036"/>
      <c r="AA39" s="1036"/>
      <c r="AB39" s="1036"/>
      <c r="AC39" s="1036"/>
      <c r="AD39" s="1036"/>
      <c r="AE39" s="1036"/>
      <c r="AF39" s="1036"/>
      <c r="AG39" s="1036"/>
      <c r="AH39" s="1036"/>
      <c r="AI39" s="1036"/>
      <c r="AJ39" s="1036"/>
      <c r="AK39" s="1036"/>
    </row>
    <row r="40" spans="1:37" s="1037" customFormat="1" ht="29.25" customHeight="1">
      <c r="A40" s="832">
        <v>7</v>
      </c>
      <c r="B40" s="827" t="s">
        <v>949</v>
      </c>
      <c r="C40" s="832" t="s">
        <v>523</v>
      </c>
      <c r="D40" s="901" t="s">
        <v>370</v>
      </c>
      <c r="E40" s="903" t="e">
        <f>NC_DKDD!H550</f>
        <v>#VALUE!</v>
      </c>
      <c r="F40" s="903"/>
      <c r="G40" s="391"/>
      <c r="H40" s="903"/>
      <c r="I40" s="903"/>
      <c r="J40" s="903"/>
      <c r="K40" s="903"/>
      <c r="L40" s="925"/>
      <c r="M40" s="925"/>
      <c r="N40" s="925"/>
      <c r="O40" s="925"/>
      <c r="P40" s="903">
        <f t="shared" si="9"/>
        <v>18.444230769230767</v>
      </c>
      <c r="Q40" s="856">
        <f t="shared" si="12"/>
        <v>16.038461538461537</v>
      </c>
      <c r="R40" s="856">
        <f t="shared" si="11"/>
        <v>2.4057692307692307</v>
      </c>
      <c r="S40" s="1038">
        <f>NC_DKDD!G550</f>
        <v>3.0000000000000001E-3</v>
      </c>
      <c r="T40" s="946">
        <f>'[1]2,DG-capdoi'!N39</f>
        <v>0</v>
      </c>
      <c r="U40" s="946">
        <f t="shared" si="2"/>
        <v>0</v>
      </c>
      <c r="V40" s="1036"/>
      <c r="W40" s="1036"/>
      <c r="X40" s="1036"/>
      <c r="Y40" s="1036"/>
      <c r="Z40" s="1036"/>
      <c r="AA40" s="1036"/>
      <c r="AB40" s="1036"/>
      <c r="AC40" s="1036"/>
      <c r="AD40" s="1036"/>
      <c r="AE40" s="1036"/>
      <c r="AF40" s="1036"/>
      <c r="AG40" s="1036"/>
      <c r="AH40" s="1036"/>
      <c r="AI40" s="1036"/>
      <c r="AJ40" s="1036"/>
      <c r="AK40" s="1036"/>
    </row>
    <row r="41" spans="1:37" s="1037" customFormat="1" ht="30.75" customHeight="1">
      <c r="A41" s="832">
        <v>8</v>
      </c>
      <c r="B41" s="827" t="s">
        <v>257</v>
      </c>
      <c r="C41" s="832"/>
      <c r="D41" s="832"/>
      <c r="E41" s="903">
        <f>NC_DKDD!H551</f>
        <v>0</v>
      </c>
      <c r="F41" s="903"/>
      <c r="G41" s="391"/>
      <c r="H41" s="903"/>
      <c r="I41" s="903"/>
      <c r="J41" s="903"/>
      <c r="K41" s="903"/>
      <c r="L41" s="925"/>
      <c r="M41" s="925"/>
      <c r="N41" s="925"/>
      <c r="O41" s="925"/>
      <c r="P41" s="903">
        <f t="shared" si="9"/>
        <v>0</v>
      </c>
      <c r="Q41" s="856">
        <f t="shared" si="12"/>
        <v>0</v>
      </c>
      <c r="R41" s="856">
        <f t="shared" si="11"/>
        <v>0</v>
      </c>
      <c r="S41" s="1038">
        <f>NC_DKDD!G551</f>
        <v>0</v>
      </c>
      <c r="T41" s="946">
        <f>'[1]2,DG-capdoi'!N40</f>
        <v>0</v>
      </c>
      <c r="U41" s="946">
        <f t="shared" si="2"/>
        <v>0</v>
      </c>
      <c r="V41" s="1036"/>
      <c r="W41" s="1036"/>
      <c r="X41" s="1036"/>
      <c r="Y41" s="1036"/>
      <c r="Z41" s="1036"/>
      <c r="AA41" s="1036"/>
      <c r="AB41" s="1036"/>
      <c r="AC41" s="1036"/>
      <c r="AD41" s="1036"/>
      <c r="AE41" s="1036"/>
      <c r="AF41" s="1036"/>
      <c r="AG41" s="1036"/>
      <c r="AH41" s="1036"/>
      <c r="AI41" s="1036"/>
      <c r="AJ41" s="1036"/>
      <c r="AK41" s="1036"/>
    </row>
    <row r="42" spans="1:37" s="1037" customFormat="1" ht="22.5" customHeight="1">
      <c r="A42" s="832" t="s">
        <v>374</v>
      </c>
      <c r="B42" s="827" t="s">
        <v>33</v>
      </c>
      <c r="C42" s="832" t="s">
        <v>281</v>
      </c>
      <c r="D42" s="901" t="s">
        <v>370</v>
      </c>
      <c r="E42" s="903" t="e">
        <f>NC_DKDD!H552</f>
        <v>#VALUE!</v>
      </c>
      <c r="F42" s="903"/>
      <c r="G42" s="391"/>
      <c r="H42" s="903"/>
      <c r="I42" s="903"/>
      <c r="J42" s="903"/>
      <c r="K42" s="903"/>
      <c r="L42" s="925"/>
      <c r="M42" s="925"/>
      <c r="N42" s="925"/>
      <c r="O42" s="925"/>
      <c r="P42" s="903">
        <f t="shared" si="9"/>
        <v>30.740384615384613</v>
      </c>
      <c r="Q42" s="856">
        <f t="shared" si="12"/>
        <v>26.73076923076923</v>
      </c>
      <c r="R42" s="856">
        <f t="shared" si="11"/>
        <v>4.009615384615385</v>
      </c>
      <c r="S42" s="1038">
        <f>NC_DKDD!G552</f>
        <v>5.0000000000000001E-3</v>
      </c>
      <c r="T42" s="946">
        <f>'[1]2,DG-capdoi'!N41</f>
        <v>0</v>
      </c>
      <c r="U42" s="946">
        <f t="shared" si="2"/>
        <v>0</v>
      </c>
      <c r="V42" s="1036"/>
      <c r="W42" s="1036"/>
      <c r="X42" s="1036"/>
      <c r="Y42" s="1036"/>
      <c r="Z42" s="1036"/>
      <c r="AA42" s="1036"/>
      <c r="AB42" s="1036"/>
      <c r="AC42" s="1036"/>
      <c r="AD42" s="1036"/>
      <c r="AE42" s="1036"/>
      <c r="AF42" s="1036"/>
      <c r="AG42" s="1036"/>
      <c r="AH42" s="1036"/>
      <c r="AI42" s="1036"/>
      <c r="AJ42" s="1036"/>
      <c r="AK42" s="1036"/>
    </row>
    <row r="43" spans="1:37" s="1037" customFormat="1" ht="22.5" customHeight="1">
      <c r="A43" s="832" t="s">
        <v>375</v>
      </c>
      <c r="B43" s="827" t="s">
        <v>36</v>
      </c>
      <c r="C43" s="832" t="s">
        <v>281</v>
      </c>
      <c r="D43" s="901" t="s">
        <v>370</v>
      </c>
      <c r="E43" s="903" t="e">
        <f>NC_DKDD!H553</f>
        <v>#VALUE!</v>
      </c>
      <c r="F43" s="903"/>
      <c r="G43" s="391"/>
      <c r="H43" s="903"/>
      <c r="I43" s="903"/>
      <c r="J43" s="903"/>
      <c r="K43" s="903"/>
      <c r="L43" s="925"/>
      <c r="M43" s="925"/>
      <c r="N43" s="925"/>
      <c r="O43" s="925"/>
      <c r="P43" s="903">
        <f t="shared" si="9"/>
        <v>24.592307692307692</v>
      </c>
      <c r="Q43" s="856">
        <f t="shared" si="12"/>
        <v>21.384615384615383</v>
      </c>
      <c r="R43" s="856">
        <f t="shared" si="11"/>
        <v>3.2076923076923078</v>
      </c>
      <c r="S43" s="1038">
        <f>NC_DKDD!G553</f>
        <v>4.0000000000000001E-3</v>
      </c>
      <c r="T43" s="946">
        <f>'[1]2,DG-capdoi'!N42</f>
        <v>0</v>
      </c>
      <c r="U43" s="946">
        <f t="shared" si="2"/>
        <v>0</v>
      </c>
      <c r="V43" s="1036"/>
      <c r="W43" s="1036"/>
      <c r="X43" s="1036"/>
      <c r="Y43" s="1036"/>
      <c r="Z43" s="1036"/>
      <c r="AA43" s="1036"/>
      <c r="AB43" s="1036"/>
      <c r="AC43" s="1036"/>
      <c r="AD43" s="1036"/>
      <c r="AE43" s="1036"/>
      <c r="AF43" s="1036"/>
      <c r="AG43" s="1036"/>
      <c r="AH43" s="1036"/>
      <c r="AI43" s="1036"/>
      <c r="AJ43" s="1036"/>
      <c r="AK43" s="1036"/>
    </row>
    <row r="44" spans="1:37" s="1037" customFormat="1" ht="51.75" customHeight="1">
      <c r="A44" s="832">
        <v>9</v>
      </c>
      <c r="B44" s="827" t="s">
        <v>950</v>
      </c>
      <c r="C44" s="832" t="s">
        <v>281</v>
      </c>
      <c r="D44" s="901" t="s">
        <v>370</v>
      </c>
      <c r="E44" s="903" t="e">
        <f>NC_DKDD!H554</f>
        <v>#VALUE!</v>
      </c>
      <c r="F44" s="903"/>
      <c r="G44" s="391"/>
      <c r="H44" s="903"/>
      <c r="I44" s="903"/>
      <c r="J44" s="903"/>
      <c r="K44" s="903"/>
      <c r="L44" s="925"/>
      <c r="M44" s="925"/>
      <c r="N44" s="925"/>
      <c r="O44" s="925"/>
      <c r="P44" s="903">
        <f t="shared" si="9"/>
        <v>122.96153846153845</v>
      </c>
      <c r="Q44" s="856">
        <f t="shared" si="12"/>
        <v>106.92307692307692</v>
      </c>
      <c r="R44" s="856">
        <f t="shared" si="11"/>
        <v>16.03846153846154</v>
      </c>
      <c r="S44" s="1038">
        <f>NC_DKDD!G554</f>
        <v>0.02</v>
      </c>
      <c r="T44" s="946">
        <f>'[1]2,DG-capdoi'!N43</f>
        <v>0</v>
      </c>
      <c r="U44" s="946">
        <f t="shared" si="2"/>
        <v>0</v>
      </c>
      <c r="V44" s="1036"/>
      <c r="W44" s="1036"/>
      <c r="X44" s="1036"/>
      <c r="Y44" s="1036"/>
      <c r="Z44" s="1036"/>
      <c r="AA44" s="1036"/>
      <c r="AB44" s="1036"/>
      <c r="AC44" s="1036"/>
      <c r="AD44" s="1036"/>
      <c r="AE44" s="1036"/>
      <c r="AF44" s="1036"/>
      <c r="AG44" s="1036"/>
      <c r="AH44" s="1036"/>
      <c r="AI44" s="1036"/>
      <c r="AJ44" s="1036"/>
      <c r="AK44" s="1036"/>
    </row>
    <row r="45" spans="1:37" s="1037" customFormat="1" ht="48.75" customHeight="1">
      <c r="A45" s="832">
        <v>10</v>
      </c>
      <c r="B45" s="827" t="s">
        <v>764</v>
      </c>
      <c r="C45" s="832" t="s">
        <v>281</v>
      </c>
      <c r="D45" s="901" t="s">
        <v>370</v>
      </c>
      <c r="E45" s="903" t="e">
        <f>NC_DKDD!H555</f>
        <v>#VALUE!</v>
      </c>
      <c r="F45" s="903"/>
      <c r="G45" s="391"/>
      <c r="H45" s="903"/>
      <c r="I45" s="903"/>
      <c r="J45" s="903"/>
      <c r="K45" s="903"/>
      <c r="L45" s="925"/>
      <c r="M45" s="925"/>
      <c r="N45" s="925"/>
      <c r="O45" s="925"/>
      <c r="P45" s="903">
        <f t="shared" si="9"/>
        <v>122.96153846153845</v>
      </c>
      <c r="Q45" s="856">
        <f>S45*$Q$22</f>
        <v>106.92307692307692</v>
      </c>
      <c r="R45" s="856">
        <f>S45*$R$22</f>
        <v>16.03846153846154</v>
      </c>
      <c r="S45" s="1038">
        <f>NC_DKDD!G555</f>
        <v>0.02</v>
      </c>
      <c r="T45" s="946">
        <f>'[1]2,DG-capdoi'!N44</f>
        <v>0</v>
      </c>
      <c r="U45" s="946">
        <f t="shared" si="2"/>
        <v>0</v>
      </c>
      <c r="V45" s="1036"/>
      <c r="W45" s="1036"/>
      <c r="X45" s="1036"/>
      <c r="Y45" s="1036"/>
      <c r="Z45" s="1036"/>
      <c r="AA45" s="1036"/>
      <c r="AB45" s="1036"/>
      <c r="AC45" s="1036"/>
      <c r="AD45" s="1036"/>
      <c r="AE45" s="1036"/>
      <c r="AF45" s="1036"/>
      <c r="AG45" s="1036"/>
      <c r="AH45" s="1036"/>
      <c r="AI45" s="1036"/>
      <c r="AJ45" s="1036"/>
      <c r="AK45" s="1036"/>
    </row>
    <row r="46" spans="1:37" s="1037" customFormat="1" ht="23.25" customHeight="1">
      <c r="A46" s="869" t="s">
        <v>184</v>
      </c>
      <c r="B46" s="1035" t="s">
        <v>765</v>
      </c>
      <c r="C46" s="832"/>
      <c r="D46" s="901"/>
      <c r="E46" s="903"/>
      <c r="F46" s="903"/>
      <c r="G46" s="391"/>
      <c r="H46" s="903"/>
      <c r="I46" s="903"/>
      <c r="J46" s="903"/>
      <c r="K46" s="903"/>
      <c r="L46" s="925"/>
      <c r="M46" s="925"/>
      <c r="N46" s="925"/>
      <c r="O46" s="925"/>
      <c r="P46" s="903"/>
      <c r="Q46" s="856">
        <f t="shared" ref="Q46:Q51" si="13">S46*$Q$22</f>
        <v>0</v>
      </c>
      <c r="R46" s="856">
        <f t="shared" si="11"/>
        <v>0</v>
      </c>
      <c r="S46" s="1038"/>
      <c r="T46" s="946">
        <f>'[1]2,DG-capdoi'!N45</f>
        <v>0</v>
      </c>
      <c r="U46" s="946">
        <f t="shared" si="2"/>
        <v>0</v>
      </c>
      <c r="V46" s="1036"/>
      <c r="W46" s="1036"/>
      <c r="X46" s="1036"/>
      <c r="Y46" s="1036"/>
      <c r="Z46" s="1036"/>
      <c r="AA46" s="1036"/>
      <c r="AB46" s="1036"/>
      <c r="AC46" s="1036"/>
      <c r="AD46" s="1036"/>
      <c r="AE46" s="1036"/>
      <c r="AF46" s="1036"/>
      <c r="AG46" s="1036"/>
      <c r="AH46" s="1036"/>
      <c r="AI46" s="1036"/>
      <c r="AJ46" s="1036"/>
      <c r="AK46" s="1036"/>
    </row>
    <row r="47" spans="1:37" s="1037" customFormat="1" ht="23.25" customHeight="1">
      <c r="A47" s="869" t="s">
        <v>484</v>
      </c>
      <c r="B47" s="868" t="s">
        <v>451</v>
      </c>
      <c r="C47" s="832" t="s">
        <v>281</v>
      </c>
      <c r="D47" s="901" t="s">
        <v>370</v>
      </c>
      <c r="E47" s="903" t="e">
        <f>E50+E52+E53+E55+E59+E61+E63+E66+E68+E70+E71+E72+E75+E76+E77+E78+E79+E80</f>
        <v>#VALUE!</v>
      </c>
      <c r="F47" s="903">
        <f>F50+F52+F53+F55+F59+F61+F63+F64+F66+F68+F70+F71+F72+F75+F76+F77+F78+F79+F80</f>
        <v>0</v>
      </c>
      <c r="G47" s="903"/>
      <c r="H47" s="1039">
        <f>'Dcu-DKDD'!$J$180/8000</f>
        <v>0.32537471794871792</v>
      </c>
      <c r="I47" s="1039">
        <f>'VL-DKDD'!$H$189/8000</f>
        <v>2.9647350000000001</v>
      </c>
      <c r="J47" s="1039">
        <f>'TB-DKDD'!$K$102/8000</f>
        <v>0.21850749999999999</v>
      </c>
      <c r="K47" s="1039">
        <f>'NL-DKDD'!$H$72/8000</f>
        <v>0.41219849999999997</v>
      </c>
      <c r="L47" s="893" t="e">
        <f>SUM(E47:K47)</f>
        <v>#VALUE!</v>
      </c>
      <c r="M47" s="893" t="e">
        <f>L47*'He so chung'!$D$17/100</f>
        <v>#VALUE!</v>
      </c>
      <c r="N47" s="893" t="e">
        <f>L47+M47</f>
        <v>#VALUE!</v>
      </c>
      <c r="O47" s="925"/>
      <c r="P47" s="903">
        <f>P50+P52+P53+P55+P59+P61+P63+P66+P68+P70+P71+P72+P75+P76+P77+P78+P79+P80</f>
        <v>3387.5903846153851</v>
      </c>
      <c r="Q47" s="856">
        <f t="shared" si="13"/>
        <v>0</v>
      </c>
      <c r="R47" s="856">
        <f t="shared" si="11"/>
        <v>0</v>
      </c>
      <c r="S47" s="1038">
        <f>NC_DKDD!G556</f>
        <v>0</v>
      </c>
      <c r="T47" s="946">
        <f>'[1]2,DG-capdoi'!N46</f>
        <v>117423.47305442177</v>
      </c>
      <c r="U47" s="946" t="e">
        <f t="shared" si="2"/>
        <v>#VALUE!</v>
      </c>
      <c r="V47" s="1036"/>
      <c r="W47" s="1036"/>
      <c r="X47" s="1036"/>
      <c r="Y47" s="1036"/>
      <c r="Z47" s="1036"/>
      <c r="AA47" s="1036"/>
      <c r="AB47" s="1036"/>
      <c r="AC47" s="1036"/>
      <c r="AD47" s="1036"/>
      <c r="AE47" s="1036"/>
      <c r="AF47" s="1036"/>
      <c r="AG47" s="1036"/>
      <c r="AH47" s="1036"/>
      <c r="AI47" s="1036"/>
      <c r="AJ47" s="1036"/>
      <c r="AK47" s="1036"/>
    </row>
    <row r="48" spans="1:37" s="1037" customFormat="1" ht="23.25" customHeight="1">
      <c r="A48" s="869" t="s">
        <v>668</v>
      </c>
      <c r="B48" s="868" t="s">
        <v>452</v>
      </c>
      <c r="C48" s="832" t="s">
        <v>281</v>
      </c>
      <c r="D48" s="901" t="s">
        <v>370</v>
      </c>
      <c r="E48" s="903" t="e">
        <f>E51+E52+E53+E55+E58+E62+E63+E66+E68+E70+E71+E72+E75+E76+E77+E78+E79+E80</f>
        <v>#VALUE!</v>
      </c>
      <c r="F48" s="903">
        <f>F51+F52+F53+F55+F58+F62+F63+F64+F66+F68+F70+F71+F72+F75+F76+F77+F78+F79+F80</f>
        <v>0</v>
      </c>
      <c r="G48" s="903"/>
      <c r="H48" s="1039">
        <f>'Dcu-DKDD'!$J$180/8000</f>
        <v>0.32537471794871792</v>
      </c>
      <c r="I48" s="1039">
        <f>'VL-DKDD'!$H$189/8000</f>
        <v>2.9647350000000001</v>
      </c>
      <c r="J48" s="1039">
        <f>'TB-DKDD'!$K$102/8000</f>
        <v>0.21850749999999999</v>
      </c>
      <c r="K48" s="1039">
        <f>'NL-DKDD'!$H$72/8000</f>
        <v>0.41219849999999997</v>
      </c>
      <c r="L48" s="893" t="e">
        <f>SUM(E48:K48)</f>
        <v>#VALUE!</v>
      </c>
      <c r="M48" s="893" t="e">
        <f>L48*'He so chung'!$D$17/100</f>
        <v>#VALUE!</v>
      </c>
      <c r="N48" s="893" t="e">
        <f>L48+M48</f>
        <v>#VALUE!</v>
      </c>
      <c r="O48" s="925"/>
      <c r="P48" s="903">
        <f>P51+P52+P53+P55+P58+P62+P63+P66+P68+P70+P71+P72+P75+P76+P77+P78+P79+P80</f>
        <v>3233.8884615384618</v>
      </c>
      <c r="Q48" s="856">
        <f t="shared" si="13"/>
        <v>0</v>
      </c>
      <c r="R48" s="856">
        <f t="shared" si="11"/>
        <v>0</v>
      </c>
      <c r="S48" s="1038"/>
      <c r="T48" s="946">
        <f>'[1]2,DG-capdoi'!N47</f>
        <v>112043.18334769101</v>
      </c>
      <c r="U48" s="946" t="e">
        <f t="shared" si="2"/>
        <v>#VALUE!</v>
      </c>
      <c r="V48" s="1036"/>
      <c r="W48" s="1036"/>
      <c r="X48" s="1036"/>
      <c r="Y48" s="1036"/>
      <c r="Z48" s="1036"/>
      <c r="AA48" s="1036"/>
      <c r="AB48" s="1036"/>
      <c r="AC48" s="1036"/>
      <c r="AD48" s="1036"/>
      <c r="AE48" s="1036"/>
      <c r="AF48" s="1036"/>
      <c r="AG48" s="1036"/>
      <c r="AH48" s="1036"/>
      <c r="AI48" s="1036"/>
      <c r="AJ48" s="1036"/>
      <c r="AK48" s="1036"/>
    </row>
    <row r="49" spans="1:37" s="1037" customFormat="1" ht="28.5">
      <c r="A49" s="832">
        <v>1</v>
      </c>
      <c r="B49" s="827" t="s">
        <v>258</v>
      </c>
      <c r="C49" s="832"/>
      <c r="D49" s="832"/>
      <c r="E49" s="903">
        <f>NC_DKDD!H557</f>
        <v>0</v>
      </c>
      <c r="F49" s="903"/>
      <c r="G49" s="391"/>
      <c r="H49" s="903"/>
      <c r="I49" s="903"/>
      <c r="J49" s="903"/>
      <c r="K49" s="903"/>
      <c r="L49" s="925"/>
      <c r="M49" s="925"/>
      <c r="N49" s="925"/>
      <c r="O49" s="925"/>
      <c r="P49" s="903">
        <f t="shared" si="9"/>
        <v>0</v>
      </c>
      <c r="Q49" s="856">
        <f t="shared" si="13"/>
        <v>0</v>
      </c>
      <c r="R49" s="856">
        <f t="shared" si="11"/>
        <v>0</v>
      </c>
      <c r="S49" s="1038">
        <f>NC_DKDD!G557</f>
        <v>0</v>
      </c>
      <c r="T49" s="946">
        <f>'[1]2,DG-capdoi'!N48</f>
        <v>0</v>
      </c>
      <c r="U49" s="946">
        <f t="shared" si="2"/>
        <v>0</v>
      </c>
      <c r="V49" s="1036"/>
      <c r="W49" s="1036"/>
      <c r="X49" s="1036"/>
      <c r="Y49" s="1036"/>
      <c r="Z49" s="1036"/>
      <c r="AA49" s="1036"/>
      <c r="AB49" s="1036"/>
      <c r="AC49" s="1036"/>
      <c r="AD49" s="1036"/>
      <c r="AE49" s="1036"/>
      <c r="AF49" s="1036"/>
      <c r="AG49" s="1036"/>
      <c r="AH49" s="1036"/>
      <c r="AI49" s="1036"/>
      <c r="AJ49" s="1036"/>
      <c r="AK49" s="1036"/>
    </row>
    <row r="50" spans="1:37" s="1037" customFormat="1" ht="23.25" customHeight="1">
      <c r="A50" s="832" t="s">
        <v>891</v>
      </c>
      <c r="B50" s="827" t="s">
        <v>33</v>
      </c>
      <c r="C50" s="832" t="s">
        <v>281</v>
      </c>
      <c r="D50" s="901" t="s">
        <v>370</v>
      </c>
      <c r="E50" s="903" t="e">
        <f>NC_DKDD!H558</f>
        <v>#VALUE!</v>
      </c>
      <c r="F50" s="903"/>
      <c r="G50" s="391"/>
      <c r="H50" s="903"/>
      <c r="I50" s="903"/>
      <c r="J50" s="903"/>
      <c r="K50" s="903"/>
      <c r="L50" s="925"/>
      <c r="M50" s="925"/>
      <c r="N50" s="925"/>
      <c r="O50" s="925"/>
      <c r="P50" s="903">
        <f t="shared" si="9"/>
        <v>153.70192307692309</v>
      </c>
      <c r="Q50" s="856">
        <f t="shared" si="13"/>
        <v>133.65384615384616</v>
      </c>
      <c r="R50" s="856">
        <f t="shared" si="11"/>
        <v>20.048076923076923</v>
      </c>
      <c r="S50" s="1038">
        <f>NC_DKDD!G558</f>
        <v>2.5000000000000001E-2</v>
      </c>
      <c r="T50" s="946">
        <f>'[1]2,DG-capdoi'!N49</f>
        <v>0</v>
      </c>
      <c r="U50" s="946">
        <f t="shared" si="2"/>
        <v>0</v>
      </c>
      <c r="V50" s="1036"/>
      <c r="W50" s="1036"/>
      <c r="X50" s="1036"/>
      <c r="Y50" s="1036"/>
      <c r="Z50" s="1036"/>
      <c r="AA50" s="1036"/>
      <c r="AB50" s="1036"/>
      <c r="AC50" s="1036"/>
      <c r="AD50" s="1036"/>
      <c r="AE50" s="1036"/>
      <c r="AF50" s="1036"/>
      <c r="AG50" s="1036"/>
      <c r="AH50" s="1036"/>
      <c r="AI50" s="1036"/>
      <c r="AJ50" s="1036"/>
      <c r="AK50" s="1036"/>
    </row>
    <row r="51" spans="1:37" s="1037" customFormat="1" ht="23.25" customHeight="1">
      <c r="A51" s="832" t="s">
        <v>899</v>
      </c>
      <c r="B51" s="827" t="s">
        <v>36</v>
      </c>
      <c r="C51" s="832" t="s">
        <v>281</v>
      </c>
      <c r="D51" s="901" t="s">
        <v>370</v>
      </c>
      <c r="E51" s="903" t="e">
        <f>NC_DKDD!H559</f>
        <v>#VALUE!</v>
      </c>
      <c r="F51" s="903"/>
      <c r="G51" s="391"/>
      <c r="H51" s="903"/>
      <c r="I51" s="903"/>
      <c r="J51" s="903"/>
      <c r="K51" s="903"/>
      <c r="L51" s="925"/>
      <c r="M51" s="925"/>
      <c r="N51" s="925"/>
      <c r="O51" s="925"/>
      <c r="P51" s="903">
        <f t="shared" si="9"/>
        <v>122.96153846153845</v>
      </c>
      <c r="Q51" s="856">
        <f t="shared" si="13"/>
        <v>106.92307692307692</v>
      </c>
      <c r="R51" s="856">
        <f t="shared" si="11"/>
        <v>16.03846153846154</v>
      </c>
      <c r="S51" s="1038">
        <f>NC_DKDD!G559</f>
        <v>0.02</v>
      </c>
      <c r="T51" s="946">
        <f>'[1]2,DG-capdoi'!N50</f>
        <v>0</v>
      </c>
      <c r="U51" s="946">
        <f t="shared" si="2"/>
        <v>0</v>
      </c>
      <c r="V51" s="1036"/>
      <c r="W51" s="1036"/>
      <c r="X51" s="1036"/>
      <c r="Y51" s="1036"/>
      <c r="Z51" s="1036"/>
      <c r="AA51" s="1036"/>
      <c r="AB51" s="1036"/>
      <c r="AC51" s="1036"/>
      <c r="AD51" s="1036"/>
      <c r="AE51" s="1036"/>
      <c r="AF51" s="1036"/>
      <c r="AG51" s="1036"/>
      <c r="AH51" s="1036"/>
      <c r="AI51" s="1036"/>
      <c r="AJ51" s="1036"/>
      <c r="AK51" s="1036"/>
    </row>
    <row r="52" spans="1:37" s="1037" customFormat="1" ht="35.25" customHeight="1">
      <c r="A52" s="832">
        <v>2</v>
      </c>
      <c r="B52" s="827" t="s">
        <v>231</v>
      </c>
      <c r="C52" s="832" t="s">
        <v>281</v>
      </c>
      <c r="D52" s="901" t="s">
        <v>370</v>
      </c>
      <c r="E52" s="903" t="e">
        <f>NC_DKDD!H560</f>
        <v>#VALUE!</v>
      </c>
      <c r="F52" s="903"/>
      <c r="G52" s="391"/>
      <c r="H52" s="903"/>
      <c r="I52" s="903"/>
      <c r="J52" s="903"/>
      <c r="K52" s="903"/>
      <c r="L52" s="925"/>
      <c r="M52" s="925"/>
      <c r="N52" s="925"/>
      <c r="O52" s="925"/>
      <c r="P52" s="903">
        <f t="shared" si="9"/>
        <v>614.80769230769238</v>
      </c>
      <c r="Q52" s="856">
        <f>S52*$Q$22</f>
        <v>534.61538461538464</v>
      </c>
      <c r="R52" s="856">
        <f>S52*$R$22</f>
        <v>80.192307692307693</v>
      </c>
      <c r="S52" s="1038">
        <f>NC_DKDD!G560</f>
        <v>0.1</v>
      </c>
      <c r="T52" s="946">
        <f>'[1]2,DG-capdoi'!N51</f>
        <v>0</v>
      </c>
      <c r="U52" s="946">
        <f t="shared" si="2"/>
        <v>0</v>
      </c>
      <c r="V52" s="1036"/>
      <c r="W52" s="1036"/>
      <c r="X52" s="1036"/>
      <c r="Y52" s="1036"/>
      <c r="Z52" s="1036"/>
      <c r="AA52" s="1036"/>
      <c r="AB52" s="1036"/>
      <c r="AC52" s="1036"/>
      <c r="AD52" s="1036"/>
      <c r="AE52" s="1036"/>
      <c r="AF52" s="1036"/>
      <c r="AG52" s="1036"/>
      <c r="AH52" s="1036"/>
      <c r="AI52" s="1036"/>
      <c r="AJ52" s="1036"/>
      <c r="AK52" s="1036"/>
    </row>
    <row r="53" spans="1:37" s="1037" customFormat="1" ht="40.5" customHeight="1">
      <c r="A53" s="832">
        <v>3</v>
      </c>
      <c r="B53" s="827" t="s">
        <v>69</v>
      </c>
      <c r="C53" s="832" t="s">
        <v>523</v>
      </c>
      <c r="D53" s="901" t="s">
        <v>370</v>
      </c>
      <c r="E53" s="903" t="e">
        <f>NC_DKDD!H561</f>
        <v>#VALUE!</v>
      </c>
      <c r="F53" s="903"/>
      <c r="G53" s="391"/>
      <c r="H53" s="903"/>
      <c r="I53" s="903"/>
      <c r="J53" s="903"/>
      <c r="K53" s="903"/>
      <c r="L53" s="925"/>
      <c r="M53" s="925"/>
      <c r="N53" s="925"/>
      <c r="O53" s="925"/>
      <c r="P53" s="903">
        <f t="shared" si="9"/>
        <v>36.888461538461534</v>
      </c>
      <c r="Q53" s="856">
        <f t="shared" ref="Q53:Q62" si="14">S53*$Q$22</f>
        <v>32.076923076923073</v>
      </c>
      <c r="R53" s="856">
        <f t="shared" si="11"/>
        <v>4.8115384615384613</v>
      </c>
      <c r="S53" s="1038">
        <f>NC_DKDD!G561</f>
        <v>6.0000000000000001E-3</v>
      </c>
      <c r="T53" s="946">
        <f>'[1]2,DG-capdoi'!N52</f>
        <v>0</v>
      </c>
      <c r="U53" s="946">
        <f t="shared" si="2"/>
        <v>0</v>
      </c>
      <c r="V53" s="1036"/>
      <c r="W53" s="1036"/>
      <c r="X53" s="1036"/>
      <c r="Y53" s="1036"/>
      <c r="Z53" s="1036"/>
      <c r="AA53" s="1036"/>
      <c r="AB53" s="1036"/>
      <c r="AC53" s="1036"/>
      <c r="AD53" s="1036"/>
      <c r="AE53" s="1036"/>
      <c r="AF53" s="1036"/>
      <c r="AG53" s="1036"/>
      <c r="AH53" s="1036"/>
      <c r="AI53" s="1036"/>
      <c r="AJ53" s="1036"/>
      <c r="AK53" s="1036"/>
    </row>
    <row r="54" spans="1:37" s="1037" customFormat="1" ht="25.5" customHeight="1">
      <c r="A54" s="832">
        <v>4</v>
      </c>
      <c r="B54" s="827" t="s">
        <v>660</v>
      </c>
      <c r="C54" s="832"/>
      <c r="D54" s="832"/>
      <c r="E54" s="903">
        <f>NC_DKDD!H562</f>
        <v>0</v>
      </c>
      <c r="F54" s="903"/>
      <c r="G54" s="391"/>
      <c r="H54" s="903"/>
      <c r="I54" s="903"/>
      <c r="J54" s="903"/>
      <c r="K54" s="903"/>
      <c r="L54" s="925"/>
      <c r="M54" s="925"/>
      <c r="N54" s="925"/>
      <c r="O54" s="925"/>
      <c r="P54" s="903">
        <f t="shared" si="9"/>
        <v>0</v>
      </c>
      <c r="Q54" s="856">
        <f t="shared" si="14"/>
        <v>0</v>
      </c>
      <c r="R54" s="856">
        <f t="shared" si="11"/>
        <v>0</v>
      </c>
      <c r="S54" s="1038">
        <f>NC_DKDD!G562</f>
        <v>0</v>
      </c>
      <c r="T54" s="946">
        <f>'[1]2,DG-capdoi'!N53</f>
        <v>0</v>
      </c>
      <c r="U54" s="946">
        <f t="shared" si="2"/>
        <v>0</v>
      </c>
      <c r="V54" s="1036"/>
      <c r="W54" s="1036"/>
      <c r="X54" s="1036"/>
      <c r="Y54" s="1036"/>
      <c r="Z54" s="1036"/>
      <c r="AA54" s="1036"/>
      <c r="AB54" s="1036"/>
      <c r="AC54" s="1036"/>
      <c r="AD54" s="1036"/>
      <c r="AE54" s="1036"/>
      <c r="AF54" s="1036"/>
      <c r="AG54" s="1036"/>
      <c r="AH54" s="1036"/>
      <c r="AI54" s="1036"/>
      <c r="AJ54" s="1036"/>
      <c r="AK54" s="1036"/>
    </row>
    <row r="55" spans="1:37" s="1037" customFormat="1" ht="25.5" customHeight="1">
      <c r="A55" s="832" t="s">
        <v>251</v>
      </c>
      <c r="B55" s="827" t="s">
        <v>770</v>
      </c>
      <c r="C55" s="832" t="s">
        <v>281</v>
      </c>
      <c r="D55" s="901" t="s">
        <v>370</v>
      </c>
      <c r="E55" s="903" t="e">
        <f>NC_DKDD!H563</f>
        <v>#VALUE!</v>
      </c>
      <c r="F55" s="903"/>
      <c r="G55" s="391"/>
      <c r="H55" s="903"/>
      <c r="I55" s="903"/>
      <c r="J55" s="903"/>
      <c r="K55" s="903"/>
      <c r="L55" s="925"/>
      <c r="M55" s="925"/>
      <c r="N55" s="925"/>
      <c r="O55" s="925"/>
      <c r="P55" s="903">
        <f t="shared" si="9"/>
        <v>153.70192307692309</v>
      </c>
      <c r="Q55" s="856">
        <f t="shared" si="14"/>
        <v>133.65384615384616</v>
      </c>
      <c r="R55" s="856">
        <f t="shared" si="11"/>
        <v>20.048076923076923</v>
      </c>
      <c r="S55" s="1038">
        <f>NC_DKDD!G563</f>
        <v>2.5000000000000001E-2</v>
      </c>
      <c r="T55" s="946">
        <f>'[1]2,DG-capdoi'!N54</f>
        <v>0</v>
      </c>
      <c r="U55" s="946">
        <f t="shared" si="2"/>
        <v>0</v>
      </c>
      <c r="V55" s="1036"/>
      <c r="W55" s="1036"/>
      <c r="X55" s="1036"/>
      <c r="Y55" s="1036"/>
      <c r="Z55" s="1036"/>
      <c r="AA55" s="1036"/>
      <c r="AB55" s="1036"/>
      <c r="AC55" s="1036"/>
      <c r="AD55" s="1036"/>
      <c r="AE55" s="1036"/>
      <c r="AF55" s="1036"/>
      <c r="AG55" s="1036"/>
      <c r="AH55" s="1036"/>
      <c r="AI55" s="1036"/>
      <c r="AJ55" s="1036"/>
      <c r="AK55" s="1036"/>
    </row>
    <row r="56" spans="1:37" s="1037" customFormat="1" ht="25.5" customHeight="1">
      <c r="A56" s="832" t="s">
        <v>252</v>
      </c>
      <c r="B56" s="827" t="s">
        <v>771</v>
      </c>
      <c r="C56" s="832" t="s">
        <v>281</v>
      </c>
      <c r="D56" s="901" t="s">
        <v>370</v>
      </c>
      <c r="E56" s="903" t="e">
        <f>NC_DKDD!H564</f>
        <v>#VALUE!</v>
      </c>
      <c r="F56" s="903"/>
      <c r="G56" s="391"/>
      <c r="H56" s="903"/>
      <c r="I56" s="903"/>
      <c r="J56" s="903"/>
      <c r="K56" s="903"/>
      <c r="L56" s="925"/>
      <c r="M56" s="925"/>
      <c r="N56" s="925"/>
      <c r="O56" s="925"/>
      <c r="P56" s="903">
        <f t="shared" si="9"/>
        <v>307.40384615384619</v>
      </c>
      <c r="Q56" s="856">
        <f t="shared" si="14"/>
        <v>267.30769230769232</v>
      </c>
      <c r="R56" s="856">
        <f t="shared" si="11"/>
        <v>40.096153846153847</v>
      </c>
      <c r="S56" s="1038">
        <f>NC_DKDD!G564</f>
        <v>0.05</v>
      </c>
      <c r="T56" s="946">
        <f>'[1]2,DG-capdoi'!N55</f>
        <v>0</v>
      </c>
      <c r="U56" s="946">
        <f t="shared" si="2"/>
        <v>0</v>
      </c>
      <c r="V56" s="1036"/>
      <c r="W56" s="1036"/>
      <c r="X56" s="1036"/>
      <c r="Y56" s="1036"/>
      <c r="Z56" s="1036"/>
      <c r="AA56" s="1036"/>
      <c r="AB56" s="1036"/>
      <c r="AC56" s="1036"/>
      <c r="AD56" s="1036"/>
      <c r="AE56" s="1036"/>
      <c r="AF56" s="1036"/>
      <c r="AG56" s="1036"/>
      <c r="AH56" s="1036"/>
      <c r="AI56" s="1036"/>
      <c r="AJ56" s="1036"/>
      <c r="AK56" s="1036"/>
    </row>
    <row r="57" spans="1:37" s="1037" customFormat="1" ht="38.25" customHeight="1">
      <c r="A57" s="832">
        <v>5</v>
      </c>
      <c r="B57" s="827" t="s">
        <v>232</v>
      </c>
      <c r="C57" s="832"/>
      <c r="D57" s="832"/>
      <c r="E57" s="903">
        <f>NC_DKDD!H565</f>
        <v>0</v>
      </c>
      <c r="F57" s="903"/>
      <c r="G57" s="391"/>
      <c r="H57" s="903"/>
      <c r="I57" s="903"/>
      <c r="J57" s="903"/>
      <c r="K57" s="903"/>
      <c r="L57" s="925"/>
      <c r="M57" s="925"/>
      <c r="N57" s="925"/>
      <c r="O57" s="925"/>
      <c r="P57" s="903">
        <f t="shared" si="9"/>
        <v>0</v>
      </c>
      <c r="Q57" s="856">
        <f t="shared" si="14"/>
        <v>0</v>
      </c>
      <c r="R57" s="856">
        <f t="shared" si="11"/>
        <v>0</v>
      </c>
      <c r="S57" s="1038">
        <f>NC_DKDD!G565</f>
        <v>0</v>
      </c>
      <c r="T57" s="946">
        <f>'[1]2,DG-capdoi'!N56</f>
        <v>0</v>
      </c>
      <c r="U57" s="946">
        <f t="shared" si="2"/>
        <v>0</v>
      </c>
      <c r="V57" s="1036"/>
      <c r="W57" s="1036"/>
      <c r="X57" s="1036"/>
      <c r="Y57" s="1036"/>
      <c r="Z57" s="1036"/>
      <c r="AA57" s="1036"/>
      <c r="AB57" s="1036"/>
      <c r="AC57" s="1036"/>
      <c r="AD57" s="1036"/>
      <c r="AE57" s="1036"/>
      <c r="AF57" s="1036"/>
      <c r="AG57" s="1036"/>
      <c r="AH57" s="1036"/>
      <c r="AI57" s="1036"/>
      <c r="AJ57" s="1036"/>
      <c r="AK57" s="1036"/>
    </row>
    <row r="58" spans="1:37" s="1037" customFormat="1" ht="25.5" customHeight="1">
      <c r="A58" s="832" t="s">
        <v>607</v>
      </c>
      <c r="B58" s="827" t="s">
        <v>773</v>
      </c>
      <c r="C58" s="832" t="s">
        <v>281</v>
      </c>
      <c r="D58" s="901" t="s">
        <v>370</v>
      </c>
      <c r="E58" s="903" t="e">
        <f>NC_DKDD!H566</f>
        <v>#VALUE!</v>
      </c>
      <c r="F58" s="903"/>
      <c r="G58" s="391"/>
      <c r="H58" s="903"/>
      <c r="I58" s="903"/>
      <c r="J58" s="903"/>
      <c r="K58" s="903"/>
      <c r="L58" s="925"/>
      <c r="M58" s="925"/>
      <c r="N58" s="925"/>
      <c r="O58" s="925"/>
      <c r="P58" s="903">
        <f t="shared" si="9"/>
        <v>184.44230769230768</v>
      </c>
      <c r="Q58" s="856">
        <f t="shared" si="14"/>
        <v>160.38461538461536</v>
      </c>
      <c r="R58" s="856">
        <f t="shared" si="11"/>
        <v>24.057692307692307</v>
      </c>
      <c r="S58" s="1038">
        <f>NC_DKDD!G566</f>
        <v>0.03</v>
      </c>
      <c r="T58" s="946">
        <f>'[1]2,DG-capdoi'!N57</f>
        <v>0</v>
      </c>
      <c r="U58" s="946">
        <f t="shared" si="2"/>
        <v>0</v>
      </c>
      <c r="V58" s="1036"/>
      <c r="W58" s="1036"/>
      <c r="X58" s="1036"/>
      <c r="Y58" s="1036"/>
      <c r="Z58" s="1036"/>
      <c r="AA58" s="1036"/>
      <c r="AB58" s="1036"/>
      <c r="AC58" s="1036"/>
      <c r="AD58" s="1036"/>
      <c r="AE58" s="1036"/>
      <c r="AF58" s="1036"/>
      <c r="AG58" s="1036"/>
      <c r="AH58" s="1036"/>
      <c r="AI58" s="1036"/>
      <c r="AJ58" s="1036"/>
      <c r="AK58" s="1036"/>
    </row>
    <row r="59" spans="1:37" s="1037" customFormat="1" ht="25.5" customHeight="1">
      <c r="A59" s="832" t="s">
        <v>608</v>
      </c>
      <c r="B59" s="827" t="s">
        <v>774</v>
      </c>
      <c r="C59" s="832" t="s">
        <v>281</v>
      </c>
      <c r="D59" s="901" t="s">
        <v>370</v>
      </c>
      <c r="E59" s="903" t="e">
        <f>NC_DKDD!H567</f>
        <v>#VALUE!</v>
      </c>
      <c r="F59" s="903"/>
      <c r="G59" s="391"/>
      <c r="H59" s="903"/>
      <c r="I59" s="903"/>
      <c r="J59" s="903"/>
      <c r="K59" s="903"/>
      <c r="L59" s="925"/>
      <c r="M59" s="925"/>
      <c r="N59" s="925"/>
      <c r="O59" s="925"/>
      <c r="P59" s="903">
        <f t="shared" si="9"/>
        <v>245.92307692307691</v>
      </c>
      <c r="Q59" s="856">
        <f t="shared" si="14"/>
        <v>213.84615384615384</v>
      </c>
      <c r="R59" s="856">
        <f t="shared" si="11"/>
        <v>32.07692307692308</v>
      </c>
      <c r="S59" s="1038">
        <f>NC_DKDD!G567</f>
        <v>0.04</v>
      </c>
      <c r="T59" s="946">
        <f>'[1]2,DG-capdoi'!N58</f>
        <v>0</v>
      </c>
      <c r="U59" s="946">
        <f t="shared" si="2"/>
        <v>0</v>
      </c>
      <c r="V59" s="1036"/>
      <c r="W59" s="1036"/>
      <c r="X59" s="1036"/>
      <c r="Y59" s="1036"/>
      <c r="Z59" s="1036"/>
      <c r="AA59" s="1036"/>
      <c r="AB59" s="1036"/>
      <c r="AC59" s="1036"/>
      <c r="AD59" s="1036"/>
      <c r="AE59" s="1036"/>
      <c r="AF59" s="1036"/>
      <c r="AG59" s="1036"/>
      <c r="AH59" s="1036"/>
      <c r="AI59" s="1036"/>
      <c r="AJ59" s="1036"/>
      <c r="AK59" s="1036"/>
    </row>
    <row r="60" spans="1:37" s="1037" customFormat="1" ht="40.5" customHeight="1">
      <c r="A60" s="832">
        <v>6</v>
      </c>
      <c r="B60" s="827" t="s">
        <v>233</v>
      </c>
      <c r="C60" s="832"/>
      <c r="D60" s="832"/>
      <c r="E60" s="903">
        <f>NC_DKDD!H568</f>
        <v>0</v>
      </c>
      <c r="F60" s="903"/>
      <c r="G60" s="391"/>
      <c r="H60" s="903"/>
      <c r="I60" s="903"/>
      <c r="J60" s="903"/>
      <c r="K60" s="903"/>
      <c r="L60" s="925"/>
      <c r="M60" s="925"/>
      <c r="N60" s="925"/>
      <c r="O60" s="925"/>
      <c r="P60" s="903">
        <f t="shared" si="9"/>
        <v>0</v>
      </c>
      <c r="Q60" s="856">
        <f t="shared" si="14"/>
        <v>0</v>
      </c>
      <c r="R60" s="856">
        <f t="shared" si="11"/>
        <v>0</v>
      </c>
      <c r="S60" s="1038">
        <f>NC_DKDD!G568</f>
        <v>0</v>
      </c>
      <c r="T60" s="946">
        <f>'[1]2,DG-capdoi'!N59</f>
        <v>0</v>
      </c>
      <c r="U60" s="946">
        <f t="shared" si="2"/>
        <v>0</v>
      </c>
      <c r="V60" s="1036"/>
      <c r="W60" s="1036"/>
      <c r="X60" s="1036"/>
      <c r="Y60" s="1036"/>
      <c r="Z60" s="1036"/>
      <c r="AA60" s="1036"/>
      <c r="AB60" s="1036"/>
      <c r="AC60" s="1036"/>
      <c r="AD60" s="1036"/>
      <c r="AE60" s="1036"/>
      <c r="AF60" s="1036"/>
      <c r="AG60" s="1036"/>
      <c r="AH60" s="1036"/>
      <c r="AI60" s="1036"/>
      <c r="AJ60" s="1036"/>
      <c r="AK60" s="1036"/>
    </row>
    <row r="61" spans="1:37" s="1037" customFormat="1" ht="33.75" customHeight="1">
      <c r="A61" s="832" t="s">
        <v>444</v>
      </c>
      <c r="B61" s="827" t="s">
        <v>776</v>
      </c>
      <c r="C61" s="832" t="s">
        <v>281</v>
      </c>
      <c r="D61" s="901" t="s">
        <v>370</v>
      </c>
      <c r="E61" s="903" t="e">
        <f>NC_DKDD!H569</f>
        <v>#VALUE!</v>
      </c>
      <c r="F61" s="903"/>
      <c r="G61" s="391"/>
      <c r="H61" s="903"/>
      <c r="I61" s="903"/>
      <c r="J61" s="903"/>
      <c r="K61" s="903"/>
      <c r="L61" s="925"/>
      <c r="M61" s="925"/>
      <c r="N61" s="925"/>
      <c r="O61" s="925"/>
      <c r="P61" s="903">
        <f t="shared" si="9"/>
        <v>245.92307692307691</v>
      </c>
      <c r="Q61" s="856">
        <f t="shared" si="14"/>
        <v>213.84615384615384</v>
      </c>
      <c r="R61" s="856">
        <f t="shared" si="11"/>
        <v>32.07692307692308</v>
      </c>
      <c r="S61" s="1038">
        <f>NC_DKDD!G569</f>
        <v>0.04</v>
      </c>
      <c r="T61" s="946">
        <f>'[1]2,DG-capdoi'!N60</f>
        <v>0</v>
      </c>
      <c r="U61" s="946">
        <f t="shared" si="2"/>
        <v>0</v>
      </c>
      <c r="V61" s="1036"/>
      <c r="W61" s="1036"/>
      <c r="X61" s="1036"/>
      <c r="Y61" s="1036"/>
      <c r="Z61" s="1036"/>
      <c r="AA61" s="1036"/>
      <c r="AB61" s="1036"/>
      <c r="AC61" s="1036"/>
      <c r="AD61" s="1036"/>
      <c r="AE61" s="1036"/>
      <c r="AF61" s="1036"/>
      <c r="AG61" s="1036"/>
      <c r="AH61" s="1036"/>
      <c r="AI61" s="1036"/>
      <c r="AJ61" s="1036"/>
      <c r="AK61" s="1036"/>
    </row>
    <row r="62" spans="1:37" s="1037" customFormat="1" ht="35.25" customHeight="1">
      <c r="A62" s="832" t="s">
        <v>445</v>
      </c>
      <c r="B62" s="827" t="s">
        <v>777</v>
      </c>
      <c r="C62" s="832" t="s">
        <v>281</v>
      </c>
      <c r="D62" s="901" t="s">
        <v>370</v>
      </c>
      <c r="E62" s="903" t="e">
        <f>NC_DKDD!H570</f>
        <v>#VALUE!</v>
      </c>
      <c r="F62" s="903"/>
      <c r="G62" s="391"/>
      <c r="H62" s="903"/>
      <c r="I62" s="903"/>
      <c r="J62" s="903"/>
      <c r="K62" s="903"/>
      <c r="L62" s="925"/>
      <c r="M62" s="925"/>
      <c r="N62" s="925"/>
      <c r="O62" s="925"/>
      <c r="P62" s="903">
        <f t="shared" si="9"/>
        <v>184.44230769230768</v>
      </c>
      <c r="Q62" s="856">
        <f t="shared" si="14"/>
        <v>160.38461538461536</v>
      </c>
      <c r="R62" s="856">
        <f t="shared" si="11"/>
        <v>24.057692307692307</v>
      </c>
      <c r="S62" s="1038">
        <f>NC_DKDD!G570</f>
        <v>0.03</v>
      </c>
      <c r="T62" s="946">
        <f>'[1]2,DG-capdoi'!N61</f>
        <v>0</v>
      </c>
      <c r="U62" s="946">
        <f t="shared" si="2"/>
        <v>0</v>
      </c>
      <c r="V62" s="1036"/>
      <c r="W62" s="1036"/>
      <c r="X62" s="1036"/>
      <c r="Y62" s="1036"/>
      <c r="Z62" s="1036"/>
      <c r="AA62" s="1036"/>
      <c r="AB62" s="1036"/>
      <c r="AC62" s="1036"/>
      <c r="AD62" s="1036"/>
      <c r="AE62" s="1036"/>
      <c r="AF62" s="1036"/>
      <c r="AG62" s="1036"/>
      <c r="AH62" s="1036"/>
      <c r="AI62" s="1036"/>
      <c r="AJ62" s="1036"/>
      <c r="AK62" s="1036"/>
    </row>
    <row r="63" spans="1:37" s="1037" customFormat="1" ht="24" customHeight="1">
      <c r="A63" s="832">
        <v>7</v>
      </c>
      <c r="B63" s="827" t="s">
        <v>211</v>
      </c>
      <c r="C63" s="832" t="s">
        <v>523</v>
      </c>
      <c r="D63" s="901" t="s">
        <v>370</v>
      </c>
      <c r="E63" s="903" t="e">
        <f>NC_DKDD!H571</f>
        <v>#VALUE!</v>
      </c>
      <c r="F63" s="903"/>
      <c r="G63" s="391"/>
      <c r="H63" s="903"/>
      <c r="I63" s="903"/>
      <c r="J63" s="903"/>
      <c r="K63" s="903"/>
      <c r="L63" s="925"/>
      <c r="M63" s="925"/>
      <c r="N63" s="925"/>
      <c r="O63" s="925"/>
      <c r="P63" s="903">
        <f t="shared" si="9"/>
        <v>202.88653846153844</v>
      </c>
      <c r="Q63" s="856">
        <f t="shared" ref="Q63:Q72" si="15">S63*$Q$22</f>
        <v>176.42307692307691</v>
      </c>
      <c r="R63" s="856">
        <f t="shared" si="11"/>
        <v>26.463461538461541</v>
      </c>
      <c r="S63" s="1038">
        <f>NC_DKDD!G571</f>
        <v>3.3000000000000002E-2</v>
      </c>
      <c r="T63" s="946">
        <f>'[1]2,DG-capdoi'!N62</f>
        <v>0</v>
      </c>
      <c r="U63" s="946">
        <f t="shared" si="2"/>
        <v>0</v>
      </c>
      <c r="V63" s="1036"/>
      <c r="W63" s="1036"/>
      <c r="X63" s="1036"/>
      <c r="Y63" s="1036"/>
      <c r="Z63" s="1036"/>
      <c r="AA63" s="1036"/>
      <c r="AB63" s="1036"/>
      <c r="AC63" s="1036"/>
      <c r="AD63" s="1036"/>
      <c r="AE63" s="1036"/>
      <c r="AF63" s="1036"/>
      <c r="AG63" s="1036"/>
      <c r="AH63" s="1036"/>
      <c r="AI63" s="1036"/>
      <c r="AJ63" s="1036"/>
      <c r="AK63" s="1036"/>
    </row>
    <row r="64" spans="1:37" s="1037" customFormat="1" ht="24" customHeight="1">
      <c r="A64" s="832">
        <v>8</v>
      </c>
      <c r="B64" s="827" t="s">
        <v>978</v>
      </c>
      <c r="C64" s="832" t="s">
        <v>281</v>
      </c>
      <c r="D64" s="901" t="s">
        <v>370</v>
      </c>
      <c r="E64" s="903" t="e">
        <f>NC_DKDD!H572</f>
        <v>#VALUE!</v>
      </c>
      <c r="F64" s="903"/>
      <c r="G64" s="391"/>
      <c r="H64" s="903"/>
      <c r="I64" s="903"/>
      <c r="J64" s="903"/>
      <c r="K64" s="903"/>
      <c r="L64" s="925"/>
      <c r="M64" s="925"/>
      <c r="N64" s="925"/>
      <c r="O64" s="925"/>
      <c r="P64" s="903">
        <f t="shared" si="9"/>
        <v>1229.6153846153848</v>
      </c>
      <c r="Q64" s="856">
        <f t="shared" si="15"/>
        <v>1069.2307692307693</v>
      </c>
      <c r="R64" s="856">
        <f t="shared" si="11"/>
        <v>160.38461538461539</v>
      </c>
      <c r="S64" s="1038">
        <f>NC_DKDD!G572</f>
        <v>0.2</v>
      </c>
      <c r="T64" s="946">
        <f>'[1]2,DG-capdoi'!N63</f>
        <v>0</v>
      </c>
      <c r="U64" s="946">
        <f t="shared" si="2"/>
        <v>0</v>
      </c>
      <c r="V64" s="1036"/>
      <c r="W64" s="1036"/>
      <c r="X64" s="1036"/>
      <c r="Y64" s="1036"/>
      <c r="Z64" s="1036"/>
      <c r="AA64" s="1036"/>
      <c r="AB64" s="1036"/>
      <c r="AC64" s="1036"/>
      <c r="AD64" s="1036"/>
      <c r="AE64" s="1036"/>
      <c r="AF64" s="1036"/>
      <c r="AG64" s="1036"/>
      <c r="AH64" s="1036"/>
      <c r="AI64" s="1036"/>
      <c r="AJ64" s="1036"/>
      <c r="AK64" s="1036"/>
    </row>
    <row r="65" spans="1:37" s="1037" customFormat="1" ht="24" customHeight="1">
      <c r="A65" s="832">
        <v>9</v>
      </c>
      <c r="B65" s="827" t="s">
        <v>213</v>
      </c>
      <c r="C65" s="832"/>
      <c r="D65" s="832"/>
      <c r="E65" s="903">
        <f>NC_DKDD!H573</f>
        <v>0</v>
      </c>
      <c r="F65" s="903"/>
      <c r="G65" s="391"/>
      <c r="H65" s="903"/>
      <c r="I65" s="903"/>
      <c r="J65" s="903"/>
      <c r="K65" s="903"/>
      <c r="L65" s="925"/>
      <c r="M65" s="925"/>
      <c r="N65" s="925"/>
      <c r="O65" s="925"/>
      <c r="P65" s="903">
        <f t="shared" si="9"/>
        <v>0</v>
      </c>
      <c r="Q65" s="856">
        <f t="shared" si="15"/>
        <v>0</v>
      </c>
      <c r="R65" s="856">
        <f t="shared" si="11"/>
        <v>0</v>
      </c>
      <c r="S65" s="1038">
        <f>NC_DKDD!G573</f>
        <v>0</v>
      </c>
      <c r="T65" s="946">
        <f>'[1]2,DG-capdoi'!N64</f>
        <v>0</v>
      </c>
      <c r="U65" s="946">
        <f t="shared" si="2"/>
        <v>0</v>
      </c>
      <c r="V65" s="1036"/>
      <c r="W65" s="1036"/>
      <c r="X65" s="1036"/>
      <c r="Y65" s="1036"/>
      <c r="Z65" s="1036"/>
      <c r="AA65" s="1036"/>
      <c r="AB65" s="1036"/>
      <c r="AC65" s="1036"/>
      <c r="AD65" s="1036"/>
      <c r="AE65" s="1036"/>
      <c r="AF65" s="1036"/>
      <c r="AG65" s="1036"/>
      <c r="AH65" s="1036"/>
      <c r="AI65" s="1036"/>
      <c r="AJ65" s="1036"/>
      <c r="AK65" s="1036"/>
    </row>
    <row r="66" spans="1:37" s="1037" customFormat="1" ht="24" customHeight="1">
      <c r="A66" s="832" t="s">
        <v>446</v>
      </c>
      <c r="B66" s="827" t="s">
        <v>215</v>
      </c>
      <c r="C66" s="832" t="s">
        <v>320</v>
      </c>
      <c r="D66" s="901" t="s">
        <v>370</v>
      </c>
      <c r="E66" s="903" t="e">
        <f>NC_DKDD!H574</f>
        <v>#VALUE!</v>
      </c>
      <c r="F66" s="903"/>
      <c r="G66" s="391"/>
      <c r="H66" s="903"/>
      <c r="I66" s="903"/>
      <c r="J66" s="903"/>
      <c r="K66" s="903"/>
      <c r="L66" s="925"/>
      <c r="M66" s="925"/>
      <c r="N66" s="925"/>
      <c r="O66" s="925"/>
      <c r="P66" s="903">
        <f t="shared" si="9"/>
        <v>307.40384615384619</v>
      </c>
      <c r="Q66" s="856">
        <f t="shared" si="15"/>
        <v>267.30769230769232</v>
      </c>
      <c r="R66" s="856">
        <f t="shared" si="11"/>
        <v>40.096153846153847</v>
      </c>
      <c r="S66" s="1038">
        <f>NC_DKDD!G574</f>
        <v>0.05</v>
      </c>
      <c r="T66" s="946">
        <f>'[1]2,DG-capdoi'!N65</f>
        <v>0</v>
      </c>
      <c r="U66" s="946">
        <f t="shared" si="2"/>
        <v>0</v>
      </c>
      <c r="V66" s="1036"/>
      <c r="W66" s="1036"/>
      <c r="X66" s="1036"/>
      <c r="Y66" s="1036"/>
      <c r="Z66" s="1036"/>
      <c r="AA66" s="1036"/>
      <c r="AB66" s="1036"/>
      <c r="AC66" s="1036"/>
      <c r="AD66" s="1036"/>
      <c r="AE66" s="1036"/>
      <c r="AF66" s="1036"/>
      <c r="AG66" s="1036"/>
      <c r="AH66" s="1036"/>
      <c r="AI66" s="1036"/>
      <c r="AJ66" s="1036"/>
      <c r="AK66" s="1036"/>
    </row>
    <row r="67" spans="1:37" s="1037" customFormat="1" ht="24" customHeight="1">
      <c r="A67" s="832" t="s">
        <v>447</v>
      </c>
      <c r="B67" s="827" t="s">
        <v>217</v>
      </c>
      <c r="C67" s="832" t="s">
        <v>320</v>
      </c>
      <c r="D67" s="901" t="s">
        <v>370</v>
      </c>
      <c r="E67" s="903" t="e">
        <f>NC_DKDD!H575</f>
        <v>#VALUE!</v>
      </c>
      <c r="F67" s="903"/>
      <c r="G67" s="391"/>
      <c r="H67" s="903"/>
      <c r="I67" s="903"/>
      <c r="J67" s="903"/>
      <c r="K67" s="903"/>
      <c r="L67" s="925"/>
      <c r="M67" s="925"/>
      <c r="N67" s="925"/>
      <c r="O67" s="925"/>
      <c r="P67" s="903">
        <f t="shared" si="9"/>
        <v>614.80769230769238</v>
      </c>
      <c r="Q67" s="856">
        <f t="shared" si="15"/>
        <v>534.61538461538464</v>
      </c>
      <c r="R67" s="856">
        <f t="shared" si="11"/>
        <v>80.192307692307693</v>
      </c>
      <c r="S67" s="1038">
        <f>NC_DKDD!G575</f>
        <v>0.1</v>
      </c>
      <c r="T67" s="946">
        <f>'[1]2,DG-capdoi'!N66</f>
        <v>0</v>
      </c>
      <c r="U67" s="946">
        <f t="shared" si="2"/>
        <v>0</v>
      </c>
      <c r="V67" s="1036"/>
      <c r="W67" s="1036"/>
      <c r="X67" s="1036"/>
      <c r="Y67" s="1036"/>
      <c r="Z67" s="1036"/>
      <c r="AA67" s="1036"/>
      <c r="AB67" s="1036"/>
      <c r="AC67" s="1036"/>
      <c r="AD67" s="1036"/>
      <c r="AE67" s="1036"/>
      <c r="AF67" s="1036"/>
      <c r="AG67" s="1036"/>
      <c r="AH67" s="1036"/>
      <c r="AI67" s="1036"/>
      <c r="AJ67" s="1036"/>
      <c r="AK67" s="1036"/>
    </row>
    <row r="68" spans="1:37" s="1037" customFormat="1" ht="24" customHeight="1">
      <c r="A68" s="832">
        <v>10</v>
      </c>
      <c r="B68" s="827" t="s">
        <v>218</v>
      </c>
      <c r="C68" s="832" t="s">
        <v>281</v>
      </c>
      <c r="D68" s="901" t="s">
        <v>370</v>
      </c>
      <c r="E68" s="903" t="e">
        <f>NC_DKDD!H576</f>
        <v>#VALUE!</v>
      </c>
      <c r="F68" s="903"/>
      <c r="G68" s="391"/>
      <c r="H68" s="903"/>
      <c r="I68" s="903"/>
      <c r="J68" s="903"/>
      <c r="K68" s="903"/>
      <c r="L68" s="925"/>
      <c r="M68" s="925"/>
      <c r="N68" s="925"/>
      <c r="O68" s="925"/>
      <c r="P68" s="903">
        <f t="shared" si="9"/>
        <v>245.92307692307691</v>
      </c>
      <c r="Q68" s="856">
        <f t="shared" si="15"/>
        <v>213.84615384615384</v>
      </c>
      <c r="R68" s="856">
        <f t="shared" si="11"/>
        <v>32.07692307692308</v>
      </c>
      <c r="S68" s="1038">
        <f>NC_DKDD!G576</f>
        <v>0.04</v>
      </c>
      <c r="T68" s="946">
        <f>'[1]2,DG-capdoi'!N67</f>
        <v>0</v>
      </c>
      <c r="U68" s="946">
        <f t="shared" si="2"/>
        <v>0</v>
      </c>
      <c r="V68" s="1036"/>
      <c r="W68" s="1036"/>
      <c r="X68" s="1036"/>
      <c r="Y68" s="1036"/>
      <c r="Z68" s="1036"/>
      <c r="AA68" s="1036"/>
      <c r="AB68" s="1036"/>
      <c r="AC68" s="1036"/>
      <c r="AD68" s="1036"/>
      <c r="AE68" s="1036"/>
      <c r="AF68" s="1036"/>
      <c r="AG68" s="1036"/>
      <c r="AH68" s="1036"/>
      <c r="AI68" s="1036"/>
      <c r="AJ68" s="1036"/>
      <c r="AK68" s="1036"/>
    </row>
    <row r="69" spans="1:37" s="1037" customFormat="1" ht="36.75" customHeight="1">
      <c r="A69" s="832">
        <v>11</v>
      </c>
      <c r="B69" s="827" t="s">
        <v>234</v>
      </c>
      <c r="C69" s="832"/>
      <c r="D69" s="832"/>
      <c r="E69" s="903">
        <f>NC_DKDD!H577</f>
        <v>0</v>
      </c>
      <c r="F69" s="903"/>
      <c r="G69" s="391"/>
      <c r="H69" s="903"/>
      <c r="I69" s="903"/>
      <c r="J69" s="903"/>
      <c r="K69" s="903"/>
      <c r="L69" s="925"/>
      <c r="M69" s="925"/>
      <c r="N69" s="925"/>
      <c r="O69" s="925"/>
      <c r="P69" s="903">
        <f t="shared" si="9"/>
        <v>0</v>
      </c>
      <c r="Q69" s="856">
        <f t="shared" si="15"/>
        <v>0</v>
      </c>
      <c r="R69" s="856">
        <f t="shared" si="11"/>
        <v>0</v>
      </c>
      <c r="S69" s="1038">
        <f>NC_DKDD!G577</f>
        <v>0</v>
      </c>
      <c r="T69" s="946">
        <f>'[1]2,DG-capdoi'!N68</f>
        <v>0</v>
      </c>
      <c r="U69" s="946">
        <f t="shared" si="2"/>
        <v>0</v>
      </c>
      <c r="V69" s="1036"/>
      <c r="W69" s="1036"/>
      <c r="X69" s="1036"/>
      <c r="Y69" s="1036"/>
      <c r="Z69" s="1036"/>
      <c r="AA69" s="1036"/>
      <c r="AB69" s="1036"/>
      <c r="AC69" s="1036"/>
      <c r="AD69" s="1036"/>
      <c r="AE69" s="1036"/>
      <c r="AF69" s="1036"/>
      <c r="AG69" s="1036"/>
      <c r="AH69" s="1036"/>
      <c r="AI69" s="1036"/>
      <c r="AJ69" s="1036"/>
      <c r="AK69" s="1036"/>
    </row>
    <row r="70" spans="1:37" s="1037" customFormat="1" ht="57">
      <c r="A70" s="832" t="s">
        <v>877</v>
      </c>
      <c r="B70" s="827" t="s">
        <v>235</v>
      </c>
      <c r="C70" s="832" t="s">
        <v>281</v>
      </c>
      <c r="D70" s="901" t="s">
        <v>370</v>
      </c>
      <c r="E70" s="903" t="e">
        <f>NC_DKDD!H578</f>
        <v>#VALUE!</v>
      </c>
      <c r="F70" s="903"/>
      <c r="G70" s="391"/>
      <c r="H70" s="903"/>
      <c r="I70" s="903"/>
      <c r="J70" s="903"/>
      <c r="K70" s="903"/>
      <c r="L70" s="925"/>
      <c r="M70" s="925"/>
      <c r="N70" s="925"/>
      <c r="O70" s="925"/>
      <c r="P70" s="903">
        <f t="shared" si="9"/>
        <v>307.40384615384619</v>
      </c>
      <c r="Q70" s="856">
        <f t="shared" si="15"/>
        <v>267.30769230769232</v>
      </c>
      <c r="R70" s="856">
        <f t="shared" si="11"/>
        <v>40.096153846153847</v>
      </c>
      <c r="S70" s="1038">
        <f>NC_DKDD!G578</f>
        <v>0.05</v>
      </c>
      <c r="T70" s="946">
        <f>'[1]2,DG-capdoi'!N69</f>
        <v>0</v>
      </c>
      <c r="U70" s="946">
        <f t="shared" si="2"/>
        <v>0</v>
      </c>
      <c r="V70" s="1036"/>
      <c r="W70" s="1036"/>
      <c r="X70" s="1036"/>
      <c r="Y70" s="1036"/>
      <c r="Z70" s="1036"/>
      <c r="AA70" s="1036"/>
      <c r="AB70" s="1036"/>
      <c r="AC70" s="1036"/>
      <c r="AD70" s="1036"/>
      <c r="AE70" s="1036"/>
      <c r="AF70" s="1036"/>
      <c r="AG70" s="1036"/>
      <c r="AH70" s="1036"/>
      <c r="AI70" s="1036"/>
      <c r="AJ70" s="1036"/>
      <c r="AK70" s="1036"/>
    </row>
    <row r="71" spans="1:37" s="1037" customFormat="1" ht="33.75" customHeight="1">
      <c r="A71" s="832" t="s">
        <v>878</v>
      </c>
      <c r="B71" s="827" t="s">
        <v>236</v>
      </c>
      <c r="C71" s="832" t="s">
        <v>281</v>
      </c>
      <c r="D71" s="901" t="s">
        <v>370</v>
      </c>
      <c r="E71" s="903" t="e">
        <f>NC_DKDD!H579</f>
        <v>#VALUE!</v>
      </c>
      <c r="F71" s="903"/>
      <c r="G71" s="391"/>
      <c r="H71" s="903"/>
      <c r="I71" s="903"/>
      <c r="J71" s="903"/>
      <c r="K71" s="903"/>
      <c r="L71" s="925"/>
      <c r="M71" s="925"/>
      <c r="N71" s="925"/>
      <c r="O71" s="925"/>
      <c r="P71" s="903">
        <f t="shared" si="9"/>
        <v>307.40384615384619</v>
      </c>
      <c r="Q71" s="856">
        <f t="shared" si="15"/>
        <v>267.30769230769232</v>
      </c>
      <c r="R71" s="856">
        <f t="shared" si="11"/>
        <v>40.096153846153847</v>
      </c>
      <c r="S71" s="1038">
        <f>NC_DKDD!G579</f>
        <v>0.05</v>
      </c>
      <c r="T71" s="946">
        <f>'[1]2,DG-capdoi'!N70</f>
        <v>0</v>
      </c>
      <c r="U71" s="946">
        <f t="shared" si="2"/>
        <v>0</v>
      </c>
      <c r="V71" s="1036"/>
      <c r="W71" s="1036"/>
      <c r="X71" s="1036"/>
      <c r="Y71" s="1036"/>
      <c r="Z71" s="1036"/>
      <c r="AA71" s="1036"/>
      <c r="AB71" s="1036"/>
      <c r="AC71" s="1036"/>
      <c r="AD71" s="1036"/>
      <c r="AE71" s="1036"/>
      <c r="AF71" s="1036"/>
      <c r="AG71" s="1036"/>
      <c r="AH71" s="1036"/>
      <c r="AI71" s="1036"/>
      <c r="AJ71" s="1036"/>
      <c r="AK71" s="1036"/>
    </row>
    <row r="72" spans="1:37" s="1037" customFormat="1" ht="22.5" customHeight="1">
      <c r="A72" s="832">
        <v>12</v>
      </c>
      <c r="B72" s="827" t="s">
        <v>220</v>
      </c>
      <c r="C72" s="832" t="s">
        <v>523</v>
      </c>
      <c r="D72" s="901" t="s">
        <v>370</v>
      </c>
      <c r="E72" s="903" t="e">
        <f>NC_DKDD!H580</f>
        <v>#VALUE!</v>
      </c>
      <c r="F72" s="903"/>
      <c r="G72" s="391"/>
      <c r="H72" s="903"/>
      <c r="I72" s="903"/>
      <c r="J72" s="903"/>
      <c r="K72" s="903"/>
      <c r="L72" s="925"/>
      <c r="M72" s="925"/>
      <c r="N72" s="925"/>
      <c r="O72" s="925"/>
      <c r="P72" s="903">
        <f t="shared" si="9"/>
        <v>202.88653846153844</v>
      </c>
      <c r="Q72" s="856">
        <f t="shared" si="15"/>
        <v>176.42307692307691</v>
      </c>
      <c r="R72" s="856">
        <f t="shared" si="11"/>
        <v>26.463461538461541</v>
      </c>
      <c r="S72" s="1038">
        <f>NC_DKDD!G580</f>
        <v>3.3000000000000002E-2</v>
      </c>
      <c r="T72" s="946">
        <f>'[1]2,DG-capdoi'!N71</f>
        <v>0</v>
      </c>
      <c r="U72" s="946">
        <f t="shared" si="2"/>
        <v>0</v>
      </c>
      <c r="V72" s="1036"/>
      <c r="W72" s="1036"/>
      <c r="X72" s="1036"/>
      <c r="Y72" s="1036"/>
      <c r="Z72" s="1036"/>
      <c r="AA72" s="1036"/>
      <c r="AB72" s="1036"/>
      <c r="AC72" s="1036"/>
      <c r="AD72" s="1036"/>
      <c r="AE72" s="1036"/>
      <c r="AF72" s="1036"/>
      <c r="AG72" s="1036"/>
      <c r="AH72" s="1036"/>
      <c r="AI72" s="1036"/>
      <c r="AJ72" s="1036"/>
      <c r="AK72" s="1036"/>
    </row>
    <row r="73" spans="1:37" s="1037" customFormat="1" ht="22.5" customHeight="1">
      <c r="A73" s="832">
        <v>13</v>
      </c>
      <c r="B73" s="827" t="s">
        <v>221</v>
      </c>
      <c r="C73" s="832"/>
      <c r="D73" s="832"/>
      <c r="E73" s="903">
        <f>NC_DKDD!H581</f>
        <v>0</v>
      </c>
      <c r="F73" s="903"/>
      <c r="G73" s="391"/>
      <c r="H73" s="903"/>
      <c r="I73" s="903"/>
      <c r="J73" s="903"/>
      <c r="K73" s="903"/>
      <c r="L73" s="925"/>
      <c r="M73" s="925"/>
      <c r="N73" s="925"/>
      <c r="O73" s="925"/>
      <c r="P73" s="903">
        <f t="shared" si="9"/>
        <v>0</v>
      </c>
      <c r="Q73" s="856">
        <f t="shared" ref="Q73:Q88" si="16">S73*$Q$22</f>
        <v>0</v>
      </c>
      <c r="R73" s="856">
        <f t="shared" si="11"/>
        <v>0</v>
      </c>
      <c r="S73" s="1038">
        <f>NC_DKDD!G581</f>
        <v>0</v>
      </c>
      <c r="T73" s="946">
        <f>'[1]2,DG-capdoi'!N72</f>
        <v>0</v>
      </c>
      <c r="U73" s="946">
        <f t="shared" si="2"/>
        <v>0</v>
      </c>
      <c r="V73" s="1036"/>
      <c r="W73" s="1036"/>
      <c r="X73" s="1036"/>
      <c r="Y73" s="1036"/>
      <c r="Z73" s="1036"/>
      <c r="AA73" s="1036"/>
      <c r="AB73" s="1036"/>
      <c r="AC73" s="1036"/>
      <c r="AD73" s="1036"/>
      <c r="AE73" s="1036"/>
      <c r="AF73" s="1036"/>
      <c r="AG73" s="1036"/>
      <c r="AH73" s="1036"/>
      <c r="AI73" s="1036"/>
      <c r="AJ73" s="1036"/>
      <c r="AK73" s="1036"/>
    </row>
    <row r="74" spans="1:37" s="1037" customFormat="1" ht="35.25" customHeight="1">
      <c r="A74" s="832" t="s">
        <v>237</v>
      </c>
      <c r="B74" s="827" t="s">
        <v>931</v>
      </c>
      <c r="C74" s="832"/>
      <c r="D74" s="832"/>
      <c r="E74" s="903">
        <f>NC_DKDD!H582</f>
        <v>0</v>
      </c>
      <c r="F74" s="903"/>
      <c r="G74" s="391"/>
      <c r="H74" s="903"/>
      <c r="I74" s="903"/>
      <c r="J74" s="903"/>
      <c r="K74" s="903"/>
      <c r="L74" s="925"/>
      <c r="M74" s="925"/>
      <c r="N74" s="925"/>
      <c r="O74" s="925"/>
      <c r="P74" s="903">
        <f t="shared" si="9"/>
        <v>0</v>
      </c>
      <c r="Q74" s="856">
        <f t="shared" si="16"/>
        <v>0</v>
      </c>
      <c r="R74" s="856">
        <f t="shared" si="11"/>
        <v>0</v>
      </c>
      <c r="S74" s="1038">
        <f>NC_DKDD!G582</f>
        <v>0</v>
      </c>
      <c r="T74" s="946">
        <f>'[1]2,DG-capdoi'!N73</f>
        <v>0</v>
      </c>
      <c r="U74" s="946">
        <f t="shared" ref="U74:U138" si="17">T74-N74</f>
        <v>0</v>
      </c>
      <c r="V74" s="1036"/>
      <c r="W74" s="1036"/>
      <c r="X74" s="1036"/>
      <c r="Y74" s="1036"/>
      <c r="Z74" s="1036"/>
      <c r="AA74" s="1036"/>
      <c r="AB74" s="1036"/>
      <c r="AC74" s="1036"/>
      <c r="AD74" s="1036"/>
      <c r="AE74" s="1036"/>
      <c r="AF74" s="1036"/>
      <c r="AG74" s="1036"/>
      <c r="AH74" s="1036"/>
      <c r="AI74" s="1036"/>
      <c r="AJ74" s="1036"/>
      <c r="AK74" s="1036"/>
    </row>
    <row r="75" spans="1:37" s="1037" customFormat="1" ht="29.25" customHeight="1">
      <c r="A75" s="832" t="s">
        <v>238</v>
      </c>
      <c r="B75" s="827" t="s">
        <v>933</v>
      </c>
      <c r="C75" s="832" t="s">
        <v>525</v>
      </c>
      <c r="D75" s="901" t="s">
        <v>370</v>
      </c>
      <c r="E75" s="903" t="e">
        <f>NC_DKDD!H583</f>
        <v>#VALUE!</v>
      </c>
      <c r="F75" s="903"/>
      <c r="G75" s="391"/>
      <c r="H75" s="903"/>
      <c r="I75" s="903"/>
      <c r="J75" s="903"/>
      <c r="K75" s="903"/>
      <c r="L75" s="925"/>
      <c r="M75" s="925"/>
      <c r="N75" s="925"/>
      <c r="O75" s="925"/>
      <c r="P75" s="903">
        <f t="shared" si="9"/>
        <v>98.369230769230768</v>
      </c>
      <c r="Q75" s="856">
        <f t="shared" si="16"/>
        <v>85.538461538461533</v>
      </c>
      <c r="R75" s="856">
        <f t="shared" si="11"/>
        <v>12.830769230769231</v>
      </c>
      <c r="S75" s="1038">
        <f>NC_DKDD!G583</f>
        <v>1.6E-2</v>
      </c>
      <c r="T75" s="946">
        <f>'[1]2,DG-capdoi'!N74</f>
        <v>0</v>
      </c>
      <c r="U75" s="946">
        <f t="shared" si="17"/>
        <v>0</v>
      </c>
      <c r="V75" s="1036"/>
      <c r="W75" s="1036"/>
      <c r="X75" s="1036"/>
      <c r="Y75" s="1036"/>
      <c r="Z75" s="1036"/>
      <c r="AA75" s="1036"/>
      <c r="AB75" s="1036"/>
      <c r="AC75" s="1036"/>
      <c r="AD75" s="1036"/>
      <c r="AE75" s="1036"/>
      <c r="AF75" s="1036"/>
      <c r="AG75" s="1036"/>
      <c r="AH75" s="1036"/>
      <c r="AI75" s="1036"/>
      <c r="AJ75" s="1036"/>
      <c r="AK75" s="1036"/>
    </row>
    <row r="76" spans="1:37" s="1037" customFormat="1" ht="29.25" customHeight="1">
      <c r="A76" s="832" t="s">
        <v>239</v>
      </c>
      <c r="B76" s="827" t="s">
        <v>937</v>
      </c>
      <c r="C76" s="832" t="s">
        <v>525</v>
      </c>
      <c r="D76" s="901" t="s">
        <v>370</v>
      </c>
      <c r="E76" s="903" t="e">
        <f>NC_DKDD!H584</f>
        <v>#VALUE!</v>
      </c>
      <c r="F76" s="903"/>
      <c r="G76" s="391"/>
      <c r="H76" s="903"/>
      <c r="I76" s="903"/>
      <c r="J76" s="903"/>
      <c r="K76" s="903"/>
      <c r="L76" s="925"/>
      <c r="M76" s="925"/>
      <c r="N76" s="925"/>
      <c r="O76" s="925"/>
      <c r="P76" s="903">
        <f t="shared" si="9"/>
        <v>49.184615384615384</v>
      </c>
      <c r="Q76" s="856">
        <f t="shared" si="16"/>
        <v>42.769230769230766</v>
      </c>
      <c r="R76" s="856">
        <f t="shared" si="11"/>
        <v>6.4153846153846157</v>
      </c>
      <c r="S76" s="1038">
        <f>NC_DKDD!G584</f>
        <v>8.0000000000000002E-3</v>
      </c>
      <c r="T76" s="946">
        <f>'[1]2,DG-capdoi'!N75</f>
        <v>0</v>
      </c>
      <c r="U76" s="946">
        <f t="shared" si="17"/>
        <v>0</v>
      </c>
      <c r="V76" s="1036"/>
      <c r="W76" s="1036"/>
      <c r="X76" s="1036"/>
      <c r="Y76" s="1036"/>
      <c r="Z76" s="1036"/>
      <c r="AA76" s="1036"/>
      <c r="AB76" s="1036"/>
      <c r="AC76" s="1036"/>
      <c r="AD76" s="1036"/>
      <c r="AE76" s="1036"/>
      <c r="AF76" s="1036"/>
      <c r="AG76" s="1036"/>
      <c r="AH76" s="1036"/>
      <c r="AI76" s="1036"/>
      <c r="AJ76" s="1036"/>
      <c r="AK76" s="1036"/>
    </row>
    <row r="77" spans="1:37" s="1037" customFormat="1" ht="41.25" customHeight="1">
      <c r="A77" s="832" t="s">
        <v>240</v>
      </c>
      <c r="B77" s="827" t="s">
        <v>48</v>
      </c>
      <c r="C77" s="832" t="s">
        <v>525</v>
      </c>
      <c r="D77" s="901" t="s">
        <v>370</v>
      </c>
      <c r="E77" s="903" t="e">
        <f>NC_DKDD!H585</f>
        <v>#VALUE!</v>
      </c>
      <c r="F77" s="903"/>
      <c r="G77" s="391"/>
      <c r="H77" s="903"/>
      <c r="I77" s="903"/>
      <c r="J77" s="903"/>
      <c r="K77" s="903"/>
      <c r="L77" s="925"/>
      <c r="M77" s="925"/>
      <c r="N77" s="925"/>
      <c r="O77" s="925"/>
      <c r="P77" s="903">
        <f t="shared" si="9"/>
        <v>24.592307692307692</v>
      </c>
      <c r="Q77" s="856">
        <f t="shared" si="16"/>
        <v>21.384615384615383</v>
      </c>
      <c r="R77" s="856">
        <f t="shared" si="11"/>
        <v>3.2076923076923078</v>
      </c>
      <c r="S77" s="1038">
        <f>NC_DKDD!G585</f>
        <v>4.0000000000000001E-3</v>
      </c>
      <c r="T77" s="946">
        <f>'[1]2,DG-capdoi'!N76</f>
        <v>0</v>
      </c>
      <c r="U77" s="946">
        <f t="shared" si="17"/>
        <v>0</v>
      </c>
      <c r="V77" s="1036"/>
      <c r="W77" s="1036"/>
      <c r="X77" s="1036"/>
      <c r="Y77" s="1036"/>
      <c r="Z77" s="1036"/>
      <c r="AA77" s="1036"/>
      <c r="AB77" s="1036"/>
      <c r="AC77" s="1036"/>
      <c r="AD77" s="1036"/>
      <c r="AE77" s="1036"/>
      <c r="AF77" s="1036"/>
      <c r="AG77" s="1036"/>
      <c r="AH77" s="1036"/>
      <c r="AI77" s="1036"/>
      <c r="AJ77" s="1036"/>
      <c r="AK77" s="1036"/>
    </row>
    <row r="78" spans="1:37" s="1037" customFormat="1" ht="38.25" customHeight="1">
      <c r="A78" s="832" t="s">
        <v>241</v>
      </c>
      <c r="B78" s="827" t="s">
        <v>50</v>
      </c>
      <c r="C78" s="832" t="s">
        <v>523</v>
      </c>
      <c r="D78" s="901" t="s">
        <v>370</v>
      </c>
      <c r="E78" s="903" t="e">
        <f>NC_DKDD!H586</f>
        <v>#VALUE!</v>
      </c>
      <c r="F78" s="903"/>
      <c r="G78" s="391"/>
      <c r="H78" s="903"/>
      <c r="I78" s="903"/>
      <c r="J78" s="903"/>
      <c r="K78" s="903"/>
      <c r="L78" s="925"/>
      <c r="M78" s="925"/>
      <c r="N78" s="925"/>
      <c r="O78" s="925"/>
      <c r="P78" s="903">
        <f t="shared" si="9"/>
        <v>61.480769230769226</v>
      </c>
      <c r="Q78" s="856">
        <f t="shared" si="16"/>
        <v>53.46153846153846</v>
      </c>
      <c r="R78" s="856">
        <f t="shared" si="11"/>
        <v>8.0192307692307701</v>
      </c>
      <c r="S78" s="1038">
        <f>NC_DKDD!G586</f>
        <v>0.01</v>
      </c>
      <c r="T78" s="946">
        <f>'[1]2,DG-capdoi'!N77</f>
        <v>0</v>
      </c>
      <c r="U78" s="946">
        <f t="shared" si="17"/>
        <v>0</v>
      </c>
      <c r="V78" s="1036"/>
      <c r="W78" s="1036"/>
      <c r="X78" s="1036"/>
      <c r="Y78" s="1036"/>
      <c r="Z78" s="1036"/>
      <c r="AA78" s="1036"/>
      <c r="AB78" s="1036"/>
      <c r="AC78" s="1036"/>
      <c r="AD78" s="1036"/>
      <c r="AE78" s="1036"/>
      <c r="AF78" s="1036"/>
      <c r="AG78" s="1036"/>
      <c r="AH78" s="1036"/>
      <c r="AI78" s="1036"/>
      <c r="AJ78" s="1036"/>
      <c r="AK78" s="1036"/>
    </row>
    <row r="79" spans="1:37" s="1037" customFormat="1" ht="39.75" customHeight="1">
      <c r="A79" s="832">
        <v>14</v>
      </c>
      <c r="B79" s="827" t="s">
        <v>1075</v>
      </c>
      <c r="C79" s="832" t="s">
        <v>281</v>
      </c>
      <c r="D79" s="901" t="s">
        <v>370</v>
      </c>
      <c r="E79" s="903" t="e">
        <f>NC_DKDD!H587</f>
        <v>#VALUE!</v>
      </c>
      <c r="F79" s="903"/>
      <c r="G79" s="391"/>
      <c r="H79" s="903"/>
      <c r="I79" s="903"/>
      <c r="J79" s="903"/>
      <c r="K79" s="903"/>
      <c r="L79" s="925"/>
      <c r="M79" s="925"/>
      <c r="N79" s="925"/>
      <c r="O79" s="925"/>
      <c r="P79" s="903">
        <f t="shared" si="9"/>
        <v>122.96153846153845</v>
      </c>
      <c r="Q79" s="856">
        <f t="shared" si="16"/>
        <v>106.92307692307692</v>
      </c>
      <c r="R79" s="856">
        <f t="shared" si="11"/>
        <v>16.03846153846154</v>
      </c>
      <c r="S79" s="1038">
        <f>NC_DKDD!G587</f>
        <v>0.02</v>
      </c>
      <c r="T79" s="946">
        <f>'[1]2,DG-capdoi'!N78</f>
        <v>0</v>
      </c>
      <c r="U79" s="946">
        <f t="shared" si="17"/>
        <v>0</v>
      </c>
      <c r="V79" s="1036"/>
      <c r="W79" s="1036"/>
      <c r="X79" s="1036"/>
      <c r="Y79" s="1036"/>
      <c r="Z79" s="1036"/>
      <c r="AA79" s="1036"/>
      <c r="AB79" s="1036"/>
      <c r="AC79" s="1036"/>
      <c r="AD79" s="1036"/>
      <c r="AE79" s="1036"/>
      <c r="AF79" s="1036"/>
      <c r="AG79" s="1036"/>
      <c r="AH79" s="1036"/>
      <c r="AI79" s="1036"/>
      <c r="AJ79" s="1036"/>
      <c r="AK79" s="1036"/>
    </row>
    <row r="80" spans="1:37" s="1037" customFormat="1" ht="30" customHeight="1">
      <c r="A80" s="832">
        <v>15</v>
      </c>
      <c r="B80" s="827" t="s">
        <v>242</v>
      </c>
      <c r="C80" s="832" t="s">
        <v>281</v>
      </c>
      <c r="D80" s="901" t="s">
        <v>370</v>
      </c>
      <c r="E80" s="903" t="e">
        <f>NC_DKDD!H588/8000</f>
        <v>#VALUE!</v>
      </c>
      <c r="F80" s="903"/>
      <c r="G80" s="391"/>
      <c r="H80" s="903"/>
      <c r="I80" s="903"/>
      <c r="J80" s="903"/>
      <c r="K80" s="903"/>
      <c r="L80" s="925"/>
      <c r="M80" s="925"/>
      <c r="N80" s="925"/>
      <c r="O80" s="925"/>
      <c r="P80" s="903">
        <f t="shared" si="9"/>
        <v>6.148076923076923</v>
      </c>
      <c r="Q80" s="856">
        <f t="shared" si="16"/>
        <v>5.3461538461538458</v>
      </c>
      <c r="R80" s="856">
        <f t="shared" si="11"/>
        <v>0.80192307692307696</v>
      </c>
      <c r="S80" s="1038">
        <f>NC_DKDD!G588/8000</f>
        <v>1E-3</v>
      </c>
      <c r="T80" s="946">
        <f>'[1]2,DG-capdoi'!N79</f>
        <v>0</v>
      </c>
      <c r="U80" s="946">
        <f t="shared" si="17"/>
        <v>0</v>
      </c>
      <c r="V80" s="1036"/>
      <c r="W80" s="1036"/>
      <c r="X80" s="1036"/>
      <c r="Y80" s="1036"/>
      <c r="Z80" s="1036"/>
      <c r="AA80" s="1036"/>
      <c r="AB80" s="1036"/>
      <c r="AC80" s="1036"/>
      <c r="AD80" s="1036"/>
      <c r="AE80" s="1036"/>
      <c r="AF80" s="1036"/>
      <c r="AG80" s="1036"/>
      <c r="AH80" s="1036"/>
      <c r="AI80" s="1036"/>
      <c r="AJ80" s="1036"/>
      <c r="AK80" s="1036"/>
    </row>
    <row r="81" spans="1:37" s="1037" customFormat="1" ht="26.25" customHeight="1">
      <c r="A81" s="869" t="s">
        <v>913</v>
      </c>
      <c r="B81" s="868" t="s">
        <v>1057</v>
      </c>
      <c r="C81" s="832"/>
      <c r="D81" s="832"/>
      <c r="E81" s="903" t="e">
        <f>SUM(E82:E88)</f>
        <v>#VALUE!</v>
      </c>
      <c r="F81" s="903"/>
      <c r="G81" s="391"/>
      <c r="H81" s="1039">
        <f>'Dcu-DKDD'!L180/8000</f>
        <v>0.10937643309294873</v>
      </c>
      <c r="I81" s="1039">
        <f>'VL-DKDD'!$J$189/8000</f>
        <v>1.2918150000000002</v>
      </c>
      <c r="J81" s="1039">
        <f>'TB-DKDD'!$M$102/8000</f>
        <v>0.1175075</v>
      </c>
      <c r="K81" s="1039">
        <f>'NL-DKDD'!J72/8000</f>
        <v>0.23387699999999997</v>
      </c>
      <c r="L81" s="893" t="e">
        <f>SUM(E81:K81)</f>
        <v>#VALUE!</v>
      </c>
      <c r="M81" s="893" t="e">
        <f>L81*'He so chung'!$D$17/100</f>
        <v>#VALUE!</v>
      </c>
      <c r="N81" s="893" t="e">
        <f>L81+M81</f>
        <v>#VALUE!</v>
      </c>
      <c r="O81" s="925"/>
      <c r="P81" s="903">
        <f>SUM(P82:P88)</f>
        <v>453.42067307692304</v>
      </c>
      <c r="Q81" s="856">
        <f t="shared" si="16"/>
        <v>0</v>
      </c>
      <c r="R81" s="856">
        <f t="shared" si="11"/>
        <v>0</v>
      </c>
      <c r="S81" s="1038">
        <f>NC_DKDD!G589</f>
        <v>0</v>
      </c>
      <c r="T81" s="946">
        <f>'[1]2,DG-capdoi'!N80</f>
        <v>18830.535622178824</v>
      </c>
      <c r="U81" s="946" t="e">
        <f t="shared" si="17"/>
        <v>#VALUE!</v>
      </c>
      <c r="V81" s="1036"/>
      <c r="W81" s="1036"/>
      <c r="X81" s="1036"/>
      <c r="Y81" s="1036"/>
      <c r="Z81" s="1036"/>
      <c r="AA81" s="1036"/>
      <c r="AB81" s="1036"/>
      <c r="AC81" s="1036"/>
      <c r="AD81" s="1036"/>
      <c r="AE81" s="1036"/>
      <c r="AF81" s="1036"/>
      <c r="AG81" s="1036"/>
      <c r="AH81" s="1036"/>
      <c r="AI81" s="1036"/>
      <c r="AJ81" s="1036"/>
      <c r="AK81" s="1036"/>
    </row>
    <row r="82" spans="1:37" s="1037" customFormat="1" ht="30" customHeight="1">
      <c r="A82" s="832">
        <v>1</v>
      </c>
      <c r="B82" s="827" t="s">
        <v>279</v>
      </c>
      <c r="C82" s="832"/>
      <c r="D82" s="832"/>
      <c r="E82" s="903">
        <f>NC_DKDD!H590</f>
        <v>0</v>
      </c>
      <c r="F82" s="903"/>
      <c r="G82" s="391"/>
      <c r="H82" s="903"/>
      <c r="I82" s="903"/>
      <c r="J82" s="903"/>
      <c r="K82" s="903"/>
      <c r="L82" s="925"/>
      <c r="M82" s="925"/>
      <c r="N82" s="925"/>
      <c r="O82" s="925"/>
      <c r="P82" s="903">
        <f t="shared" si="9"/>
        <v>0</v>
      </c>
      <c r="Q82" s="856">
        <f t="shared" si="16"/>
        <v>0</v>
      </c>
      <c r="R82" s="856">
        <f t="shared" si="11"/>
        <v>0</v>
      </c>
      <c r="S82" s="1038">
        <f>NC_DKDD!G590</f>
        <v>0</v>
      </c>
      <c r="T82" s="946">
        <f>'[1]2,DG-capdoi'!N81</f>
        <v>0</v>
      </c>
      <c r="U82" s="946">
        <f t="shared" si="17"/>
        <v>0</v>
      </c>
      <c r="V82" s="1036"/>
      <c r="W82" s="1036"/>
      <c r="X82" s="1036"/>
      <c r="Y82" s="1036"/>
      <c r="Z82" s="1036"/>
      <c r="AA82" s="1036"/>
      <c r="AB82" s="1036"/>
      <c r="AC82" s="1036"/>
      <c r="AD82" s="1036"/>
      <c r="AE82" s="1036"/>
      <c r="AF82" s="1036"/>
      <c r="AG82" s="1036"/>
      <c r="AH82" s="1036"/>
      <c r="AI82" s="1036"/>
      <c r="AJ82" s="1036"/>
      <c r="AK82" s="1036"/>
    </row>
    <row r="83" spans="1:37" s="1037" customFormat="1" ht="25.5" customHeight="1">
      <c r="A83" s="832" t="s">
        <v>891</v>
      </c>
      <c r="B83" s="827" t="s">
        <v>1058</v>
      </c>
      <c r="C83" s="832" t="s">
        <v>281</v>
      </c>
      <c r="D83" s="901" t="s">
        <v>370</v>
      </c>
      <c r="E83" s="903" t="e">
        <f>NC_DKDD!H591/8000</f>
        <v>#VALUE!</v>
      </c>
      <c r="F83" s="903"/>
      <c r="G83" s="391"/>
      <c r="H83" s="903"/>
      <c r="I83" s="903"/>
      <c r="J83" s="903"/>
      <c r="K83" s="903"/>
      <c r="L83" s="925"/>
      <c r="M83" s="925"/>
      <c r="N83" s="925"/>
      <c r="O83" s="925"/>
      <c r="P83" s="903">
        <f t="shared" si="9"/>
        <v>230.55288461538458</v>
      </c>
      <c r="Q83" s="856">
        <f t="shared" si="16"/>
        <v>200.4807692307692</v>
      </c>
      <c r="R83" s="856">
        <f t="shared" si="11"/>
        <v>30.072115384615383</v>
      </c>
      <c r="S83" s="1038">
        <f>NC_DKDD!G591/8000</f>
        <v>3.7499999999999999E-2</v>
      </c>
      <c r="T83" s="946">
        <f>'[1]2,DG-capdoi'!N82</f>
        <v>0</v>
      </c>
      <c r="U83" s="946">
        <f t="shared" si="17"/>
        <v>0</v>
      </c>
      <c r="V83" s="1036"/>
      <c r="W83" s="1036"/>
      <c r="X83" s="1036"/>
      <c r="Y83" s="1036"/>
      <c r="Z83" s="1036"/>
      <c r="AA83" s="1036"/>
      <c r="AB83" s="1036"/>
      <c r="AC83" s="1036"/>
      <c r="AD83" s="1036"/>
      <c r="AE83" s="1036"/>
      <c r="AF83" s="1036"/>
      <c r="AG83" s="1036"/>
      <c r="AH83" s="1036"/>
      <c r="AI83" s="1036"/>
      <c r="AJ83" s="1036"/>
      <c r="AK83" s="1036"/>
    </row>
    <row r="84" spans="1:37" s="1037" customFormat="1" ht="22.5" customHeight="1">
      <c r="A84" s="832" t="s">
        <v>899</v>
      </c>
      <c r="B84" s="827" t="s">
        <v>491</v>
      </c>
      <c r="C84" s="832" t="s">
        <v>523</v>
      </c>
      <c r="D84" s="901" t="s">
        <v>370</v>
      </c>
      <c r="E84" s="903" t="e">
        <f>NC_DKDD!H592</f>
        <v>#VALUE!</v>
      </c>
      <c r="F84" s="903"/>
      <c r="G84" s="391"/>
      <c r="H84" s="903"/>
      <c r="I84" s="903"/>
      <c r="J84" s="903"/>
      <c r="K84" s="903"/>
      <c r="L84" s="925"/>
      <c r="M84" s="925"/>
      <c r="N84" s="925"/>
      <c r="O84" s="925"/>
      <c r="P84" s="903">
        <f t="shared" si="9"/>
        <v>61.480769230769226</v>
      </c>
      <c r="Q84" s="856">
        <f t="shared" si="16"/>
        <v>53.46153846153846</v>
      </c>
      <c r="R84" s="856">
        <f t="shared" si="11"/>
        <v>8.0192307692307701</v>
      </c>
      <c r="S84" s="1038">
        <f>NC_DKDD!G592</f>
        <v>0.01</v>
      </c>
      <c r="T84" s="946">
        <f>'[1]2,DG-capdoi'!N83</f>
        <v>0</v>
      </c>
      <c r="U84" s="946">
        <f t="shared" si="17"/>
        <v>0</v>
      </c>
      <c r="V84" s="1036"/>
      <c r="W84" s="1036"/>
      <c r="X84" s="1036"/>
      <c r="Y84" s="1036"/>
      <c r="Z84" s="1036"/>
      <c r="AA84" s="1036"/>
      <c r="AB84" s="1036"/>
      <c r="AC84" s="1036"/>
      <c r="AD84" s="1036"/>
      <c r="AE84" s="1036"/>
      <c r="AF84" s="1036"/>
      <c r="AG84" s="1036"/>
      <c r="AH84" s="1036"/>
      <c r="AI84" s="1036"/>
      <c r="AJ84" s="1036"/>
      <c r="AK84" s="1036"/>
    </row>
    <row r="85" spans="1:37" s="1037" customFormat="1" ht="34.5" customHeight="1">
      <c r="A85" s="832">
        <v>2</v>
      </c>
      <c r="B85" s="827" t="s">
        <v>492</v>
      </c>
      <c r="C85" s="832"/>
      <c r="D85" s="832"/>
      <c r="E85" s="903">
        <f>NC_DKDD!H593</f>
        <v>0</v>
      </c>
      <c r="F85" s="903"/>
      <c r="G85" s="391"/>
      <c r="H85" s="903"/>
      <c r="I85" s="903"/>
      <c r="J85" s="903"/>
      <c r="K85" s="903"/>
      <c r="L85" s="925"/>
      <c r="M85" s="925"/>
      <c r="N85" s="925"/>
      <c r="O85" s="925"/>
      <c r="P85" s="903">
        <f t="shared" si="9"/>
        <v>0</v>
      </c>
      <c r="Q85" s="856">
        <f t="shared" si="16"/>
        <v>0</v>
      </c>
      <c r="R85" s="856">
        <f t="shared" si="11"/>
        <v>0</v>
      </c>
      <c r="S85" s="1038">
        <f>NC_DKDD!G593</f>
        <v>0</v>
      </c>
      <c r="T85" s="946">
        <f>'[1]2,DG-capdoi'!N84</f>
        <v>0</v>
      </c>
      <c r="U85" s="946">
        <f t="shared" si="17"/>
        <v>0</v>
      </c>
      <c r="V85" s="1036"/>
      <c r="W85" s="1036"/>
      <c r="X85" s="1036"/>
      <c r="Y85" s="1036"/>
      <c r="Z85" s="1036"/>
      <c r="AA85" s="1036"/>
      <c r="AB85" s="1036"/>
      <c r="AC85" s="1036"/>
      <c r="AD85" s="1036"/>
      <c r="AE85" s="1036"/>
      <c r="AF85" s="1036"/>
      <c r="AG85" s="1036"/>
      <c r="AH85" s="1036"/>
      <c r="AI85" s="1036"/>
      <c r="AJ85" s="1036"/>
      <c r="AK85" s="1036"/>
    </row>
    <row r="86" spans="1:37" s="1037" customFormat="1" ht="23.25" customHeight="1">
      <c r="A86" s="832" t="s">
        <v>900</v>
      </c>
      <c r="B86" s="827" t="s">
        <v>493</v>
      </c>
      <c r="C86" s="832" t="s">
        <v>55</v>
      </c>
      <c r="D86" s="901" t="s">
        <v>370</v>
      </c>
      <c r="E86" s="903" t="e">
        <f>NC_DKDD!H594</f>
        <v>#VALUE!</v>
      </c>
      <c r="F86" s="903"/>
      <c r="G86" s="391"/>
      <c r="H86" s="903"/>
      <c r="I86" s="903"/>
      <c r="J86" s="903"/>
      <c r="K86" s="903"/>
      <c r="L86" s="925"/>
      <c r="M86" s="925"/>
      <c r="N86" s="925"/>
      <c r="O86" s="925"/>
      <c r="P86" s="903">
        <f t="shared" si="9"/>
        <v>153.70192307692309</v>
      </c>
      <c r="Q86" s="856">
        <f t="shared" si="16"/>
        <v>133.65384615384616</v>
      </c>
      <c r="R86" s="856">
        <f t="shared" si="11"/>
        <v>20.048076923076923</v>
      </c>
      <c r="S86" s="1038">
        <f>NC_DKDD!G594</f>
        <v>2.5000000000000001E-2</v>
      </c>
      <c r="T86" s="946">
        <f>'[1]2,DG-capdoi'!N85</f>
        <v>0</v>
      </c>
      <c r="U86" s="946">
        <f t="shared" si="17"/>
        <v>0</v>
      </c>
      <c r="V86" s="1036"/>
      <c r="W86" s="1036"/>
      <c r="X86" s="1036"/>
      <c r="Y86" s="1036"/>
      <c r="Z86" s="1036"/>
      <c r="AA86" s="1036"/>
      <c r="AB86" s="1036"/>
      <c r="AC86" s="1036"/>
      <c r="AD86" s="1036"/>
      <c r="AE86" s="1036"/>
      <c r="AF86" s="1036"/>
      <c r="AG86" s="1036"/>
      <c r="AH86" s="1036"/>
      <c r="AI86" s="1036"/>
      <c r="AJ86" s="1036"/>
      <c r="AK86" s="1036"/>
    </row>
    <row r="87" spans="1:37" s="1037" customFormat="1" ht="23.25" customHeight="1">
      <c r="A87" s="832" t="s">
        <v>901</v>
      </c>
      <c r="B87" s="827" t="s">
        <v>244</v>
      </c>
      <c r="C87" s="832" t="s">
        <v>281</v>
      </c>
      <c r="D87" s="901" t="s">
        <v>370</v>
      </c>
      <c r="E87" s="903" t="e">
        <f>NC_DKDD!H595/8000</f>
        <v>#VALUE!</v>
      </c>
      <c r="F87" s="903"/>
      <c r="G87" s="391"/>
      <c r="H87" s="903"/>
      <c r="I87" s="903"/>
      <c r="J87" s="903"/>
      <c r="K87" s="903"/>
      <c r="L87" s="925"/>
      <c r="M87" s="925"/>
      <c r="N87" s="925"/>
      <c r="O87" s="925"/>
      <c r="P87" s="903">
        <f t="shared" si="9"/>
        <v>1.5370192307692307</v>
      </c>
      <c r="Q87" s="856">
        <f t="shared" si="16"/>
        <v>1.3365384615384615</v>
      </c>
      <c r="R87" s="856">
        <f t="shared" si="11"/>
        <v>0.20048076923076924</v>
      </c>
      <c r="S87" s="1040">
        <f>NC_DKDD!G595/8000</f>
        <v>2.5000000000000001E-4</v>
      </c>
      <c r="T87" s="946">
        <f>'[1]2,DG-capdoi'!N86</f>
        <v>0</v>
      </c>
      <c r="U87" s="946">
        <f t="shared" si="17"/>
        <v>0</v>
      </c>
      <c r="V87" s="1036"/>
      <c r="W87" s="1036"/>
      <c r="X87" s="1036"/>
      <c r="Y87" s="1036"/>
      <c r="Z87" s="1036"/>
      <c r="AA87" s="1036"/>
      <c r="AB87" s="1036"/>
      <c r="AC87" s="1036"/>
      <c r="AD87" s="1036"/>
      <c r="AE87" s="1036"/>
      <c r="AF87" s="1036"/>
      <c r="AG87" s="1036"/>
      <c r="AH87" s="1036"/>
      <c r="AI87" s="1036"/>
      <c r="AJ87" s="1036"/>
      <c r="AK87" s="1036"/>
    </row>
    <row r="88" spans="1:37" s="1037" customFormat="1" ht="33" customHeight="1">
      <c r="A88" s="832">
        <v>3</v>
      </c>
      <c r="B88" s="827" t="s">
        <v>245</v>
      </c>
      <c r="C88" s="832" t="s">
        <v>281</v>
      </c>
      <c r="D88" s="901" t="s">
        <v>370</v>
      </c>
      <c r="E88" s="903" t="e">
        <f>NC_DKDD!H596/8000</f>
        <v>#VALUE!</v>
      </c>
      <c r="F88" s="903"/>
      <c r="G88" s="391"/>
      <c r="H88" s="903"/>
      <c r="I88" s="903"/>
      <c r="J88" s="903"/>
      <c r="K88" s="903"/>
      <c r="L88" s="925"/>
      <c r="M88" s="925"/>
      <c r="N88" s="925"/>
      <c r="O88" s="925"/>
      <c r="P88" s="903">
        <f t="shared" si="9"/>
        <v>6.148076923076923</v>
      </c>
      <c r="Q88" s="856">
        <f t="shared" si="16"/>
        <v>5.3461538461538458</v>
      </c>
      <c r="R88" s="856">
        <f t="shared" si="11"/>
        <v>0.80192307692307696</v>
      </c>
      <c r="S88" s="1038">
        <f>NC_DKDD!G596/8000</f>
        <v>1E-3</v>
      </c>
      <c r="T88" s="946">
        <f>'[1]2,DG-capdoi'!N87</f>
        <v>0</v>
      </c>
      <c r="U88" s="946">
        <f t="shared" si="17"/>
        <v>0</v>
      </c>
      <c r="V88" s="1036"/>
      <c r="W88" s="1036"/>
      <c r="X88" s="1036"/>
      <c r="Y88" s="1036"/>
      <c r="Z88" s="1036"/>
      <c r="AA88" s="1036"/>
      <c r="AB88" s="1036"/>
      <c r="AC88" s="1036"/>
      <c r="AD88" s="1036"/>
      <c r="AE88" s="1036"/>
      <c r="AF88" s="1036"/>
      <c r="AG88" s="1036"/>
      <c r="AH88" s="1036"/>
      <c r="AI88" s="1036"/>
      <c r="AJ88" s="1036"/>
      <c r="AK88" s="1036"/>
    </row>
    <row r="89" spans="1:37" ht="25.5" customHeight="1">
      <c r="A89" s="971"/>
      <c r="B89" s="995" t="s">
        <v>282</v>
      </c>
      <c r="C89" s="970"/>
      <c r="D89" s="971"/>
      <c r="E89" s="972"/>
      <c r="F89" s="972"/>
      <c r="G89" s="973"/>
      <c r="H89" s="972"/>
      <c r="I89" s="972"/>
      <c r="J89" s="974"/>
      <c r="K89" s="974"/>
      <c r="L89" s="974"/>
      <c r="P89" s="972"/>
      <c r="S89" s="996"/>
      <c r="T89" s="979">
        <f>'[1]2,DG-capdoi'!N88</f>
        <v>0</v>
      </c>
      <c r="U89" s="979">
        <f t="shared" si="17"/>
        <v>0</v>
      </c>
    </row>
    <row r="90" spans="1:37" s="917" customFormat="1" ht="25.5" customHeight="1">
      <c r="A90" s="1041"/>
      <c r="B90" s="1129" t="s">
        <v>41</v>
      </c>
      <c r="C90" s="1129"/>
      <c r="D90" s="1129"/>
      <c r="E90" s="1129"/>
      <c r="F90" s="1129"/>
      <c r="G90" s="1129"/>
      <c r="H90" s="1129"/>
      <c r="I90" s="1129"/>
      <c r="J90" s="1129"/>
      <c r="K90" s="1129"/>
      <c r="L90" s="1129"/>
      <c r="M90" s="1129"/>
      <c r="N90" s="1129"/>
      <c r="O90" s="1129"/>
      <c r="P90" s="1129"/>
      <c r="Q90" s="367"/>
      <c r="R90" s="367"/>
      <c r="S90" s="1017"/>
      <c r="T90" s="946">
        <f>'[1]2,DG-capdoi'!N89</f>
        <v>0</v>
      </c>
      <c r="U90" s="946">
        <f t="shared" si="17"/>
        <v>0</v>
      </c>
      <c r="V90" s="367"/>
      <c r="W90" s="367"/>
      <c r="X90" s="367"/>
      <c r="Y90" s="367"/>
      <c r="Z90" s="367"/>
      <c r="AA90" s="367"/>
      <c r="AB90" s="367"/>
      <c r="AC90" s="367"/>
      <c r="AD90" s="367"/>
      <c r="AE90" s="367"/>
      <c r="AF90" s="367"/>
      <c r="AG90" s="367"/>
      <c r="AH90" s="367"/>
      <c r="AI90" s="367"/>
      <c r="AJ90" s="367"/>
      <c r="AK90" s="367"/>
    </row>
    <row r="91" spans="1:37" s="917" customFormat="1" ht="40.5" customHeight="1">
      <c r="A91" s="1041"/>
      <c r="B91" s="1118" t="s">
        <v>902</v>
      </c>
      <c r="C91" s="1118"/>
      <c r="D91" s="1118"/>
      <c r="E91" s="1118"/>
      <c r="F91" s="1118"/>
      <c r="G91" s="1118"/>
      <c r="H91" s="1118"/>
      <c r="I91" s="1118"/>
      <c r="J91" s="1118"/>
      <c r="K91" s="1118"/>
      <c r="L91" s="1118"/>
      <c r="M91" s="1118"/>
      <c r="N91" s="1118"/>
      <c r="O91" s="1118"/>
      <c r="P91" s="1118"/>
      <c r="Q91" s="367"/>
      <c r="R91" s="367"/>
      <c r="S91" s="1017"/>
      <c r="T91" s="946">
        <f>'[1]2,DG-capdoi'!N90</f>
        <v>0</v>
      </c>
      <c r="U91" s="946">
        <f t="shared" si="17"/>
        <v>0</v>
      </c>
      <c r="V91" s="367"/>
      <c r="W91" s="367"/>
      <c r="X91" s="367"/>
      <c r="Y91" s="367"/>
      <c r="Z91" s="367"/>
      <c r="AA91" s="367"/>
      <c r="AB91" s="367"/>
      <c r="AC91" s="367"/>
      <c r="AD91" s="367"/>
      <c r="AE91" s="367"/>
      <c r="AF91" s="367"/>
      <c r="AG91" s="367"/>
      <c r="AH91" s="367"/>
      <c r="AI91" s="367"/>
      <c r="AJ91" s="367"/>
      <c r="AK91" s="367"/>
    </row>
    <row r="92" spans="1:37" s="917" customFormat="1" ht="38.25" customHeight="1">
      <c r="A92" s="1041"/>
      <c r="B92" s="1118" t="s">
        <v>547</v>
      </c>
      <c r="C92" s="1118"/>
      <c r="D92" s="1118"/>
      <c r="E92" s="1118"/>
      <c r="F92" s="1118"/>
      <c r="G92" s="1118"/>
      <c r="H92" s="1118"/>
      <c r="I92" s="1118"/>
      <c r="J92" s="1118"/>
      <c r="K92" s="1118"/>
      <c r="L92" s="1118"/>
      <c r="M92" s="1118"/>
      <c r="N92" s="1118"/>
      <c r="O92" s="1118"/>
      <c r="P92" s="1118"/>
      <c r="Q92" s="367"/>
      <c r="R92" s="367"/>
      <c r="S92" s="1017"/>
      <c r="T92" s="946">
        <f>'[1]2,DG-capdoi'!N91</f>
        <v>0</v>
      </c>
      <c r="U92" s="946">
        <f t="shared" si="17"/>
        <v>0</v>
      </c>
      <c r="V92" s="367"/>
      <c r="W92" s="367"/>
      <c r="X92" s="367"/>
      <c r="Y92" s="367"/>
      <c r="Z92" s="367"/>
      <c r="AA92" s="367"/>
      <c r="AB92" s="367"/>
      <c r="AC92" s="367"/>
      <c r="AD92" s="367"/>
      <c r="AE92" s="367"/>
      <c r="AF92" s="367"/>
      <c r="AG92" s="367"/>
      <c r="AH92" s="367"/>
      <c r="AI92" s="367"/>
      <c r="AJ92" s="367"/>
      <c r="AK92" s="367"/>
    </row>
    <row r="93" spans="1:37" s="917" customFormat="1" ht="41.25" customHeight="1">
      <c r="A93" s="1041"/>
      <c r="B93" s="1118" t="s">
        <v>261</v>
      </c>
      <c r="C93" s="1118"/>
      <c r="D93" s="1118"/>
      <c r="E93" s="1118"/>
      <c r="F93" s="1118"/>
      <c r="G93" s="1118"/>
      <c r="H93" s="1118"/>
      <c r="I93" s="1118"/>
      <c r="J93" s="1118"/>
      <c r="K93" s="1118"/>
      <c r="L93" s="1118"/>
      <c r="M93" s="1118"/>
      <c r="N93" s="1118"/>
      <c r="O93" s="1118"/>
      <c r="P93" s="1118"/>
      <c r="Q93" s="367"/>
      <c r="R93" s="367"/>
      <c r="S93" s="1017"/>
      <c r="T93" s="946">
        <f>'[1]2,DG-capdoi'!N92</f>
        <v>0</v>
      </c>
      <c r="U93" s="946">
        <f t="shared" si="17"/>
        <v>0</v>
      </c>
      <c r="V93" s="367"/>
      <c r="W93" s="367"/>
      <c r="X93" s="367"/>
      <c r="Y93" s="367"/>
      <c r="Z93" s="367"/>
      <c r="AA93" s="367"/>
      <c r="AB93" s="367"/>
      <c r="AC93" s="367"/>
      <c r="AD93" s="367"/>
      <c r="AE93" s="367"/>
      <c r="AF93" s="367"/>
      <c r="AG93" s="367"/>
      <c r="AH93" s="367"/>
      <c r="AI93" s="367"/>
      <c r="AJ93" s="367"/>
      <c r="AK93" s="367"/>
    </row>
    <row r="94" spans="1:37" s="917" customFormat="1" ht="40.5" customHeight="1">
      <c r="A94" s="1041"/>
      <c r="B94" s="1118" t="s">
        <v>548</v>
      </c>
      <c r="C94" s="1118"/>
      <c r="D94" s="1118"/>
      <c r="E94" s="1118"/>
      <c r="F94" s="1118"/>
      <c r="G94" s="1118"/>
      <c r="H94" s="1118"/>
      <c r="I94" s="1118"/>
      <c r="J94" s="1118"/>
      <c r="K94" s="1118"/>
      <c r="L94" s="1118"/>
      <c r="M94" s="1118"/>
      <c r="N94" s="1118"/>
      <c r="O94" s="1118"/>
      <c r="P94" s="1118"/>
      <c r="Q94" s="367"/>
      <c r="R94" s="367"/>
      <c r="S94" s="1017"/>
      <c r="T94" s="946">
        <f>'[1]2,DG-capdoi'!N93</f>
        <v>0</v>
      </c>
      <c r="U94" s="946">
        <f t="shared" si="17"/>
        <v>0</v>
      </c>
      <c r="V94" s="367"/>
      <c r="W94" s="367"/>
      <c r="X94" s="367"/>
      <c r="Y94" s="367"/>
      <c r="Z94" s="367"/>
      <c r="AA94" s="367"/>
      <c r="AB94" s="367"/>
      <c r="AC94" s="367"/>
      <c r="AD94" s="367"/>
      <c r="AE94" s="367"/>
      <c r="AF94" s="367"/>
      <c r="AG94" s="367"/>
      <c r="AH94" s="367"/>
      <c r="AI94" s="367"/>
      <c r="AJ94" s="367"/>
      <c r="AK94" s="367"/>
    </row>
    <row r="95" spans="1:37" s="917" customFormat="1" ht="37.5" customHeight="1">
      <c r="A95" s="1041"/>
      <c r="B95" s="1118" t="s">
        <v>0</v>
      </c>
      <c r="C95" s="1118"/>
      <c r="D95" s="1118"/>
      <c r="E95" s="1118"/>
      <c r="F95" s="1118"/>
      <c r="G95" s="1118"/>
      <c r="H95" s="1118"/>
      <c r="I95" s="1118"/>
      <c r="J95" s="1118"/>
      <c r="K95" s="1118"/>
      <c r="L95" s="1118"/>
      <c r="M95" s="1118"/>
      <c r="N95" s="1118"/>
      <c r="O95" s="1118"/>
      <c r="P95" s="1118"/>
      <c r="Q95" s="367"/>
      <c r="R95" s="367"/>
      <c r="S95" s="1017"/>
      <c r="T95" s="946">
        <f>'[1]2,DG-capdoi'!N94</f>
        <v>0</v>
      </c>
      <c r="U95" s="946">
        <f t="shared" si="17"/>
        <v>0</v>
      </c>
      <c r="V95" s="367"/>
      <c r="W95" s="367"/>
      <c r="X95" s="367"/>
      <c r="Y95" s="367"/>
      <c r="Z95" s="367"/>
      <c r="AA95" s="367"/>
      <c r="AB95" s="367"/>
      <c r="AC95" s="367"/>
      <c r="AD95" s="367"/>
      <c r="AE95" s="367"/>
      <c r="AF95" s="367"/>
      <c r="AG95" s="367"/>
      <c r="AH95" s="367"/>
      <c r="AI95" s="367"/>
      <c r="AJ95" s="367"/>
      <c r="AK95" s="367"/>
    </row>
    <row r="96" spans="1:37" s="917" customFormat="1" ht="37.5" customHeight="1">
      <c r="A96" s="1041"/>
      <c r="B96" s="1118" t="s">
        <v>537</v>
      </c>
      <c r="C96" s="1118"/>
      <c r="D96" s="1118"/>
      <c r="E96" s="1118"/>
      <c r="F96" s="1118"/>
      <c r="G96" s="1118"/>
      <c r="H96" s="1118"/>
      <c r="I96" s="1118"/>
      <c r="J96" s="1118"/>
      <c r="K96" s="1118"/>
      <c r="L96" s="1118"/>
      <c r="M96" s="1118"/>
      <c r="N96" s="1118"/>
      <c r="O96" s="1118"/>
      <c r="P96" s="1118"/>
      <c r="Q96" s="367"/>
      <c r="R96" s="367"/>
      <c r="S96" s="1017"/>
      <c r="T96" s="946">
        <f>'[1]2,DG-capdoi'!N95</f>
        <v>0</v>
      </c>
      <c r="U96" s="946">
        <f t="shared" si="17"/>
        <v>0</v>
      </c>
      <c r="V96" s="367"/>
      <c r="W96" s="367"/>
      <c r="X96" s="367"/>
      <c r="Y96" s="367"/>
      <c r="Z96" s="367"/>
      <c r="AA96" s="367"/>
      <c r="AB96" s="367"/>
      <c r="AC96" s="367"/>
      <c r="AD96" s="367"/>
      <c r="AE96" s="367"/>
      <c r="AF96" s="367"/>
      <c r="AG96" s="367"/>
      <c r="AH96" s="367"/>
      <c r="AI96" s="367"/>
      <c r="AJ96" s="367"/>
      <c r="AK96" s="367"/>
    </row>
    <row r="97" spans="1:37" ht="35.450000000000003" customHeight="1">
      <c r="A97" s="984"/>
      <c r="B97" s="997"/>
      <c r="C97" s="997"/>
      <c r="D97" s="997"/>
      <c r="E97" s="997"/>
      <c r="F97" s="997"/>
      <c r="G97" s="997"/>
      <c r="H97" s="997"/>
      <c r="I97" s="997"/>
      <c r="J97" s="997"/>
      <c r="K97" s="997"/>
      <c r="L97" s="997"/>
      <c r="M97" s="997"/>
      <c r="N97" s="997"/>
      <c r="O97" s="997"/>
      <c r="P97" s="997"/>
      <c r="S97" s="996"/>
      <c r="T97" s="979">
        <f>'[1]2,DG-capdoi'!N96</f>
        <v>0</v>
      </c>
      <c r="U97" s="979">
        <f t="shared" si="17"/>
        <v>0</v>
      </c>
    </row>
    <row r="98" spans="1:37" ht="27" customHeight="1">
      <c r="A98" s="1114" t="s">
        <v>658</v>
      </c>
      <c r="B98" s="1114"/>
      <c r="C98" s="1114"/>
      <c r="D98" s="1114"/>
      <c r="E98" s="1114"/>
      <c r="F98" s="1114"/>
      <c r="G98" s="1114"/>
      <c r="H98" s="1114"/>
      <c r="I98" s="1114"/>
      <c r="J98" s="1114"/>
      <c r="K98" s="1114"/>
      <c r="L98" s="1114"/>
      <c r="M98" s="1114"/>
      <c r="N98" s="1114"/>
      <c r="O98" s="1114"/>
      <c r="P98" s="1114"/>
      <c r="S98" s="996"/>
      <c r="T98" s="979">
        <f>'[1]2,DG-capdoi'!N97</f>
        <v>0</v>
      </c>
      <c r="U98" s="979">
        <f t="shared" si="17"/>
        <v>0</v>
      </c>
    </row>
    <row r="99" spans="1:37" ht="18" customHeight="1">
      <c r="A99" s="1113" t="s">
        <v>960</v>
      </c>
      <c r="B99" s="1113"/>
      <c r="C99" s="1113"/>
      <c r="D99" s="1113"/>
      <c r="E99" s="1113"/>
      <c r="F99" s="1113"/>
      <c r="G99" s="1113"/>
      <c r="H99" s="1113"/>
      <c r="I99" s="1113"/>
      <c r="J99" s="1113"/>
      <c r="K99" s="1113"/>
      <c r="L99" s="1113"/>
      <c r="M99" s="1113"/>
      <c r="N99" s="1113"/>
      <c r="O99" s="1113"/>
      <c r="P99" s="1113"/>
      <c r="S99" s="996"/>
      <c r="T99" s="979"/>
      <c r="U99" s="979"/>
    </row>
    <row r="100" spans="1:37" s="992" customFormat="1" ht="19.5" customHeight="1">
      <c r="A100" s="984"/>
      <c r="B100" s="985"/>
      <c r="C100" s="986"/>
      <c r="D100" s="987" t="s">
        <v>576</v>
      </c>
      <c r="E100" s="975"/>
      <c r="F100" s="988"/>
      <c r="G100" s="989"/>
      <c r="H100" s="988"/>
      <c r="I100" s="990"/>
      <c r="J100" s="988"/>
      <c r="K100" s="988"/>
      <c r="L100" s="991" t="s">
        <v>980</v>
      </c>
      <c r="M100" s="988"/>
      <c r="N100" s="990"/>
      <c r="O100" s="990"/>
      <c r="P100" s="975"/>
      <c r="Q100" s="982"/>
      <c r="R100" s="982"/>
      <c r="S100" s="996"/>
      <c r="T100" s="979">
        <f>'[1]2,DG-capdoi'!N98</f>
        <v>0</v>
      </c>
      <c r="U100" s="979">
        <f t="shared" si="17"/>
        <v>0</v>
      </c>
      <c r="V100" s="982"/>
      <c r="W100" s="982"/>
      <c r="X100" s="982"/>
      <c r="Y100" s="982"/>
      <c r="Z100" s="982"/>
      <c r="AA100" s="982"/>
      <c r="AB100" s="982"/>
      <c r="AC100" s="982"/>
      <c r="AD100" s="982"/>
      <c r="AE100" s="982"/>
      <c r="AF100" s="982"/>
      <c r="AG100" s="982"/>
      <c r="AH100" s="982"/>
      <c r="AI100" s="982"/>
      <c r="AJ100" s="982"/>
      <c r="AK100" s="982"/>
    </row>
    <row r="101" spans="1:37" s="992" customFormat="1" ht="7.5" customHeight="1">
      <c r="A101" s="984"/>
      <c r="B101" s="985"/>
      <c r="C101" s="986"/>
      <c r="D101" s="993"/>
      <c r="E101" s="975"/>
      <c r="F101" s="975"/>
      <c r="G101" s="994"/>
      <c r="H101" s="975"/>
      <c r="I101" s="975"/>
      <c r="J101" s="975"/>
      <c r="K101" s="975"/>
      <c r="L101" s="975"/>
      <c r="M101" s="975"/>
      <c r="N101" s="975"/>
      <c r="O101" s="975"/>
      <c r="P101" s="975"/>
      <c r="Q101" s="982"/>
      <c r="R101" s="982"/>
      <c r="S101" s="996"/>
      <c r="T101" s="979">
        <f>'[1]2,DG-capdoi'!N99</f>
        <v>0</v>
      </c>
      <c r="U101" s="979">
        <f t="shared" si="17"/>
        <v>0</v>
      </c>
      <c r="V101" s="982"/>
      <c r="W101" s="982"/>
      <c r="X101" s="982"/>
      <c r="Y101" s="982"/>
      <c r="Z101" s="982"/>
      <c r="AA101" s="982"/>
      <c r="AB101" s="982"/>
      <c r="AC101" s="982"/>
      <c r="AD101" s="982"/>
      <c r="AE101" s="982"/>
      <c r="AF101" s="982"/>
      <c r="AG101" s="982"/>
      <c r="AH101" s="982"/>
      <c r="AI101" s="982"/>
      <c r="AJ101" s="982"/>
      <c r="AK101" s="982"/>
    </row>
    <row r="102" spans="1:37" s="978" customFormat="1" ht="23.25" customHeight="1">
      <c r="A102" s="1115" t="s">
        <v>876</v>
      </c>
      <c r="B102" s="1115" t="s">
        <v>381</v>
      </c>
      <c r="C102" s="1111" t="s">
        <v>981</v>
      </c>
      <c r="D102" s="1111" t="s">
        <v>982</v>
      </c>
      <c r="E102" s="1111" t="s">
        <v>466</v>
      </c>
      <c r="F102" s="1111"/>
      <c r="G102" s="1111"/>
      <c r="H102" s="1111"/>
      <c r="I102" s="1111"/>
      <c r="J102" s="1111"/>
      <c r="K102" s="1111"/>
      <c r="L102" s="1111"/>
      <c r="M102" s="1111" t="s">
        <v>581</v>
      </c>
      <c r="N102" s="1111" t="s">
        <v>467</v>
      </c>
      <c r="O102" s="1111" t="s">
        <v>657</v>
      </c>
      <c r="P102" s="1111" t="s">
        <v>468</v>
      </c>
      <c r="Q102" s="976"/>
      <c r="R102" s="976"/>
      <c r="S102" s="998"/>
      <c r="T102" s="979" t="str">
        <f>'[1]2,DG-capdoi'!N100</f>
        <v>Đơn giá       sản phẩm</v>
      </c>
      <c r="U102" s="979"/>
      <c r="V102" s="977"/>
      <c r="W102" s="977"/>
      <c r="X102" s="977"/>
      <c r="Y102" s="977"/>
      <c r="Z102" s="977"/>
      <c r="AA102" s="977"/>
      <c r="AB102" s="977"/>
      <c r="AC102" s="977"/>
      <c r="AD102" s="977"/>
      <c r="AE102" s="977"/>
      <c r="AF102" s="977"/>
      <c r="AG102" s="977"/>
      <c r="AH102" s="977"/>
      <c r="AI102" s="977"/>
      <c r="AJ102" s="977"/>
      <c r="AK102" s="977"/>
    </row>
    <row r="103" spans="1:37" s="978" customFormat="1" ht="42.75" customHeight="1">
      <c r="A103" s="1115"/>
      <c r="B103" s="1115"/>
      <c r="C103" s="1111"/>
      <c r="D103" s="1111"/>
      <c r="E103" s="825" t="s">
        <v>469</v>
      </c>
      <c r="F103" s="825" t="s">
        <v>470</v>
      </c>
      <c r="G103" s="852" t="s">
        <v>1003</v>
      </c>
      <c r="H103" s="825" t="s">
        <v>59</v>
      </c>
      <c r="I103" s="825" t="s">
        <v>471</v>
      </c>
      <c r="J103" s="825" t="s">
        <v>280</v>
      </c>
      <c r="K103" s="825" t="s">
        <v>472</v>
      </c>
      <c r="L103" s="825" t="s">
        <v>473</v>
      </c>
      <c r="M103" s="1111"/>
      <c r="N103" s="1111"/>
      <c r="O103" s="1111"/>
      <c r="P103" s="1111"/>
      <c r="Q103" s="976"/>
      <c r="R103" s="976"/>
      <c r="S103" s="998"/>
      <c r="T103" s="979">
        <f>'[1]2,DG-capdoi'!N101</f>
        <v>0</v>
      </c>
      <c r="U103" s="979">
        <f t="shared" si="17"/>
        <v>0</v>
      </c>
      <c r="V103" s="977"/>
      <c r="W103" s="977"/>
      <c r="X103" s="977"/>
      <c r="Y103" s="977"/>
      <c r="Z103" s="977"/>
      <c r="AA103" s="977"/>
      <c r="AB103" s="977"/>
      <c r="AC103" s="977"/>
      <c r="AD103" s="977"/>
      <c r="AE103" s="977"/>
      <c r="AF103" s="977"/>
      <c r="AG103" s="977"/>
      <c r="AH103" s="977"/>
      <c r="AI103" s="977"/>
      <c r="AJ103" s="977"/>
      <c r="AK103" s="977"/>
    </row>
    <row r="104" spans="1:37" s="841" customFormat="1" ht="36" customHeight="1">
      <c r="A104" s="831"/>
      <c r="B104" s="838" t="s">
        <v>486</v>
      </c>
      <c r="C104" s="382"/>
      <c r="D104" s="382"/>
      <c r="E104" s="382"/>
      <c r="F104" s="382"/>
      <c r="G104" s="837"/>
      <c r="H104" s="382"/>
      <c r="I104" s="382"/>
      <c r="J104" s="382"/>
      <c r="K104" s="382"/>
      <c r="L104" s="382"/>
      <c r="M104" s="382"/>
      <c r="N104" s="382"/>
      <c r="O104" s="382"/>
      <c r="P104" s="382"/>
      <c r="Q104" s="839"/>
      <c r="R104" s="839"/>
      <c r="S104" s="1022"/>
      <c r="T104" s="946">
        <f>'[1]2,DG-capdoi'!N102</f>
        <v>0</v>
      </c>
      <c r="U104" s="946">
        <f t="shared" si="17"/>
        <v>0</v>
      </c>
      <c r="V104" s="840"/>
      <c r="W104" s="840"/>
      <c r="X104" s="840"/>
      <c r="Y104" s="840"/>
      <c r="Z104" s="840"/>
      <c r="AA104" s="840"/>
      <c r="AB104" s="840"/>
      <c r="AC104" s="840"/>
      <c r="AD104" s="840"/>
      <c r="AE104" s="840"/>
      <c r="AF104" s="840"/>
      <c r="AG104" s="840"/>
      <c r="AH104" s="840"/>
      <c r="AI104" s="840"/>
      <c r="AJ104" s="840"/>
      <c r="AK104" s="840"/>
    </row>
    <row r="105" spans="1:37" s="841" customFormat="1">
      <c r="A105" s="1112"/>
      <c r="B105" s="1178" t="s">
        <v>451</v>
      </c>
      <c r="C105" s="1124" t="s">
        <v>281</v>
      </c>
      <c r="D105" s="382">
        <v>2</v>
      </c>
      <c r="E105" s="383" t="e">
        <f>E115+E149+E183</f>
        <v>#VALUE!</v>
      </c>
      <c r="F105" s="383">
        <f t="shared" ref="F105:M105" si="18">F115+F149+F183</f>
        <v>20829</v>
      </c>
      <c r="G105" s="383">
        <f t="shared" si="18"/>
        <v>0</v>
      </c>
      <c r="H105" s="383">
        <f t="shared" si="18"/>
        <v>1.1738228900641023</v>
      </c>
      <c r="I105" s="383">
        <f t="shared" si="18"/>
        <v>10.584302400000002</v>
      </c>
      <c r="J105" s="383">
        <f t="shared" si="18"/>
        <v>5.1339439999999996</v>
      </c>
      <c r="K105" s="383">
        <f t="shared" si="18"/>
        <v>0.37358160000000001</v>
      </c>
      <c r="L105" s="383" t="e">
        <f t="shared" si="18"/>
        <v>#VALUE!</v>
      </c>
      <c r="M105" s="383" t="e">
        <f t="shared" si="18"/>
        <v>#VALUE!</v>
      </c>
      <c r="N105" s="383" t="e">
        <f>N115+N149+N183</f>
        <v>#VALUE!</v>
      </c>
      <c r="O105" s="383">
        <v>2925.6000000000349</v>
      </c>
      <c r="P105" s="383">
        <f>P115+P149+P183</f>
        <v>9143.42</v>
      </c>
      <c r="Q105" s="839"/>
      <c r="R105" s="839"/>
      <c r="S105" s="1022"/>
      <c r="T105" s="946">
        <f>'[1]2,DG-capdoi'!N103</f>
        <v>348528.92231602356</v>
      </c>
      <c r="U105" s="946" t="e">
        <f t="shared" si="17"/>
        <v>#VALUE!</v>
      </c>
      <c r="V105" s="840"/>
      <c r="W105" s="840"/>
      <c r="X105" s="840"/>
      <c r="Y105" s="840"/>
      <c r="Z105" s="840"/>
      <c r="AA105" s="840"/>
      <c r="AB105" s="840"/>
      <c r="AC105" s="840"/>
      <c r="AD105" s="840"/>
      <c r="AE105" s="840"/>
      <c r="AF105" s="840"/>
      <c r="AG105" s="840"/>
      <c r="AH105" s="840"/>
      <c r="AI105" s="840"/>
      <c r="AJ105" s="840"/>
      <c r="AK105" s="840"/>
    </row>
    <row r="106" spans="1:37" s="841" customFormat="1">
      <c r="A106" s="1112"/>
      <c r="B106" s="1179"/>
      <c r="C106" s="1124"/>
      <c r="D106" s="382">
        <v>3</v>
      </c>
      <c r="E106" s="383" t="e">
        <f>E116+E149+E183</f>
        <v>#VALUE!</v>
      </c>
      <c r="F106" s="383">
        <f t="shared" ref="F106:N106" si="19">F116+F149+F183</f>
        <v>24759</v>
      </c>
      <c r="G106" s="383">
        <f t="shared" si="19"/>
        <v>0</v>
      </c>
      <c r="H106" s="383">
        <f t="shared" si="19"/>
        <v>1.1738228900641023</v>
      </c>
      <c r="I106" s="383">
        <f t="shared" si="19"/>
        <v>10.584302400000002</v>
      </c>
      <c r="J106" s="383">
        <f t="shared" si="19"/>
        <v>5.1339439999999996</v>
      </c>
      <c r="K106" s="383">
        <f t="shared" si="19"/>
        <v>0.37358160000000001</v>
      </c>
      <c r="L106" s="383" t="e">
        <f t="shared" si="19"/>
        <v>#VALUE!</v>
      </c>
      <c r="M106" s="383" t="e">
        <f t="shared" si="19"/>
        <v>#VALUE!</v>
      </c>
      <c r="N106" s="383" t="e">
        <f t="shared" si="19"/>
        <v>#VALUE!</v>
      </c>
      <c r="O106" s="383">
        <v>3477.5999999999767</v>
      </c>
      <c r="P106" s="383">
        <f>P116+P149+P183</f>
        <v>9512.3046153846153</v>
      </c>
      <c r="Q106" s="839"/>
      <c r="R106" s="839"/>
      <c r="S106" s="1022"/>
      <c r="T106" s="946">
        <f>'[1]2,DG-capdoi'!N104</f>
        <v>365433.41078717739</v>
      </c>
      <c r="U106" s="946" t="e">
        <f t="shared" si="17"/>
        <v>#VALUE!</v>
      </c>
      <c r="V106" s="840"/>
      <c r="W106" s="840"/>
      <c r="X106" s="840"/>
      <c r="Y106" s="840"/>
      <c r="Z106" s="840"/>
      <c r="AA106" s="840"/>
      <c r="AB106" s="840"/>
      <c r="AC106" s="840"/>
      <c r="AD106" s="840"/>
      <c r="AE106" s="840"/>
      <c r="AF106" s="840"/>
      <c r="AG106" s="840"/>
      <c r="AH106" s="840"/>
      <c r="AI106" s="840"/>
      <c r="AJ106" s="840"/>
      <c r="AK106" s="840"/>
    </row>
    <row r="107" spans="1:37" s="841" customFormat="1">
      <c r="A107" s="1112"/>
      <c r="B107" s="1179"/>
      <c r="C107" s="1124"/>
      <c r="D107" s="382">
        <v>4</v>
      </c>
      <c r="E107" s="383" t="e">
        <f>E117+E149+E183</f>
        <v>#VALUE!</v>
      </c>
      <c r="F107" s="383">
        <f t="shared" ref="F107:N107" si="20">F117+F149+F183</f>
        <v>29475</v>
      </c>
      <c r="G107" s="383">
        <f t="shared" si="20"/>
        <v>0</v>
      </c>
      <c r="H107" s="383">
        <f t="shared" si="20"/>
        <v>1.1738228900641023</v>
      </c>
      <c r="I107" s="383">
        <f t="shared" si="20"/>
        <v>10.584302400000002</v>
      </c>
      <c r="J107" s="383">
        <f t="shared" si="20"/>
        <v>5.1339439999999996</v>
      </c>
      <c r="K107" s="383">
        <f t="shared" si="20"/>
        <v>0.37358160000000001</v>
      </c>
      <c r="L107" s="383" t="e">
        <f t="shared" si="20"/>
        <v>#VALUE!</v>
      </c>
      <c r="M107" s="383" t="e">
        <f t="shared" si="20"/>
        <v>#VALUE!</v>
      </c>
      <c r="N107" s="383" t="e">
        <f t="shared" si="20"/>
        <v>#VALUE!</v>
      </c>
      <c r="O107" s="383">
        <v>4140</v>
      </c>
      <c r="P107" s="383">
        <f>P117+P149+P183</f>
        <v>9954.9661538461551</v>
      </c>
      <c r="Q107" s="839"/>
      <c r="R107" s="839"/>
      <c r="S107" s="1022"/>
      <c r="T107" s="946">
        <f>'[1]2,DG-capdoi'!N105</f>
        <v>385718.79695256194</v>
      </c>
      <c r="U107" s="946" t="e">
        <f t="shared" si="17"/>
        <v>#VALUE!</v>
      </c>
      <c r="V107" s="840"/>
      <c r="W107" s="840"/>
      <c r="X107" s="840"/>
      <c r="Y107" s="840"/>
      <c r="Z107" s="840"/>
      <c r="AA107" s="840"/>
      <c r="AB107" s="840"/>
      <c r="AC107" s="840"/>
      <c r="AD107" s="840"/>
      <c r="AE107" s="840"/>
      <c r="AF107" s="840"/>
      <c r="AG107" s="840"/>
      <c r="AH107" s="840"/>
      <c r="AI107" s="840"/>
      <c r="AJ107" s="840"/>
      <c r="AK107" s="840"/>
    </row>
    <row r="108" spans="1:37" s="841" customFormat="1">
      <c r="A108" s="1112"/>
      <c r="B108" s="1180"/>
      <c r="C108" s="1124"/>
      <c r="D108" s="382">
        <v>5</v>
      </c>
      <c r="E108" s="383" t="e">
        <f>E118+E149+E183</f>
        <v>#VALUE!</v>
      </c>
      <c r="F108" s="383">
        <f t="shared" ref="F108:N108" si="21">F118+F149+F183</f>
        <v>35108</v>
      </c>
      <c r="G108" s="383">
        <f t="shared" si="21"/>
        <v>0</v>
      </c>
      <c r="H108" s="383">
        <f t="shared" si="21"/>
        <v>1.1738228900641023</v>
      </c>
      <c r="I108" s="383">
        <f t="shared" si="21"/>
        <v>10.584302400000002</v>
      </c>
      <c r="J108" s="383">
        <f t="shared" si="21"/>
        <v>5.1339439999999996</v>
      </c>
      <c r="K108" s="383">
        <f t="shared" si="21"/>
        <v>0.37358160000000001</v>
      </c>
      <c r="L108" s="383" t="e">
        <f t="shared" si="21"/>
        <v>#VALUE!</v>
      </c>
      <c r="M108" s="383" t="e">
        <f t="shared" si="21"/>
        <v>#VALUE!</v>
      </c>
      <c r="N108" s="383" t="e">
        <f t="shared" si="21"/>
        <v>#VALUE!</v>
      </c>
      <c r="O108" s="383">
        <v>4931.2000000000698</v>
      </c>
      <c r="P108" s="383">
        <f>P118+P149+P183</f>
        <v>10483.700769230771</v>
      </c>
      <c r="Q108" s="839"/>
      <c r="R108" s="839"/>
      <c r="S108" s="1022"/>
      <c r="T108" s="946">
        <f>'[1]2,DG-capdoi'!N106</f>
        <v>409948.56376121589</v>
      </c>
      <c r="U108" s="946" t="e">
        <f t="shared" si="17"/>
        <v>#VALUE!</v>
      </c>
      <c r="V108" s="840"/>
      <c r="W108" s="840"/>
      <c r="X108" s="840"/>
      <c r="Y108" s="840"/>
      <c r="Z108" s="840"/>
      <c r="AA108" s="840"/>
      <c r="AB108" s="840"/>
      <c r="AC108" s="840"/>
      <c r="AD108" s="840"/>
      <c r="AE108" s="840"/>
      <c r="AF108" s="840"/>
      <c r="AG108" s="840"/>
      <c r="AH108" s="840"/>
      <c r="AI108" s="840"/>
      <c r="AJ108" s="840"/>
      <c r="AK108" s="840"/>
    </row>
    <row r="109" spans="1:37" s="841" customFormat="1">
      <c r="A109" s="1112"/>
      <c r="B109" s="1178" t="s">
        <v>452</v>
      </c>
      <c r="C109" s="1124" t="s">
        <v>281</v>
      </c>
      <c r="D109" s="382">
        <v>2</v>
      </c>
      <c r="E109" s="383" t="e">
        <f>E119+E150+E183</f>
        <v>#VALUE!</v>
      </c>
      <c r="F109" s="383">
        <f>F119+F150+F183</f>
        <v>20829</v>
      </c>
      <c r="G109" s="383">
        <f t="shared" ref="G109:P109" si="22">G119+G150+G183</f>
        <v>0</v>
      </c>
      <c r="H109" s="383">
        <f t="shared" si="22"/>
        <v>1.1738228900641023</v>
      </c>
      <c r="I109" s="383">
        <f t="shared" si="22"/>
        <v>10.584302400000002</v>
      </c>
      <c r="J109" s="383">
        <f t="shared" si="22"/>
        <v>5.1339439999999996</v>
      </c>
      <c r="K109" s="383">
        <f t="shared" si="22"/>
        <v>0.37358160000000001</v>
      </c>
      <c r="L109" s="383" t="e">
        <f t="shared" si="22"/>
        <v>#VALUE!</v>
      </c>
      <c r="M109" s="383" t="e">
        <f t="shared" si="22"/>
        <v>#VALUE!</v>
      </c>
      <c r="N109" s="383" t="e">
        <f t="shared" si="22"/>
        <v>#VALUE!</v>
      </c>
      <c r="O109" s="383">
        <v>2925.6000000000349</v>
      </c>
      <c r="P109" s="383">
        <f t="shared" si="22"/>
        <v>8737.6469230769217</v>
      </c>
      <c r="Q109" s="839"/>
      <c r="R109" s="839"/>
      <c r="S109" s="1022"/>
      <c r="T109" s="946">
        <f>'[1]2,DG-capdoi'!N107</f>
        <v>334334.9800852543</v>
      </c>
      <c r="U109" s="946" t="e">
        <f t="shared" si="17"/>
        <v>#VALUE!</v>
      </c>
      <c r="V109" s="840"/>
      <c r="W109" s="840"/>
      <c r="X109" s="840"/>
      <c r="Y109" s="840"/>
      <c r="Z109" s="840"/>
      <c r="AA109" s="840"/>
      <c r="AB109" s="840"/>
      <c r="AC109" s="840"/>
      <c r="AD109" s="840"/>
      <c r="AE109" s="840"/>
      <c r="AF109" s="840"/>
      <c r="AG109" s="840"/>
      <c r="AH109" s="840"/>
      <c r="AI109" s="840"/>
      <c r="AJ109" s="840"/>
      <c r="AK109" s="840"/>
    </row>
    <row r="110" spans="1:37" s="841" customFormat="1">
      <c r="A110" s="1112"/>
      <c r="B110" s="1179"/>
      <c r="C110" s="1124"/>
      <c r="D110" s="382">
        <v>3</v>
      </c>
      <c r="E110" s="383" t="e">
        <f>E120+E150+E183</f>
        <v>#VALUE!</v>
      </c>
      <c r="F110" s="383">
        <f>F120+F150+F183</f>
        <v>24759</v>
      </c>
      <c r="G110" s="383">
        <f t="shared" ref="G110:P110" si="23">G120+G150+G183</f>
        <v>0</v>
      </c>
      <c r="H110" s="383">
        <f t="shared" si="23"/>
        <v>1.1738228900641023</v>
      </c>
      <c r="I110" s="383">
        <f t="shared" si="23"/>
        <v>10.584302400000002</v>
      </c>
      <c r="J110" s="383">
        <f t="shared" si="23"/>
        <v>5.1339439999999996</v>
      </c>
      <c r="K110" s="383">
        <f t="shared" si="23"/>
        <v>0.37358160000000001</v>
      </c>
      <c r="L110" s="383" t="e">
        <f t="shared" si="23"/>
        <v>#VALUE!</v>
      </c>
      <c r="M110" s="383" t="e">
        <f t="shared" si="23"/>
        <v>#VALUE!</v>
      </c>
      <c r="N110" s="383" t="e">
        <f t="shared" si="23"/>
        <v>#VALUE!</v>
      </c>
      <c r="O110" s="383">
        <v>3477.5999999999767</v>
      </c>
      <c r="P110" s="383">
        <f t="shared" si="23"/>
        <v>9198.7526923076912</v>
      </c>
      <c r="Q110" s="839"/>
      <c r="R110" s="839"/>
      <c r="S110" s="1022"/>
      <c r="T110" s="946">
        <f>'[1]2,DG-capdoi'!N108</f>
        <v>354693.15076794662</v>
      </c>
      <c r="U110" s="946" t="e">
        <f t="shared" si="17"/>
        <v>#VALUE!</v>
      </c>
      <c r="V110" s="840"/>
      <c r="W110" s="840"/>
      <c r="X110" s="840"/>
      <c r="Y110" s="840"/>
      <c r="Z110" s="840"/>
      <c r="AA110" s="840"/>
      <c r="AB110" s="840"/>
      <c r="AC110" s="840"/>
      <c r="AD110" s="840"/>
      <c r="AE110" s="840"/>
      <c r="AF110" s="840"/>
      <c r="AG110" s="840"/>
      <c r="AH110" s="840"/>
      <c r="AI110" s="840"/>
      <c r="AJ110" s="840"/>
      <c r="AK110" s="840"/>
    </row>
    <row r="111" spans="1:37" s="841" customFormat="1">
      <c r="A111" s="1112"/>
      <c r="B111" s="1179"/>
      <c r="C111" s="1124"/>
      <c r="D111" s="382">
        <v>4</v>
      </c>
      <c r="E111" s="383" t="e">
        <f>E121+E150+E183</f>
        <v>#VALUE!</v>
      </c>
      <c r="F111" s="383">
        <f>F121+F150+F183</f>
        <v>29475</v>
      </c>
      <c r="G111" s="383">
        <f t="shared" ref="G111:P111" si="24">G121+G150+G183</f>
        <v>0</v>
      </c>
      <c r="H111" s="383">
        <f t="shared" si="24"/>
        <v>1.1738228900641023</v>
      </c>
      <c r="I111" s="383">
        <f t="shared" si="24"/>
        <v>10.584302400000002</v>
      </c>
      <c r="J111" s="383">
        <f t="shared" si="24"/>
        <v>5.1339439999999996</v>
      </c>
      <c r="K111" s="383">
        <f t="shared" si="24"/>
        <v>0.37358160000000001</v>
      </c>
      <c r="L111" s="383" t="e">
        <f t="shared" si="24"/>
        <v>#VALUE!</v>
      </c>
      <c r="M111" s="383" t="e">
        <f t="shared" si="24"/>
        <v>#VALUE!</v>
      </c>
      <c r="N111" s="383" t="e">
        <f t="shared" si="24"/>
        <v>#VALUE!</v>
      </c>
      <c r="O111" s="383">
        <v>4140</v>
      </c>
      <c r="P111" s="383">
        <f t="shared" si="24"/>
        <v>9641.4142307692291</v>
      </c>
      <c r="Q111" s="839"/>
      <c r="R111" s="839"/>
      <c r="S111" s="1022"/>
      <c r="T111" s="946">
        <f>'[1]2,DG-capdoi'!N109</f>
        <v>374978.53693333117</v>
      </c>
      <c r="U111" s="946" t="e">
        <f t="shared" si="17"/>
        <v>#VALUE!</v>
      </c>
      <c r="V111" s="840"/>
      <c r="W111" s="840"/>
      <c r="X111" s="840"/>
      <c r="Y111" s="840"/>
      <c r="Z111" s="840"/>
      <c r="AA111" s="840"/>
      <c r="AB111" s="840"/>
      <c r="AC111" s="840"/>
      <c r="AD111" s="840"/>
      <c r="AE111" s="840"/>
      <c r="AF111" s="840"/>
      <c r="AG111" s="840"/>
      <c r="AH111" s="840"/>
      <c r="AI111" s="840"/>
      <c r="AJ111" s="840"/>
      <c r="AK111" s="840"/>
    </row>
    <row r="112" spans="1:37" s="841" customFormat="1">
      <c r="A112" s="1112"/>
      <c r="B112" s="1180"/>
      <c r="C112" s="1124"/>
      <c r="D112" s="382">
        <v>5</v>
      </c>
      <c r="E112" s="383" t="e">
        <f>E122+E150+E183</f>
        <v>#VALUE!</v>
      </c>
      <c r="F112" s="383">
        <f>F122+F150+F183</f>
        <v>35108</v>
      </c>
      <c r="G112" s="383">
        <f t="shared" ref="G112:P112" si="25">G122+G150+G183</f>
        <v>0</v>
      </c>
      <c r="H112" s="383">
        <f t="shared" si="25"/>
        <v>1.1738228900641023</v>
      </c>
      <c r="I112" s="383">
        <f t="shared" si="25"/>
        <v>10.584302400000002</v>
      </c>
      <c r="J112" s="383">
        <f t="shared" si="25"/>
        <v>5.1339439999999996</v>
      </c>
      <c r="K112" s="383">
        <f t="shared" si="25"/>
        <v>0.37358160000000001</v>
      </c>
      <c r="L112" s="383" t="e">
        <f t="shared" si="25"/>
        <v>#VALUE!</v>
      </c>
      <c r="M112" s="383" t="e">
        <f t="shared" si="25"/>
        <v>#VALUE!</v>
      </c>
      <c r="N112" s="383" t="e">
        <f t="shared" si="25"/>
        <v>#VALUE!</v>
      </c>
      <c r="O112" s="383">
        <v>4931.2000000000698</v>
      </c>
      <c r="P112" s="383">
        <f t="shared" si="25"/>
        <v>10170.148846153847</v>
      </c>
      <c r="Q112" s="839"/>
      <c r="R112" s="839"/>
      <c r="S112" s="1022"/>
      <c r="T112" s="946">
        <f>'[1]2,DG-capdoi'!N110</f>
        <v>399208.30374198512</v>
      </c>
      <c r="U112" s="946" t="e">
        <f t="shared" si="17"/>
        <v>#VALUE!</v>
      </c>
      <c r="V112" s="840"/>
      <c r="W112" s="840"/>
      <c r="X112" s="840"/>
      <c r="Y112" s="840"/>
      <c r="Z112" s="840"/>
      <c r="AA112" s="840"/>
      <c r="AB112" s="840"/>
      <c r="AC112" s="840"/>
      <c r="AD112" s="840"/>
      <c r="AE112" s="840"/>
      <c r="AF112" s="840"/>
      <c r="AG112" s="840"/>
      <c r="AH112" s="840"/>
      <c r="AI112" s="840"/>
      <c r="AJ112" s="840"/>
      <c r="AK112" s="840"/>
    </row>
    <row r="113" spans="1:37" s="841" customFormat="1">
      <c r="A113" s="831"/>
      <c r="B113" s="888"/>
      <c r="C113" s="382"/>
      <c r="D113" s="382"/>
      <c r="E113" s="382"/>
      <c r="F113" s="382"/>
      <c r="G113" s="837"/>
      <c r="H113" s="382"/>
      <c r="I113" s="382"/>
      <c r="J113" s="382"/>
      <c r="K113" s="382"/>
      <c r="L113" s="382"/>
      <c r="M113" s="382"/>
      <c r="N113" s="382"/>
      <c r="O113" s="382">
        <v>0</v>
      </c>
      <c r="P113" s="382"/>
      <c r="Q113" s="849">
        <f>'He so chung'!D$22</f>
        <v>5346.1538461538457</v>
      </c>
      <c r="R113" s="849">
        <f>'He so chung'!D$23</f>
        <v>801.92307692307691</v>
      </c>
      <c r="S113" s="1023"/>
      <c r="T113" s="946">
        <f>'[1]2,DG-capdoi'!N111</f>
        <v>0</v>
      </c>
      <c r="U113" s="946">
        <f t="shared" si="17"/>
        <v>0</v>
      </c>
      <c r="V113" s="840"/>
      <c r="W113" s="840"/>
      <c r="X113" s="840"/>
      <c r="Y113" s="840"/>
      <c r="Z113" s="840"/>
      <c r="AA113" s="840"/>
      <c r="AB113" s="840"/>
      <c r="AC113" s="840"/>
      <c r="AD113" s="840"/>
      <c r="AE113" s="840"/>
      <c r="AF113" s="840"/>
      <c r="AG113" s="840"/>
      <c r="AH113" s="840"/>
      <c r="AI113" s="840"/>
      <c r="AJ113" s="840"/>
      <c r="AK113" s="840"/>
    </row>
    <row r="114" spans="1:37" s="841" customFormat="1">
      <c r="A114" s="831" t="s">
        <v>179</v>
      </c>
      <c r="B114" s="888" t="s">
        <v>939</v>
      </c>
      <c r="C114" s="382"/>
      <c r="D114" s="382"/>
      <c r="E114" s="382"/>
      <c r="F114" s="382"/>
      <c r="G114" s="837"/>
      <c r="H114" s="382"/>
      <c r="I114" s="382"/>
      <c r="J114" s="382"/>
      <c r="K114" s="382"/>
      <c r="L114" s="382"/>
      <c r="M114" s="382"/>
      <c r="N114" s="382"/>
      <c r="O114" s="382">
        <v>0</v>
      </c>
      <c r="P114" s="382"/>
      <c r="Q114" s="849"/>
      <c r="R114" s="849"/>
      <c r="S114" s="1023"/>
      <c r="T114" s="946">
        <f>'[1]2,DG-capdoi'!N112</f>
        <v>0</v>
      </c>
      <c r="U114" s="946">
        <f t="shared" si="17"/>
        <v>0</v>
      </c>
      <c r="V114" s="840"/>
      <c r="W114" s="840"/>
      <c r="X114" s="840"/>
      <c r="Y114" s="840"/>
      <c r="Z114" s="840"/>
      <c r="AA114" s="840"/>
      <c r="AB114" s="840"/>
      <c r="AC114" s="840"/>
      <c r="AD114" s="840"/>
      <c r="AE114" s="840"/>
      <c r="AF114" s="840"/>
      <c r="AG114" s="840"/>
      <c r="AH114" s="840"/>
      <c r="AI114" s="840"/>
      <c r="AJ114" s="840"/>
      <c r="AK114" s="840"/>
    </row>
    <row r="115" spans="1:37" s="949" customFormat="1">
      <c r="A115" s="1139" t="s">
        <v>665</v>
      </c>
      <c r="B115" s="1178" t="s">
        <v>451</v>
      </c>
      <c r="C115" s="1124" t="s">
        <v>281</v>
      </c>
      <c r="D115" s="443" t="s">
        <v>886</v>
      </c>
      <c r="E115" s="906" t="e">
        <f>E124+E125+E126+E128+E130+E131+E132+E137+E140+E142+E144+E146+E147</f>
        <v>#VALUE!</v>
      </c>
      <c r="F115" s="906">
        <f>F124+F125+F126+F128+F130+F131+F132+F137+F140+F142+F144+F146+F147</f>
        <v>20829</v>
      </c>
      <c r="G115" s="906">
        <f>G124+G125+G126+G128+G129+G130+G131+G137+G138+G140+G141+G142+G144+G145+G146+G147</f>
        <v>0</v>
      </c>
      <c r="H115" s="943">
        <f>'Dcu-DKDD'!$H$216</f>
        <v>0</v>
      </c>
      <c r="I115" s="943">
        <f>'VL-DKDD'!$F$223</f>
        <v>0</v>
      </c>
      <c r="J115" s="943">
        <f>'TB-DKDD'!$I$123</f>
        <v>0</v>
      </c>
      <c r="K115" s="943">
        <f>'NL-DKDD'!$F$84</f>
        <v>0</v>
      </c>
      <c r="L115" s="893" t="e">
        <f t="shared" ref="L115:L122" si="26">SUM(E115:K115)</f>
        <v>#VALUE!</v>
      </c>
      <c r="M115" s="893" t="e">
        <f>L115*'He so chung'!$D$17/100</f>
        <v>#VALUE!</v>
      </c>
      <c r="N115" s="893" t="e">
        <f t="shared" ref="N115:N122" si="27">L115+M115</f>
        <v>#VALUE!</v>
      </c>
      <c r="O115" s="893">
        <v>2925.6000000000058</v>
      </c>
      <c r="P115" s="906">
        <f>P124+P125+P126+P128+P130+P131+P132+P137+P140+P142+P144+P146+P147</f>
        <v>3926.1619230769229</v>
      </c>
      <c r="Q115" s="839"/>
      <c r="R115" s="839"/>
      <c r="S115" s="1042"/>
      <c r="T115" s="946">
        <f>'[1]2,DG-capdoi'!N113</f>
        <v>160153.6022292308</v>
      </c>
      <c r="U115" s="946" t="e">
        <f t="shared" si="17"/>
        <v>#VALUE!</v>
      </c>
    </row>
    <row r="116" spans="1:37" s="949" customFormat="1">
      <c r="A116" s="1139"/>
      <c r="B116" s="1179"/>
      <c r="C116" s="1124"/>
      <c r="D116" s="443" t="s">
        <v>887</v>
      </c>
      <c r="E116" s="906" t="e">
        <f>E124+E125+E126+E128+E130+E131+E133+E137+E140+E142+E144+E146+E147</f>
        <v>#VALUE!</v>
      </c>
      <c r="F116" s="906">
        <f>F124+F125+F126+F128+F130+F131+F133+F137+F140+F142+F144+F146+F147</f>
        <v>24759</v>
      </c>
      <c r="G116" s="906">
        <f>G124+G125+G126+G128+G129+G130+G131+G133+G137+G138+G140+G141+G142+G144+G145+G146+G147</f>
        <v>0</v>
      </c>
      <c r="H116" s="943">
        <f>'Dcu-DKDD'!$H$217</f>
        <v>0</v>
      </c>
      <c r="I116" s="943">
        <f>'VL-DKDD'!$F$223</f>
        <v>0</v>
      </c>
      <c r="J116" s="943">
        <f>'TB-DKDD'!$I$123</f>
        <v>0</v>
      </c>
      <c r="K116" s="943">
        <f>'NL-DKDD'!$F$84</f>
        <v>0</v>
      </c>
      <c r="L116" s="893" t="e">
        <f t="shared" si="26"/>
        <v>#VALUE!</v>
      </c>
      <c r="M116" s="893" t="e">
        <f>L116*'He so chung'!$D$17/100</f>
        <v>#VALUE!</v>
      </c>
      <c r="N116" s="893" t="e">
        <f t="shared" si="27"/>
        <v>#VALUE!</v>
      </c>
      <c r="O116" s="893">
        <v>3477.6000000000058</v>
      </c>
      <c r="P116" s="906">
        <f>P124+P125+P126+P128+P130+P131+P133+P137+P140+P142+P144+P146+P147</f>
        <v>4295.0465384615372</v>
      </c>
      <c r="Q116" s="839"/>
      <c r="R116" s="839"/>
      <c r="S116" s="1042"/>
      <c r="T116" s="946">
        <f>'[1]2,DG-capdoi'!N114</f>
        <v>177058.09070038464</v>
      </c>
      <c r="U116" s="946" t="e">
        <f t="shared" si="17"/>
        <v>#VALUE!</v>
      </c>
    </row>
    <row r="117" spans="1:37" s="949" customFormat="1">
      <c r="A117" s="1139"/>
      <c r="B117" s="1179"/>
      <c r="C117" s="1124"/>
      <c r="D117" s="443" t="s">
        <v>888</v>
      </c>
      <c r="E117" s="906" t="e">
        <f>E124+E125+E126+E128+E130+E131+E134+E137+E140+E142+E144+E146+E147</f>
        <v>#VALUE!</v>
      </c>
      <c r="F117" s="906">
        <f>F124+F125+F126+F128+F130+F131+F134+F137+F140+F142+F144+F146+F147</f>
        <v>29475</v>
      </c>
      <c r="G117" s="906">
        <f>G124+G125+G126+G128+G129+G130+G134+G137+G138+G140+G141+G142+G144+G145+G146+G147</f>
        <v>0</v>
      </c>
      <c r="H117" s="943">
        <f>'Dcu-DKDD'!$H$218</f>
        <v>0</v>
      </c>
      <c r="I117" s="943">
        <f>'VL-DKDD'!$F$223</f>
        <v>0</v>
      </c>
      <c r="J117" s="943">
        <f>'TB-DKDD'!$I$123</f>
        <v>0</v>
      </c>
      <c r="K117" s="943">
        <f>'NL-DKDD'!$F$84</f>
        <v>0</v>
      </c>
      <c r="L117" s="893" t="e">
        <f t="shared" si="26"/>
        <v>#VALUE!</v>
      </c>
      <c r="M117" s="893" t="e">
        <f>L117*'He so chung'!$D$17/100</f>
        <v>#VALUE!</v>
      </c>
      <c r="N117" s="893" t="e">
        <f t="shared" si="27"/>
        <v>#VALUE!</v>
      </c>
      <c r="O117" s="893">
        <v>4140</v>
      </c>
      <c r="P117" s="906">
        <f>P124+P125+P126+P128+P130+P131+P134+P137+P140+P142+P144+P146+P147</f>
        <v>4737.708076923077</v>
      </c>
      <c r="Q117" s="839"/>
      <c r="R117" s="839"/>
      <c r="S117" s="1042"/>
      <c r="T117" s="946">
        <f>'[1]2,DG-capdoi'!N115</f>
        <v>197343.47686576922</v>
      </c>
      <c r="U117" s="946" t="e">
        <f t="shared" si="17"/>
        <v>#VALUE!</v>
      </c>
    </row>
    <row r="118" spans="1:37" s="949" customFormat="1">
      <c r="A118" s="1139"/>
      <c r="B118" s="1180"/>
      <c r="C118" s="1124"/>
      <c r="D118" s="443" t="s">
        <v>889</v>
      </c>
      <c r="E118" s="906" t="e">
        <f>E124+E125+E126+E128+E130+E131+E135+E137+E140+E142+E144+E146+E147</f>
        <v>#VALUE!</v>
      </c>
      <c r="F118" s="906">
        <f>F124+F125+F126+F128+F130+F131+F135+F137+F140+F142+F144+F146+F147</f>
        <v>35108</v>
      </c>
      <c r="G118" s="906">
        <f>G124+G125+G126+G128+G129+G130+G131+G135+G137+G138+G140+G141+G142+G144+G145+G146+G147</f>
        <v>0</v>
      </c>
      <c r="H118" s="943">
        <f>'Dcu-DKDD'!$H$219</f>
        <v>0</v>
      </c>
      <c r="I118" s="943">
        <f>'VL-DKDD'!$F$223</f>
        <v>0</v>
      </c>
      <c r="J118" s="943">
        <f>'TB-DKDD'!$I$123</f>
        <v>0</v>
      </c>
      <c r="K118" s="943">
        <f>'NL-DKDD'!$F$84</f>
        <v>0</v>
      </c>
      <c r="L118" s="871" t="e">
        <f t="shared" si="26"/>
        <v>#VALUE!</v>
      </c>
      <c r="M118" s="871" t="e">
        <f>L118*'He so chung'!$D$17/100</f>
        <v>#VALUE!</v>
      </c>
      <c r="N118" s="871" t="e">
        <f t="shared" si="27"/>
        <v>#VALUE!</v>
      </c>
      <c r="O118" s="871">
        <v>4931.2000000000116</v>
      </c>
      <c r="P118" s="906">
        <f>P124+P125+P126+P128+P130+P131+P135+P137+P140+P142+P144+P146+P147</f>
        <v>5266.4426923076926</v>
      </c>
      <c r="Q118" s="839"/>
      <c r="R118" s="839"/>
      <c r="S118" s="1042"/>
      <c r="T118" s="946">
        <f>'[1]2,DG-capdoi'!N116</f>
        <v>221573.24367442311</v>
      </c>
      <c r="U118" s="946" t="e">
        <f t="shared" si="17"/>
        <v>#VALUE!</v>
      </c>
    </row>
    <row r="119" spans="1:37" s="949" customFormat="1">
      <c r="A119" s="1139" t="s">
        <v>665</v>
      </c>
      <c r="B119" s="1178" t="s">
        <v>452</v>
      </c>
      <c r="C119" s="1124" t="s">
        <v>281</v>
      </c>
      <c r="D119" s="443" t="s">
        <v>886</v>
      </c>
      <c r="E119" s="906" t="e">
        <f>E124+E125+E126+E129+E130+E131+E132+E138+E141+E142+E145+E146+E147</f>
        <v>#VALUE!</v>
      </c>
      <c r="F119" s="906">
        <f>F124+F125+F126+F129+F130+F131+F132+F138+F141+F142+F145+F146+F147</f>
        <v>20829</v>
      </c>
      <c r="G119" s="906"/>
      <c r="H119" s="943">
        <f>'Dcu-DKDD'!$H$216</f>
        <v>0</v>
      </c>
      <c r="I119" s="943">
        <f>'VL-DKDD'!$F$223</f>
        <v>0</v>
      </c>
      <c r="J119" s="943">
        <f>'TB-DKDD'!$I$123</f>
        <v>0</v>
      </c>
      <c r="K119" s="943">
        <f>'NL-DKDD'!$F$84</f>
        <v>0</v>
      </c>
      <c r="L119" s="893" t="e">
        <f t="shared" si="26"/>
        <v>#VALUE!</v>
      </c>
      <c r="M119" s="893" t="e">
        <f>L119*'He so chung'!$D$17/100</f>
        <v>#VALUE!</v>
      </c>
      <c r="N119" s="893" t="e">
        <f t="shared" si="27"/>
        <v>#VALUE!</v>
      </c>
      <c r="O119" s="906">
        <v>2925.6000000000349</v>
      </c>
      <c r="P119" s="906">
        <f>P124+P125+P126+P129+P130+P131+P132+P138+P141+P142+P145+P146+P147</f>
        <v>3674.0907692307687</v>
      </c>
      <c r="Q119" s="839"/>
      <c r="R119" s="839"/>
      <c r="S119" s="1042"/>
      <c r="T119" s="946">
        <f>'[1]2,DG-capdoi'!N117</f>
        <v>151339.94970519232</v>
      </c>
      <c r="U119" s="946" t="e">
        <f t="shared" si="17"/>
        <v>#VALUE!</v>
      </c>
    </row>
    <row r="120" spans="1:37" s="949" customFormat="1">
      <c r="A120" s="1139"/>
      <c r="B120" s="1179"/>
      <c r="C120" s="1124"/>
      <c r="D120" s="443" t="s">
        <v>887</v>
      </c>
      <c r="E120" s="906" t="e">
        <f>E124+E125+E126+E129+E130+E131+E133+E137+E138+E141+E142+E145+E146+E147</f>
        <v>#VALUE!</v>
      </c>
      <c r="F120" s="906">
        <f>F124+F125+F126+F129+F130+F131+F133+F137+F138+F141+F142+F145+F146+F147</f>
        <v>24759</v>
      </c>
      <c r="G120" s="906"/>
      <c r="H120" s="943">
        <f>'Dcu-DKDD'!$H$217</f>
        <v>0</v>
      </c>
      <c r="I120" s="943">
        <f>'VL-DKDD'!$F$223</f>
        <v>0</v>
      </c>
      <c r="J120" s="943">
        <f>'TB-DKDD'!$I$123</f>
        <v>0</v>
      </c>
      <c r="K120" s="943">
        <f>'NL-DKDD'!$F$84</f>
        <v>0</v>
      </c>
      <c r="L120" s="893" t="e">
        <f t="shared" si="26"/>
        <v>#VALUE!</v>
      </c>
      <c r="M120" s="893" t="e">
        <f>L120*'He so chung'!$D$17/100</f>
        <v>#VALUE!</v>
      </c>
      <c r="N120" s="893" t="e">
        <f t="shared" si="27"/>
        <v>#VALUE!</v>
      </c>
      <c r="O120" s="906">
        <v>3477.5999999999767</v>
      </c>
      <c r="P120" s="906">
        <f>P124+P125+P126+P129+P130+P131+P133+P137+P138+P141+P142+P145+P146+P147</f>
        <v>4135.1965384615378</v>
      </c>
      <c r="Q120" s="839"/>
      <c r="R120" s="839"/>
      <c r="S120" s="1042"/>
      <c r="T120" s="946">
        <f>'[1]2,DG-capdoi'!N118</f>
        <v>171698.12038788461</v>
      </c>
      <c r="U120" s="946" t="e">
        <f t="shared" si="17"/>
        <v>#VALUE!</v>
      </c>
    </row>
    <row r="121" spans="1:37" s="949" customFormat="1">
      <c r="A121" s="1139"/>
      <c r="B121" s="1179"/>
      <c r="C121" s="1124"/>
      <c r="D121" s="443" t="s">
        <v>888</v>
      </c>
      <c r="E121" s="906" t="e">
        <f>E124+E125+E126+E129+E130+E131+E134+E137+E138+E141+E142+E145+E146+E147</f>
        <v>#VALUE!</v>
      </c>
      <c r="F121" s="906">
        <f>F124+F125+F126+F129+F130+F131+F134+F137+F138+F141+F142+F145+F146+F147</f>
        <v>29475</v>
      </c>
      <c r="G121" s="906"/>
      <c r="H121" s="943">
        <f>'Dcu-DKDD'!$H$218</f>
        <v>0</v>
      </c>
      <c r="I121" s="943">
        <f>'VL-DKDD'!$F$223</f>
        <v>0</v>
      </c>
      <c r="J121" s="943">
        <f>'TB-DKDD'!$I$123</f>
        <v>0</v>
      </c>
      <c r="K121" s="943">
        <f>'NL-DKDD'!$F$84</f>
        <v>0</v>
      </c>
      <c r="L121" s="893" t="e">
        <f t="shared" si="26"/>
        <v>#VALUE!</v>
      </c>
      <c r="M121" s="893" t="e">
        <f>L121*'He so chung'!$D$17/100</f>
        <v>#VALUE!</v>
      </c>
      <c r="N121" s="893" t="e">
        <f t="shared" si="27"/>
        <v>#VALUE!</v>
      </c>
      <c r="O121" s="906">
        <v>4140</v>
      </c>
      <c r="P121" s="906">
        <f>P124+P125+P126+P129+P130+P131+P134+P137+P138+P141+P142+P145+P146+P147</f>
        <v>4577.8580769230757</v>
      </c>
      <c r="Q121" s="839"/>
      <c r="R121" s="839"/>
      <c r="S121" s="1042"/>
      <c r="T121" s="946">
        <f>'[1]2,DG-capdoi'!N119</f>
        <v>191983.50655326922</v>
      </c>
      <c r="U121" s="946" t="e">
        <f t="shared" si="17"/>
        <v>#VALUE!</v>
      </c>
    </row>
    <row r="122" spans="1:37" s="949" customFormat="1">
      <c r="A122" s="1139"/>
      <c r="B122" s="1180"/>
      <c r="C122" s="1124"/>
      <c r="D122" s="443" t="s">
        <v>889</v>
      </c>
      <c r="E122" s="906" t="e">
        <f>E124+E125+E126+E129+E130+E131+E135+E137+E138+E141+E142+E145+E146+E147</f>
        <v>#VALUE!</v>
      </c>
      <c r="F122" s="906">
        <f>F124+F125+F126+F129+F130+F131+F135+F137+F138+F141+F142+F145+F146+F147</f>
        <v>35108</v>
      </c>
      <c r="G122" s="906"/>
      <c r="H122" s="943">
        <f>'Dcu-DKDD'!$H$219</f>
        <v>0</v>
      </c>
      <c r="I122" s="943">
        <f>'VL-DKDD'!$F$223</f>
        <v>0</v>
      </c>
      <c r="J122" s="943">
        <f>'TB-DKDD'!$I$123</f>
        <v>0</v>
      </c>
      <c r="K122" s="943">
        <f>'NL-DKDD'!$F$84</f>
        <v>0</v>
      </c>
      <c r="L122" s="871" t="e">
        <f t="shared" si="26"/>
        <v>#VALUE!</v>
      </c>
      <c r="M122" s="871" t="e">
        <f>L122*'He so chung'!$D$17/100</f>
        <v>#VALUE!</v>
      </c>
      <c r="N122" s="871" t="e">
        <f t="shared" si="27"/>
        <v>#VALUE!</v>
      </c>
      <c r="O122" s="906">
        <v>4931.2000000000116</v>
      </c>
      <c r="P122" s="906">
        <f>P124+P125+P126+P129+P130+P131+P135+P137+P138+P141+P142+P145+P146+P147</f>
        <v>5106.5926923076922</v>
      </c>
      <c r="Q122" s="839"/>
      <c r="R122" s="839"/>
      <c r="S122" s="1042"/>
      <c r="T122" s="946">
        <f>'[1]2,DG-capdoi'!N120</f>
        <v>216213.27336192311</v>
      </c>
      <c r="U122" s="946" t="e">
        <f t="shared" si="17"/>
        <v>#VALUE!</v>
      </c>
    </row>
    <row r="123" spans="1:37" s="1037" customFormat="1">
      <c r="A123" s="832">
        <v>1</v>
      </c>
      <c r="B123" s="827" t="s">
        <v>599</v>
      </c>
      <c r="C123" s="951"/>
      <c r="D123" s="1043"/>
      <c r="E123" s="903"/>
      <c r="F123" s="903"/>
      <c r="G123" s="391"/>
      <c r="H123" s="903"/>
      <c r="I123" s="903"/>
      <c r="J123" s="903"/>
      <c r="K123" s="903"/>
      <c r="L123" s="925"/>
      <c r="M123" s="925"/>
      <c r="N123" s="925"/>
      <c r="O123" s="925"/>
      <c r="P123" s="1044"/>
      <c r="Q123" s="839"/>
      <c r="R123" s="839"/>
      <c r="S123" s="1045"/>
      <c r="T123" s="946">
        <f>'[1]2,DG-capdoi'!N121</f>
        <v>0</v>
      </c>
      <c r="U123" s="946">
        <f t="shared" si="17"/>
        <v>0</v>
      </c>
      <c r="V123" s="1036"/>
      <c r="W123" s="1036"/>
      <c r="X123" s="1036"/>
      <c r="Y123" s="1036"/>
      <c r="Z123" s="1036"/>
      <c r="AA123" s="1036"/>
      <c r="AB123" s="1036"/>
      <c r="AC123" s="1036"/>
      <c r="AD123" s="1036"/>
      <c r="AE123" s="1036"/>
      <c r="AF123" s="1036"/>
      <c r="AG123" s="1036"/>
      <c r="AH123" s="1036"/>
      <c r="AI123" s="1036"/>
      <c r="AJ123" s="1036"/>
      <c r="AK123" s="1036"/>
    </row>
    <row r="124" spans="1:37" s="1037" customFormat="1">
      <c r="A124" s="832" t="s">
        <v>891</v>
      </c>
      <c r="B124" s="827" t="s">
        <v>21</v>
      </c>
      <c r="C124" s="832" t="s">
        <v>281</v>
      </c>
      <c r="D124" s="901" t="s">
        <v>880</v>
      </c>
      <c r="E124" s="903" t="e">
        <f>NC_DKDD!H602/5000*10</f>
        <v>#VALUE!</v>
      </c>
      <c r="F124" s="903">
        <f>NC_DKDD!H603/5000*10</f>
        <v>524</v>
      </c>
      <c r="G124" s="391"/>
      <c r="H124" s="903"/>
      <c r="I124" s="903"/>
      <c r="J124" s="903"/>
      <c r="K124" s="903"/>
      <c r="L124" s="925"/>
      <c r="M124" s="925"/>
      <c r="N124" s="925"/>
      <c r="O124" s="925"/>
      <c r="P124" s="1044">
        <f>Q124+R124</f>
        <v>24.592307692307692</v>
      </c>
      <c r="Q124" s="839">
        <f>S124*Q$113</f>
        <v>21.384615384615383</v>
      </c>
      <c r="R124" s="839">
        <f>S124*R$113</f>
        <v>3.2076923076923078</v>
      </c>
      <c r="S124" s="1046">
        <f>NC_DKDD!G602/5000*10</f>
        <v>4.0000000000000001E-3</v>
      </c>
      <c r="T124" s="946">
        <f>'[1]2,DG-capdoi'!N122</f>
        <v>0</v>
      </c>
      <c r="U124" s="946">
        <f t="shared" si="17"/>
        <v>0</v>
      </c>
      <c r="V124" s="1036"/>
      <c r="W124" s="1036"/>
      <c r="X124" s="1036"/>
      <c r="Y124" s="1036"/>
      <c r="Z124" s="1036"/>
      <c r="AA124" s="1036"/>
      <c r="AB124" s="1036"/>
      <c r="AC124" s="1036"/>
      <c r="AD124" s="1036"/>
      <c r="AE124" s="1036"/>
      <c r="AF124" s="1036"/>
      <c r="AG124" s="1036"/>
      <c r="AH124" s="1036"/>
      <c r="AI124" s="1036"/>
      <c r="AJ124" s="1036"/>
      <c r="AK124" s="1036"/>
    </row>
    <row r="125" spans="1:37" s="1037" customFormat="1" ht="36.75" customHeight="1">
      <c r="A125" s="832" t="s">
        <v>899</v>
      </c>
      <c r="B125" s="827" t="s">
        <v>65</v>
      </c>
      <c r="C125" s="832" t="s">
        <v>281</v>
      </c>
      <c r="D125" s="901" t="s">
        <v>880</v>
      </c>
      <c r="E125" s="903" t="e">
        <f>NC_DKDD!H604/5000</f>
        <v>#VALUE!</v>
      </c>
      <c r="F125" s="903"/>
      <c r="G125" s="391"/>
      <c r="H125" s="903"/>
      <c r="I125" s="903"/>
      <c r="J125" s="903"/>
      <c r="K125" s="903"/>
      <c r="L125" s="925"/>
      <c r="M125" s="925"/>
      <c r="N125" s="925"/>
      <c r="O125" s="925"/>
      <c r="P125" s="1044">
        <f t="shared" ref="P125:P190" si="28">Q125+R125</f>
        <v>59.021538461538448</v>
      </c>
      <c r="Q125" s="839">
        <f t="shared" ref="Q125:Q190" si="29">S125*Q$113</f>
        <v>51.323076923076911</v>
      </c>
      <c r="R125" s="839">
        <f t="shared" ref="R125:R190" si="30">S125*R$113</f>
        <v>7.6984615384615376</v>
      </c>
      <c r="S125" s="1046">
        <f>NC_DKDD!G604/5000</f>
        <v>9.5999999999999992E-3</v>
      </c>
      <c r="T125" s="946">
        <f>'[1]2,DG-capdoi'!N123</f>
        <v>0</v>
      </c>
      <c r="U125" s="946">
        <f t="shared" si="17"/>
        <v>0</v>
      </c>
      <c r="V125" s="1036"/>
      <c r="W125" s="1036"/>
      <c r="X125" s="1036"/>
      <c r="Y125" s="1036"/>
      <c r="Z125" s="1036"/>
      <c r="AA125" s="1036"/>
      <c r="AB125" s="1036"/>
      <c r="AC125" s="1036"/>
      <c r="AD125" s="1036"/>
      <c r="AE125" s="1036"/>
      <c r="AF125" s="1036"/>
      <c r="AG125" s="1036"/>
      <c r="AH125" s="1036"/>
      <c r="AI125" s="1036"/>
      <c r="AJ125" s="1036"/>
      <c r="AK125" s="1036"/>
    </row>
    <row r="126" spans="1:37" s="1037" customFormat="1" ht="28.5">
      <c r="A126" s="832" t="s">
        <v>892</v>
      </c>
      <c r="B126" s="827" t="s">
        <v>27</v>
      </c>
      <c r="C126" s="832" t="s">
        <v>281</v>
      </c>
      <c r="D126" s="901" t="s">
        <v>880</v>
      </c>
      <c r="E126" s="903" t="e">
        <f>NC_DKDD!H606/5000*10</f>
        <v>#VALUE!</v>
      </c>
      <c r="F126" s="903">
        <f>NC_DKDD!H607/5000*10</f>
        <v>655</v>
      </c>
      <c r="G126" s="391"/>
      <c r="H126" s="903"/>
      <c r="I126" s="903"/>
      <c r="J126" s="903"/>
      <c r="K126" s="903"/>
      <c r="L126" s="925"/>
      <c r="M126" s="925"/>
      <c r="N126" s="925"/>
      <c r="O126" s="925"/>
      <c r="P126" s="1044">
        <f t="shared" si="28"/>
        <v>30.740384615384613</v>
      </c>
      <c r="Q126" s="839">
        <f t="shared" si="29"/>
        <v>26.73076923076923</v>
      </c>
      <c r="R126" s="839">
        <f t="shared" si="30"/>
        <v>4.009615384615385</v>
      </c>
      <c r="S126" s="1046">
        <f>NC_DKDD!G606/5000*10</f>
        <v>5.0000000000000001E-3</v>
      </c>
      <c r="T126" s="946">
        <f>'[1]2,DG-capdoi'!N124</f>
        <v>0</v>
      </c>
      <c r="U126" s="946">
        <f t="shared" si="17"/>
        <v>0</v>
      </c>
      <c r="V126" s="1036"/>
      <c r="W126" s="1036"/>
      <c r="X126" s="1036"/>
      <c r="Y126" s="1036"/>
      <c r="Z126" s="1036"/>
      <c r="AA126" s="1036"/>
      <c r="AB126" s="1036"/>
      <c r="AC126" s="1036"/>
      <c r="AD126" s="1036"/>
      <c r="AE126" s="1036"/>
      <c r="AF126" s="1036"/>
      <c r="AG126" s="1036"/>
      <c r="AH126" s="1036"/>
      <c r="AI126" s="1036"/>
      <c r="AJ126" s="1036"/>
      <c r="AK126" s="1036"/>
    </row>
    <row r="127" spans="1:37" s="1037" customFormat="1" ht="20.25" customHeight="1">
      <c r="A127" s="832" t="s">
        <v>30</v>
      </c>
      <c r="B127" s="827" t="s">
        <v>813</v>
      </c>
      <c r="C127" s="832"/>
      <c r="D127" s="832"/>
      <c r="E127" s="903"/>
      <c r="F127" s="903"/>
      <c r="G127" s="391"/>
      <c r="H127" s="903"/>
      <c r="I127" s="903"/>
      <c r="J127" s="903"/>
      <c r="K127" s="903"/>
      <c r="L127" s="925"/>
      <c r="M127" s="925"/>
      <c r="N127" s="925"/>
      <c r="O127" s="925"/>
      <c r="P127" s="1044">
        <f t="shared" si="28"/>
        <v>0</v>
      </c>
      <c r="Q127" s="839">
        <f t="shared" si="29"/>
        <v>0</v>
      </c>
      <c r="R127" s="839">
        <f t="shared" si="30"/>
        <v>0</v>
      </c>
      <c r="S127" s="1045"/>
      <c r="T127" s="946">
        <f>'[1]2,DG-capdoi'!N125</f>
        <v>0</v>
      </c>
      <c r="U127" s="946">
        <f t="shared" si="17"/>
        <v>0</v>
      </c>
      <c r="V127" s="1036"/>
      <c r="W127" s="1036"/>
      <c r="X127" s="1036"/>
      <c r="Y127" s="1036"/>
      <c r="Z127" s="1036"/>
      <c r="AA127" s="1036"/>
      <c r="AB127" s="1036"/>
      <c r="AC127" s="1036"/>
      <c r="AD127" s="1036"/>
      <c r="AE127" s="1036"/>
      <c r="AF127" s="1036"/>
      <c r="AG127" s="1036"/>
      <c r="AH127" s="1036"/>
      <c r="AI127" s="1036"/>
      <c r="AJ127" s="1036"/>
      <c r="AK127" s="1036"/>
    </row>
    <row r="128" spans="1:37" s="1037" customFormat="1" ht="20.25" customHeight="1">
      <c r="A128" s="832" t="s">
        <v>32</v>
      </c>
      <c r="B128" s="827" t="s">
        <v>33</v>
      </c>
      <c r="C128" s="832" t="s">
        <v>281</v>
      </c>
      <c r="D128" s="901" t="s">
        <v>880</v>
      </c>
      <c r="E128" s="903" t="e">
        <f>NC_DKDD!H609</f>
        <v>#VALUE!</v>
      </c>
      <c r="F128" s="903"/>
      <c r="G128" s="391"/>
      <c r="H128" s="903"/>
      <c r="I128" s="903"/>
      <c r="J128" s="903"/>
      <c r="K128" s="903"/>
      <c r="L128" s="925"/>
      <c r="M128" s="925"/>
      <c r="N128" s="925"/>
      <c r="O128" s="925"/>
      <c r="P128" s="1044">
        <f>Q128+R128</f>
        <v>307.40384615384619</v>
      </c>
      <c r="Q128" s="839">
        <f t="shared" si="29"/>
        <v>267.30769230769232</v>
      </c>
      <c r="R128" s="839">
        <f t="shared" si="30"/>
        <v>40.096153846153847</v>
      </c>
      <c r="S128" s="1046">
        <f>NC_DKDD!G609</f>
        <v>0.05</v>
      </c>
      <c r="T128" s="946">
        <f>'[1]2,DG-capdoi'!N126</f>
        <v>0</v>
      </c>
      <c r="U128" s="946">
        <f t="shared" si="17"/>
        <v>0</v>
      </c>
      <c r="V128" s="1036"/>
      <c r="W128" s="1036"/>
      <c r="X128" s="1036"/>
      <c r="Y128" s="1036"/>
      <c r="Z128" s="1036"/>
      <c r="AA128" s="1036"/>
      <c r="AB128" s="1036"/>
      <c r="AC128" s="1036"/>
      <c r="AD128" s="1036"/>
      <c r="AE128" s="1036"/>
      <c r="AF128" s="1036"/>
      <c r="AG128" s="1036"/>
      <c r="AH128" s="1036"/>
      <c r="AI128" s="1036"/>
      <c r="AJ128" s="1036"/>
      <c r="AK128" s="1036"/>
    </row>
    <row r="129" spans="1:37" s="1037" customFormat="1" ht="20.25" customHeight="1">
      <c r="A129" s="832" t="s">
        <v>35</v>
      </c>
      <c r="B129" s="827" t="s">
        <v>36</v>
      </c>
      <c r="C129" s="832" t="s">
        <v>281</v>
      </c>
      <c r="D129" s="901" t="s">
        <v>880</v>
      </c>
      <c r="E129" s="903" t="e">
        <f>NC_DKDD!H610</f>
        <v>#VALUE!</v>
      </c>
      <c r="F129" s="903"/>
      <c r="G129" s="391"/>
      <c r="H129" s="903"/>
      <c r="I129" s="903"/>
      <c r="J129" s="903"/>
      <c r="K129" s="903"/>
      <c r="L129" s="925"/>
      <c r="M129" s="925"/>
      <c r="N129" s="925"/>
      <c r="O129" s="925"/>
      <c r="P129" s="1044">
        <f t="shared" si="28"/>
        <v>153.70192307692309</v>
      </c>
      <c r="Q129" s="839">
        <f t="shared" si="29"/>
        <v>133.65384615384616</v>
      </c>
      <c r="R129" s="839">
        <f t="shared" si="30"/>
        <v>20.048076923076923</v>
      </c>
      <c r="S129" s="1046">
        <f>NC_DKDD!G610</f>
        <v>2.5000000000000001E-2</v>
      </c>
      <c r="T129" s="946">
        <f>'[1]2,DG-capdoi'!N127</f>
        <v>0</v>
      </c>
      <c r="U129" s="946">
        <f t="shared" si="17"/>
        <v>0</v>
      </c>
      <c r="V129" s="1036"/>
      <c r="W129" s="1036"/>
      <c r="X129" s="1036"/>
      <c r="Y129" s="1036"/>
      <c r="Z129" s="1036"/>
      <c r="AA129" s="1036"/>
      <c r="AB129" s="1036"/>
      <c r="AC129" s="1036"/>
      <c r="AD129" s="1036"/>
      <c r="AE129" s="1036"/>
      <c r="AF129" s="1036"/>
      <c r="AG129" s="1036"/>
      <c r="AH129" s="1036"/>
      <c r="AI129" s="1036"/>
      <c r="AJ129" s="1036"/>
      <c r="AK129" s="1036"/>
    </row>
    <row r="130" spans="1:37" s="1037" customFormat="1" ht="41.25" customHeight="1">
      <c r="A130" s="832">
        <v>2</v>
      </c>
      <c r="B130" s="827" t="s">
        <v>953</v>
      </c>
      <c r="C130" s="832" t="s">
        <v>281</v>
      </c>
      <c r="D130" s="901" t="s">
        <v>880</v>
      </c>
      <c r="E130" s="903" t="e">
        <f>NC_DKDD!H611</f>
        <v>#VALUE!</v>
      </c>
      <c r="F130" s="903"/>
      <c r="G130" s="391"/>
      <c r="H130" s="903"/>
      <c r="I130" s="903"/>
      <c r="J130" s="903"/>
      <c r="K130" s="903"/>
      <c r="L130" s="925"/>
      <c r="M130" s="925"/>
      <c r="N130" s="925"/>
      <c r="O130" s="925"/>
      <c r="P130" s="1044">
        <f t="shared" si="28"/>
        <v>307.40384615384619</v>
      </c>
      <c r="Q130" s="839">
        <f t="shared" si="29"/>
        <v>267.30769230769232</v>
      </c>
      <c r="R130" s="839">
        <f t="shared" si="30"/>
        <v>40.096153846153847</v>
      </c>
      <c r="S130" s="1046">
        <f>NC_DKDD!G611</f>
        <v>0.05</v>
      </c>
      <c r="T130" s="946">
        <f>'[1]2,DG-capdoi'!N128</f>
        <v>0</v>
      </c>
      <c r="U130" s="946">
        <f t="shared" si="17"/>
        <v>0</v>
      </c>
      <c r="V130" s="1036"/>
      <c r="W130" s="1036"/>
      <c r="X130" s="1036"/>
      <c r="Y130" s="1036"/>
      <c r="Z130" s="1036"/>
      <c r="AA130" s="1036"/>
      <c r="AB130" s="1036"/>
      <c r="AC130" s="1036"/>
      <c r="AD130" s="1036"/>
      <c r="AE130" s="1036"/>
      <c r="AF130" s="1036"/>
      <c r="AG130" s="1036"/>
      <c r="AH130" s="1036"/>
      <c r="AI130" s="1036"/>
      <c r="AJ130" s="1036"/>
      <c r="AK130" s="1036"/>
    </row>
    <row r="131" spans="1:37" s="1037" customFormat="1" ht="39.75" customHeight="1">
      <c r="A131" s="832">
        <v>3</v>
      </c>
      <c r="B131" s="827" t="s">
        <v>38</v>
      </c>
      <c r="C131" s="832" t="s">
        <v>523</v>
      </c>
      <c r="D131" s="901" t="s">
        <v>880</v>
      </c>
      <c r="E131" s="903" t="e">
        <f>NC_DKDD!H612</f>
        <v>#VALUE!</v>
      </c>
      <c r="F131" s="903"/>
      <c r="G131" s="391"/>
      <c r="H131" s="903"/>
      <c r="I131" s="903"/>
      <c r="J131" s="903"/>
      <c r="K131" s="903"/>
      <c r="L131" s="925"/>
      <c r="M131" s="925"/>
      <c r="N131" s="925"/>
      <c r="O131" s="925"/>
      <c r="P131" s="1044">
        <f t="shared" si="28"/>
        <v>657.84423076923065</v>
      </c>
      <c r="Q131" s="839">
        <f t="shared" si="29"/>
        <v>572.03846153846143</v>
      </c>
      <c r="R131" s="839">
        <f t="shared" si="30"/>
        <v>85.805769230769229</v>
      </c>
      <c r="S131" s="1046">
        <f>NC_DKDD!G612</f>
        <v>0.107</v>
      </c>
      <c r="T131" s="946">
        <f>'[1]2,DG-capdoi'!N129</f>
        <v>0</v>
      </c>
      <c r="U131" s="946">
        <f t="shared" si="17"/>
        <v>0</v>
      </c>
      <c r="V131" s="1036"/>
      <c r="W131" s="1036"/>
      <c r="X131" s="1036"/>
      <c r="Y131" s="1036"/>
      <c r="Z131" s="1036"/>
      <c r="AA131" s="1036"/>
      <c r="AB131" s="1036"/>
      <c r="AC131" s="1036"/>
      <c r="AD131" s="1036"/>
      <c r="AE131" s="1036"/>
      <c r="AF131" s="1036"/>
      <c r="AG131" s="1036"/>
      <c r="AH131" s="1036"/>
      <c r="AI131" s="1036"/>
      <c r="AJ131" s="1036"/>
      <c r="AK131" s="1036"/>
    </row>
    <row r="132" spans="1:37" s="1037" customFormat="1">
      <c r="A132" s="1116">
        <v>4</v>
      </c>
      <c r="B132" s="1137" t="s">
        <v>814</v>
      </c>
      <c r="C132" s="1116" t="s">
        <v>281</v>
      </c>
      <c r="D132" s="832">
        <v>2</v>
      </c>
      <c r="E132" s="903" t="e">
        <f>NC_DKDD!H613</f>
        <v>#VALUE!</v>
      </c>
      <c r="F132" s="903">
        <f>NC_DKDD!H614</f>
        <v>19650</v>
      </c>
      <c r="G132" s="391"/>
      <c r="H132" s="903"/>
      <c r="I132" s="903"/>
      <c r="J132" s="903"/>
      <c r="K132" s="903"/>
      <c r="L132" s="925"/>
      <c r="M132" s="925"/>
      <c r="N132" s="925"/>
      <c r="O132" s="925"/>
      <c r="P132" s="1044">
        <f t="shared" si="28"/>
        <v>1844.4230769230767</v>
      </c>
      <c r="Q132" s="839">
        <f t="shared" si="29"/>
        <v>1603.8461538461536</v>
      </c>
      <c r="R132" s="839">
        <f t="shared" si="30"/>
        <v>240.57692307692307</v>
      </c>
      <c r="S132" s="1046">
        <f>NC_DKDD!G613</f>
        <v>0.3</v>
      </c>
      <c r="T132" s="946">
        <f>'[1]2,DG-capdoi'!N130</f>
        <v>0</v>
      </c>
      <c r="U132" s="946">
        <f t="shared" si="17"/>
        <v>0</v>
      </c>
      <c r="V132" s="1036"/>
      <c r="W132" s="1036"/>
      <c r="X132" s="1036"/>
      <c r="Y132" s="1036"/>
      <c r="Z132" s="1036"/>
      <c r="AA132" s="1036"/>
      <c r="AB132" s="1036"/>
      <c r="AC132" s="1036"/>
      <c r="AD132" s="1036"/>
      <c r="AE132" s="1036"/>
      <c r="AF132" s="1036"/>
      <c r="AG132" s="1036"/>
      <c r="AH132" s="1036"/>
      <c r="AI132" s="1036"/>
      <c r="AJ132" s="1036"/>
      <c r="AK132" s="1036"/>
    </row>
    <row r="133" spans="1:37" s="1037" customFormat="1">
      <c r="A133" s="1175"/>
      <c r="B133" s="1176"/>
      <c r="C133" s="1116"/>
      <c r="D133" s="832">
        <v>3</v>
      </c>
      <c r="E133" s="903" t="e">
        <f>NC_DKDD!H615</f>
        <v>#VALUE!</v>
      </c>
      <c r="F133" s="903">
        <f>NC_DKDD!H616</f>
        <v>23580</v>
      </c>
      <c r="G133" s="391"/>
      <c r="H133" s="903"/>
      <c r="I133" s="903"/>
      <c r="J133" s="903"/>
      <c r="K133" s="903"/>
      <c r="L133" s="925"/>
      <c r="M133" s="925"/>
      <c r="N133" s="925"/>
      <c r="O133" s="925"/>
      <c r="P133" s="1044">
        <f t="shared" si="28"/>
        <v>2213.3076923076919</v>
      </c>
      <c r="Q133" s="839">
        <f t="shared" si="29"/>
        <v>1924.6153846153843</v>
      </c>
      <c r="R133" s="839">
        <f t="shared" si="30"/>
        <v>288.69230769230768</v>
      </c>
      <c r="S133" s="1046">
        <f>NC_DKDD!G615</f>
        <v>0.36</v>
      </c>
      <c r="T133" s="946">
        <f>'[1]2,DG-capdoi'!N131</f>
        <v>0</v>
      </c>
      <c r="U133" s="946">
        <f t="shared" si="17"/>
        <v>0</v>
      </c>
      <c r="V133" s="1036"/>
      <c r="W133" s="1036"/>
      <c r="X133" s="1036"/>
      <c r="Y133" s="1036"/>
      <c r="Z133" s="1036"/>
      <c r="AA133" s="1036"/>
      <c r="AB133" s="1036"/>
      <c r="AC133" s="1036"/>
      <c r="AD133" s="1036"/>
      <c r="AE133" s="1036"/>
      <c r="AF133" s="1036"/>
      <c r="AG133" s="1036"/>
      <c r="AH133" s="1036"/>
      <c r="AI133" s="1036"/>
      <c r="AJ133" s="1036"/>
      <c r="AK133" s="1036"/>
    </row>
    <row r="134" spans="1:37" s="1037" customFormat="1">
      <c r="A134" s="1175"/>
      <c r="B134" s="1176"/>
      <c r="C134" s="1116"/>
      <c r="D134" s="832">
        <v>4</v>
      </c>
      <c r="E134" s="903" t="e">
        <f>NC_DKDD!H617</f>
        <v>#VALUE!</v>
      </c>
      <c r="F134" s="903">
        <f>NC_DKDD!H618</f>
        <v>28296</v>
      </c>
      <c r="G134" s="391"/>
      <c r="H134" s="903"/>
      <c r="I134" s="903"/>
      <c r="J134" s="903"/>
      <c r="K134" s="903"/>
      <c r="L134" s="925"/>
      <c r="M134" s="925"/>
      <c r="N134" s="925"/>
      <c r="O134" s="925"/>
      <c r="P134" s="1044">
        <f t="shared" si="28"/>
        <v>2655.9692307692308</v>
      </c>
      <c r="Q134" s="839">
        <f t="shared" si="29"/>
        <v>2309.5384615384614</v>
      </c>
      <c r="R134" s="839">
        <f t="shared" si="30"/>
        <v>346.43076923076922</v>
      </c>
      <c r="S134" s="1046">
        <f>NC_DKDD!G617</f>
        <v>0.432</v>
      </c>
      <c r="T134" s="946">
        <f>'[1]2,DG-capdoi'!N132</f>
        <v>0</v>
      </c>
      <c r="U134" s="946">
        <f t="shared" si="17"/>
        <v>0</v>
      </c>
      <c r="V134" s="1036"/>
      <c r="W134" s="1036"/>
      <c r="X134" s="1036"/>
      <c r="Y134" s="1036"/>
      <c r="Z134" s="1036"/>
      <c r="AA134" s="1036"/>
      <c r="AB134" s="1036"/>
      <c r="AC134" s="1036"/>
      <c r="AD134" s="1036"/>
      <c r="AE134" s="1036"/>
      <c r="AF134" s="1036"/>
      <c r="AG134" s="1036"/>
      <c r="AH134" s="1036"/>
      <c r="AI134" s="1036"/>
      <c r="AJ134" s="1036"/>
      <c r="AK134" s="1036"/>
    </row>
    <row r="135" spans="1:37" s="1037" customFormat="1">
      <c r="A135" s="1175"/>
      <c r="B135" s="1176"/>
      <c r="C135" s="1116"/>
      <c r="D135" s="832">
        <v>5</v>
      </c>
      <c r="E135" s="903" t="e">
        <f>NC_DKDD!H619</f>
        <v>#VALUE!</v>
      </c>
      <c r="F135" s="903">
        <f>NC_DKDD!H620</f>
        <v>33929</v>
      </c>
      <c r="G135" s="391"/>
      <c r="H135" s="903"/>
      <c r="I135" s="903"/>
      <c r="J135" s="903"/>
      <c r="K135" s="903"/>
      <c r="L135" s="925"/>
      <c r="M135" s="925"/>
      <c r="N135" s="925"/>
      <c r="O135" s="925"/>
      <c r="P135" s="1044">
        <f t="shared" si="28"/>
        <v>3184.7038461538464</v>
      </c>
      <c r="Q135" s="839">
        <f t="shared" si="29"/>
        <v>2769.3076923076924</v>
      </c>
      <c r="R135" s="839">
        <f t="shared" si="30"/>
        <v>415.39615384615382</v>
      </c>
      <c r="S135" s="1046">
        <f>NC_DKDD!G619</f>
        <v>0.51800000000000002</v>
      </c>
      <c r="T135" s="946">
        <f>'[1]2,DG-capdoi'!N133</f>
        <v>0</v>
      </c>
      <c r="U135" s="946">
        <f t="shared" si="17"/>
        <v>0</v>
      </c>
      <c r="V135" s="1036"/>
      <c r="W135" s="1036"/>
      <c r="X135" s="1036"/>
      <c r="Y135" s="1036"/>
      <c r="Z135" s="1036"/>
      <c r="AA135" s="1036"/>
      <c r="AB135" s="1036"/>
      <c r="AC135" s="1036"/>
      <c r="AD135" s="1036"/>
      <c r="AE135" s="1036"/>
      <c r="AF135" s="1036"/>
      <c r="AG135" s="1036"/>
      <c r="AH135" s="1036"/>
      <c r="AI135" s="1036"/>
      <c r="AJ135" s="1036"/>
      <c r="AK135" s="1036"/>
    </row>
    <row r="136" spans="1:37" s="1037" customFormat="1" ht="23.25" customHeight="1">
      <c r="A136" s="832">
        <v>5</v>
      </c>
      <c r="B136" s="827" t="s">
        <v>348</v>
      </c>
      <c r="C136" s="832"/>
      <c r="D136" s="832"/>
      <c r="E136" s="903"/>
      <c r="F136" s="903"/>
      <c r="G136" s="391"/>
      <c r="H136" s="903"/>
      <c r="I136" s="903"/>
      <c r="J136" s="903"/>
      <c r="K136" s="903"/>
      <c r="L136" s="925"/>
      <c r="M136" s="925"/>
      <c r="N136" s="925"/>
      <c r="O136" s="925"/>
      <c r="P136" s="1044">
        <f t="shared" si="28"/>
        <v>0</v>
      </c>
      <c r="Q136" s="839">
        <f t="shared" si="29"/>
        <v>0</v>
      </c>
      <c r="R136" s="839">
        <f t="shared" si="30"/>
        <v>0</v>
      </c>
      <c r="S136" s="1045"/>
      <c r="T136" s="946">
        <f>'[1]2,DG-capdoi'!N134</f>
        <v>0</v>
      </c>
      <c r="U136" s="946">
        <f t="shared" si="17"/>
        <v>0</v>
      </c>
      <c r="V136" s="1036"/>
      <c r="W136" s="1036"/>
      <c r="X136" s="1036"/>
      <c r="Y136" s="1036"/>
      <c r="Z136" s="1036"/>
      <c r="AA136" s="1036"/>
      <c r="AB136" s="1036"/>
      <c r="AC136" s="1036"/>
      <c r="AD136" s="1036"/>
      <c r="AE136" s="1036"/>
      <c r="AF136" s="1036"/>
      <c r="AG136" s="1036"/>
      <c r="AH136" s="1036"/>
      <c r="AI136" s="1036"/>
      <c r="AJ136" s="1036"/>
      <c r="AK136" s="1036"/>
    </row>
    <row r="137" spans="1:37" s="1037" customFormat="1" ht="23.25" customHeight="1">
      <c r="A137" s="832" t="s">
        <v>607</v>
      </c>
      <c r="B137" s="827" t="s">
        <v>33</v>
      </c>
      <c r="C137" s="832" t="s">
        <v>281</v>
      </c>
      <c r="D137" s="901" t="s">
        <v>880</v>
      </c>
      <c r="E137" s="903" t="e">
        <f>NC_DKDD!H622</f>
        <v>#VALUE!</v>
      </c>
      <c r="F137" s="903"/>
      <c r="G137" s="391"/>
      <c r="H137" s="903"/>
      <c r="I137" s="903"/>
      <c r="J137" s="903"/>
      <c r="K137" s="903"/>
      <c r="L137" s="925"/>
      <c r="M137" s="925"/>
      <c r="N137" s="925"/>
      <c r="O137" s="925"/>
      <c r="P137" s="1044">
        <f t="shared" si="28"/>
        <v>92.22115384615384</v>
      </c>
      <c r="Q137" s="839">
        <f t="shared" si="29"/>
        <v>80.192307692307679</v>
      </c>
      <c r="R137" s="839">
        <f t="shared" si="30"/>
        <v>12.028846153846153</v>
      </c>
      <c r="S137" s="1046">
        <f>NC_DKDD!G622</f>
        <v>1.4999999999999999E-2</v>
      </c>
      <c r="T137" s="946">
        <f>'[1]2,DG-capdoi'!N135</f>
        <v>0</v>
      </c>
      <c r="U137" s="946">
        <f t="shared" si="17"/>
        <v>0</v>
      </c>
      <c r="V137" s="1036"/>
      <c r="W137" s="1036"/>
      <c r="X137" s="1036"/>
      <c r="Y137" s="1036"/>
      <c r="Z137" s="1036"/>
      <c r="AA137" s="1036"/>
      <c r="AB137" s="1036"/>
      <c r="AC137" s="1036"/>
      <c r="AD137" s="1036"/>
      <c r="AE137" s="1036"/>
      <c r="AF137" s="1036"/>
      <c r="AG137" s="1036"/>
      <c r="AH137" s="1036"/>
      <c r="AI137" s="1036"/>
      <c r="AJ137" s="1036"/>
      <c r="AK137" s="1036"/>
    </row>
    <row r="138" spans="1:37" s="1037" customFormat="1" ht="23.25" customHeight="1">
      <c r="A138" s="832" t="s">
        <v>608</v>
      </c>
      <c r="B138" s="827" t="s">
        <v>36</v>
      </c>
      <c r="C138" s="832" t="s">
        <v>281</v>
      </c>
      <c r="D138" s="901" t="s">
        <v>880</v>
      </c>
      <c r="E138" s="903" t="e">
        <f>NC_DKDD!H623</f>
        <v>#VALUE!</v>
      </c>
      <c r="F138" s="903"/>
      <c r="G138" s="391"/>
      <c r="H138" s="903"/>
      <c r="I138" s="903"/>
      <c r="J138" s="903"/>
      <c r="K138" s="903"/>
      <c r="L138" s="925"/>
      <c r="M138" s="925"/>
      <c r="N138" s="925"/>
      <c r="O138" s="925"/>
      <c r="P138" s="1044">
        <f t="shared" si="28"/>
        <v>61.480769230769226</v>
      </c>
      <c r="Q138" s="839">
        <f t="shared" si="29"/>
        <v>53.46153846153846</v>
      </c>
      <c r="R138" s="839">
        <f t="shared" si="30"/>
        <v>8.0192307692307701</v>
      </c>
      <c r="S138" s="1046">
        <f>NC_DKDD!G623</f>
        <v>0.01</v>
      </c>
      <c r="T138" s="946">
        <f>'[1]2,DG-capdoi'!N136</f>
        <v>0</v>
      </c>
      <c r="U138" s="946">
        <f t="shared" si="17"/>
        <v>0</v>
      </c>
      <c r="V138" s="1036"/>
      <c r="W138" s="1036"/>
      <c r="X138" s="1036"/>
      <c r="Y138" s="1036"/>
      <c r="Z138" s="1036"/>
      <c r="AA138" s="1036"/>
      <c r="AB138" s="1036"/>
      <c r="AC138" s="1036"/>
      <c r="AD138" s="1036"/>
      <c r="AE138" s="1036"/>
      <c r="AF138" s="1036"/>
      <c r="AG138" s="1036"/>
      <c r="AH138" s="1036"/>
      <c r="AI138" s="1036"/>
      <c r="AJ138" s="1036"/>
      <c r="AK138" s="1036"/>
    </row>
    <row r="139" spans="1:37" s="1037" customFormat="1" ht="28.5">
      <c r="A139" s="832">
        <v>6</v>
      </c>
      <c r="B139" s="827" t="s">
        <v>815</v>
      </c>
      <c r="C139" s="832"/>
      <c r="D139" s="832"/>
      <c r="E139" s="903">
        <f>NC_DKDD!H624</f>
        <v>0</v>
      </c>
      <c r="F139" s="903"/>
      <c r="G139" s="391"/>
      <c r="H139" s="903"/>
      <c r="I139" s="903"/>
      <c r="J139" s="903"/>
      <c r="K139" s="903"/>
      <c r="L139" s="925"/>
      <c r="M139" s="925"/>
      <c r="N139" s="925"/>
      <c r="O139" s="925"/>
      <c r="P139" s="1044">
        <f t="shared" si="28"/>
        <v>0</v>
      </c>
      <c r="Q139" s="839">
        <f t="shared" si="29"/>
        <v>0</v>
      </c>
      <c r="R139" s="839">
        <f t="shared" si="30"/>
        <v>0</v>
      </c>
      <c r="S139" s="1046">
        <f>NC_DKDD!G624</f>
        <v>0</v>
      </c>
      <c r="T139" s="946">
        <f>'[1]2,DG-capdoi'!N137</f>
        <v>0</v>
      </c>
      <c r="U139" s="946">
        <f t="shared" ref="U139:U203" si="31">T139-N139</f>
        <v>0</v>
      </c>
      <c r="V139" s="1036"/>
      <c r="W139" s="1036"/>
      <c r="X139" s="1036"/>
      <c r="Y139" s="1036"/>
      <c r="Z139" s="1036"/>
      <c r="AA139" s="1036"/>
      <c r="AB139" s="1036"/>
      <c r="AC139" s="1036"/>
      <c r="AD139" s="1036"/>
      <c r="AE139" s="1036"/>
      <c r="AF139" s="1036"/>
      <c r="AG139" s="1036"/>
      <c r="AH139" s="1036"/>
      <c r="AI139" s="1036"/>
      <c r="AJ139" s="1036"/>
      <c r="AK139" s="1036"/>
    </row>
    <row r="140" spans="1:37" s="1037" customFormat="1" ht="21" customHeight="1">
      <c r="A140" s="832" t="s">
        <v>444</v>
      </c>
      <c r="B140" s="827" t="s">
        <v>33</v>
      </c>
      <c r="C140" s="832" t="s">
        <v>281</v>
      </c>
      <c r="D140" s="901" t="s">
        <v>880</v>
      </c>
      <c r="E140" s="903" t="e">
        <f>NC_DKDD!H625</f>
        <v>#VALUE!</v>
      </c>
      <c r="F140" s="903"/>
      <c r="G140" s="391"/>
      <c r="H140" s="903"/>
      <c r="I140" s="903"/>
      <c r="J140" s="903"/>
      <c r="K140" s="903"/>
      <c r="L140" s="925"/>
      <c r="M140" s="925"/>
      <c r="N140" s="925"/>
      <c r="O140" s="925"/>
      <c r="P140" s="1044">
        <f t="shared" si="28"/>
        <v>307.40384615384619</v>
      </c>
      <c r="Q140" s="839">
        <f t="shared" si="29"/>
        <v>267.30769230769232</v>
      </c>
      <c r="R140" s="839">
        <f t="shared" si="30"/>
        <v>40.096153846153847</v>
      </c>
      <c r="S140" s="1046">
        <f>NC_DKDD!G625</f>
        <v>0.05</v>
      </c>
      <c r="T140" s="946">
        <f>'[1]2,DG-capdoi'!N138</f>
        <v>0</v>
      </c>
      <c r="U140" s="946">
        <f t="shared" si="31"/>
        <v>0</v>
      </c>
      <c r="V140" s="1036"/>
      <c r="W140" s="1036"/>
      <c r="X140" s="1036"/>
      <c r="Y140" s="1036"/>
      <c r="Z140" s="1036"/>
      <c r="AA140" s="1036"/>
      <c r="AB140" s="1036"/>
      <c r="AC140" s="1036"/>
      <c r="AD140" s="1036"/>
      <c r="AE140" s="1036"/>
      <c r="AF140" s="1036"/>
      <c r="AG140" s="1036"/>
      <c r="AH140" s="1036"/>
      <c r="AI140" s="1036"/>
      <c r="AJ140" s="1036"/>
      <c r="AK140" s="1036"/>
    </row>
    <row r="141" spans="1:37" s="1037" customFormat="1" ht="21" customHeight="1">
      <c r="A141" s="832" t="s">
        <v>445</v>
      </c>
      <c r="B141" s="827" t="s">
        <v>36</v>
      </c>
      <c r="C141" s="832" t="s">
        <v>281</v>
      </c>
      <c r="D141" s="901" t="s">
        <v>880</v>
      </c>
      <c r="E141" s="903" t="e">
        <f>NC_DKDD!H626</f>
        <v>#VALUE!</v>
      </c>
      <c r="F141" s="903"/>
      <c r="G141" s="391"/>
      <c r="H141" s="903"/>
      <c r="I141" s="903"/>
      <c r="J141" s="903"/>
      <c r="K141" s="903"/>
      <c r="L141" s="925"/>
      <c r="M141" s="925"/>
      <c r="N141" s="925"/>
      <c r="O141" s="925"/>
      <c r="P141" s="1044">
        <f t="shared" si="28"/>
        <v>245.92307692307691</v>
      </c>
      <c r="Q141" s="839">
        <f t="shared" si="29"/>
        <v>213.84615384615384</v>
      </c>
      <c r="R141" s="839">
        <f t="shared" si="30"/>
        <v>32.07692307692308</v>
      </c>
      <c r="S141" s="1046">
        <f>NC_DKDD!G626</f>
        <v>0.04</v>
      </c>
      <c r="T141" s="946">
        <f>'[1]2,DG-capdoi'!N139</f>
        <v>0</v>
      </c>
      <c r="U141" s="946">
        <f t="shared" si="31"/>
        <v>0</v>
      </c>
      <c r="V141" s="1036"/>
      <c r="W141" s="1036"/>
      <c r="X141" s="1036"/>
      <c r="Y141" s="1036"/>
      <c r="Z141" s="1036"/>
      <c r="AA141" s="1036"/>
      <c r="AB141" s="1036"/>
      <c r="AC141" s="1036"/>
      <c r="AD141" s="1036"/>
      <c r="AE141" s="1036"/>
      <c r="AF141" s="1036"/>
      <c r="AG141" s="1036"/>
      <c r="AH141" s="1036"/>
      <c r="AI141" s="1036"/>
      <c r="AJ141" s="1036"/>
      <c r="AK141" s="1036"/>
    </row>
    <row r="142" spans="1:37" s="1037" customFormat="1" ht="24.75" customHeight="1">
      <c r="A142" s="832">
        <v>7</v>
      </c>
      <c r="B142" s="827" t="s">
        <v>949</v>
      </c>
      <c r="C142" s="832" t="s">
        <v>523</v>
      </c>
      <c r="D142" s="901" t="s">
        <v>880</v>
      </c>
      <c r="E142" s="903" t="e">
        <f>NC_DKDD!H627</f>
        <v>#VALUE!</v>
      </c>
      <c r="F142" s="903"/>
      <c r="G142" s="391"/>
      <c r="H142" s="903"/>
      <c r="I142" s="903"/>
      <c r="J142" s="903"/>
      <c r="K142" s="903"/>
      <c r="L142" s="925"/>
      <c r="M142" s="925"/>
      <c r="N142" s="925"/>
      <c r="O142" s="925"/>
      <c r="P142" s="1044">
        <f t="shared" si="28"/>
        <v>18.444230769230767</v>
      </c>
      <c r="Q142" s="839">
        <f t="shared" si="29"/>
        <v>16.038461538461537</v>
      </c>
      <c r="R142" s="839">
        <f t="shared" si="30"/>
        <v>2.4057692307692307</v>
      </c>
      <c r="S142" s="1046">
        <f>NC_DKDD!G627</f>
        <v>3.0000000000000001E-3</v>
      </c>
      <c r="T142" s="946">
        <f>'[1]2,DG-capdoi'!N140</f>
        <v>0</v>
      </c>
      <c r="U142" s="946">
        <f t="shared" si="31"/>
        <v>0</v>
      </c>
      <c r="V142" s="1036"/>
      <c r="W142" s="1036"/>
      <c r="X142" s="1036"/>
      <c r="Y142" s="1036"/>
      <c r="Z142" s="1036"/>
      <c r="AA142" s="1036"/>
      <c r="AB142" s="1036"/>
      <c r="AC142" s="1036"/>
      <c r="AD142" s="1036"/>
      <c r="AE142" s="1036"/>
      <c r="AF142" s="1036"/>
      <c r="AG142" s="1036"/>
      <c r="AH142" s="1036"/>
      <c r="AI142" s="1036"/>
      <c r="AJ142" s="1036"/>
      <c r="AK142" s="1036"/>
    </row>
    <row r="143" spans="1:37" s="1037" customFormat="1" ht="36.75" customHeight="1">
      <c r="A143" s="832">
        <v>8</v>
      </c>
      <c r="B143" s="827" t="s">
        <v>257</v>
      </c>
      <c r="C143" s="832"/>
      <c r="D143" s="832"/>
      <c r="E143" s="903">
        <f>NC_DKDD!H628</f>
        <v>0</v>
      </c>
      <c r="F143" s="903"/>
      <c r="G143" s="391"/>
      <c r="H143" s="903"/>
      <c r="I143" s="903"/>
      <c r="J143" s="903"/>
      <c r="K143" s="903"/>
      <c r="L143" s="925"/>
      <c r="M143" s="925"/>
      <c r="N143" s="925"/>
      <c r="O143" s="925"/>
      <c r="P143" s="1044">
        <f t="shared" si="28"/>
        <v>0</v>
      </c>
      <c r="Q143" s="839">
        <f t="shared" si="29"/>
        <v>0</v>
      </c>
      <c r="R143" s="839">
        <f t="shared" si="30"/>
        <v>0</v>
      </c>
      <c r="S143" s="1046">
        <f>NC_DKDD!G628</f>
        <v>0</v>
      </c>
      <c r="T143" s="946">
        <f>'[1]2,DG-capdoi'!N141</f>
        <v>0</v>
      </c>
      <c r="U143" s="946">
        <f t="shared" si="31"/>
        <v>0</v>
      </c>
      <c r="V143" s="1036"/>
      <c r="W143" s="1036"/>
      <c r="X143" s="1036"/>
      <c r="Y143" s="1036"/>
      <c r="Z143" s="1036"/>
      <c r="AA143" s="1036"/>
      <c r="AB143" s="1036"/>
      <c r="AC143" s="1036"/>
      <c r="AD143" s="1036"/>
      <c r="AE143" s="1036"/>
      <c r="AF143" s="1036"/>
      <c r="AG143" s="1036"/>
      <c r="AH143" s="1036"/>
      <c r="AI143" s="1036"/>
      <c r="AJ143" s="1036"/>
      <c r="AK143" s="1036"/>
    </row>
    <row r="144" spans="1:37" s="1037" customFormat="1" ht="25.5" customHeight="1">
      <c r="A144" s="832" t="s">
        <v>374</v>
      </c>
      <c r="B144" s="827" t="s">
        <v>33</v>
      </c>
      <c r="C144" s="832" t="s">
        <v>281</v>
      </c>
      <c r="D144" s="901" t="s">
        <v>880</v>
      </c>
      <c r="E144" s="903" t="e">
        <f>NC_DKDD!H629</f>
        <v>#VALUE!</v>
      </c>
      <c r="F144" s="903"/>
      <c r="G144" s="391"/>
      <c r="H144" s="903"/>
      <c r="I144" s="903"/>
      <c r="J144" s="903"/>
      <c r="K144" s="903"/>
      <c r="L144" s="925"/>
      <c r="M144" s="925"/>
      <c r="N144" s="925"/>
      <c r="O144" s="925"/>
      <c r="P144" s="1044">
        <f t="shared" si="28"/>
        <v>30.740384615384613</v>
      </c>
      <c r="Q144" s="839">
        <f t="shared" si="29"/>
        <v>26.73076923076923</v>
      </c>
      <c r="R144" s="839">
        <f t="shared" si="30"/>
        <v>4.009615384615385</v>
      </c>
      <c r="S144" s="1046">
        <f>NC_DKDD!G629</f>
        <v>5.0000000000000001E-3</v>
      </c>
      <c r="T144" s="946">
        <f>'[1]2,DG-capdoi'!N142</f>
        <v>0</v>
      </c>
      <c r="U144" s="946">
        <f t="shared" si="31"/>
        <v>0</v>
      </c>
      <c r="V144" s="1036"/>
      <c r="W144" s="1036"/>
      <c r="X144" s="1036"/>
      <c r="Y144" s="1036"/>
      <c r="Z144" s="1036"/>
      <c r="AA144" s="1036"/>
      <c r="AB144" s="1036"/>
      <c r="AC144" s="1036"/>
      <c r="AD144" s="1036"/>
      <c r="AE144" s="1036"/>
      <c r="AF144" s="1036"/>
      <c r="AG144" s="1036"/>
      <c r="AH144" s="1036"/>
      <c r="AI144" s="1036"/>
      <c r="AJ144" s="1036"/>
      <c r="AK144" s="1036"/>
    </row>
    <row r="145" spans="1:37" s="1037" customFormat="1" ht="24" customHeight="1">
      <c r="A145" s="832" t="s">
        <v>375</v>
      </c>
      <c r="B145" s="827" t="s">
        <v>36</v>
      </c>
      <c r="C145" s="832" t="s">
        <v>281</v>
      </c>
      <c r="D145" s="901" t="s">
        <v>880</v>
      </c>
      <c r="E145" s="903" t="e">
        <f>NC_DKDD!H630</f>
        <v>#VALUE!</v>
      </c>
      <c r="F145" s="903"/>
      <c r="G145" s="391"/>
      <c r="H145" s="903"/>
      <c r="I145" s="903"/>
      <c r="J145" s="903"/>
      <c r="K145" s="903"/>
      <c r="L145" s="925"/>
      <c r="M145" s="925"/>
      <c r="N145" s="925"/>
      <c r="O145" s="925"/>
      <c r="P145" s="1044">
        <f t="shared" si="28"/>
        <v>24.592307692307692</v>
      </c>
      <c r="Q145" s="839">
        <f t="shared" si="29"/>
        <v>21.384615384615383</v>
      </c>
      <c r="R145" s="839">
        <f t="shared" si="30"/>
        <v>3.2076923076923078</v>
      </c>
      <c r="S145" s="1046">
        <f>NC_DKDD!G630</f>
        <v>4.0000000000000001E-3</v>
      </c>
      <c r="T145" s="946">
        <f>'[1]2,DG-capdoi'!N143</f>
        <v>0</v>
      </c>
      <c r="U145" s="946">
        <f t="shared" si="31"/>
        <v>0</v>
      </c>
      <c r="V145" s="1036"/>
      <c r="W145" s="1036"/>
      <c r="X145" s="1036"/>
      <c r="Y145" s="1036"/>
      <c r="Z145" s="1036"/>
      <c r="AA145" s="1036"/>
      <c r="AB145" s="1036"/>
      <c r="AC145" s="1036"/>
      <c r="AD145" s="1036"/>
      <c r="AE145" s="1036"/>
      <c r="AF145" s="1036"/>
      <c r="AG145" s="1036"/>
      <c r="AH145" s="1036"/>
      <c r="AI145" s="1036"/>
      <c r="AJ145" s="1036"/>
      <c r="AK145" s="1036"/>
    </row>
    <row r="146" spans="1:37" s="1037" customFormat="1" ht="51.75" customHeight="1">
      <c r="A146" s="832">
        <v>9</v>
      </c>
      <c r="B146" s="827" t="s">
        <v>503</v>
      </c>
      <c r="C146" s="832" t="s">
        <v>281</v>
      </c>
      <c r="D146" s="901" t="s">
        <v>880</v>
      </c>
      <c r="E146" s="903" t="e">
        <f>NC_DKDD!H631</f>
        <v>#VALUE!</v>
      </c>
      <c r="F146" s="903"/>
      <c r="G146" s="391"/>
      <c r="H146" s="903"/>
      <c r="I146" s="903"/>
      <c r="J146" s="903"/>
      <c r="K146" s="903"/>
      <c r="L146" s="925"/>
      <c r="M146" s="925"/>
      <c r="N146" s="925"/>
      <c r="O146" s="925"/>
      <c r="P146" s="1044">
        <f t="shared" si="28"/>
        <v>122.96153846153845</v>
      </c>
      <c r="Q146" s="839">
        <f t="shared" si="29"/>
        <v>106.92307692307692</v>
      </c>
      <c r="R146" s="839">
        <f t="shared" si="30"/>
        <v>16.03846153846154</v>
      </c>
      <c r="S146" s="1046">
        <f>NC_DKDD!G631</f>
        <v>0.02</v>
      </c>
      <c r="T146" s="946">
        <f>'[1]2,DG-capdoi'!N144</f>
        <v>0</v>
      </c>
      <c r="U146" s="946">
        <f t="shared" si="31"/>
        <v>0</v>
      </c>
      <c r="V146" s="1036"/>
      <c r="W146" s="1036"/>
      <c r="X146" s="1036"/>
      <c r="Y146" s="1036"/>
      <c r="Z146" s="1036"/>
      <c r="AA146" s="1036"/>
      <c r="AB146" s="1036"/>
      <c r="AC146" s="1036"/>
      <c r="AD146" s="1036"/>
      <c r="AE146" s="1036"/>
      <c r="AF146" s="1036"/>
      <c r="AG146" s="1036"/>
      <c r="AH146" s="1036"/>
      <c r="AI146" s="1036"/>
      <c r="AJ146" s="1036"/>
      <c r="AK146" s="1036"/>
    </row>
    <row r="147" spans="1:37" s="1037" customFormat="1" ht="51" customHeight="1">
      <c r="A147" s="832">
        <v>10</v>
      </c>
      <c r="B147" s="827" t="s">
        <v>764</v>
      </c>
      <c r="C147" s="832" t="s">
        <v>281</v>
      </c>
      <c r="D147" s="901" t="s">
        <v>880</v>
      </c>
      <c r="E147" s="903" t="e">
        <f>NC_DKDD!H632</f>
        <v>#VALUE!</v>
      </c>
      <c r="F147" s="903"/>
      <c r="G147" s="391"/>
      <c r="H147" s="903"/>
      <c r="I147" s="903"/>
      <c r="J147" s="903"/>
      <c r="K147" s="903"/>
      <c r="L147" s="925"/>
      <c r="M147" s="925"/>
      <c r="N147" s="925"/>
      <c r="O147" s="925"/>
      <c r="P147" s="1044">
        <f t="shared" si="28"/>
        <v>122.96153846153845</v>
      </c>
      <c r="Q147" s="839">
        <f t="shared" si="29"/>
        <v>106.92307692307692</v>
      </c>
      <c r="R147" s="839">
        <f t="shared" si="30"/>
        <v>16.03846153846154</v>
      </c>
      <c r="S147" s="1046">
        <f>NC_DKDD!G632</f>
        <v>0.02</v>
      </c>
      <c r="T147" s="946">
        <f>'[1]2,DG-capdoi'!N145</f>
        <v>0</v>
      </c>
      <c r="U147" s="946">
        <f t="shared" si="31"/>
        <v>0</v>
      </c>
      <c r="V147" s="1036"/>
      <c r="W147" s="1036"/>
      <c r="X147" s="1036"/>
      <c r="Y147" s="1036"/>
      <c r="Z147" s="1036"/>
      <c r="AA147" s="1036"/>
      <c r="AB147" s="1036"/>
      <c r="AC147" s="1036"/>
      <c r="AD147" s="1036"/>
      <c r="AE147" s="1036"/>
      <c r="AF147" s="1036"/>
      <c r="AG147" s="1036"/>
      <c r="AH147" s="1036"/>
      <c r="AI147" s="1036"/>
      <c r="AJ147" s="1036"/>
      <c r="AK147" s="1036"/>
    </row>
    <row r="148" spans="1:37" s="1037" customFormat="1" ht="21" customHeight="1">
      <c r="A148" s="832" t="s">
        <v>184</v>
      </c>
      <c r="B148" s="888" t="s">
        <v>765</v>
      </c>
      <c r="C148" s="832"/>
      <c r="D148" s="901"/>
      <c r="E148" s="903"/>
      <c r="F148" s="903"/>
      <c r="G148" s="391"/>
      <c r="H148" s="903"/>
      <c r="I148" s="903"/>
      <c r="J148" s="903"/>
      <c r="K148" s="903"/>
      <c r="L148" s="925"/>
      <c r="M148" s="925"/>
      <c r="N148" s="925"/>
      <c r="O148" s="925"/>
      <c r="P148" s="1044"/>
      <c r="Q148" s="839"/>
      <c r="R148" s="839"/>
      <c r="S148" s="1048"/>
      <c r="T148" s="946">
        <f>'[1]2,DG-capdoi'!N146</f>
        <v>0</v>
      </c>
      <c r="U148" s="946">
        <f t="shared" si="31"/>
        <v>0</v>
      </c>
      <c r="V148" s="1036"/>
      <c r="W148" s="1036"/>
      <c r="X148" s="1036"/>
      <c r="Y148" s="1036"/>
      <c r="Z148" s="1036"/>
      <c r="AA148" s="1036"/>
      <c r="AB148" s="1036"/>
      <c r="AC148" s="1036"/>
      <c r="AD148" s="1036"/>
      <c r="AE148" s="1036"/>
      <c r="AF148" s="1036"/>
      <c r="AG148" s="1036"/>
      <c r="AH148" s="1036"/>
      <c r="AI148" s="1036"/>
      <c r="AJ148" s="1036"/>
      <c r="AK148" s="1036"/>
    </row>
    <row r="149" spans="1:37" s="1037" customFormat="1" ht="21" customHeight="1">
      <c r="A149" s="869" t="s">
        <v>484</v>
      </c>
      <c r="B149" s="868" t="s">
        <v>451</v>
      </c>
      <c r="C149" s="832" t="s">
        <v>281</v>
      </c>
      <c r="D149" s="901" t="s">
        <v>880</v>
      </c>
      <c r="E149" s="1049" t="e">
        <f>E152+E154+E155+E157+E161+E163+E165+E166+E168+E170+E172+E173+E174+E177+E178+E179+E180+E181+E182</f>
        <v>#VALUE!</v>
      </c>
      <c r="F149" s="1049">
        <f>F152+F154+F155+F157+F161+F163+F165+F166+F168+F170+F172+F173+F174+F177+F178+F179+F180+F181+F182</f>
        <v>0</v>
      </c>
      <c r="G149" s="391"/>
      <c r="H149" s="942">
        <f>'Dcu-DKDD'!J$216/5000</f>
        <v>1.0195120709935896</v>
      </c>
      <c r="I149" s="942">
        <f>'VL-DKDD'!H$223/5000</f>
        <v>5.0401440000000006</v>
      </c>
      <c r="J149" s="942">
        <f>'TB-DKDD'!K$123/5000</f>
        <v>4.825628</v>
      </c>
      <c r="K149" s="942">
        <f>'NL-DKDD'!H$84/5000</f>
        <v>0.32447520000000002</v>
      </c>
      <c r="L149" s="893" t="e">
        <f>SUM(E149:K149)</f>
        <v>#VALUE!</v>
      </c>
      <c r="M149" s="893" t="e">
        <f>L149*'He so chung'!$D$17/100</f>
        <v>#VALUE!</v>
      </c>
      <c r="N149" s="893" t="e">
        <f>L149+M149</f>
        <v>#VALUE!</v>
      </c>
      <c r="O149" s="925"/>
      <c r="P149" s="1049">
        <f>P152+P154+P155+P157+P161+P163+P165+P166+P168+P170+P172+P173+P174+P177+P178+P179+P180+P181+P182</f>
        <v>4620.8946153846155</v>
      </c>
      <c r="Q149" s="839">
        <f t="shared" si="29"/>
        <v>0</v>
      </c>
      <c r="R149" s="839">
        <f t="shared" si="30"/>
        <v>0</v>
      </c>
      <c r="S149" s="1045"/>
      <c r="T149" s="946">
        <f>'[1]2,DG-capdoi'!N147</f>
        <v>163604.06488931546</v>
      </c>
      <c r="U149" s="946" t="e">
        <f t="shared" si="31"/>
        <v>#VALUE!</v>
      </c>
      <c r="V149" s="1036"/>
      <c r="W149" s="1036"/>
      <c r="X149" s="1036"/>
      <c r="Y149" s="1036"/>
      <c r="Z149" s="1036"/>
      <c r="AA149" s="1036"/>
      <c r="AB149" s="1036"/>
      <c r="AC149" s="1036"/>
      <c r="AD149" s="1036"/>
      <c r="AE149" s="1036"/>
      <c r="AF149" s="1036"/>
      <c r="AG149" s="1036"/>
      <c r="AH149" s="1036"/>
      <c r="AI149" s="1036"/>
      <c r="AJ149" s="1036"/>
      <c r="AK149" s="1036"/>
    </row>
    <row r="150" spans="1:37" s="1037" customFormat="1" ht="21" customHeight="1">
      <c r="A150" s="869" t="s">
        <v>668</v>
      </c>
      <c r="B150" s="868" t="s">
        <v>452</v>
      </c>
      <c r="C150" s="832" t="s">
        <v>281</v>
      </c>
      <c r="D150" s="901" t="s">
        <v>880</v>
      </c>
      <c r="E150" s="1049" t="e">
        <f>E153+E154+E155+E157+E160+E164+E165+E166+E168+E170+E172+E173+E174+E177+E178+E179+E180+E181+E182</f>
        <v>#VALUE!</v>
      </c>
      <c r="F150" s="1049">
        <f>F153+F154+F155+F157+F160+F164+F165+F166+F168+F170+F172+F173+F174+F177+F178+F179+F180+F181+F182</f>
        <v>0</v>
      </c>
      <c r="G150" s="391"/>
      <c r="H150" s="942">
        <f>H149</f>
        <v>1.0195120709935896</v>
      </c>
      <c r="I150" s="942">
        <f>I149</f>
        <v>5.0401440000000006</v>
      </c>
      <c r="J150" s="942">
        <f>J149</f>
        <v>4.825628</v>
      </c>
      <c r="K150" s="942">
        <f>K149</f>
        <v>0.32447520000000002</v>
      </c>
      <c r="L150" s="893" t="e">
        <f>SUM(E150:K150)</f>
        <v>#VALUE!</v>
      </c>
      <c r="M150" s="893" t="e">
        <f>L150*'He so chung'!$D$17/100</f>
        <v>#VALUE!</v>
      </c>
      <c r="N150" s="893" t="e">
        <f>L150+M150</f>
        <v>#VALUE!</v>
      </c>
      <c r="O150" s="925"/>
      <c r="P150" s="1049">
        <f>P153+P154+P155+P157+P160+P164+P165+P166+P168+P170+P172+P173+P174+P177+P178+P179+P180+P181+P182</f>
        <v>4467.1926923076917</v>
      </c>
      <c r="Q150" s="839"/>
      <c r="R150" s="839"/>
      <c r="S150" s="1045"/>
      <c r="T150" s="946">
        <f>'[1]2,DG-capdoi'!N148</f>
        <v>158223.77518258468</v>
      </c>
      <c r="U150" s="946" t="e">
        <f t="shared" si="31"/>
        <v>#VALUE!</v>
      </c>
      <c r="V150" s="1036"/>
      <c r="W150" s="1036"/>
      <c r="X150" s="1036"/>
      <c r="Y150" s="1036"/>
      <c r="Z150" s="1036"/>
      <c r="AA150" s="1036"/>
      <c r="AB150" s="1036"/>
      <c r="AC150" s="1036"/>
      <c r="AD150" s="1036"/>
      <c r="AE150" s="1036"/>
      <c r="AF150" s="1036"/>
      <c r="AG150" s="1036"/>
      <c r="AH150" s="1036"/>
      <c r="AI150" s="1036"/>
      <c r="AJ150" s="1036"/>
      <c r="AK150" s="1036"/>
    </row>
    <row r="151" spans="1:37" s="1037" customFormat="1" ht="35.25" customHeight="1">
      <c r="A151" s="832">
        <v>1</v>
      </c>
      <c r="B151" s="827" t="s">
        <v>505</v>
      </c>
      <c r="C151" s="832"/>
      <c r="D151" s="832"/>
      <c r="E151" s="903"/>
      <c r="F151" s="903"/>
      <c r="G151" s="391"/>
      <c r="H151" s="903"/>
      <c r="I151" s="903"/>
      <c r="J151" s="903"/>
      <c r="K151" s="903"/>
      <c r="L151" s="925"/>
      <c r="M151" s="925"/>
      <c r="N151" s="925"/>
      <c r="O151" s="925"/>
      <c r="P151" s="1044">
        <f t="shared" si="28"/>
        <v>0</v>
      </c>
      <c r="Q151" s="839">
        <f t="shared" si="29"/>
        <v>0</v>
      </c>
      <c r="R151" s="839">
        <f t="shared" si="30"/>
        <v>0</v>
      </c>
      <c r="S151" s="1045"/>
      <c r="T151" s="946">
        <f>'[1]2,DG-capdoi'!N149</f>
        <v>0</v>
      </c>
      <c r="U151" s="946">
        <f t="shared" si="31"/>
        <v>0</v>
      </c>
      <c r="V151" s="1036"/>
      <c r="W151" s="1036"/>
      <c r="X151" s="1036"/>
      <c r="Y151" s="1036"/>
      <c r="Z151" s="1036"/>
      <c r="AA151" s="1036"/>
      <c r="AB151" s="1036"/>
      <c r="AC151" s="1036"/>
      <c r="AD151" s="1036"/>
      <c r="AE151" s="1036"/>
      <c r="AF151" s="1036"/>
      <c r="AG151" s="1036"/>
      <c r="AH151" s="1036"/>
      <c r="AI151" s="1036"/>
      <c r="AJ151" s="1036"/>
      <c r="AK151" s="1036"/>
    </row>
    <row r="152" spans="1:37" s="1037" customFormat="1" ht="27.75" customHeight="1">
      <c r="A152" s="832" t="s">
        <v>891</v>
      </c>
      <c r="B152" s="827" t="s">
        <v>33</v>
      </c>
      <c r="C152" s="832" t="s">
        <v>281</v>
      </c>
      <c r="D152" s="901" t="s">
        <v>880</v>
      </c>
      <c r="E152" s="903" t="e">
        <f>NC_DKDD!H635</f>
        <v>#VALUE!</v>
      </c>
      <c r="F152" s="903"/>
      <c r="G152" s="391"/>
      <c r="H152" s="903"/>
      <c r="I152" s="903"/>
      <c r="J152" s="903"/>
      <c r="K152" s="903"/>
      <c r="L152" s="925"/>
      <c r="M152" s="925"/>
      <c r="N152" s="925"/>
      <c r="O152" s="925"/>
      <c r="P152" s="1044">
        <f t="shared" si="28"/>
        <v>153.70192307692309</v>
      </c>
      <c r="Q152" s="839">
        <f t="shared" si="29"/>
        <v>133.65384615384616</v>
      </c>
      <c r="R152" s="839">
        <f t="shared" si="30"/>
        <v>20.048076923076923</v>
      </c>
      <c r="S152" s="1046">
        <f>NC_DKDD!G635</f>
        <v>2.5000000000000001E-2</v>
      </c>
      <c r="T152" s="946">
        <f>'[1]2,DG-capdoi'!N150</f>
        <v>0</v>
      </c>
      <c r="U152" s="946">
        <f t="shared" si="31"/>
        <v>0</v>
      </c>
      <c r="V152" s="1036"/>
      <c r="W152" s="1036"/>
      <c r="X152" s="1036"/>
      <c r="Y152" s="1036"/>
      <c r="Z152" s="1036"/>
      <c r="AA152" s="1036"/>
      <c r="AB152" s="1036"/>
      <c r="AC152" s="1036"/>
      <c r="AD152" s="1036"/>
      <c r="AE152" s="1036"/>
      <c r="AF152" s="1036"/>
      <c r="AG152" s="1036"/>
      <c r="AH152" s="1036"/>
      <c r="AI152" s="1036"/>
      <c r="AJ152" s="1036"/>
      <c r="AK152" s="1036"/>
    </row>
    <row r="153" spans="1:37" s="1037" customFormat="1" ht="27.75" customHeight="1">
      <c r="A153" s="832" t="s">
        <v>899</v>
      </c>
      <c r="B153" s="827" t="s">
        <v>36</v>
      </c>
      <c r="C153" s="832" t="s">
        <v>281</v>
      </c>
      <c r="D153" s="901" t="s">
        <v>880</v>
      </c>
      <c r="E153" s="903" t="e">
        <f>NC_DKDD!H636</f>
        <v>#VALUE!</v>
      </c>
      <c r="F153" s="903"/>
      <c r="G153" s="391"/>
      <c r="H153" s="903"/>
      <c r="I153" s="903"/>
      <c r="J153" s="903"/>
      <c r="K153" s="903"/>
      <c r="L153" s="925"/>
      <c r="M153" s="925"/>
      <c r="N153" s="925"/>
      <c r="O153" s="925"/>
      <c r="P153" s="1044">
        <f t="shared" si="28"/>
        <v>122.96153846153845</v>
      </c>
      <c r="Q153" s="839">
        <f t="shared" si="29"/>
        <v>106.92307692307692</v>
      </c>
      <c r="R153" s="839">
        <f t="shared" si="30"/>
        <v>16.03846153846154</v>
      </c>
      <c r="S153" s="1046">
        <f>NC_DKDD!G636</f>
        <v>0.02</v>
      </c>
      <c r="T153" s="946">
        <f>'[1]2,DG-capdoi'!N151</f>
        <v>0</v>
      </c>
      <c r="U153" s="946">
        <f t="shared" si="31"/>
        <v>0</v>
      </c>
      <c r="V153" s="1036"/>
      <c r="W153" s="1036"/>
      <c r="X153" s="1036"/>
      <c r="Y153" s="1036"/>
      <c r="Z153" s="1036"/>
      <c r="AA153" s="1036"/>
      <c r="AB153" s="1036"/>
      <c r="AC153" s="1036"/>
      <c r="AD153" s="1036"/>
      <c r="AE153" s="1036"/>
      <c r="AF153" s="1036"/>
      <c r="AG153" s="1036"/>
      <c r="AH153" s="1036"/>
      <c r="AI153" s="1036"/>
      <c r="AJ153" s="1036"/>
      <c r="AK153" s="1036"/>
    </row>
    <row r="154" spans="1:37" s="1037" customFormat="1" ht="37.5" customHeight="1">
      <c r="A154" s="832">
        <v>2</v>
      </c>
      <c r="B154" s="827" t="s">
        <v>231</v>
      </c>
      <c r="C154" s="832" t="s">
        <v>281</v>
      </c>
      <c r="D154" s="901" t="s">
        <v>880</v>
      </c>
      <c r="E154" s="903" t="e">
        <f>NC_DKDD!H637</f>
        <v>#VALUE!</v>
      </c>
      <c r="F154" s="903"/>
      <c r="G154" s="391"/>
      <c r="H154" s="903"/>
      <c r="I154" s="903"/>
      <c r="J154" s="903"/>
      <c r="K154" s="903"/>
      <c r="L154" s="925"/>
      <c r="M154" s="925"/>
      <c r="N154" s="925"/>
      <c r="O154" s="925"/>
      <c r="P154" s="1044">
        <f t="shared" si="28"/>
        <v>614.80769230769238</v>
      </c>
      <c r="Q154" s="839">
        <f t="shared" si="29"/>
        <v>534.61538461538464</v>
      </c>
      <c r="R154" s="839">
        <f t="shared" si="30"/>
        <v>80.192307692307693</v>
      </c>
      <c r="S154" s="1046">
        <f>NC_DKDD!G637</f>
        <v>0.1</v>
      </c>
      <c r="T154" s="946">
        <f>'[1]2,DG-capdoi'!N152</f>
        <v>0</v>
      </c>
      <c r="U154" s="946">
        <f t="shared" si="31"/>
        <v>0</v>
      </c>
      <c r="V154" s="1036"/>
      <c r="W154" s="1036"/>
      <c r="X154" s="1036"/>
      <c r="Y154" s="1036"/>
      <c r="Z154" s="1036"/>
      <c r="AA154" s="1036"/>
      <c r="AB154" s="1036"/>
      <c r="AC154" s="1036"/>
      <c r="AD154" s="1036"/>
      <c r="AE154" s="1036"/>
      <c r="AF154" s="1036"/>
      <c r="AG154" s="1036"/>
      <c r="AH154" s="1036"/>
      <c r="AI154" s="1036"/>
      <c r="AJ154" s="1036"/>
      <c r="AK154" s="1036"/>
    </row>
    <row r="155" spans="1:37" s="1037" customFormat="1" ht="28.5">
      <c r="A155" s="832">
        <v>3</v>
      </c>
      <c r="B155" s="827" t="s">
        <v>69</v>
      </c>
      <c r="C155" s="832" t="s">
        <v>523</v>
      </c>
      <c r="D155" s="901" t="s">
        <v>880</v>
      </c>
      <c r="E155" s="903" t="e">
        <f>NC_DKDD!H638</f>
        <v>#VALUE!</v>
      </c>
      <c r="F155" s="903"/>
      <c r="G155" s="391"/>
      <c r="H155" s="903"/>
      <c r="I155" s="903"/>
      <c r="J155" s="903"/>
      <c r="K155" s="903"/>
      <c r="L155" s="925"/>
      <c r="M155" s="925"/>
      <c r="N155" s="925"/>
      <c r="O155" s="925"/>
      <c r="P155" s="1044">
        <f t="shared" si="28"/>
        <v>36.888461538461534</v>
      </c>
      <c r="Q155" s="839">
        <f t="shared" si="29"/>
        <v>32.076923076923073</v>
      </c>
      <c r="R155" s="839">
        <f t="shared" si="30"/>
        <v>4.8115384615384613</v>
      </c>
      <c r="S155" s="1046">
        <f>NC_DKDD!G638</f>
        <v>6.0000000000000001E-3</v>
      </c>
      <c r="T155" s="946">
        <f>'[1]2,DG-capdoi'!N153</f>
        <v>0</v>
      </c>
      <c r="U155" s="946">
        <f t="shared" si="31"/>
        <v>0</v>
      </c>
      <c r="V155" s="1036"/>
      <c r="W155" s="1036"/>
      <c r="X155" s="1036"/>
      <c r="Y155" s="1036"/>
      <c r="Z155" s="1036"/>
      <c r="AA155" s="1036"/>
      <c r="AB155" s="1036"/>
      <c r="AC155" s="1036"/>
      <c r="AD155" s="1036"/>
      <c r="AE155" s="1036"/>
      <c r="AF155" s="1036"/>
      <c r="AG155" s="1036"/>
      <c r="AH155" s="1036"/>
      <c r="AI155" s="1036"/>
      <c r="AJ155" s="1036"/>
      <c r="AK155" s="1036"/>
    </row>
    <row r="156" spans="1:37" s="1037" customFormat="1" ht="20.25" customHeight="1">
      <c r="A156" s="832">
        <v>4</v>
      </c>
      <c r="B156" s="827" t="s">
        <v>660</v>
      </c>
      <c r="C156" s="832"/>
      <c r="D156" s="832"/>
      <c r="E156" s="903">
        <f>NC_DKDD!H639</f>
        <v>0</v>
      </c>
      <c r="F156" s="903"/>
      <c r="G156" s="391"/>
      <c r="H156" s="903"/>
      <c r="I156" s="903"/>
      <c r="J156" s="903"/>
      <c r="K156" s="903"/>
      <c r="L156" s="925"/>
      <c r="M156" s="925"/>
      <c r="N156" s="925"/>
      <c r="O156" s="925"/>
      <c r="P156" s="1044">
        <f t="shared" si="28"/>
        <v>0</v>
      </c>
      <c r="Q156" s="839">
        <f t="shared" si="29"/>
        <v>0</v>
      </c>
      <c r="R156" s="839">
        <f t="shared" si="30"/>
        <v>0</v>
      </c>
      <c r="S156" s="1046">
        <f>NC_DKDD!G639</f>
        <v>0</v>
      </c>
      <c r="T156" s="946">
        <f>'[1]2,DG-capdoi'!N154</f>
        <v>0</v>
      </c>
      <c r="U156" s="946">
        <f t="shared" si="31"/>
        <v>0</v>
      </c>
      <c r="V156" s="1036"/>
      <c r="W156" s="1036"/>
      <c r="X156" s="1036"/>
      <c r="Y156" s="1036"/>
      <c r="Z156" s="1036"/>
      <c r="AA156" s="1036"/>
      <c r="AB156" s="1036"/>
      <c r="AC156" s="1036"/>
      <c r="AD156" s="1036"/>
      <c r="AE156" s="1036"/>
      <c r="AF156" s="1036"/>
      <c r="AG156" s="1036"/>
      <c r="AH156" s="1036"/>
      <c r="AI156" s="1036"/>
      <c r="AJ156" s="1036"/>
      <c r="AK156" s="1036"/>
    </row>
    <row r="157" spans="1:37" s="1037" customFormat="1" ht="20.25" customHeight="1">
      <c r="A157" s="832" t="s">
        <v>251</v>
      </c>
      <c r="B157" s="827" t="s">
        <v>770</v>
      </c>
      <c r="C157" s="832" t="s">
        <v>281</v>
      </c>
      <c r="D157" s="901" t="s">
        <v>880</v>
      </c>
      <c r="E157" s="903" t="e">
        <f>NC_DKDD!H640</f>
        <v>#VALUE!</v>
      </c>
      <c r="F157" s="903"/>
      <c r="G157" s="391"/>
      <c r="H157" s="903"/>
      <c r="I157" s="903"/>
      <c r="J157" s="903"/>
      <c r="K157" s="903"/>
      <c r="L157" s="925"/>
      <c r="M157" s="925"/>
      <c r="N157" s="925"/>
      <c r="O157" s="925"/>
      <c r="P157" s="1044">
        <f t="shared" si="28"/>
        <v>153.70192307692309</v>
      </c>
      <c r="Q157" s="839">
        <f t="shared" si="29"/>
        <v>133.65384615384616</v>
      </c>
      <c r="R157" s="839">
        <f t="shared" si="30"/>
        <v>20.048076923076923</v>
      </c>
      <c r="S157" s="1046">
        <f>NC_DKDD!G640</f>
        <v>2.5000000000000001E-2</v>
      </c>
      <c r="T157" s="946">
        <f>'[1]2,DG-capdoi'!N155</f>
        <v>0</v>
      </c>
      <c r="U157" s="946">
        <f t="shared" si="31"/>
        <v>0</v>
      </c>
      <c r="V157" s="1036"/>
      <c r="W157" s="1036"/>
      <c r="X157" s="1036"/>
      <c r="Y157" s="1036"/>
      <c r="Z157" s="1036"/>
      <c r="AA157" s="1036"/>
      <c r="AB157" s="1036"/>
      <c r="AC157" s="1036"/>
      <c r="AD157" s="1036"/>
      <c r="AE157" s="1036"/>
      <c r="AF157" s="1036"/>
      <c r="AG157" s="1036"/>
      <c r="AH157" s="1036"/>
      <c r="AI157" s="1036"/>
      <c r="AJ157" s="1036"/>
      <c r="AK157" s="1036"/>
    </row>
    <row r="158" spans="1:37" s="1037" customFormat="1" ht="20.25" customHeight="1">
      <c r="A158" s="832" t="s">
        <v>252</v>
      </c>
      <c r="B158" s="827" t="s">
        <v>771</v>
      </c>
      <c r="C158" s="832" t="s">
        <v>281</v>
      </c>
      <c r="D158" s="901" t="s">
        <v>880</v>
      </c>
      <c r="E158" s="903" t="e">
        <f>NC_DKDD!H641</f>
        <v>#VALUE!</v>
      </c>
      <c r="F158" s="903"/>
      <c r="G158" s="391"/>
      <c r="H158" s="903"/>
      <c r="I158" s="903"/>
      <c r="J158" s="903"/>
      <c r="K158" s="903"/>
      <c r="L158" s="925"/>
      <c r="M158" s="925"/>
      <c r="N158" s="925"/>
      <c r="O158" s="925"/>
      <c r="P158" s="1044">
        <f t="shared" si="28"/>
        <v>307.40384615384619</v>
      </c>
      <c r="Q158" s="839">
        <f t="shared" si="29"/>
        <v>267.30769230769232</v>
      </c>
      <c r="R158" s="839">
        <f t="shared" si="30"/>
        <v>40.096153846153847</v>
      </c>
      <c r="S158" s="1046">
        <f>NC_DKDD!G641</f>
        <v>0.05</v>
      </c>
      <c r="T158" s="946">
        <f>'[1]2,DG-capdoi'!N156</f>
        <v>0</v>
      </c>
      <c r="U158" s="946">
        <f t="shared" si="31"/>
        <v>0</v>
      </c>
      <c r="V158" s="1036"/>
      <c r="W158" s="1036"/>
      <c r="X158" s="1036"/>
      <c r="Y158" s="1036"/>
      <c r="Z158" s="1036"/>
      <c r="AA158" s="1036"/>
      <c r="AB158" s="1036"/>
      <c r="AC158" s="1036"/>
      <c r="AD158" s="1036"/>
      <c r="AE158" s="1036"/>
      <c r="AF158" s="1036"/>
      <c r="AG158" s="1036"/>
      <c r="AH158" s="1036"/>
      <c r="AI158" s="1036"/>
      <c r="AJ158" s="1036"/>
      <c r="AK158" s="1036"/>
    </row>
    <row r="159" spans="1:37" s="1037" customFormat="1" ht="41.25" customHeight="1">
      <c r="A159" s="832">
        <v>5</v>
      </c>
      <c r="B159" s="827" t="s">
        <v>232</v>
      </c>
      <c r="C159" s="832"/>
      <c r="D159" s="832"/>
      <c r="E159" s="903">
        <f>NC_DKDD!H642</f>
        <v>0</v>
      </c>
      <c r="F159" s="903"/>
      <c r="G159" s="391"/>
      <c r="H159" s="903"/>
      <c r="I159" s="903"/>
      <c r="J159" s="903"/>
      <c r="K159" s="903"/>
      <c r="L159" s="925"/>
      <c r="M159" s="925"/>
      <c r="N159" s="925"/>
      <c r="O159" s="925"/>
      <c r="P159" s="1044">
        <f t="shared" si="28"/>
        <v>0</v>
      </c>
      <c r="Q159" s="839">
        <f t="shared" si="29"/>
        <v>0</v>
      </c>
      <c r="R159" s="839">
        <f t="shared" si="30"/>
        <v>0</v>
      </c>
      <c r="S159" s="1046">
        <f>NC_DKDD!G642</f>
        <v>0</v>
      </c>
      <c r="T159" s="946">
        <f>'[1]2,DG-capdoi'!N157</f>
        <v>0</v>
      </c>
      <c r="U159" s="946">
        <f t="shared" si="31"/>
        <v>0</v>
      </c>
      <c r="V159" s="1036"/>
      <c r="W159" s="1036"/>
      <c r="X159" s="1036"/>
      <c r="Y159" s="1036"/>
      <c r="Z159" s="1036"/>
      <c r="AA159" s="1036"/>
      <c r="AB159" s="1036"/>
      <c r="AC159" s="1036"/>
      <c r="AD159" s="1036"/>
      <c r="AE159" s="1036"/>
      <c r="AF159" s="1036"/>
      <c r="AG159" s="1036"/>
      <c r="AH159" s="1036"/>
      <c r="AI159" s="1036"/>
      <c r="AJ159" s="1036"/>
      <c r="AK159" s="1036"/>
    </row>
    <row r="160" spans="1:37" s="1037" customFormat="1" ht="26.25" customHeight="1">
      <c r="A160" s="832" t="s">
        <v>607</v>
      </c>
      <c r="B160" s="827" t="s">
        <v>773</v>
      </c>
      <c r="C160" s="832" t="s">
        <v>281</v>
      </c>
      <c r="D160" s="901" t="s">
        <v>880</v>
      </c>
      <c r="E160" s="903" t="e">
        <f>NC_DKDD!H643</f>
        <v>#VALUE!</v>
      </c>
      <c r="F160" s="903"/>
      <c r="G160" s="391"/>
      <c r="H160" s="903"/>
      <c r="I160" s="903"/>
      <c r="J160" s="903"/>
      <c r="K160" s="903"/>
      <c r="L160" s="925"/>
      <c r="M160" s="925"/>
      <c r="N160" s="925"/>
      <c r="O160" s="925"/>
      <c r="P160" s="1044">
        <f t="shared" si="28"/>
        <v>184.44230769230768</v>
      </c>
      <c r="Q160" s="839">
        <f t="shared" si="29"/>
        <v>160.38461538461536</v>
      </c>
      <c r="R160" s="839">
        <f t="shared" si="30"/>
        <v>24.057692307692307</v>
      </c>
      <c r="S160" s="1046">
        <f>NC_DKDD!G643</f>
        <v>0.03</v>
      </c>
      <c r="T160" s="946">
        <f>'[1]2,DG-capdoi'!N158</f>
        <v>0</v>
      </c>
      <c r="U160" s="946">
        <f t="shared" si="31"/>
        <v>0</v>
      </c>
      <c r="V160" s="1036"/>
      <c r="W160" s="1036"/>
      <c r="X160" s="1036"/>
      <c r="Y160" s="1036"/>
      <c r="Z160" s="1036"/>
      <c r="AA160" s="1036"/>
      <c r="AB160" s="1036"/>
      <c r="AC160" s="1036"/>
      <c r="AD160" s="1036"/>
      <c r="AE160" s="1036"/>
      <c r="AF160" s="1036"/>
      <c r="AG160" s="1036"/>
      <c r="AH160" s="1036"/>
      <c r="AI160" s="1036"/>
      <c r="AJ160" s="1036"/>
      <c r="AK160" s="1036"/>
    </row>
    <row r="161" spans="1:37" s="1037" customFormat="1" ht="26.25" customHeight="1">
      <c r="A161" s="832" t="s">
        <v>608</v>
      </c>
      <c r="B161" s="827" t="s">
        <v>774</v>
      </c>
      <c r="C161" s="832" t="s">
        <v>281</v>
      </c>
      <c r="D161" s="901" t="s">
        <v>880</v>
      </c>
      <c r="E161" s="903" t="e">
        <f>NC_DKDD!H644</f>
        <v>#VALUE!</v>
      </c>
      <c r="F161" s="903"/>
      <c r="G161" s="391"/>
      <c r="H161" s="903"/>
      <c r="I161" s="903"/>
      <c r="J161" s="903"/>
      <c r="K161" s="903"/>
      <c r="L161" s="925"/>
      <c r="M161" s="925"/>
      <c r="N161" s="925"/>
      <c r="O161" s="925"/>
      <c r="P161" s="1044">
        <f t="shared" si="28"/>
        <v>245.92307692307691</v>
      </c>
      <c r="Q161" s="839">
        <f t="shared" si="29"/>
        <v>213.84615384615384</v>
      </c>
      <c r="R161" s="839">
        <f t="shared" si="30"/>
        <v>32.07692307692308</v>
      </c>
      <c r="S161" s="1046">
        <f>NC_DKDD!G644</f>
        <v>0.04</v>
      </c>
      <c r="T161" s="946">
        <f>'[1]2,DG-capdoi'!N159</f>
        <v>0</v>
      </c>
      <c r="U161" s="946">
        <f t="shared" si="31"/>
        <v>0</v>
      </c>
      <c r="V161" s="1036"/>
      <c r="W161" s="1036"/>
      <c r="X161" s="1036"/>
      <c r="Y161" s="1036"/>
      <c r="Z161" s="1036"/>
      <c r="AA161" s="1036"/>
      <c r="AB161" s="1036"/>
      <c r="AC161" s="1036"/>
      <c r="AD161" s="1036"/>
      <c r="AE161" s="1036"/>
      <c r="AF161" s="1036"/>
      <c r="AG161" s="1036"/>
      <c r="AH161" s="1036"/>
      <c r="AI161" s="1036"/>
      <c r="AJ161" s="1036"/>
      <c r="AK161" s="1036"/>
    </row>
    <row r="162" spans="1:37" s="1037" customFormat="1" ht="38.25" customHeight="1">
      <c r="A162" s="832">
        <v>6</v>
      </c>
      <c r="B162" s="827" t="s">
        <v>233</v>
      </c>
      <c r="C162" s="832"/>
      <c r="D162" s="832"/>
      <c r="E162" s="903">
        <f>NC_DKDD!H645</f>
        <v>0</v>
      </c>
      <c r="F162" s="903"/>
      <c r="G162" s="391"/>
      <c r="H162" s="903"/>
      <c r="I162" s="903"/>
      <c r="J162" s="903"/>
      <c r="K162" s="903"/>
      <c r="L162" s="925"/>
      <c r="M162" s="925"/>
      <c r="N162" s="925"/>
      <c r="O162" s="925"/>
      <c r="P162" s="1044">
        <f t="shared" si="28"/>
        <v>0</v>
      </c>
      <c r="Q162" s="839">
        <f t="shared" si="29"/>
        <v>0</v>
      </c>
      <c r="R162" s="839">
        <f t="shared" si="30"/>
        <v>0</v>
      </c>
      <c r="S162" s="1046">
        <f>NC_DKDD!G645</f>
        <v>0</v>
      </c>
      <c r="T162" s="946">
        <f>'[1]2,DG-capdoi'!N160</f>
        <v>0</v>
      </c>
      <c r="U162" s="946">
        <f t="shared" si="31"/>
        <v>0</v>
      </c>
      <c r="V162" s="1036"/>
      <c r="W162" s="1036"/>
      <c r="X162" s="1036"/>
      <c r="Y162" s="1036"/>
      <c r="Z162" s="1036"/>
      <c r="AA162" s="1036"/>
      <c r="AB162" s="1036"/>
      <c r="AC162" s="1036"/>
      <c r="AD162" s="1036"/>
      <c r="AE162" s="1036"/>
      <c r="AF162" s="1036"/>
      <c r="AG162" s="1036"/>
      <c r="AH162" s="1036"/>
      <c r="AI162" s="1036"/>
      <c r="AJ162" s="1036"/>
      <c r="AK162" s="1036"/>
    </row>
    <row r="163" spans="1:37" s="1037" customFormat="1" ht="28.5">
      <c r="A163" s="832" t="s">
        <v>444</v>
      </c>
      <c r="B163" s="827" t="s">
        <v>70</v>
      </c>
      <c r="C163" s="832" t="s">
        <v>281</v>
      </c>
      <c r="D163" s="901" t="s">
        <v>880</v>
      </c>
      <c r="E163" s="903" t="e">
        <f>NC_DKDD!H646</f>
        <v>#VALUE!</v>
      </c>
      <c r="F163" s="903"/>
      <c r="G163" s="391"/>
      <c r="H163" s="903"/>
      <c r="I163" s="903"/>
      <c r="J163" s="903"/>
      <c r="K163" s="903"/>
      <c r="L163" s="925"/>
      <c r="M163" s="925"/>
      <c r="N163" s="925"/>
      <c r="O163" s="925"/>
      <c r="P163" s="1044">
        <f t="shared" si="28"/>
        <v>245.92307692307691</v>
      </c>
      <c r="Q163" s="839">
        <f t="shared" si="29"/>
        <v>213.84615384615384</v>
      </c>
      <c r="R163" s="839">
        <f t="shared" si="30"/>
        <v>32.07692307692308</v>
      </c>
      <c r="S163" s="1046">
        <f>NC_DKDD!G646</f>
        <v>0.04</v>
      </c>
      <c r="T163" s="946">
        <f>'[1]2,DG-capdoi'!N161</f>
        <v>0</v>
      </c>
      <c r="U163" s="946">
        <f t="shared" si="31"/>
        <v>0</v>
      </c>
      <c r="V163" s="1036"/>
      <c r="W163" s="1036"/>
      <c r="X163" s="1036"/>
      <c r="Y163" s="1036"/>
      <c r="Z163" s="1036"/>
      <c r="AA163" s="1036"/>
      <c r="AB163" s="1036"/>
      <c r="AC163" s="1036"/>
      <c r="AD163" s="1036"/>
      <c r="AE163" s="1036"/>
      <c r="AF163" s="1036"/>
      <c r="AG163" s="1036"/>
      <c r="AH163" s="1036"/>
      <c r="AI163" s="1036"/>
      <c r="AJ163" s="1036"/>
      <c r="AK163" s="1036"/>
    </row>
    <row r="164" spans="1:37" s="1037" customFormat="1" ht="38.25" customHeight="1">
      <c r="A164" s="832" t="s">
        <v>445</v>
      </c>
      <c r="B164" s="827" t="s">
        <v>777</v>
      </c>
      <c r="C164" s="832" t="s">
        <v>281</v>
      </c>
      <c r="D164" s="901" t="s">
        <v>880</v>
      </c>
      <c r="E164" s="903" t="e">
        <f>NC_DKDD!H647</f>
        <v>#VALUE!</v>
      </c>
      <c r="F164" s="903"/>
      <c r="G164" s="391"/>
      <c r="H164" s="903"/>
      <c r="I164" s="903"/>
      <c r="J164" s="903"/>
      <c r="K164" s="903"/>
      <c r="L164" s="925"/>
      <c r="M164" s="925"/>
      <c r="N164" s="925"/>
      <c r="O164" s="925"/>
      <c r="P164" s="1044">
        <f t="shared" si="28"/>
        <v>184.44230769230768</v>
      </c>
      <c r="Q164" s="839">
        <f t="shared" si="29"/>
        <v>160.38461538461536</v>
      </c>
      <c r="R164" s="839">
        <f t="shared" si="30"/>
        <v>24.057692307692307</v>
      </c>
      <c r="S164" s="1046">
        <f>NC_DKDD!G647</f>
        <v>0.03</v>
      </c>
      <c r="T164" s="946">
        <f>'[1]2,DG-capdoi'!N162</f>
        <v>0</v>
      </c>
      <c r="U164" s="946">
        <f t="shared" si="31"/>
        <v>0</v>
      </c>
      <c r="V164" s="1036"/>
      <c r="W164" s="1036"/>
      <c r="X164" s="1036"/>
      <c r="Y164" s="1036"/>
      <c r="Z164" s="1036"/>
      <c r="AA164" s="1036"/>
      <c r="AB164" s="1036"/>
      <c r="AC164" s="1036"/>
      <c r="AD164" s="1036"/>
      <c r="AE164" s="1036"/>
      <c r="AF164" s="1036"/>
      <c r="AG164" s="1036"/>
      <c r="AH164" s="1036"/>
      <c r="AI164" s="1036"/>
      <c r="AJ164" s="1036"/>
      <c r="AK164" s="1036"/>
    </row>
    <row r="165" spans="1:37" s="1037" customFormat="1" ht="26.25" customHeight="1">
      <c r="A165" s="832">
        <v>7</v>
      </c>
      <c r="B165" s="827" t="s">
        <v>211</v>
      </c>
      <c r="C165" s="832" t="s">
        <v>523</v>
      </c>
      <c r="D165" s="901" t="s">
        <v>880</v>
      </c>
      <c r="E165" s="903" t="e">
        <f>NC_DKDD!H648</f>
        <v>#VALUE!</v>
      </c>
      <c r="F165" s="903"/>
      <c r="G165" s="391"/>
      <c r="H165" s="903"/>
      <c r="I165" s="903"/>
      <c r="J165" s="903"/>
      <c r="K165" s="903"/>
      <c r="L165" s="925"/>
      <c r="M165" s="925"/>
      <c r="N165" s="925"/>
      <c r="O165" s="925"/>
      <c r="P165" s="1044">
        <f t="shared" si="28"/>
        <v>202.88653846153844</v>
      </c>
      <c r="Q165" s="839">
        <f t="shared" si="29"/>
        <v>176.42307692307691</v>
      </c>
      <c r="R165" s="839">
        <f t="shared" si="30"/>
        <v>26.463461538461541</v>
      </c>
      <c r="S165" s="1046">
        <f>NC_DKDD!G648</f>
        <v>3.3000000000000002E-2</v>
      </c>
      <c r="T165" s="946">
        <f>'[1]2,DG-capdoi'!N163</f>
        <v>0</v>
      </c>
      <c r="U165" s="946">
        <f t="shared" si="31"/>
        <v>0</v>
      </c>
      <c r="V165" s="1036"/>
      <c r="W165" s="1036"/>
      <c r="X165" s="1036"/>
      <c r="Y165" s="1036"/>
      <c r="Z165" s="1036"/>
      <c r="AA165" s="1036"/>
      <c r="AB165" s="1036"/>
      <c r="AC165" s="1036"/>
      <c r="AD165" s="1036"/>
      <c r="AE165" s="1036"/>
      <c r="AF165" s="1036"/>
      <c r="AG165" s="1036"/>
      <c r="AH165" s="1036"/>
      <c r="AI165" s="1036"/>
      <c r="AJ165" s="1036"/>
      <c r="AK165" s="1036"/>
    </row>
    <row r="166" spans="1:37" s="1037" customFormat="1" ht="21.75" customHeight="1">
      <c r="A166" s="832">
        <v>8</v>
      </c>
      <c r="B166" s="827" t="s">
        <v>978</v>
      </c>
      <c r="C166" s="832" t="s">
        <v>281</v>
      </c>
      <c r="D166" s="901" t="s">
        <v>880</v>
      </c>
      <c r="E166" s="903" t="e">
        <f>NC_DKDD!H649</f>
        <v>#VALUE!</v>
      </c>
      <c r="F166" s="903"/>
      <c r="G166" s="391"/>
      <c r="H166" s="903"/>
      <c r="I166" s="903"/>
      <c r="J166" s="903"/>
      <c r="K166" s="903"/>
      <c r="L166" s="925"/>
      <c r="M166" s="925"/>
      <c r="N166" s="925"/>
      <c r="O166" s="925"/>
      <c r="P166" s="1044">
        <f t="shared" si="28"/>
        <v>1229.6153846153848</v>
      </c>
      <c r="Q166" s="839">
        <f t="shared" si="29"/>
        <v>1069.2307692307693</v>
      </c>
      <c r="R166" s="839">
        <f t="shared" si="30"/>
        <v>160.38461538461539</v>
      </c>
      <c r="S166" s="1046">
        <f>NC_DKDD!G649</f>
        <v>0.2</v>
      </c>
      <c r="T166" s="946">
        <f>'[1]2,DG-capdoi'!N164</f>
        <v>0</v>
      </c>
      <c r="U166" s="946">
        <f t="shared" si="31"/>
        <v>0</v>
      </c>
      <c r="V166" s="1036"/>
      <c r="W166" s="1036"/>
      <c r="X166" s="1036"/>
      <c r="Y166" s="1036"/>
      <c r="Z166" s="1036"/>
      <c r="AA166" s="1036"/>
      <c r="AB166" s="1036"/>
      <c r="AC166" s="1036"/>
      <c r="AD166" s="1036"/>
      <c r="AE166" s="1036"/>
      <c r="AF166" s="1036"/>
      <c r="AG166" s="1036"/>
      <c r="AH166" s="1036"/>
      <c r="AI166" s="1036"/>
      <c r="AJ166" s="1036"/>
      <c r="AK166" s="1036"/>
    </row>
    <row r="167" spans="1:37" s="1037" customFormat="1" ht="21.75" customHeight="1">
      <c r="A167" s="832">
        <v>9</v>
      </c>
      <c r="B167" s="827" t="s">
        <v>213</v>
      </c>
      <c r="C167" s="832"/>
      <c r="D167" s="832"/>
      <c r="E167" s="903">
        <f>NC_DKDD!H650</f>
        <v>0</v>
      </c>
      <c r="F167" s="903"/>
      <c r="G167" s="391"/>
      <c r="H167" s="903"/>
      <c r="I167" s="903"/>
      <c r="J167" s="903"/>
      <c r="K167" s="903"/>
      <c r="L167" s="925"/>
      <c r="M167" s="925"/>
      <c r="N167" s="925"/>
      <c r="O167" s="925"/>
      <c r="P167" s="1044">
        <f t="shared" si="28"/>
        <v>0</v>
      </c>
      <c r="Q167" s="839">
        <f t="shared" si="29"/>
        <v>0</v>
      </c>
      <c r="R167" s="839">
        <f t="shared" si="30"/>
        <v>0</v>
      </c>
      <c r="S167" s="1046">
        <f>NC_DKDD!G650</f>
        <v>0</v>
      </c>
      <c r="T167" s="946">
        <f>'[1]2,DG-capdoi'!N165</f>
        <v>0</v>
      </c>
      <c r="U167" s="946">
        <f t="shared" si="31"/>
        <v>0</v>
      </c>
      <c r="V167" s="1036"/>
      <c r="W167" s="1036"/>
      <c r="X167" s="1036"/>
      <c r="Y167" s="1036"/>
      <c r="Z167" s="1036"/>
      <c r="AA167" s="1036"/>
      <c r="AB167" s="1036"/>
      <c r="AC167" s="1036"/>
      <c r="AD167" s="1036"/>
      <c r="AE167" s="1036"/>
      <c r="AF167" s="1036"/>
      <c r="AG167" s="1036"/>
      <c r="AH167" s="1036"/>
      <c r="AI167" s="1036"/>
      <c r="AJ167" s="1036"/>
      <c r="AK167" s="1036"/>
    </row>
    <row r="168" spans="1:37" s="1037" customFormat="1" ht="21.75" customHeight="1">
      <c r="A168" s="832" t="s">
        <v>446</v>
      </c>
      <c r="B168" s="827" t="s">
        <v>215</v>
      </c>
      <c r="C168" s="832" t="s">
        <v>320</v>
      </c>
      <c r="D168" s="901" t="s">
        <v>880</v>
      </c>
      <c r="E168" s="903" t="e">
        <f>NC_DKDD!H651</f>
        <v>#VALUE!</v>
      </c>
      <c r="F168" s="903"/>
      <c r="G168" s="391"/>
      <c r="H168" s="903"/>
      <c r="I168" s="903"/>
      <c r="J168" s="903"/>
      <c r="K168" s="903"/>
      <c r="L168" s="925"/>
      <c r="M168" s="925"/>
      <c r="N168" s="925"/>
      <c r="O168" s="925"/>
      <c r="P168" s="1044">
        <f t="shared" si="28"/>
        <v>307.40384615384619</v>
      </c>
      <c r="Q168" s="839">
        <f t="shared" si="29"/>
        <v>267.30769230769232</v>
      </c>
      <c r="R168" s="839">
        <f t="shared" si="30"/>
        <v>40.096153846153847</v>
      </c>
      <c r="S168" s="1046">
        <f>NC_DKDD!G651</f>
        <v>0.05</v>
      </c>
      <c r="T168" s="946">
        <f>'[1]2,DG-capdoi'!N166</f>
        <v>0</v>
      </c>
      <c r="U168" s="946">
        <f t="shared" si="31"/>
        <v>0</v>
      </c>
      <c r="V168" s="1036"/>
      <c r="W168" s="1036"/>
      <c r="X168" s="1036"/>
      <c r="Y168" s="1036"/>
      <c r="Z168" s="1036"/>
      <c r="AA168" s="1036"/>
      <c r="AB168" s="1036"/>
      <c r="AC168" s="1036"/>
      <c r="AD168" s="1036"/>
      <c r="AE168" s="1036"/>
      <c r="AF168" s="1036"/>
      <c r="AG168" s="1036"/>
      <c r="AH168" s="1036"/>
      <c r="AI168" s="1036"/>
      <c r="AJ168" s="1036"/>
      <c r="AK168" s="1036"/>
    </row>
    <row r="169" spans="1:37" s="1037" customFormat="1" ht="24" customHeight="1">
      <c r="A169" s="832" t="s">
        <v>447</v>
      </c>
      <c r="B169" s="827" t="s">
        <v>217</v>
      </c>
      <c r="C169" s="832" t="s">
        <v>320</v>
      </c>
      <c r="D169" s="901" t="s">
        <v>880</v>
      </c>
      <c r="E169" s="903" t="e">
        <f>NC_DKDD!H652</f>
        <v>#VALUE!</v>
      </c>
      <c r="F169" s="903"/>
      <c r="G169" s="391"/>
      <c r="H169" s="903"/>
      <c r="I169" s="903"/>
      <c r="J169" s="903"/>
      <c r="K169" s="903"/>
      <c r="L169" s="925"/>
      <c r="M169" s="925"/>
      <c r="N169" s="925"/>
      <c r="O169" s="925"/>
      <c r="P169" s="1044">
        <f t="shared" si="28"/>
        <v>614.80769230769238</v>
      </c>
      <c r="Q169" s="839">
        <f t="shared" si="29"/>
        <v>534.61538461538464</v>
      </c>
      <c r="R169" s="839">
        <f t="shared" si="30"/>
        <v>80.192307692307693</v>
      </c>
      <c r="S169" s="1046">
        <f>NC_DKDD!G652</f>
        <v>0.1</v>
      </c>
      <c r="T169" s="946">
        <f>'[1]2,DG-capdoi'!N167</f>
        <v>0</v>
      </c>
      <c r="U169" s="946">
        <f t="shared" si="31"/>
        <v>0</v>
      </c>
      <c r="V169" s="1036"/>
      <c r="W169" s="1036"/>
      <c r="X169" s="1036"/>
      <c r="Y169" s="1036"/>
      <c r="Z169" s="1036"/>
      <c r="AA169" s="1036"/>
      <c r="AB169" s="1036"/>
      <c r="AC169" s="1036"/>
      <c r="AD169" s="1036"/>
      <c r="AE169" s="1036"/>
      <c r="AF169" s="1036"/>
      <c r="AG169" s="1036"/>
      <c r="AH169" s="1036"/>
      <c r="AI169" s="1036"/>
      <c r="AJ169" s="1036"/>
      <c r="AK169" s="1036"/>
    </row>
    <row r="170" spans="1:37" s="1037" customFormat="1" ht="26.25" customHeight="1">
      <c r="A170" s="832">
        <v>10</v>
      </c>
      <c r="B170" s="827" t="s">
        <v>218</v>
      </c>
      <c r="C170" s="832" t="s">
        <v>281</v>
      </c>
      <c r="D170" s="901" t="s">
        <v>880</v>
      </c>
      <c r="E170" s="903" t="e">
        <f>NC_DKDD!H653</f>
        <v>#VALUE!</v>
      </c>
      <c r="F170" s="903"/>
      <c r="G170" s="391"/>
      <c r="H170" s="903"/>
      <c r="I170" s="903"/>
      <c r="J170" s="903"/>
      <c r="K170" s="903"/>
      <c r="L170" s="925"/>
      <c r="M170" s="925"/>
      <c r="N170" s="925"/>
      <c r="O170" s="925"/>
      <c r="P170" s="1044">
        <f t="shared" si="28"/>
        <v>245.92307692307691</v>
      </c>
      <c r="Q170" s="839">
        <f t="shared" si="29"/>
        <v>213.84615384615384</v>
      </c>
      <c r="R170" s="839">
        <f t="shared" si="30"/>
        <v>32.07692307692308</v>
      </c>
      <c r="S170" s="1046">
        <f>NC_DKDD!G653</f>
        <v>0.04</v>
      </c>
      <c r="T170" s="946">
        <f>'[1]2,DG-capdoi'!N168</f>
        <v>0</v>
      </c>
      <c r="U170" s="946">
        <f t="shared" si="31"/>
        <v>0</v>
      </c>
      <c r="V170" s="1036"/>
      <c r="W170" s="1036"/>
      <c r="X170" s="1036"/>
      <c r="Y170" s="1036"/>
      <c r="Z170" s="1036"/>
      <c r="AA170" s="1036"/>
      <c r="AB170" s="1036"/>
      <c r="AC170" s="1036"/>
      <c r="AD170" s="1036"/>
      <c r="AE170" s="1036"/>
      <c r="AF170" s="1036"/>
      <c r="AG170" s="1036"/>
      <c r="AH170" s="1036"/>
      <c r="AI170" s="1036"/>
      <c r="AJ170" s="1036"/>
      <c r="AK170" s="1036"/>
    </row>
    <row r="171" spans="1:37" s="1037" customFormat="1" ht="36.75" customHeight="1">
      <c r="A171" s="832">
        <v>11</v>
      </c>
      <c r="B171" s="827" t="s">
        <v>234</v>
      </c>
      <c r="C171" s="832"/>
      <c r="D171" s="832"/>
      <c r="E171" s="903">
        <f>NC_DKDD!H654</f>
        <v>0</v>
      </c>
      <c r="F171" s="903"/>
      <c r="G171" s="391"/>
      <c r="H171" s="903"/>
      <c r="I171" s="903"/>
      <c r="J171" s="903"/>
      <c r="K171" s="903"/>
      <c r="L171" s="925"/>
      <c r="M171" s="925"/>
      <c r="N171" s="925"/>
      <c r="O171" s="925"/>
      <c r="P171" s="1044">
        <f t="shared" si="28"/>
        <v>0</v>
      </c>
      <c r="Q171" s="839">
        <f t="shared" si="29"/>
        <v>0</v>
      </c>
      <c r="R171" s="839">
        <f t="shared" si="30"/>
        <v>0</v>
      </c>
      <c r="S171" s="1046">
        <f>NC_DKDD!G654</f>
        <v>0</v>
      </c>
      <c r="T171" s="946">
        <f>'[1]2,DG-capdoi'!N169</f>
        <v>0</v>
      </c>
      <c r="U171" s="946">
        <f t="shared" si="31"/>
        <v>0</v>
      </c>
      <c r="V171" s="1036"/>
      <c r="W171" s="1036"/>
      <c r="X171" s="1036"/>
      <c r="Y171" s="1036"/>
      <c r="Z171" s="1036"/>
      <c r="AA171" s="1036"/>
      <c r="AB171" s="1036"/>
      <c r="AC171" s="1036"/>
      <c r="AD171" s="1036"/>
      <c r="AE171" s="1036"/>
      <c r="AF171" s="1036"/>
      <c r="AG171" s="1036"/>
      <c r="AH171" s="1036"/>
      <c r="AI171" s="1036"/>
      <c r="AJ171" s="1036"/>
      <c r="AK171" s="1036"/>
    </row>
    <row r="172" spans="1:37" s="1037" customFormat="1" ht="60.75" customHeight="1">
      <c r="A172" s="832" t="s">
        <v>877</v>
      </c>
      <c r="B172" s="827" t="s">
        <v>235</v>
      </c>
      <c r="C172" s="832" t="s">
        <v>281</v>
      </c>
      <c r="D172" s="901" t="s">
        <v>880</v>
      </c>
      <c r="E172" s="903" t="e">
        <f>NC_DKDD!H655</f>
        <v>#VALUE!</v>
      </c>
      <c r="F172" s="903"/>
      <c r="G172" s="391"/>
      <c r="H172" s="903"/>
      <c r="I172" s="903"/>
      <c r="J172" s="903"/>
      <c r="K172" s="903"/>
      <c r="L172" s="925"/>
      <c r="M172" s="925"/>
      <c r="N172" s="925"/>
      <c r="O172" s="925"/>
      <c r="P172" s="1044">
        <f t="shared" si="28"/>
        <v>307.40384615384619</v>
      </c>
      <c r="Q172" s="839">
        <f t="shared" si="29"/>
        <v>267.30769230769232</v>
      </c>
      <c r="R172" s="839">
        <f t="shared" si="30"/>
        <v>40.096153846153847</v>
      </c>
      <c r="S172" s="1046">
        <f>NC_DKDD!G655</f>
        <v>0.05</v>
      </c>
      <c r="T172" s="946">
        <f>'[1]2,DG-capdoi'!N170</f>
        <v>0</v>
      </c>
      <c r="U172" s="946">
        <f t="shared" si="31"/>
        <v>0</v>
      </c>
      <c r="V172" s="1036"/>
      <c r="W172" s="1036"/>
      <c r="X172" s="1036"/>
      <c r="Y172" s="1036"/>
      <c r="Z172" s="1036"/>
      <c r="AA172" s="1036"/>
      <c r="AB172" s="1036"/>
      <c r="AC172" s="1036"/>
      <c r="AD172" s="1036"/>
      <c r="AE172" s="1036"/>
      <c r="AF172" s="1036"/>
      <c r="AG172" s="1036"/>
      <c r="AH172" s="1036"/>
      <c r="AI172" s="1036"/>
      <c r="AJ172" s="1036"/>
      <c r="AK172" s="1036"/>
    </row>
    <row r="173" spans="1:37" s="1037" customFormat="1" ht="36" customHeight="1">
      <c r="A173" s="832" t="s">
        <v>878</v>
      </c>
      <c r="B173" s="827" t="s">
        <v>236</v>
      </c>
      <c r="C173" s="832" t="s">
        <v>281</v>
      </c>
      <c r="D173" s="901" t="s">
        <v>880</v>
      </c>
      <c r="E173" s="903" t="e">
        <f>NC_DKDD!H656</f>
        <v>#VALUE!</v>
      </c>
      <c r="F173" s="903"/>
      <c r="G173" s="391"/>
      <c r="H173" s="903"/>
      <c r="I173" s="903"/>
      <c r="J173" s="903"/>
      <c r="K173" s="903"/>
      <c r="L173" s="925"/>
      <c r="M173" s="925"/>
      <c r="N173" s="925"/>
      <c r="O173" s="925"/>
      <c r="P173" s="1044">
        <f t="shared" si="28"/>
        <v>307.40384615384619</v>
      </c>
      <c r="Q173" s="839">
        <f t="shared" si="29"/>
        <v>267.30769230769232</v>
      </c>
      <c r="R173" s="839">
        <f t="shared" si="30"/>
        <v>40.096153846153847</v>
      </c>
      <c r="S173" s="1046">
        <f>NC_DKDD!G656</f>
        <v>0.05</v>
      </c>
      <c r="T173" s="946">
        <f>'[1]2,DG-capdoi'!N171</f>
        <v>0</v>
      </c>
      <c r="U173" s="946">
        <f t="shared" si="31"/>
        <v>0</v>
      </c>
      <c r="V173" s="1036"/>
      <c r="W173" s="1036"/>
      <c r="X173" s="1036"/>
      <c r="Y173" s="1036"/>
      <c r="Z173" s="1036"/>
      <c r="AA173" s="1036"/>
      <c r="AB173" s="1036"/>
      <c r="AC173" s="1036"/>
      <c r="AD173" s="1036"/>
      <c r="AE173" s="1036"/>
      <c r="AF173" s="1036"/>
      <c r="AG173" s="1036"/>
      <c r="AH173" s="1036"/>
      <c r="AI173" s="1036"/>
      <c r="AJ173" s="1036"/>
      <c r="AK173" s="1036"/>
    </row>
    <row r="174" spans="1:37" s="1037" customFormat="1" ht="24.75" customHeight="1">
      <c r="A174" s="832">
        <v>12</v>
      </c>
      <c r="B174" s="827" t="s">
        <v>220</v>
      </c>
      <c r="C174" s="832" t="s">
        <v>523</v>
      </c>
      <c r="D174" s="901" t="s">
        <v>880</v>
      </c>
      <c r="E174" s="903" t="e">
        <f>NC_DKDD!H657</f>
        <v>#VALUE!</v>
      </c>
      <c r="F174" s="903"/>
      <c r="G174" s="391"/>
      <c r="H174" s="903"/>
      <c r="I174" s="903"/>
      <c r="J174" s="903"/>
      <c r="K174" s="903"/>
      <c r="L174" s="925"/>
      <c r="M174" s="925"/>
      <c r="N174" s="925"/>
      <c r="O174" s="925"/>
      <c r="P174" s="1044">
        <f t="shared" si="28"/>
        <v>202.88653846153844</v>
      </c>
      <c r="Q174" s="839">
        <f t="shared" si="29"/>
        <v>176.42307692307691</v>
      </c>
      <c r="R174" s="839">
        <f t="shared" si="30"/>
        <v>26.463461538461541</v>
      </c>
      <c r="S174" s="1046">
        <f>NC_DKDD!G657</f>
        <v>3.3000000000000002E-2</v>
      </c>
      <c r="T174" s="946">
        <f>'[1]2,DG-capdoi'!N172</f>
        <v>0</v>
      </c>
      <c r="U174" s="946">
        <f t="shared" si="31"/>
        <v>0</v>
      </c>
      <c r="V174" s="1036"/>
      <c r="W174" s="1036"/>
      <c r="X174" s="1036"/>
      <c r="Y174" s="1036"/>
      <c r="Z174" s="1036"/>
      <c r="AA174" s="1036"/>
      <c r="AB174" s="1036"/>
      <c r="AC174" s="1036"/>
      <c r="AD174" s="1036"/>
      <c r="AE174" s="1036"/>
      <c r="AF174" s="1036"/>
      <c r="AG174" s="1036"/>
      <c r="AH174" s="1036"/>
      <c r="AI174" s="1036"/>
      <c r="AJ174" s="1036"/>
      <c r="AK174" s="1036"/>
    </row>
    <row r="175" spans="1:37" s="1037" customFormat="1" ht="24" customHeight="1">
      <c r="A175" s="832">
        <v>13</v>
      </c>
      <c r="B175" s="827" t="s">
        <v>221</v>
      </c>
      <c r="C175" s="832"/>
      <c r="D175" s="832"/>
      <c r="E175" s="903">
        <f>NC_DKDD!H658</f>
        <v>0</v>
      </c>
      <c r="F175" s="903"/>
      <c r="G175" s="391"/>
      <c r="H175" s="903"/>
      <c r="I175" s="903"/>
      <c r="J175" s="903"/>
      <c r="K175" s="903"/>
      <c r="L175" s="925"/>
      <c r="M175" s="925"/>
      <c r="N175" s="925"/>
      <c r="O175" s="925"/>
      <c r="P175" s="1044">
        <f t="shared" si="28"/>
        <v>0</v>
      </c>
      <c r="Q175" s="839">
        <f t="shared" si="29"/>
        <v>0</v>
      </c>
      <c r="R175" s="839">
        <f t="shared" si="30"/>
        <v>0</v>
      </c>
      <c r="S175" s="1046">
        <f>NC_DKDD!G658</f>
        <v>0</v>
      </c>
      <c r="T175" s="946">
        <f>'[1]2,DG-capdoi'!N173</f>
        <v>0</v>
      </c>
      <c r="U175" s="946">
        <f t="shared" si="31"/>
        <v>0</v>
      </c>
      <c r="V175" s="1036"/>
      <c r="W175" s="1036"/>
      <c r="X175" s="1036"/>
      <c r="Y175" s="1036"/>
      <c r="Z175" s="1036"/>
      <c r="AA175" s="1036"/>
      <c r="AB175" s="1036"/>
      <c r="AC175" s="1036"/>
      <c r="AD175" s="1036"/>
      <c r="AE175" s="1036"/>
      <c r="AF175" s="1036"/>
      <c r="AG175" s="1036"/>
      <c r="AH175" s="1036"/>
      <c r="AI175" s="1036"/>
      <c r="AJ175" s="1036"/>
      <c r="AK175" s="1036"/>
    </row>
    <row r="176" spans="1:37" s="1037" customFormat="1" ht="28.5">
      <c r="A176" s="832" t="s">
        <v>237</v>
      </c>
      <c r="B176" s="827" t="s">
        <v>931</v>
      </c>
      <c r="C176" s="832"/>
      <c r="D176" s="832"/>
      <c r="E176" s="903">
        <f>NC_DKDD!H659</f>
        <v>0</v>
      </c>
      <c r="F176" s="903"/>
      <c r="G176" s="391"/>
      <c r="H176" s="903"/>
      <c r="I176" s="903"/>
      <c r="J176" s="903"/>
      <c r="K176" s="903"/>
      <c r="L176" s="925"/>
      <c r="M176" s="925"/>
      <c r="N176" s="925"/>
      <c r="O176" s="925"/>
      <c r="P176" s="1044">
        <f t="shared" si="28"/>
        <v>0</v>
      </c>
      <c r="Q176" s="839">
        <f t="shared" si="29"/>
        <v>0</v>
      </c>
      <c r="R176" s="839">
        <f t="shared" si="30"/>
        <v>0</v>
      </c>
      <c r="S176" s="1046">
        <f>NC_DKDD!G659</f>
        <v>0</v>
      </c>
      <c r="T176" s="946">
        <f>'[1]2,DG-capdoi'!N174</f>
        <v>0</v>
      </c>
      <c r="U176" s="946">
        <f t="shared" si="31"/>
        <v>0</v>
      </c>
      <c r="V176" s="1036"/>
      <c r="W176" s="1036"/>
      <c r="X176" s="1036"/>
      <c r="Y176" s="1036"/>
      <c r="Z176" s="1036"/>
      <c r="AA176" s="1036"/>
      <c r="AB176" s="1036"/>
      <c r="AC176" s="1036"/>
      <c r="AD176" s="1036"/>
      <c r="AE176" s="1036"/>
      <c r="AF176" s="1036"/>
      <c r="AG176" s="1036"/>
      <c r="AH176" s="1036"/>
      <c r="AI176" s="1036"/>
      <c r="AJ176" s="1036"/>
      <c r="AK176" s="1036"/>
    </row>
    <row r="177" spans="1:37" s="1037" customFormat="1" ht="21" customHeight="1">
      <c r="A177" s="832" t="s">
        <v>238</v>
      </c>
      <c r="B177" s="827" t="s">
        <v>933</v>
      </c>
      <c r="C177" s="832" t="s">
        <v>525</v>
      </c>
      <c r="D177" s="901" t="s">
        <v>880</v>
      </c>
      <c r="E177" s="903" t="e">
        <f>NC_DKDD!H660</f>
        <v>#VALUE!</v>
      </c>
      <c r="F177" s="903"/>
      <c r="G177" s="391"/>
      <c r="H177" s="903"/>
      <c r="I177" s="903"/>
      <c r="J177" s="903"/>
      <c r="K177" s="903"/>
      <c r="L177" s="925"/>
      <c r="M177" s="925"/>
      <c r="N177" s="925"/>
      <c r="O177" s="925"/>
      <c r="P177" s="1044">
        <f t="shared" si="28"/>
        <v>98.369230769230768</v>
      </c>
      <c r="Q177" s="839">
        <f t="shared" si="29"/>
        <v>85.538461538461533</v>
      </c>
      <c r="R177" s="839">
        <f t="shared" si="30"/>
        <v>12.830769230769231</v>
      </c>
      <c r="S177" s="1046">
        <f>NC_DKDD!G660</f>
        <v>1.6E-2</v>
      </c>
      <c r="T177" s="946">
        <f>'[1]2,DG-capdoi'!N175</f>
        <v>0</v>
      </c>
      <c r="U177" s="946">
        <f t="shared" si="31"/>
        <v>0</v>
      </c>
      <c r="V177" s="1036"/>
      <c r="W177" s="1036"/>
      <c r="X177" s="1036"/>
      <c r="Y177" s="1036"/>
      <c r="Z177" s="1036"/>
      <c r="AA177" s="1036"/>
      <c r="AB177" s="1036"/>
      <c r="AC177" s="1036"/>
      <c r="AD177" s="1036"/>
      <c r="AE177" s="1036"/>
      <c r="AF177" s="1036"/>
      <c r="AG177" s="1036"/>
      <c r="AH177" s="1036"/>
      <c r="AI177" s="1036"/>
      <c r="AJ177" s="1036"/>
      <c r="AK177" s="1036"/>
    </row>
    <row r="178" spans="1:37" s="1037" customFormat="1" ht="21" customHeight="1">
      <c r="A178" s="832" t="s">
        <v>239</v>
      </c>
      <c r="B178" s="827" t="s">
        <v>937</v>
      </c>
      <c r="C178" s="832" t="s">
        <v>525</v>
      </c>
      <c r="D178" s="901" t="s">
        <v>880</v>
      </c>
      <c r="E178" s="903" t="e">
        <f>NC_DKDD!H661</f>
        <v>#VALUE!</v>
      </c>
      <c r="F178" s="903"/>
      <c r="G178" s="391"/>
      <c r="H178" s="903"/>
      <c r="I178" s="903"/>
      <c r="J178" s="903"/>
      <c r="K178" s="903"/>
      <c r="L178" s="925"/>
      <c r="M178" s="925"/>
      <c r="N178" s="925"/>
      <c r="O178" s="925"/>
      <c r="P178" s="1044">
        <f t="shared" si="28"/>
        <v>49.184615384615384</v>
      </c>
      <c r="Q178" s="839">
        <f t="shared" si="29"/>
        <v>42.769230769230766</v>
      </c>
      <c r="R178" s="839">
        <f t="shared" si="30"/>
        <v>6.4153846153846157</v>
      </c>
      <c r="S178" s="1046">
        <f>NC_DKDD!G661</f>
        <v>8.0000000000000002E-3</v>
      </c>
      <c r="T178" s="946">
        <f>'[1]2,DG-capdoi'!N176</f>
        <v>0</v>
      </c>
      <c r="U178" s="946">
        <f t="shared" si="31"/>
        <v>0</v>
      </c>
      <c r="V178" s="1036"/>
      <c r="W178" s="1036"/>
      <c r="X178" s="1036"/>
      <c r="Y178" s="1036"/>
      <c r="Z178" s="1036"/>
      <c r="AA178" s="1036"/>
      <c r="AB178" s="1036"/>
      <c r="AC178" s="1036"/>
      <c r="AD178" s="1036"/>
      <c r="AE178" s="1036"/>
      <c r="AF178" s="1036"/>
      <c r="AG178" s="1036"/>
      <c r="AH178" s="1036"/>
      <c r="AI178" s="1036"/>
      <c r="AJ178" s="1036"/>
      <c r="AK178" s="1036"/>
    </row>
    <row r="179" spans="1:37" s="1037" customFormat="1" ht="28.5">
      <c r="A179" s="832" t="s">
        <v>240</v>
      </c>
      <c r="B179" s="827" t="s">
        <v>48</v>
      </c>
      <c r="C179" s="832" t="s">
        <v>525</v>
      </c>
      <c r="D179" s="901" t="s">
        <v>880</v>
      </c>
      <c r="E179" s="903" t="e">
        <f>NC_DKDD!H662</f>
        <v>#VALUE!</v>
      </c>
      <c r="F179" s="903"/>
      <c r="G179" s="391"/>
      <c r="H179" s="903"/>
      <c r="I179" s="903"/>
      <c r="J179" s="903"/>
      <c r="K179" s="903"/>
      <c r="L179" s="925"/>
      <c r="M179" s="925"/>
      <c r="N179" s="925"/>
      <c r="O179" s="925"/>
      <c r="P179" s="1044">
        <f t="shared" si="28"/>
        <v>24.592307692307692</v>
      </c>
      <c r="Q179" s="839">
        <f t="shared" si="29"/>
        <v>21.384615384615383</v>
      </c>
      <c r="R179" s="839">
        <f t="shared" si="30"/>
        <v>3.2076923076923078</v>
      </c>
      <c r="S179" s="1046">
        <f>NC_DKDD!G662</f>
        <v>4.0000000000000001E-3</v>
      </c>
      <c r="T179" s="946">
        <f>'[1]2,DG-capdoi'!N177</f>
        <v>0</v>
      </c>
      <c r="U179" s="946">
        <f t="shared" si="31"/>
        <v>0</v>
      </c>
      <c r="V179" s="1036"/>
      <c r="W179" s="1036"/>
      <c r="X179" s="1036"/>
      <c r="Y179" s="1036"/>
      <c r="Z179" s="1036"/>
      <c r="AA179" s="1036"/>
      <c r="AB179" s="1036"/>
      <c r="AC179" s="1036"/>
      <c r="AD179" s="1036"/>
      <c r="AE179" s="1036"/>
      <c r="AF179" s="1036"/>
      <c r="AG179" s="1036"/>
      <c r="AH179" s="1036"/>
      <c r="AI179" s="1036"/>
      <c r="AJ179" s="1036"/>
      <c r="AK179" s="1036"/>
    </row>
    <row r="180" spans="1:37" s="1037" customFormat="1" ht="26.25" customHeight="1">
      <c r="A180" s="832" t="s">
        <v>241</v>
      </c>
      <c r="B180" s="827" t="s">
        <v>50</v>
      </c>
      <c r="C180" s="832" t="s">
        <v>523</v>
      </c>
      <c r="D180" s="901" t="s">
        <v>880</v>
      </c>
      <c r="E180" s="903" t="e">
        <f>NC_DKDD!H663</f>
        <v>#VALUE!</v>
      </c>
      <c r="F180" s="903"/>
      <c r="G180" s="391"/>
      <c r="H180" s="903"/>
      <c r="I180" s="903"/>
      <c r="J180" s="903"/>
      <c r="K180" s="903"/>
      <c r="L180" s="925"/>
      <c r="M180" s="925"/>
      <c r="N180" s="925"/>
      <c r="O180" s="925"/>
      <c r="P180" s="1044">
        <f t="shared" si="28"/>
        <v>61.480769230769226</v>
      </c>
      <c r="Q180" s="839">
        <f t="shared" si="29"/>
        <v>53.46153846153846</v>
      </c>
      <c r="R180" s="839">
        <f t="shared" si="30"/>
        <v>8.0192307692307701</v>
      </c>
      <c r="S180" s="1046">
        <f>NC_DKDD!G663</f>
        <v>0.01</v>
      </c>
      <c r="T180" s="946">
        <f>'[1]2,DG-capdoi'!N178</f>
        <v>0</v>
      </c>
      <c r="U180" s="946">
        <f t="shared" si="31"/>
        <v>0</v>
      </c>
      <c r="V180" s="1036"/>
      <c r="W180" s="1036"/>
      <c r="X180" s="1036"/>
      <c r="Y180" s="1036"/>
      <c r="Z180" s="1036"/>
      <c r="AA180" s="1036"/>
      <c r="AB180" s="1036"/>
      <c r="AC180" s="1036"/>
      <c r="AD180" s="1036"/>
      <c r="AE180" s="1036"/>
      <c r="AF180" s="1036"/>
      <c r="AG180" s="1036"/>
      <c r="AH180" s="1036"/>
      <c r="AI180" s="1036"/>
      <c r="AJ180" s="1036"/>
      <c r="AK180" s="1036"/>
    </row>
    <row r="181" spans="1:37" s="1037" customFormat="1" ht="38.25" customHeight="1">
      <c r="A181" s="832">
        <v>14</v>
      </c>
      <c r="B181" s="827" t="s">
        <v>273</v>
      </c>
      <c r="C181" s="832" t="s">
        <v>281</v>
      </c>
      <c r="D181" s="901" t="s">
        <v>880</v>
      </c>
      <c r="E181" s="903" t="e">
        <f>NC_DKDD!H664</f>
        <v>#VALUE!</v>
      </c>
      <c r="F181" s="903"/>
      <c r="G181" s="391"/>
      <c r="H181" s="903"/>
      <c r="I181" s="903"/>
      <c r="J181" s="903"/>
      <c r="K181" s="903"/>
      <c r="L181" s="925"/>
      <c r="M181" s="925"/>
      <c r="N181" s="925"/>
      <c r="O181" s="925"/>
      <c r="P181" s="1044">
        <f t="shared" si="28"/>
        <v>122.96153846153845</v>
      </c>
      <c r="Q181" s="839">
        <f t="shared" si="29"/>
        <v>106.92307692307692</v>
      </c>
      <c r="R181" s="839">
        <f t="shared" si="30"/>
        <v>16.03846153846154</v>
      </c>
      <c r="S181" s="1046">
        <f>NC_DKDD!G664</f>
        <v>0.02</v>
      </c>
      <c r="T181" s="946">
        <f>'[1]2,DG-capdoi'!N179</f>
        <v>0</v>
      </c>
      <c r="U181" s="946">
        <f t="shared" si="31"/>
        <v>0</v>
      </c>
      <c r="V181" s="1036"/>
      <c r="W181" s="1036"/>
      <c r="X181" s="1036"/>
      <c r="Y181" s="1036"/>
      <c r="Z181" s="1036"/>
      <c r="AA181" s="1036"/>
      <c r="AB181" s="1036"/>
      <c r="AC181" s="1036"/>
      <c r="AD181" s="1036"/>
      <c r="AE181" s="1036"/>
      <c r="AF181" s="1036"/>
      <c r="AG181" s="1036"/>
      <c r="AH181" s="1036"/>
      <c r="AI181" s="1036"/>
      <c r="AJ181" s="1036"/>
      <c r="AK181" s="1036"/>
    </row>
    <row r="182" spans="1:37" s="1037" customFormat="1" ht="27" customHeight="1">
      <c r="A182" s="832">
        <v>15</v>
      </c>
      <c r="B182" s="827" t="s">
        <v>274</v>
      </c>
      <c r="C182" s="832" t="s">
        <v>281</v>
      </c>
      <c r="D182" s="901" t="s">
        <v>880</v>
      </c>
      <c r="E182" s="903" t="e">
        <f>NC_DKDD!H665/5000</f>
        <v>#VALUE!</v>
      </c>
      <c r="F182" s="903"/>
      <c r="G182" s="391"/>
      <c r="H182" s="903"/>
      <c r="I182" s="903"/>
      <c r="J182" s="903"/>
      <c r="K182" s="903"/>
      <c r="L182" s="925"/>
      <c r="M182" s="925"/>
      <c r="N182" s="925"/>
      <c r="O182" s="925"/>
      <c r="P182" s="1044">
        <f t="shared" si="28"/>
        <v>9.8369230769230764</v>
      </c>
      <c r="Q182" s="839">
        <f t="shared" si="29"/>
        <v>8.5538461538461537</v>
      </c>
      <c r="R182" s="839">
        <f t="shared" si="30"/>
        <v>1.283076923076923</v>
      </c>
      <c r="S182" s="1046">
        <f>NC_DKDD!G665/5000</f>
        <v>1.6000000000000001E-3</v>
      </c>
      <c r="T182" s="946">
        <f>'[1]2,DG-capdoi'!N180</f>
        <v>0</v>
      </c>
      <c r="U182" s="946">
        <f t="shared" si="31"/>
        <v>0</v>
      </c>
      <c r="V182" s="1036"/>
      <c r="W182" s="1036"/>
      <c r="X182" s="1036"/>
      <c r="Y182" s="1036"/>
      <c r="Z182" s="1036"/>
      <c r="AA182" s="1036"/>
      <c r="AB182" s="1036"/>
      <c r="AC182" s="1036"/>
      <c r="AD182" s="1036"/>
      <c r="AE182" s="1036"/>
      <c r="AF182" s="1036"/>
      <c r="AG182" s="1036"/>
      <c r="AH182" s="1036"/>
      <c r="AI182" s="1036"/>
      <c r="AJ182" s="1036"/>
      <c r="AK182" s="1036"/>
    </row>
    <row r="183" spans="1:37" s="1037" customFormat="1">
      <c r="A183" s="869" t="s">
        <v>913</v>
      </c>
      <c r="B183" s="868" t="s">
        <v>507</v>
      </c>
      <c r="C183" s="832"/>
      <c r="D183" s="832"/>
      <c r="E183" s="1049" t="e">
        <f>SUM(E185:E190)</f>
        <v>#VALUE!</v>
      </c>
      <c r="F183" s="903"/>
      <c r="G183" s="391"/>
      <c r="H183" s="1039">
        <f>'Dcu-DKDD'!L216/5000</f>
        <v>0.15431081907051281</v>
      </c>
      <c r="I183" s="1039">
        <f>'VL-DKDD'!K223/5000</f>
        <v>5.5441584000000006</v>
      </c>
      <c r="J183" s="1039">
        <f>'TB-DKDD'!M123/5000</f>
        <v>0.30831600000000003</v>
      </c>
      <c r="K183" s="1039">
        <f>'NL-DKDD'!J84/5000</f>
        <v>4.9106400000000001E-2</v>
      </c>
      <c r="L183" s="893" t="e">
        <f>SUM(E183:K183)</f>
        <v>#VALUE!</v>
      </c>
      <c r="M183" s="893" t="e">
        <f>L183*'He so chung'!$D$17/100</f>
        <v>#VALUE!</v>
      </c>
      <c r="N183" s="893" t="e">
        <f>L183+M183</f>
        <v>#VALUE!</v>
      </c>
      <c r="O183" s="925"/>
      <c r="P183" s="1050">
        <f>SUM(P185:P190)</f>
        <v>596.36346153846148</v>
      </c>
      <c r="Q183" s="839">
        <f t="shared" si="29"/>
        <v>0</v>
      </c>
      <c r="R183" s="839">
        <f t="shared" si="30"/>
        <v>0</v>
      </c>
      <c r="S183" s="1045"/>
      <c r="T183" s="946">
        <f>'[1]2,DG-capdoi'!N181</f>
        <v>24771.255197477316</v>
      </c>
      <c r="U183" s="946" t="e">
        <f t="shared" si="31"/>
        <v>#VALUE!</v>
      </c>
      <c r="V183" s="1036"/>
      <c r="W183" s="1036"/>
      <c r="X183" s="1036"/>
      <c r="Y183" s="1036"/>
      <c r="Z183" s="1036"/>
      <c r="AA183" s="1036"/>
      <c r="AB183" s="1036"/>
      <c r="AC183" s="1036"/>
      <c r="AD183" s="1036"/>
      <c r="AE183" s="1036"/>
      <c r="AF183" s="1036"/>
      <c r="AG183" s="1036"/>
      <c r="AH183" s="1036"/>
      <c r="AI183" s="1036"/>
      <c r="AJ183" s="1036"/>
      <c r="AK183" s="1036"/>
    </row>
    <row r="184" spans="1:37" s="1037" customFormat="1">
      <c r="A184" s="832">
        <v>1</v>
      </c>
      <c r="B184" s="827" t="s">
        <v>279</v>
      </c>
      <c r="C184" s="832"/>
      <c r="D184" s="832"/>
      <c r="E184" s="903"/>
      <c r="F184" s="903"/>
      <c r="G184" s="391"/>
      <c r="H184" s="903"/>
      <c r="I184" s="903"/>
      <c r="J184" s="903"/>
      <c r="K184" s="903"/>
      <c r="L184" s="925"/>
      <c r="M184" s="925"/>
      <c r="N184" s="925"/>
      <c r="O184" s="925"/>
      <c r="P184" s="1044">
        <f t="shared" si="28"/>
        <v>0</v>
      </c>
      <c r="Q184" s="839">
        <f t="shared" si="29"/>
        <v>0</v>
      </c>
      <c r="R184" s="839">
        <f t="shared" si="30"/>
        <v>0</v>
      </c>
      <c r="S184" s="1045"/>
      <c r="T184" s="946">
        <f>'[1]2,DG-capdoi'!N182</f>
        <v>0</v>
      </c>
      <c r="U184" s="946">
        <f t="shared" si="31"/>
        <v>0</v>
      </c>
      <c r="V184" s="1036"/>
      <c r="W184" s="1036"/>
      <c r="X184" s="1036"/>
      <c r="Y184" s="1036"/>
      <c r="Z184" s="1036"/>
      <c r="AA184" s="1036"/>
      <c r="AB184" s="1036"/>
      <c r="AC184" s="1036"/>
      <c r="AD184" s="1036"/>
      <c r="AE184" s="1036"/>
      <c r="AF184" s="1036"/>
      <c r="AG184" s="1036"/>
      <c r="AH184" s="1036"/>
      <c r="AI184" s="1036"/>
      <c r="AJ184" s="1036"/>
      <c r="AK184" s="1036"/>
    </row>
    <row r="185" spans="1:37" s="1037" customFormat="1" ht="30.75" customHeight="1">
      <c r="A185" s="832" t="s">
        <v>891</v>
      </c>
      <c r="B185" s="827" t="s">
        <v>1058</v>
      </c>
      <c r="C185" s="832" t="s">
        <v>281</v>
      </c>
      <c r="D185" s="901" t="s">
        <v>880</v>
      </c>
      <c r="E185" s="903" t="e">
        <f>NC_DKDD!H668/5000</f>
        <v>#VALUE!</v>
      </c>
      <c r="F185" s="903"/>
      <c r="G185" s="391"/>
      <c r="H185" s="903"/>
      <c r="I185" s="903"/>
      <c r="J185" s="903"/>
      <c r="K185" s="903"/>
      <c r="L185" s="925"/>
      <c r="M185" s="925"/>
      <c r="N185" s="925"/>
      <c r="O185" s="925"/>
      <c r="P185" s="1044">
        <f t="shared" si="28"/>
        <v>368.88461538461536</v>
      </c>
      <c r="Q185" s="839">
        <f t="shared" si="29"/>
        <v>320.76923076923072</v>
      </c>
      <c r="R185" s="839">
        <f t="shared" si="30"/>
        <v>48.115384615384613</v>
      </c>
      <c r="S185" s="1046">
        <f>NC_DKDD!G668/5000</f>
        <v>0.06</v>
      </c>
      <c r="T185" s="946">
        <f>'[1]2,DG-capdoi'!N183</f>
        <v>0</v>
      </c>
      <c r="U185" s="946">
        <f t="shared" si="31"/>
        <v>0</v>
      </c>
      <c r="V185" s="1036"/>
      <c r="W185" s="1036"/>
      <c r="X185" s="1036"/>
      <c r="Y185" s="1036"/>
      <c r="Z185" s="1036"/>
      <c r="AA185" s="1036"/>
      <c r="AB185" s="1036"/>
      <c r="AC185" s="1036"/>
      <c r="AD185" s="1036"/>
      <c r="AE185" s="1036"/>
      <c r="AF185" s="1036"/>
      <c r="AG185" s="1036"/>
      <c r="AH185" s="1036"/>
      <c r="AI185" s="1036"/>
      <c r="AJ185" s="1036"/>
      <c r="AK185" s="1036"/>
    </row>
    <row r="186" spans="1:37" s="1037" customFormat="1">
      <c r="A186" s="832" t="s">
        <v>899</v>
      </c>
      <c r="B186" s="827" t="s">
        <v>491</v>
      </c>
      <c r="C186" s="832" t="s">
        <v>523</v>
      </c>
      <c r="D186" s="901" t="s">
        <v>880</v>
      </c>
      <c r="E186" s="903" t="e">
        <f>NC_DKDD!H669</f>
        <v>#VALUE!</v>
      </c>
      <c r="F186" s="903"/>
      <c r="G186" s="391"/>
      <c r="H186" s="903"/>
      <c r="I186" s="903"/>
      <c r="J186" s="903"/>
      <c r="K186" s="903"/>
      <c r="L186" s="925"/>
      <c r="M186" s="925"/>
      <c r="N186" s="925"/>
      <c r="O186" s="925"/>
      <c r="P186" s="1044">
        <f t="shared" si="28"/>
        <v>61.480769230769226</v>
      </c>
      <c r="Q186" s="839">
        <f t="shared" si="29"/>
        <v>53.46153846153846</v>
      </c>
      <c r="R186" s="839">
        <f t="shared" si="30"/>
        <v>8.0192307692307701</v>
      </c>
      <c r="S186" s="1046">
        <f>NC_DKDD!G669</f>
        <v>0.01</v>
      </c>
      <c r="T186" s="946">
        <f>'[1]2,DG-capdoi'!N184</f>
        <v>0</v>
      </c>
      <c r="U186" s="946">
        <f t="shared" si="31"/>
        <v>0</v>
      </c>
      <c r="V186" s="1036"/>
      <c r="W186" s="1036"/>
      <c r="X186" s="1036"/>
      <c r="Y186" s="1036"/>
      <c r="Z186" s="1036"/>
      <c r="AA186" s="1036"/>
      <c r="AB186" s="1036"/>
      <c r="AC186" s="1036"/>
      <c r="AD186" s="1036"/>
      <c r="AE186" s="1036"/>
      <c r="AF186" s="1036"/>
      <c r="AG186" s="1036"/>
      <c r="AH186" s="1036"/>
      <c r="AI186" s="1036"/>
      <c r="AJ186" s="1036"/>
      <c r="AK186" s="1036"/>
    </row>
    <row r="187" spans="1:37" s="1037" customFormat="1" ht="31.5" customHeight="1">
      <c r="A187" s="832">
        <v>2</v>
      </c>
      <c r="B187" s="827" t="s">
        <v>277</v>
      </c>
      <c r="C187" s="832"/>
      <c r="D187" s="832"/>
      <c r="E187" s="903">
        <f>NC_DKDD!H670</f>
        <v>0</v>
      </c>
      <c r="F187" s="903"/>
      <c r="G187" s="391"/>
      <c r="H187" s="903"/>
      <c r="I187" s="903"/>
      <c r="J187" s="903"/>
      <c r="K187" s="903"/>
      <c r="L187" s="925"/>
      <c r="M187" s="925"/>
      <c r="N187" s="925"/>
      <c r="O187" s="925"/>
      <c r="P187" s="1044">
        <f t="shared" si="28"/>
        <v>0</v>
      </c>
      <c r="Q187" s="839">
        <f t="shared" si="29"/>
        <v>0</v>
      </c>
      <c r="R187" s="839">
        <f t="shared" si="30"/>
        <v>0</v>
      </c>
      <c r="S187" s="1046">
        <f>NC_DKDD!G670</f>
        <v>0</v>
      </c>
      <c r="T187" s="946">
        <f>'[1]2,DG-capdoi'!N185</f>
        <v>0</v>
      </c>
      <c r="U187" s="946">
        <f t="shared" si="31"/>
        <v>0</v>
      </c>
      <c r="V187" s="1036"/>
      <c r="W187" s="1036"/>
      <c r="X187" s="1036"/>
      <c r="Y187" s="1036"/>
      <c r="Z187" s="1036"/>
      <c r="AA187" s="1036"/>
      <c r="AB187" s="1036"/>
      <c r="AC187" s="1036"/>
      <c r="AD187" s="1036"/>
      <c r="AE187" s="1036"/>
      <c r="AF187" s="1036"/>
      <c r="AG187" s="1036"/>
      <c r="AH187" s="1036"/>
      <c r="AI187" s="1036"/>
      <c r="AJ187" s="1036"/>
      <c r="AK187" s="1036"/>
    </row>
    <row r="188" spans="1:37" s="1037" customFormat="1">
      <c r="A188" s="832" t="s">
        <v>900</v>
      </c>
      <c r="B188" s="827" t="s">
        <v>493</v>
      </c>
      <c r="C188" s="832" t="s">
        <v>55</v>
      </c>
      <c r="D188" s="901" t="s">
        <v>880</v>
      </c>
      <c r="E188" s="903" t="e">
        <f>NC_DKDD!H671</f>
        <v>#VALUE!</v>
      </c>
      <c r="F188" s="903"/>
      <c r="G188" s="391"/>
      <c r="H188" s="903"/>
      <c r="I188" s="903"/>
      <c r="J188" s="903"/>
      <c r="K188" s="903"/>
      <c r="L188" s="925"/>
      <c r="M188" s="925"/>
      <c r="N188" s="925"/>
      <c r="O188" s="925"/>
      <c r="P188" s="1044">
        <f t="shared" si="28"/>
        <v>153.70192307692309</v>
      </c>
      <c r="Q188" s="839">
        <f t="shared" si="29"/>
        <v>133.65384615384616</v>
      </c>
      <c r="R188" s="839">
        <f t="shared" si="30"/>
        <v>20.048076923076923</v>
      </c>
      <c r="S188" s="1046">
        <f>NC_DKDD!G671</f>
        <v>2.5000000000000001E-2</v>
      </c>
      <c r="T188" s="946">
        <f>'[1]2,DG-capdoi'!N186</f>
        <v>0</v>
      </c>
      <c r="U188" s="946">
        <f t="shared" si="31"/>
        <v>0</v>
      </c>
      <c r="V188" s="1036"/>
      <c r="W188" s="1036"/>
      <c r="X188" s="1036"/>
      <c r="Y188" s="1036"/>
      <c r="Z188" s="1036"/>
      <c r="AA188" s="1036"/>
      <c r="AB188" s="1036"/>
      <c r="AC188" s="1036"/>
      <c r="AD188" s="1036"/>
      <c r="AE188" s="1036"/>
      <c r="AF188" s="1036"/>
      <c r="AG188" s="1036"/>
      <c r="AH188" s="1036"/>
      <c r="AI188" s="1036"/>
      <c r="AJ188" s="1036"/>
      <c r="AK188" s="1036"/>
    </row>
    <row r="189" spans="1:37" s="1037" customFormat="1">
      <c r="A189" s="832" t="s">
        <v>901</v>
      </c>
      <c r="B189" s="827" t="s">
        <v>244</v>
      </c>
      <c r="C189" s="832" t="s">
        <v>281</v>
      </c>
      <c r="D189" s="901" t="s">
        <v>880</v>
      </c>
      <c r="E189" s="903" t="e">
        <f>NC_DKDD!H672/5000</f>
        <v>#VALUE!</v>
      </c>
      <c r="F189" s="903"/>
      <c r="G189" s="391"/>
      <c r="H189" s="903"/>
      <c r="I189" s="903"/>
      <c r="J189" s="903"/>
      <c r="K189" s="903"/>
      <c r="L189" s="925"/>
      <c r="M189" s="925"/>
      <c r="N189" s="925"/>
      <c r="O189" s="925"/>
      <c r="P189" s="1044">
        <f t="shared" si="28"/>
        <v>2.4592307692307691</v>
      </c>
      <c r="Q189" s="839">
        <f t="shared" si="29"/>
        <v>2.1384615384615384</v>
      </c>
      <c r="R189" s="839">
        <f t="shared" si="30"/>
        <v>0.32076923076923075</v>
      </c>
      <c r="S189" s="1046">
        <f>NC_DKDD!G672/5000</f>
        <v>4.0000000000000002E-4</v>
      </c>
      <c r="T189" s="946">
        <f>'[1]2,DG-capdoi'!N187</f>
        <v>0</v>
      </c>
      <c r="U189" s="946">
        <f t="shared" si="31"/>
        <v>0</v>
      </c>
      <c r="V189" s="1036"/>
      <c r="W189" s="1036"/>
      <c r="X189" s="1036"/>
      <c r="Y189" s="1036"/>
      <c r="Z189" s="1036"/>
      <c r="AA189" s="1036"/>
      <c r="AB189" s="1036"/>
      <c r="AC189" s="1036"/>
      <c r="AD189" s="1036"/>
      <c r="AE189" s="1036"/>
      <c r="AF189" s="1036"/>
      <c r="AG189" s="1036"/>
      <c r="AH189" s="1036"/>
      <c r="AI189" s="1036"/>
      <c r="AJ189" s="1036"/>
      <c r="AK189" s="1036"/>
    </row>
    <row r="190" spans="1:37" s="1037" customFormat="1" ht="42" customHeight="1">
      <c r="A190" s="1051">
        <v>3</v>
      </c>
      <c r="B190" s="1052" t="s">
        <v>278</v>
      </c>
      <c r="C190" s="1051" t="s">
        <v>281</v>
      </c>
      <c r="D190" s="1053" t="s">
        <v>880</v>
      </c>
      <c r="E190" s="1054" t="e">
        <f>NC_DKDD!H673/5000</f>
        <v>#VALUE!</v>
      </c>
      <c r="F190" s="1054"/>
      <c r="G190" s="1055"/>
      <c r="H190" s="1054"/>
      <c r="I190" s="1054"/>
      <c r="J190" s="1054"/>
      <c r="K190" s="1054"/>
      <c r="L190" s="1056"/>
      <c r="M190" s="1056"/>
      <c r="N190" s="1056"/>
      <c r="O190" s="1056"/>
      <c r="P190" s="1057">
        <f t="shared" si="28"/>
        <v>9.8369230769230764</v>
      </c>
      <c r="Q190" s="839">
        <f t="shared" si="29"/>
        <v>8.5538461538461537</v>
      </c>
      <c r="R190" s="839">
        <f t="shared" si="30"/>
        <v>1.283076923076923</v>
      </c>
      <c r="S190" s="1046">
        <f>NC_DKDD!G673/5000</f>
        <v>1.6000000000000001E-3</v>
      </c>
      <c r="T190" s="946">
        <f>'[1]2,DG-capdoi'!N188</f>
        <v>0</v>
      </c>
      <c r="U190" s="946">
        <f t="shared" si="31"/>
        <v>0</v>
      </c>
      <c r="V190" s="1036"/>
      <c r="W190" s="1036"/>
      <c r="X190" s="1036"/>
      <c r="Y190" s="1036"/>
      <c r="Z190" s="1036"/>
      <c r="AA190" s="1036"/>
      <c r="AB190" s="1036"/>
      <c r="AC190" s="1036"/>
      <c r="AD190" s="1036"/>
      <c r="AE190" s="1036"/>
      <c r="AF190" s="1036"/>
      <c r="AG190" s="1036"/>
      <c r="AH190" s="1036"/>
      <c r="AI190" s="1036"/>
      <c r="AJ190" s="1036"/>
      <c r="AK190" s="1036"/>
    </row>
    <row r="191" spans="1:37" s="917" customFormat="1" ht="15.75" customHeight="1">
      <c r="A191" s="353"/>
      <c r="B191" s="333"/>
      <c r="C191" s="354"/>
      <c r="D191" s="364"/>
      <c r="E191" s="365"/>
      <c r="F191" s="365"/>
      <c r="G191" s="1058"/>
      <c r="H191" s="365"/>
      <c r="I191" s="365"/>
      <c r="J191" s="1059"/>
      <c r="K191" s="1059"/>
      <c r="L191" s="1059"/>
      <c r="M191" s="1059"/>
      <c r="N191" s="1059"/>
      <c r="O191" s="1059"/>
      <c r="P191" s="365"/>
      <c r="Q191" s="367"/>
      <c r="R191" s="367"/>
      <c r="S191" s="1017"/>
      <c r="T191" s="946">
        <f>'[1]2,DG-capdoi'!N189</f>
        <v>0</v>
      </c>
      <c r="U191" s="946">
        <f t="shared" si="31"/>
        <v>0</v>
      </c>
      <c r="V191" s="367"/>
      <c r="W191" s="367"/>
      <c r="X191" s="367"/>
      <c r="Y191" s="367"/>
      <c r="Z191" s="367"/>
      <c r="AA191" s="367"/>
      <c r="AB191" s="367"/>
      <c r="AC191" s="367"/>
      <c r="AD191" s="367"/>
      <c r="AE191" s="367"/>
      <c r="AF191" s="367"/>
      <c r="AG191" s="367"/>
      <c r="AH191" s="367"/>
      <c r="AI191" s="367"/>
      <c r="AJ191" s="367"/>
      <c r="AK191" s="367"/>
    </row>
    <row r="192" spans="1:37" s="917" customFormat="1" ht="21" customHeight="1">
      <c r="A192" s="353"/>
      <c r="B192" s="366" t="s">
        <v>282</v>
      </c>
      <c r="C192" s="354"/>
      <c r="D192" s="353"/>
      <c r="E192" s="365"/>
      <c r="F192" s="365"/>
      <c r="G192" s="1058"/>
      <c r="H192" s="365"/>
      <c r="I192" s="365"/>
      <c r="J192" s="1059"/>
      <c r="K192" s="1059"/>
      <c r="L192" s="1059"/>
      <c r="M192" s="1060"/>
      <c r="N192" s="1060"/>
      <c r="O192" s="1060"/>
      <c r="P192" s="365"/>
      <c r="Q192" s="367"/>
      <c r="R192" s="367"/>
      <c r="S192" s="1017"/>
      <c r="T192" s="946">
        <f>'[1]2,DG-capdoi'!N190</f>
        <v>0</v>
      </c>
      <c r="U192" s="946">
        <f t="shared" si="31"/>
        <v>0</v>
      </c>
      <c r="V192" s="367"/>
      <c r="W192" s="367"/>
      <c r="X192" s="367"/>
      <c r="Y192" s="367"/>
      <c r="Z192" s="367"/>
      <c r="AA192" s="367"/>
      <c r="AB192" s="367"/>
      <c r="AC192" s="367"/>
      <c r="AD192" s="367"/>
      <c r="AE192" s="367"/>
      <c r="AF192" s="367"/>
      <c r="AG192" s="367"/>
      <c r="AH192" s="367"/>
      <c r="AI192" s="367"/>
      <c r="AJ192" s="367"/>
      <c r="AK192" s="367"/>
    </row>
    <row r="193" spans="1:37" s="917" customFormat="1" ht="23.25" customHeight="1">
      <c r="A193" s="1041"/>
      <c r="B193" s="1129" t="s">
        <v>41</v>
      </c>
      <c r="C193" s="1129"/>
      <c r="D193" s="1129"/>
      <c r="E193" s="1129"/>
      <c r="F193" s="1129"/>
      <c r="G193" s="1129"/>
      <c r="H193" s="1129"/>
      <c r="I193" s="1129"/>
      <c r="J193" s="1129"/>
      <c r="K193" s="1129"/>
      <c r="L193" s="1129"/>
      <c r="M193" s="1129"/>
      <c r="N193" s="1129"/>
      <c r="O193" s="1129"/>
      <c r="P193" s="1129"/>
      <c r="Q193" s="367"/>
      <c r="R193" s="367"/>
      <c r="S193" s="1017"/>
      <c r="T193" s="946">
        <f>'[1]2,DG-capdoi'!N191</f>
        <v>0</v>
      </c>
      <c r="U193" s="946">
        <f t="shared" si="31"/>
        <v>0</v>
      </c>
      <c r="V193" s="367"/>
      <c r="W193" s="367"/>
      <c r="X193" s="367"/>
      <c r="Y193" s="367"/>
      <c r="Z193" s="367"/>
      <c r="AA193" s="367"/>
      <c r="AB193" s="367"/>
      <c r="AC193" s="367"/>
      <c r="AD193" s="367"/>
      <c r="AE193" s="367"/>
      <c r="AF193" s="367"/>
      <c r="AG193" s="367"/>
      <c r="AH193" s="367"/>
      <c r="AI193" s="367"/>
      <c r="AJ193" s="367"/>
      <c r="AK193" s="367"/>
    </row>
    <row r="194" spans="1:37" s="917" customFormat="1" ht="36" customHeight="1">
      <c r="A194" s="1041"/>
      <c r="B194" s="1118" t="s">
        <v>902</v>
      </c>
      <c r="C194" s="1118"/>
      <c r="D194" s="1118"/>
      <c r="E194" s="1118"/>
      <c r="F194" s="1118"/>
      <c r="G194" s="1118"/>
      <c r="H194" s="1118"/>
      <c r="I194" s="1118"/>
      <c r="J194" s="1118"/>
      <c r="K194" s="1118"/>
      <c r="L194" s="1118"/>
      <c r="M194" s="1118"/>
      <c r="N194" s="1118"/>
      <c r="O194" s="1118"/>
      <c r="P194" s="1118"/>
      <c r="Q194" s="367"/>
      <c r="R194" s="367"/>
      <c r="S194" s="1017"/>
      <c r="T194" s="946">
        <f>'[1]2,DG-capdoi'!N192</f>
        <v>0</v>
      </c>
      <c r="U194" s="946">
        <f t="shared" si="31"/>
        <v>0</v>
      </c>
      <c r="V194" s="367"/>
      <c r="W194" s="367"/>
      <c r="X194" s="367"/>
      <c r="Y194" s="367"/>
      <c r="Z194" s="367"/>
      <c r="AA194" s="367"/>
      <c r="AB194" s="367"/>
      <c r="AC194" s="367"/>
      <c r="AD194" s="367"/>
      <c r="AE194" s="367"/>
      <c r="AF194" s="367"/>
      <c r="AG194" s="367"/>
      <c r="AH194" s="367"/>
      <c r="AI194" s="367"/>
      <c r="AJ194" s="367"/>
      <c r="AK194" s="367"/>
    </row>
    <row r="195" spans="1:37" s="917" customFormat="1" ht="37.15" customHeight="1">
      <c r="A195" s="1041"/>
      <c r="B195" s="1118" t="s">
        <v>253</v>
      </c>
      <c r="C195" s="1118"/>
      <c r="D195" s="1118"/>
      <c r="E195" s="1118"/>
      <c r="F195" s="1118"/>
      <c r="G195" s="1118"/>
      <c r="H195" s="1118"/>
      <c r="I195" s="1118"/>
      <c r="J195" s="1118"/>
      <c r="K195" s="1118"/>
      <c r="L195" s="1118"/>
      <c r="M195" s="1118"/>
      <c r="N195" s="1118"/>
      <c r="O195" s="1118"/>
      <c r="P195" s="1118"/>
      <c r="Q195" s="367"/>
      <c r="R195" s="367"/>
      <c r="S195" s="1017"/>
      <c r="T195" s="946">
        <f>'[1]2,DG-capdoi'!N193</f>
        <v>0</v>
      </c>
      <c r="U195" s="946">
        <f t="shared" si="31"/>
        <v>0</v>
      </c>
      <c r="V195" s="367"/>
      <c r="W195" s="367"/>
      <c r="X195" s="367"/>
      <c r="Y195" s="367"/>
      <c r="Z195" s="367"/>
      <c r="AA195" s="367"/>
      <c r="AB195" s="367"/>
      <c r="AC195" s="367"/>
      <c r="AD195" s="367"/>
      <c r="AE195" s="367"/>
      <c r="AF195" s="367"/>
      <c r="AG195" s="367"/>
      <c r="AH195" s="367"/>
      <c r="AI195" s="367"/>
      <c r="AJ195" s="367"/>
      <c r="AK195" s="367"/>
    </row>
    <row r="196" spans="1:37" s="917" customFormat="1" ht="37.9" customHeight="1">
      <c r="A196" s="1041"/>
      <c r="B196" s="1118" t="s">
        <v>664</v>
      </c>
      <c r="C196" s="1118"/>
      <c r="D196" s="1118"/>
      <c r="E196" s="1118"/>
      <c r="F196" s="1118"/>
      <c r="G196" s="1118"/>
      <c r="H196" s="1118"/>
      <c r="I196" s="1118"/>
      <c r="J196" s="1118"/>
      <c r="K196" s="1118"/>
      <c r="L196" s="1118"/>
      <c r="M196" s="1118"/>
      <c r="N196" s="1118"/>
      <c r="O196" s="1118"/>
      <c r="P196" s="1118"/>
      <c r="Q196" s="367"/>
      <c r="R196" s="367"/>
      <c r="S196" s="1017"/>
      <c r="T196" s="946">
        <f>'[1]2,DG-capdoi'!N194</f>
        <v>0</v>
      </c>
      <c r="U196" s="946">
        <f t="shared" si="31"/>
        <v>0</v>
      </c>
      <c r="V196" s="367"/>
      <c r="W196" s="367"/>
      <c r="X196" s="367"/>
      <c r="Y196" s="367"/>
      <c r="Z196" s="367"/>
      <c r="AA196" s="367"/>
      <c r="AB196" s="367"/>
      <c r="AC196" s="367"/>
      <c r="AD196" s="367"/>
      <c r="AE196" s="367"/>
      <c r="AF196" s="367"/>
      <c r="AG196" s="367"/>
      <c r="AH196" s="367"/>
      <c r="AI196" s="367"/>
      <c r="AJ196" s="367"/>
      <c r="AK196" s="367"/>
    </row>
    <row r="197" spans="1:37" s="917" customFormat="1" ht="42.75" customHeight="1">
      <c r="A197" s="1041"/>
      <c r="B197" s="1118" t="s">
        <v>548</v>
      </c>
      <c r="C197" s="1118"/>
      <c r="D197" s="1118"/>
      <c r="E197" s="1118"/>
      <c r="F197" s="1118"/>
      <c r="G197" s="1118"/>
      <c r="H197" s="1118"/>
      <c r="I197" s="1118"/>
      <c r="J197" s="1118"/>
      <c r="K197" s="1118"/>
      <c r="L197" s="1118"/>
      <c r="M197" s="1118"/>
      <c r="N197" s="1118"/>
      <c r="O197" s="1118"/>
      <c r="P197" s="1118"/>
      <c r="Q197" s="367"/>
      <c r="R197" s="367"/>
      <c r="S197" s="1017"/>
      <c r="T197" s="946">
        <f>'[1]2,DG-capdoi'!N195</f>
        <v>0</v>
      </c>
      <c r="U197" s="946">
        <f t="shared" si="31"/>
        <v>0</v>
      </c>
      <c r="V197" s="367"/>
      <c r="W197" s="367"/>
      <c r="X197" s="367"/>
      <c r="Y197" s="367"/>
      <c r="Z197" s="367"/>
      <c r="AA197" s="367"/>
      <c r="AB197" s="367"/>
      <c r="AC197" s="367"/>
      <c r="AD197" s="367"/>
      <c r="AE197" s="367"/>
      <c r="AF197" s="367"/>
      <c r="AG197" s="367"/>
      <c r="AH197" s="367"/>
      <c r="AI197" s="367"/>
      <c r="AJ197" s="367"/>
      <c r="AK197" s="367"/>
    </row>
    <row r="198" spans="1:37" s="917" customFormat="1" ht="31.5" customHeight="1">
      <c r="A198" s="1041"/>
      <c r="B198" s="1118" t="s">
        <v>0</v>
      </c>
      <c r="C198" s="1118"/>
      <c r="D198" s="1118"/>
      <c r="E198" s="1118"/>
      <c r="F198" s="1118"/>
      <c r="G198" s="1118"/>
      <c r="H198" s="1118"/>
      <c r="I198" s="1118"/>
      <c r="J198" s="1118"/>
      <c r="K198" s="1118"/>
      <c r="L198" s="1118"/>
      <c r="M198" s="1118"/>
      <c r="N198" s="1118"/>
      <c r="O198" s="1118"/>
      <c r="P198" s="1118"/>
      <c r="Q198" s="367"/>
      <c r="R198" s="367"/>
      <c r="S198" s="1017"/>
      <c r="T198" s="946">
        <f>'[1]2,DG-capdoi'!N196</f>
        <v>0</v>
      </c>
      <c r="U198" s="946">
        <f t="shared" si="31"/>
        <v>0</v>
      </c>
      <c r="V198" s="367"/>
      <c r="W198" s="367"/>
      <c r="X198" s="367"/>
      <c r="Y198" s="367"/>
      <c r="Z198" s="367"/>
      <c r="AA198" s="367"/>
      <c r="AB198" s="367"/>
      <c r="AC198" s="367"/>
      <c r="AD198" s="367"/>
      <c r="AE198" s="367"/>
      <c r="AF198" s="367"/>
      <c r="AG198" s="367"/>
      <c r="AH198" s="367"/>
      <c r="AI198" s="367"/>
      <c r="AJ198" s="367"/>
      <c r="AK198" s="367"/>
    </row>
    <row r="199" spans="1:37" s="917" customFormat="1" ht="39.75" customHeight="1">
      <c r="A199" s="1041"/>
      <c r="B199" s="1118" t="s">
        <v>541</v>
      </c>
      <c r="C199" s="1118"/>
      <c r="D199" s="1118"/>
      <c r="E199" s="1118"/>
      <c r="F199" s="1118"/>
      <c r="G199" s="1118"/>
      <c r="H199" s="1118"/>
      <c r="I199" s="1118"/>
      <c r="J199" s="1118"/>
      <c r="K199" s="1118"/>
      <c r="L199" s="1118"/>
      <c r="M199" s="1118"/>
      <c r="N199" s="1118"/>
      <c r="O199" s="1118"/>
      <c r="P199" s="1118"/>
      <c r="Q199" s="367"/>
      <c r="R199" s="367"/>
      <c r="S199" s="1017"/>
      <c r="T199" s="946">
        <f>'[1]2,DG-capdoi'!N197</f>
        <v>0</v>
      </c>
      <c r="U199" s="946">
        <f t="shared" si="31"/>
        <v>0</v>
      </c>
      <c r="V199" s="367"/>
      <c r="W199" s="367"/>
      <c r="X199" s="367"/>
      <c r="Y199" s="367"/>
      <c r="Z199" s="367"/>
      <c r="AA199" s="367"/>
      <c r="AB199" s="367"/>
      <c r="AC199" s="367"/>
      <c r="AD199" s="367"/>
      <c r="AE199" s="367"/>
      <c r="AF199" s="367"/>
      <c r="AG199" s="367"/>
      <c r="AH199" s="367"/>
      <c r="AI199" s="367"/>
      <c r="AJ199" s="367"/>
      <c r="AK199" s="367"/>
    </row>
    <row r="200" spans="1:37" ht="26.25" customHeight="1">
      <c r="A200" s="984"/>
      <c r="B200" s="997"/>
      <c r="C200" s="999"/>
      <c r="D200" s="999"/>
      <c r="E200" s="999"/>
      <c r="F200" s="999"/>
      <c r="G200" s="999"/>
      <c r="H200" s="999"/>
      <c r="I200" s="999"/>
      <c r="J200" s="999"/>
      <c r="K200" s="999"/>
      <c r="L200" s="999"/>
      <c r="M200" s="999"/>
      <c r="N200" s="999"/>
      <c r="O200" s="999"/>
      <c r="P200" s="999"/>
      <c r="S200" s="996"/>
      <c r="T200" s="979">
        <f>'[1]2,DG-capdoi'!N198</f>
        <v>0</v>
      </c>
      <c r="U200" s="979">
        <f t="shared" si="31"/>
        <v>0</v>
      </c>
    </row>
    <row r="201" spans="1:37" ht="28.15" customHeight="1">
      <c r="A201" s="1114" t="s">
        <v>834</v>
      </c>
      <c r="B201" s="1114"/>
      <c r="C201" s="1114"/>
      <c r="D201" s="1114"/>
      <c r="E201" s="1114"/>
      <c r="F201" s="1114"/>
      <c r="G201" s="1114"/>
      <c r="H201" s="1114"/>
      <c r="I201" s="1114"/>
      <c r="J201" s="1114"/>
      <c r="K201" s="1114"/>
      <c r="L201" s="1114"/>
      <c r="M201" s="1114"/>
      <c r="N201" s="1114"/>
      <c r="O201" s="1114"/>
      <c r="P201" s="1114"/>
      <c r="S201" s="996"/>
      <c r="T201" s="979">
        <f>'[1]2,DG-capdoi'!N199</f>
        <v>0</v>
      </c>
      <c r="U201" s="979">
        <f t="shared" si="31"/>
        <v>0</v>
      </c>
    </row>
    <row r="202" spans="1:37" ht="16.5">
      <c r="A202" s="1113" t="s">
        <v>960</v>
      </c>
      <c r="B202" s="1113"/>
      <c r="C202" s="1113"/>
      <c r="D202" s="1113"/>
      <c r="E202" s="1113"/>
      <c r="F202" s="1113"/>
      <c r="G202" s="1113"/>
      <c r="H202" s="1113"/>
      <c r="I202" s="1113"/>
      <c r="J202" s="1113"/>
      <c r="K202" s="1113"/>
      <c r="L202" s="1113"/>
      <c r="M202" s="1113"/>
      <c r="N202" s="1113"/>
      <c r="O202" s="1113"/>
      <c r="P202" s="1113"/>
      <c r="S202" s="996"/>
      <c r="T202" s="979"/>
      <c r="U202" s="979"/>
    </row>
    <row r="203" spans="1:37" s="992" customFormat="1" ht="19.5" customHeight="1">
      <c r="A203" s="984"/>
      <c r="B203" s="985"/>
      <c r="C203" s="986"/>
      <c r="D203" s="987" t="s">
        <v>576</v>
      </c>
      <c r="E203" s="975"/>
      <c r="F203" s="988"/>
      <c r="G203" s="989"/>
      <c r="H203" s="988"/>
      <c r="I203" s="990"/>
      <c r="J203" s="988"/>
      <c r="K203" s="988"/>
      <c r="M203" s="991" t="s">
        <v>980</v>
      </c>
      <c r="N203" s="990"/>
      <c r="O203" s="990"/>
      <c r="P203" s="975"/>
      <c r="Q203" s="982"/>
      <c r="R203" s="982"/>
      <c r="S203" s="996"/>
      <c r="T203" s="979">
        <f>'[1]2,DG-capdoi'!N200</f>
        <v>0</v>
      </c>
      <c r="U203" s="979">
        <f t="shared" si="31"/>
        <v>0</v>
      </c>
      <c r="V203" s="982"/>
      <c r="W203" s="982"/>
      <c r="X203" s="982"/>
      <c r="Y203" s="982"/>
      <c r="Z203" s="982"/>
      <c r="AA203" s="982"/>
      <c r="AB203" s="982"/>
      <c r="AC203" s="982"/>
      <c r="AD203" s="982"/>
      <c r="AE203" s="982"/>
      <c r="AF203" s="982"/>
      <c r="AG203" s="982"/>
      <c r="AH203" s="982"/>
      <c r="AI203" s="982"/>
      <c r="AJ203" s="982"/>
      <c r="AK203" s="982"/>
    </row>
    <row r="204" spans="1:37" s="992" customFormat="1" ht="7.5" customHeight="1">
      <c r="A204" s="984"/>
      <c r="B204" s="985"/>
      <c r="C204" s="986"/>
      <c r="D204" s="993"/>
      <c r="E204" s="975"/>
      <c r="F204" s="975"/>
      <c r="G204" s="994"/>
      <c r="H204" s="975"/>
      <c r="I204" s="975"/>
      <c r="J204" s="975"/>
      <c r="K204" s="975"/>
      <c r="L204" s="975"/>
      <c r="M204" s="975"/>
      <c r="N204" s="975"/>
      <c r="O204" s="975"/>
      <c r="P204" s="975"/>
      <c r="Q204" s="982"/>
      <c r="R204" s="982"/>
      <c r="S204" s="996"/>
      <c r="T204" s="979">
        <f>'[1]2,DG-capdoi'!N201</f>
        <v>0</v>
      </c>
      <c r="U204" s="979">
        <f t="shared" ref="U204:U268" si="32">T204-N204</f>
        <v>0</v>
      </c>
      <c r="V204" s="982"/>
      <c r="W204" s="982"/>
      <c r="X204" s="982"/>
      <c r="Y204" s="982"/>
      <c r="Z204" s="982"/>
      <c r="AA204" s="982"/>
      <c r="AB204" s="982"/>
      <c r="AC204" s="982"/>
      <c r="AD204" s="982"/>
      <c r="AE204" s="982"/>
      <c r="AF204" s="982"/>
      <c r="AG204" s="982"/>
      <c r="AH204" s="982"/>
      <c r="AI204" s="982"/>
      <c r="AJ204" s="982"/>
      <c r="AK204" s="982"/>
    </row>
    <row r="205" spans="1:37" s="1002" customFormat="1" ht="25.15" customHeight="1">
      <c r="A205" s="1115" t="s">
        <v>876</v>
      </c>
      <c r="B205" s="1115" t="s">
        <v>381</v>
      </c>
      <c r="C205" s="1111" t="s">
        <v>981</v>
      </c>
      <c r="D205" s="1111" t="s">
        <v>982</v>
      </c>
      <c r="E205" s="1111" t="s">
        <v>466</v>
      </c>
      <c r="F205" s="1111"/>
      <c r="G205" s="1111"/>
      <c r="H205" s="1111"/>
      <c r="I205" s="1111"/>
      <c r="J205" s="1111"/>
      <c r="K205" s="1111"/>
      <c r="L205" s="1111"/>
      <c r="M205" s="1111" t="s">
        <v>581</v>
      </c>
      <c r="N205" s="1111" t="s">
        <v>467</v>
      </c>
      <c r="O205" s="1111" t="s">
        <v>657</v>
      </c>
      <c r="P205" s="1111" t="s">
        <v>468</v>
      </c>
      <c r="Q205" s="1000"/>
      <c r="R205" s="1000"/>
      <c r="S205" s="1001"/>
      <c r="T205" s="979" t="str">
        <f>'[1]2,DG-capdoi'!N202</f>
        <v>Đơn giá       sản phẩm</v>
      </c>
      <c r="U205" s="979"/>
      <c r="V205" s="975"/>
      <c r="W205" s="975"/>
      <c r="X205" s="975"/>
      <c r="Y205" s="975"/>
      <c r="Z205" s="975"/>
      <c r="AA205" s="975"/>
      <c r="AB205" s="975"/>
      <c r="AC205" s="975"/>
      <c r="AD205" s="975"/>
      <c r="AE205" s="975"/>
      <c r="AF205" s="975"/>
      <c r="AG205" s="975"/>
      <c r="AH205" s="975"/>
      <c r="AI205" s="975"/>
      <c r="AJ205" s="975"/>
      <c r="AK205" s="975"/>
    </row>
    <row r="206" spans="1:37" s="1002" customFormat="1" ht="44.25" customHeight="1">
      <c r="A206" s="1115"/>
      <c r="B206" s="1115"/>
      <c r="C206" s="1111"/>
      <c r="D206" s="1111"/>
      <c r="E206" s="825" t="s">
        <v>469</v>
      </c>
      <c r="F206" s="825" t="s">
        <v>470</v>
      </c>
      <c r="G206" s="852" t="s">
        <v>1003</v>
      </c>
      <c r="H206" s="825" t="s">
        <v>59</v>
      </c>
      <c r="I206" s="825" t="s">
        <v>471</v>
      </c>
      <c r="J206" s="825" t="s">
        <v>280</v>
      </c>
      <c r="K206" s="825" t="s">
        <v>472</v>
      </c>
      <c r="L206" s="825" t="s">
        <v>473</v>
      </c>
      <c r="M206" s="1111"/>
      <c r="N206" s="1111"/>
      <c r="O206" s="1111"/>
      <c r="P206" s="1111"/>
      <c r="Q206" s="1000"/>
      <c r="R206" s="1000"/>
      <c r="S206" s="1001"/>
      <c r="T206" s="979">
        <f>'[1]2,DG-capdoi'!N203</f>
        <v>0</v>
      </c>
      <c r="U206" s="979">
        <f t="shared" si="32"/>
        <v>0</v>
      </c>
      <c r="V206" s="975"/>
      <c r="W206" s="975"/>
      <c r="X206" s="975"/>
      <c r="Y206" s="975"/>
      <c r="Z206" s="975"/>
      <c r="AA206" s="975"/>
      <c r="AB206" s="975"/>
      <c r="AC206" s="975"/>
      <c r="AD206" s="975"/>
      <c r="AE206" s="975"/>
      <c r="AF206" s="975"/>
      <c r="AG206" s="975"/>
      <c r="AH206" s="975"/>
      <c r="AI206" s="975"/>
      <c r="AJ206" s="975"/>
      <c r="AK206" s="975"/>
    </row>
    <row r="207" spans="1:37" s="1063" customFormat="1" ht="36" customHeight="1">
      <c r="A207" s="831"/>
      <c r="B207" s="838" t="s">
        <v>833</v>
      </c>
      <c r="C207" s="382"/>
      <c r="D207" s="382"/>
      <c r="E207" s="382"/>
      <c r="F207" s="382"/>
      <c r="G207" s="837"/>
      <c r="H207" s="382"/>
      <c r="I207" s="382"/>
      <c r="J207" s="382"/>
      <c r="K207" s="382"/>
      <c r="L207" s="382"/>
      <c r="M207" s="382"/>
      <c r="N207" s="382"/>
      <c r="O207" s="382"/>
      <c r="P207" s="382"/>
      <c r="Q207" s="1061"/>
      <c r="R207" s="1061"/>
      <c r="S207" s="1062"/>
      <c r="T207" s="946">
        <f>'[1]2,DG-capdoi'!N204</f>
        <v>0</v>
      </c>
      <c r="U207" s="946">
        <f t="shared" si="32"/>
        <v>0</v>
      </c>
      <c r="V207" s="1060"/>
      <c r="W207" s="1060"/>
      <c r="X207" s="1060"/>
      <c r="Y207" s="1060"/>
      <c r="Z207" s="1060"/>
      <c r="AA207" s="1060"/>
      <c r="AB207" s="1060"/>
      <c r="AC207" s="1060"/>
      <c r="AD207" s="1060"/>
      <c r="AE207" s="1060"/>
      <c r="AF207" s="1060"/>
      <c r="AG207" s="1060"/>
      <c r="AH207" s="1060"/>
      <c r="AI207" s="1060"/>
      <c r="AJ207" s="1060"/>
      <c r="AK207" s="1060"/>
    </row>
    <row r="208" spans="1:37" s="1063" customFormat="1" ht="48" customHeight="1">
      <c r="A208" s="831"/>
      <c r="B208" s="830" t="s">
        <v>451</v>
      </c>
      <c r="C208" s="382" t="s">
        <v>281</v>
      </c>
      <c r="D208" s="831" t="s">
        <v>881</v>
      </c>
      <c r="E208" s="383" t="e">
        <f>E211+E237</f>
        <v>#VALUE!</v>
      </c>
      <c r="F208" s="383">
        <f t="shared" ref="F208:N208" si="33">F211+F237</f>
        <v>0</v>
      </c>
      <c r="G208" s="383">
        <f t="shared" si="33"/>
        <v>0</v>
      </c>
      <c r="H208" s="383">
        <f t="shared" si="33"/>
        <v>8157.2958317307694</v>
      </c>
      <c r="I208" s="383">
        <f t="shared" si="33"/>
        <v>18661.86</v>
      </c>
      <c r="J208" s="383">
        <f t="shared" si="33"/>
        <v>6612.826</v>
      </c>
      <c r="K208" s="383">
        <f t="shared" si="33"/>
        <v>14571.858</v>
      </c>
      <c r="L208" s="383" t="e">
        <f t="shared" si="33"/>
        <v>#VALUE!</v>
      </c>
      <c r="M208" s="383" t="e">
        <f t="shared" si="33"/>
        <v>#VALUE!</v>
      </c>
      <c r="N208" s="383" t="e">
        <f t="shared" si="33"/>
        <v>#VALUE!</v>
      </c>
      <c r="O208" s="383"/>
      <c r="P208" s="383">
        <f>P211+P237</f>
        <v>13206.06923076923</v>
      </c>
      <c r="Q208" s="1061"/>
      <c r="R208" s="1061"/>
      <c r="S208" s="1062"/>
      <c r="T208" s="946">
        <f>'[1]2,DG-capdoi'!N205</f>
        <v>523061.49282379809</v>
      </c>
      <c r="U208" s="946" t="e">
        <f t="shared" si="32"/>
        <v>#VALUE!</v>
      </c>
      <c r="V208" s="1060"/>
      <c r="W208" s="1060"/>
      <c r="X208" s="1060"/>
      <c r="Y208" s="1060"/>
      <c r="Z208" s="1060"/>
      <c r="AA208" s="1060"/>
      <c r="AB208" s="1060"/>
      <c r="AC208" s="1060"/>
      <c r="AD208" s="1060"/>
      <c r="AE208" s="1060"/>
      <c r="AF208" s="1060"/>
      <c r="AG208" s="1060"/>
      <c r="AH208" s="1060"/>
      <c r="AI208" s="1060"/>
      <c r="AJ208" s="1060"/>
      <c r="AK208" s="1060"/>
    </row>
    <row r="209" spans="1:37" s="1063" customFormat="1" ht="27.75" customHeight="1">
      <c r="A209" s="831"/>
      <c r="B209" s="888" t="s">
        <v>452</v>
      </c>
      <c r="C209" s="382" t="s">
        <v>281</v>
      </c>
      <c r="D209" s="831" t="s">
        <v>881</v>
      </c>
      <c r="E209" s="383" t="e">
        <f>E212+E237</f>
        <v>#VALUE!</v>
      </c>
      <c r="F209" s="383">
        <f t="shared" ref="F209:N209" si="34">F212+F237</f>
        <v>0</v>
      </c>
      <c r="G209" s="383">
        <f t="shared" si="34"/>
        <v>0</v>
      </c>
      <c r="H209" s="383">
        <f t="shared" si="34"/>
        <v>8157.2958317307694</v>
      </c>
      <c r="I209" s="383">
        <f t="shared" si="34"/>
        <v>18661.86</v>
      </c>
      <c r="J209" s="383">
        <f t="shared" si="34"/>
        <v>6612.826</v>
      </c>
      <c r="K209" s="383">
        <f t="shared" si="34"/>
        <v>14571.858</v>
      </c>
      <c r="L209" s="383" t="e">
        <f t="shared" si="34"/>
        <v>#VALUE!</v>
      </c>
      <c r="M209" s="383" t="e">
        <f t="shared" si="34"/>
        <v>#VALUE!</v>
      </c>
      <c r="N209" s="383" t="e">
        <f t="shared" si="34"/>
        <v>#VALUE!</v>
      </c>
      <c r="O209" s="382"/>
      <c r="P209" s="383">
        <f>P212+P237</f>
        <v>12898.665384615384</v>
      </c>
      <c r="Q209" s="1064">
        <f>'He so chung'!D$22</f>
        <v>5346.1538461538457</v>
      </c>
      <c r="R209" s="1064">
        <f>'He so chung'!D$23</f>
        <v>801.92307692307691</v>
      </c>
      <c r="S209" s="1065"/>
      <c r="T209" s="946">
        <f>'[1]2,DG-capdoi'!N206</f>
        <v>512802.04316033656</v>
      </c>
      <c r="U209" s="946" t="e">
        <f t="shared" si="32"/>
        <v>#VALUE!</v>
      </c>
      <c r="V209" s="1060"/>
      <c r="W209" s="1060"/>
      <c r="X209" s="1060"/>
      <c r="Y209" s="1060"/>
      <c r="Z209" s="1060"/>
      <c r="AA209" s="1060"/>
      <c r="AB209" s="1060"/>
      <c r="AC209" s="1060"/>
      <c r="AD209" s="1060"/>
      <c r="AE209" s="1060"/>
      <c r="AF209" s="1060"/>
      <c r="AG209" s="1060"/>
      <c r="AH209" s="1060"/>
      <c r="AI209" s="1060"/>
      <c r="AJ209" s="1060"/>
      <c r="AK209" s="1060"/>
    </row>
    <row r="210" spans="1:37" s="1063" customFormat="1" ht="24.75" customHeight="1">
      <c r="A210" s="831" t="s">
        <v>179</v>
      </c>
      <c r="B210" s="888" t="s">
        <v>765</v>
      </c>
      <c r="C210" s="382" t="s">
        <v>281</v>
      </c>
      <c r="D210" s="831" t="s">
        <v>881</v>
      </c>
      <c r="E210" s="382"/>
      <c r="F210" s="382"/>
      <c r="G210" s="837"/>
      <c r="H210" s="382"/>
      <c r="I210" s="382"/>
      <c r="J210" s="382"/>
      <c r="K210" s="382"/>
      <c r="L210" s="382"/>
      <c r="M210" s="382"/>
      <c r="N210" s="382"/>
      <c r="O210" s="382"/>
      <c r="P210" s="382"/>
      <c r="Q210" s="1064"/>
      <c r="R210" s="1064"/>
      <c r="S210" s="1065"/>
      <c r="T210" s="946">
        <f>'[1]2,DG-capdoi'!N207</f>
        <v>0</v>
      </c>
      <c r="U210" s="946">
        <f t="shared" si="32"/>
        <v>0</v>
      </c>
      <c r="V210" s="1060"/>
      <c r="W210" s="1060"/>
      <c r="X210" s="1060"/>
      <c r="Y210" s="1060"/>
      <c r="Z210" s="1060"/>
      <c r="AA210" s="1060"/>
      <c r="AB210" s="1060"/>
      <c r="AC210" s="1060"/>
      <c r="AD210" s="1060"/>
      <c r="AE210" s="1060"/>
      <c r="AF210" s="1060"/>
      <c r="AG210" s="1060"/>
      <c r="AH210" s="1060"/>
      <c r="AI210" s="1060"/>
      <c r="AJ210" s="1060"/>
      <c r="AK210" s="1060"/>
    </row>
    <row r="211" spans="1:37" s="1067" customFormat="1" ht="25.5" customHeight="1">
      <c r="A211" s="869" t="s">
        <v>665</v>
      </c>
      <c r="B211" s="868" t="s">
        <v>451</v>
      </c>
      <c r="C211" s="382" t="s">
        <v>281</v>
      </c>
      <c r="D211" s="901" t="s">
        <v>881</v>
      </c>
      <c r="E211" s="920" t="e">
        <f>E214+E216+E217+E218+E219+E221+E223+E225+E227+E228+E231+E232+E233+E234+E235+E236</f>
        <v>#VALUE!</v>
      </c>
      <c r="F211" s="389">
        <f>F214+F216+F217+F218+F219+F221+F223+F225+F227+F228+F231+F232+F233+F234+F235+F236</f>
        <v>0</v>
      </c>
      <c r="G211" s="391"/>
      <c r="H211" s="383">
        <f>'Dcu-DKDD'!$J$251</f>
        <v>8086.2125480769228</v>
      </c>
      <c r="I211" s="383">
        <f>'VL-DKDD'!$H$253</f>
        <v>17985.240000000002</v>
      </c>
      <c r="J211" s="383">
        <f>'TB-DKDD'!$K$142</f>
        <v>6612.826</v>
      </c>
      <c r="K211" s="383">
        <f>'NL-DKDD'!$H$96</f>
        <v>14571.858</v>
      </c>
      <c r="L211" s="387" t="e">
        <f>SUM(E211:K211)</f>
        <v>#VALUE!</v>
      </c>
      <c r="M211" s="387" t="e">
        <f>L211*'He so chung'!$D$17/100</f>
        <v>#VALUE!</v>
      </c>
      <c r="N211" s="387" t="e">
        <f>L211+M211</f>
        <v>#VALUE!</v>
      </c>
      <c r="O211" s="389"/>
      <c r="P211" s="920">
        <f>P214+P216+P217+P218+P219+P221+P223+P225+P227+P228+P231+P232+P233+P234+P235+P236</f>
        <v>13083.107692307691</v>
      </c>
      <c r="Q211" s="1061"/>
      <c r="R211" s="1061"/>
      <c r="S211" s="1011"/>
      <c r="T211" s="946">
        <f>'[1]2,DG-capdoi'!N208</f>
        <v>518097.85418221157</v>
      </c>
      <c r="U211" s="946" t="e">
        <f t="shared" si="32"/>
        <v>#VALUE!</v>
      </c>
      <c r="V211" s="1066"/>
      <c r="W211" s="1066"/>
      <c r="X211" s="1066"/>
      <c r="Y211" s="1066"/>
      <c r="Z211" s="1066"/>
      <c r="AA211" s="1066"/>
      <c r="AB211" s="1066"/>
      <c r="AC211" s="1066"/>
      <c r="AD211" s="1066"/>
      <c r="AE211" s="1066"/>
      <c r="AF211" s="1066"/>
      <c r="AG211" s="1066"/>
      <c r="AH211" s="1066"/>
      <c r="AI211" s="1066"/>
      <c r="AJ211" s="1066"/>
      <c r="AK211" s="1066"/>
    </row>
    <row r="212" spans="1:37" s="1067" customFormat="1" ht="25.5" customHeight="1">
      <c r="A212" s="869" t="s">
        <v>666</v>
      </c>
      <c r="B212" s="868" t="s">
        <v>452</v>
      </c>
      <c r="C212" s="382" t="s">
        <v>281</v>
      </c>
      <c r="D212" s="901" t="s">
        <v>881</v>
      </c>
      <c r="E212" s="920" t="e">
        <f>E215+E216+E217+E218+E219+E221+E223+E225+E227+E228+E231+E232+E233+E234+E235+E236</f>
        <v>#VALUE!</v>
      </c>
      <c r="F212" s="389">
        <f>F215+F216+F217+F218+F219+F221+F223+F225+F227+F228+F231+F232+F233+F234+F235+F236</f>
        <v>0</v>
      </c>
      <c r="G212" s="391"/>
      <c r="H212" s="383">
        <f>'Dcu-DKDD'!$J$251</f>
        <v>8086.2125480769228</v>
      </c>
      <c r="I212" s="383">
        <f>'VL-DKDD'!$H$253</f>
        <v>17985.240000000002</v>
      </c>
      <c r="J212" s="383">
        <f>'TB-DKDD'!$K$142</f>
        <v>6612.826</v>
      </c>
      <c r="K212" s="383">
        <f>'NL-DKDD'!$H$96</f>
        <v>14571.858</v>
      </c>
      <c r="L212" s="387" t="e">
        <f>SUM(E212:K212)</f>
        <v>#VALUE!</v>
      </c>
      <c r="M212" s="387" t="e">
        <f>L212*'He so chung'!$D$17/100</f>
        <v>#VALUE!</v>
      </c>
      <c r="N212" s="387" t="e">
        <f>L212+M212</f>
        <v>#VALUE!</v>
      </c>
      <c r="O212" s="389"/>
      <c r="P212" s="920">
        <f>P215+P216+P217+P218+P219+P221+P223+P225+P227+P228+P231+P232+P233+P234+P235+P236</f>
        <v>12775.703846153845</v>
      </c>
      <c r="Q212" s="1061"/>
      <c r="R212" s="1061"/>
      <c r="S212" s="1011"/>
      <c r="T212" s="946">
        <f>'[1]2,DG-capdoi'!N209</f>
        <v>507838.40451875003</v>
      </c>
      <c r="U212" s="946" t="e">
        <f t="shared" si="32"/>
        <v>#VALUE!</v>
      </c>
      <c r="V212" s="1066"/>
      <c r="W212" s="1066"/>
      <c r="X212" s="1066"/>
      <c r="Y212" s="1066"/>
      <c r="Z212" s="1066"/>
      <c r="AA212" s="1066"/>
      <c r="AB212" s="1066"/>
      <c r="AC212" s="1066"/>
      <c r="AD212" s="1066"/>
      <c r="AE212" s="1066"/>
      <c r="AF212" s="1066"/>
      <c r="AG212" s="1066"/>
      <c r="AH212" s="1066"/>
      <c r="AI212" s="1066"/>
      <c r="AJ212" s="1066"/>
      <c r="AK212" s="1066"/>
    </row>
    <row r="213" spans="1:37" s="1067" customFormat="1" ht="25.5" customHeight="1">
      <c r="A213" s="832">
        <v>1</v>
      </c>
      <c r="B213" s="827" t="s">
        <v>508</v>
      </c>
      <c r="C213" s="832"/>
      <c r="D213" s="1013"/>
      <c r="E213" s="389"/>
      <c r="F213" s="389"/>
      <c r="G213" s="391"/>
      <c r="H213" s="389"/>
      <c r="I213" s="389"/>
      <c r="J213" s="389"/>
      <c r="K213" s="389"/>
      <c r="L213" s="389"/>
      <c r="M213" s="389"/>
      <c r="N213" s="389"/>
      <c r="O213" s="389"/>
      <c r="P213" s="389">
        <f>Q213+R213</f>
        <v>0</v>
      </c>
      <c r="Q213" s="1061"/>
      <c r="R213" s="1061"/>
      <c r="S213" s="1011"/>
      <c r="T213" s="946">
        <f>'[1]2,DG-capdoi'!N210</f>
        <v>0</v>
      </c>
      <c r="U213" s="946">
        <f t="shared" si="32"/>
        <v>0</v>
      </c>
      <c r="V213" s="1066"/>
      <c r="W213" s="1066"/>
      <c r="X213" s="1066"/>
      <c r="Y213" s="1066"/>
      <c r="Z213" s="1066"/>
      <c r="AA213" s="1066"/>
      <c r="AB213" s="1066"/>
      <c r="AC213" s="1066"/>
      <c r="AD213" s="1066"/>
      <c r="AE213" s="1066"/>
      <c r="AF213" s="1066"/>
      <c r="AG213" s="1066"/>
      <c r="AH213" s="1066"/>
      <c r="AI213" s="1066"/>
      <c r="AJ213" s="1066"/>
      <c r="AK213" s="1066"/>
    </row>
    <row r="214" spans="1:37" s="1067" customFormat="1" ht="25.5" customHeight="1">
      <c r="A214" s="832" t="s">
        <v>891</v>
      </c>
      <c r="B214" s="827" t="s">
        <v>33</v>
      </c>
      <c r="C214" s="832" t="s">
        <v>281</v>
      </c>
      <c r="D214" s="901" t="s">
        <v>881</v>
      </c>
      <c r="E214" s="389" t="e">
        <f>NC_DKDD!H680</f>
        <v>#VALUE!</v>
      </c>
      <c r="F214" s="389"/>
      <c r="G214" s="391"/>
      <c r="H214" s="389"/>
      <c r="I214" s="389"/>
      <c r="J214" s="389"/>
      <c r="K214" s="389"/>
      <c r="L214" s="389"/>
      <c r="M214" s="389"/>
      <c r="N214" s="389"/>
      <c r="O214" s="389"/>
      <c r="P214" s="389">
        <f>Q214+R214</f>
        <v>922.21153846153834</v>
      </c>
      <c r="Q214" s="1061">
        <f>S214*Q$209</f>
        <v>801.92307692307679</v>
      </c>
      <c r="R214" s="1061">
        <f t="shared" ref="R214:R238" si="35">S214*R$209</f>
        <v>120.28846153846153</v>
      </c>
      <c r="S214" s="1011">
        <f>NC_DKDD!G680</f>
        <v>0.15</v>
      </c>
      <c r="T214" s="946">
        <f>'[1]2,DG-capdoi'!N211</f>
        <v>0</v>
      </c>
      <c r="U214" s="946">
        <f t="shared" si="32"/>
        <v>0</v>
      </c>
      <c r="V214" s="1066"/>
      <c r="W214" s="1066"/>
      <c r="X214" s="1066"/>
      <c r="Y214" s="1066"/>
      <c r="Z214" s="1066"/>
      <c r="AA214" s="1066"/>
      <c r="AB214" s="1066"/>
      <c r="AC214" s="1066"/>
      <c r="AD214" s="1066"/>
      <c r="AE214" s="1066"/>
      <c r="AF214" s="1066"/>
      <c r="AG214" s="1066"/>
      <c r="AH214" s="1066"/>
      <c r="AI214" s="1066"/>
      <c r="AJ214" s="1066"/>
      <c r="AK214" s="1066"/>
    </row>
    <row r="215" spans="1:37" s="1067" customFormat="1" ht="25.5" customHeight="1">
      <c r="A215" s="832" t="s">
        <v>899</v>
      </c>
      <c r="B215" s="827" t="s">
        <v>36</v>
      </c>
      <c r="C215" s="832" t="s">
        <v>281</v>
      </c>
      <c r="D215" s="901" t="s">
        <v>881</v>
      </c>
      <c r="E215" s="389" t="e">
        <f>NC_DKDD!H681</f>
        <v>#VALUE!</v>
      </c>
      <c r="F215" s="389"/>
      <c r="G215" s="391"/>
      <c r="H215" s="389"/>
      <c r="I215" s="389"/>
      <c r="J215" s="389"/>
      <c r="K215" s="389"/>
      <c r="L215" s="389"/>
      <c r="M215" s="389"/>
      <c r="N215" s="389"/>
      <c r="O215" s="389"/>
      <c r="P215" s="389">
        <f>Q215+R215</f>
        <v>614.80769230769238</v>
      </c>
      <c r="Q215" s="1061">
        <f>S215*Q$209</f>
        <v>534.61538461538464</v>
      </c>
      <c r="R215" s="1061">
        <f t="shared" si="35"/>
        <v>80.192307692307693</v>
      </c>
      <c r="S215" s="1011">
        <f>NC_DKDD!G681</f>
        <v>0.1</v>
      </c>
      <c r="T215" s="946">
        <f>'[1]2,DG-capdoi'!N212</f>
        <v>0</v>
      </c>
      <c r="U215" s="946">
        <f t="shared" si="32"/>
        <v>0</v>
      </c>
      <c r="V215" s="1066"/>
      <c r="W215" s="1066"/>
      <c r="X215" s="1066"/>
      <c r="Y215" s="1066"/>
      <c r="Z215" s="1066"/>
      <c r="AA215" s="1066"/>
      <c r="AB215" s="1066"/>
      <c r="AC215" s="1066"/>
      <c r="AD215" s="1066"/>
      <c r="AE215" s="1066"/>
      <c r="AF215" s="1066"/>
      <c r="AG215" s="1066"/>
      <c r="AH215" s="1066"/>
      <c r="AI215" s="1066"/>
      <c r="AJ215" s="1066"/>
      <c r="AK215" s="1066"/>
    </row>
    <row r="216" spans="1:37" s="1067" customFormat="1" ht="48" customHeight="1">
      <c r="A216" s="832">
        <v>2</v>
      </c>
      <c r="B216" s="1068" t="s">
        <v>953</v>
      </c>
      <c r="C216" s="832" t="s">
        <v>281</v>
      </c>
      <c r="D216" s="901" t="s">
        <v>881</v>
      </c>
      <c r="E216" s="389" t="e">
        <f>NC_DKDD!H682</f>
        <v>#VALUE!</v>
      </c>
      <c r="F216" s="389"/>
      <c r="G216" s="391"/>
      <c r="H216" s="389"/>
      <c r="I216" s="389"/>
      <c r="J216" s="389"/>
      <c r="K216" s="389"/>
      <c r="L216" s="389"/>
      <c r="M216" s="389"/>
      <c r="N216" s="389"/>
      <c r="O216" s="389"/>
      <c r="P216" s="389">
        <f>Q216+R216</f>
        <v>1229.6153846153848</v>
      </c>
      <c r="Q216" s="1061">
        <f>S216*Q$209</f>
        <v>1069.2307692307693</v>
      </c>
      <c r="R216" s="1061">
        <f t="shared" si="35"/>
        <v>160.38461538461539</v>
      </c>
      <c r="S216" s="1011">
        <f>NC_DKDD!G682</f>
        <v>0.2</v>
      </c>
      <c r="T216" s="946">
        <f>'[1]2,DG-capdoi'!N213</f>
        <v>0</v>
      </c>
      <c r="U216" s="946">
        <f t="shared" si="32"/>
        <v>0</v>
      </c>
      <c r="V216" s="1066"/>
      <c r="W216" s="1066"/>
      <c r="X216" s="1066"/>
      <c r="Y216" s="1066"/>
      <c r="Z216" s="1066"/>
      <c r="AA216" s="1066"/>
      <c r="AB216" s="1066"/>
      <c r="AC216" s="1066"/>
      <c r="AD216" s="1066"/>
      <c r="AE216" s="1066"/>
      <c r="AF216" s="1066"/>
      <c r="AG216" s="1066"/>
      <c r="AH216" s="1066"/>
      <c r="AI216" s="1066"/>
      <c r="AJ216" s="1066"/>
      <c r="AK216" s="1066"/>
    </row>
    <row r="217" spans="1:37" s="1067" customFormat="1" ht="36" customHeight="1">
      <c r="A217" s="832">
        <v>3</v>
      </c>
      <c r="B217" s="827" t="s">
        <v>38</v>
      </c>
      <c r="C217" s="832" t="s">
        <v>523</v>
      </c>
      <c r="D217" s="901" t="s">
        <v>881</v>
      </c>
      <c r="E217" s="389" t="e">
        <f>NC_DKDD!H683</f>
        <v>#VALUE!</v>
      </c>
      <c r="F217" s="389"/>
      <c r="G217" s="391"/>
      <c r="H217" s="389"/>
      <c r="I217" s="389"/>
      <c r="J217" s="389"/>
      <c r="K217" s="389"/>
      <c r="L217" s="389"/>
      <c r="M217" s="389"/>
      <c r="N217" s="389"/>
      <c r="O217" s="389"/>
      <c r="P217" s="389">
        <f>Q217+R217</f>
        <v>657.84423076923065</v>
      </c>
      <c r="Q217" s="1061">
        <f>S217*Q$209</f>
        <v>572.03846153846143</v>
      </c>
      <c r="R217" s="1061">
        <f t="shared" si="35"/>
        <v>85.805769230769229</v>
      </c>
      <c r="S217" s="1011">
        <f>NC_DKDD!G683</f>
        <v>0.107</v>
      </c>
      <c r="T217" s="946">
        <f>'[1]2,DG-capdoi'!N214</f>
        <v>0</v>
      </c>
      <c r="U217" s="946">
        <f t="shared" si="32"/>
        <v>0</v>
      </c>
      <c r="V217" s="1066"/>
      <c r="W217" s="1066"/>
      <c r="X217" s="1066"/>
      <c r="Y217" s="1066"/>
      <c r="Z217" s="1066"/>
      <c r="AA217" s="1066"/>
      <c r="AB217" s="1066"/>
      <c r="AC217" s="1066"/>
      <c r="AD217" s="1066"/>
      <c r="AE217" s="1066"/>
      <c r="AF217" s="1066"/>
      <c r="AG217" s="1066"/>
      <c r="AH217" s="1066"/>
      <c r="AI217" s="1066"/>
      <c r="AJ217" s="1066"/>
      <c r="AK217" s="1066"/>
    </row>
    <row r="218" spans="1:37" s="1067" customFormat="1" ht="46.5" customHeight="1">
      <c r="A218" s="832">
        <v>4</v>
      </c>
      <c r="B218" s="827" t="s">
        <v>509</v>
      </c>
      <c r="C218" s="832" t="s">
        <v>281</v>
      </c>
      <c r="D218" s="901" t="s">
        <v>881</v>
      </c>
      <c r="E218" s="389" t="e">
        <f>NC_DKDD!H684</f>
        <v>#VALUE!</v>
      </c>
      <c r="F218" s="389"/>
      <c r="G218" s="391"/>
      <c r="H218" s="389"/>
      <c r="I218" s="389"/>
      <c r="J218" s="389"/>
      <c r="K218" s="389"/>
      <c r="L218" s="389"/>
      <c r="M218" s="389"/>
      <c r="N218" s="389"/>
      <c r="O218" s="389"/>
      <c r="P218" s="389">
        <f t="shared" ref="P218:P238" si="36">Q218+R218</f>
        <v>3074.0384615384614</v>
      </c>
      <c r="Q218" s="1061">
        <f t="shared" ref="Q218:Q238" si="37">S218*Q$209</f>
        <v>2673.0769230769229</v>
      </c>
      <c r="R218" s="1061">
        <f t="shared" si="35"/>
        <v>400.96153846153845</v>
      </c>
      <c r="S218" s="1011">
        <f>NC_DKDD!G684</f>
        <v>0.5</v>
      </c>
      <c r="T218" s="946">
        <f>'[1]2,DG-capdoi'!N215</f>
        <v>0</v>
      </c>
      <c r="U218" s="946">
        <f t="shared" si="32"/>
        <v>0</v>
      </c>
      <c r="V218" s="1066"/>
      <c r="W218" s="1066"/>
      <c r="X218" s="1066"/>
      <c r="Y218" s="1066"/>
      <c r="Z218" s="1066"/>
      <c r="AA218" s="1066"/>
      <c r="AB218" s="1066"/>
      <c r="AC218" s="1066"/>
      <c r="AD218" s="1066"/>
      <c r="AE218" s="1066"/>
      <c r="AF218" s="1066"/>
      <c r="AG218" s="1066"/>
      <c r="AH218" s="1066"/>
      <c r="AI218" s="1066"/>
      <c r="AJ218" s="1066"/>
      <c r="AK218" s="1066"/>
    </row>
    <row r="219" spans="1:37" s="1067" customFormat="1" ht="35.25" customHeight="1">
      <c r="A219" s="832">
        <v>5</v>
      </c>
      <c r="B219" s="827" t="s">
        <v>69</v>
      </c>
      <c r="C219" s="832" t="s">
        <v>523</v>
      </c>
      <c r="D219" s="901" t="s">
        <v>881</v>
      </c>
      <c r="E219" s="389" t="e">
        <f>NC_DKDD!H685</f>
        <v>#VALUE!</v>
      </c>
      <c r="F219" s="389"/>
      <c r="G219" s="391"/>
      <c r="H219" s="389"/>
      <c r="I219" s="389"/>
      <c r="J219" s="389"/>
      <c r="K219" s="389"/>
      <c r="L219" s="389"/>
      <c r="M219" s="389"/>
      <c r="N219" s="389"/>
      <c r="O219" s="389"/>
      <c r="P219" s="389">
        <f t="shared" si="36"/>
        <v>36.888461538461534</v>
      </c>
      <c r="Q219" s="1061">
        <f t="shared" si="37"/>
        <v>32.076923076923073</v>
      </c>
      <c r="R219" s="1061">
        <f t="shared" si="35"/>
        <v>4.8115384615384613</v>
      </c>
      <c r="S219" s="1011">
        <f>NC_DKDD!G685</f>
        <v>6.0000000000000001E-3</v>
      </c>
      <c r="T219" s="946">
        <f>'[1]2,DG-capdoi'!N216</f>
        <v>0</v>
      </c>
      <c r="U219" s="946">
        <f t="shared" si="32"/>
        <v>0</v>
      </c>
      <c r="V219" s="1066"/>
      <c r="W219" s="1066"/>
      <c r="X219" s="1066"/>
      <c r="Y219" s="1066"/>
      <c r="Z219" s="1066"/>
      <c r="AA219" s="1066"/>
      <c r="AB219" s="1066"/>
      <c r="AC219" s="1066"/>
      <c r="AD219" s="1066"/>
      <c r="AE219" s="1066"/>
      <c r="AF219" s="1066"/>
      <c r="AG219" s="1066"/>
      <c r="AH219" s="1066"/>
      <c r="AI219" s="1066"/>
      <c r="AJ219" s="1066"/>
      <c r="AK219" s="1066"/>
    </row>
    <row r="220" spans="1:37" s="1067" customFormat="1" ht="42.75">
      <c r="A220" s="832">
        <v>6</v>
      </c>
      <c r="B220" s="827" t="s">
        <v>958</v>
      </c>
      <c r="C220" s="832"/>
      <c r="D220" s="832"/>
      <c r="E220" s="389">
        <f>NC_DKDD!H686</f>
        <v>0</v>
      </c>
      <c r="F220" s="389"/>
      <c r="G220" s="391"/>
      <c r="H220" s="389"/>
      <c r="I220" s="389"/>
      <c r="J220" s="389"/>
      <c r="K220" s="389"/>
      <c r="L220" s="389"/>
      <c r="M220" s="389"/>
      <c r="N220" s="389"/>
      <c r="O220" s="389"/>
      <c r="P220" s="389">
        <f t="shared" si="36"/>
        <v>0</v>
      </c>
      <c r="Q220" s="1061">
        <f t="shared" si="37"/>
        <v>0</v>
      </c>
      <c r="R220" s="1061">
        <f t="shared" si="35"/>
        <v>0</v>
      </c>
      <c r="S220" s="1011">
        <f>NC_DKDD!G686</f>
        <v>0</v>
      </c>
      <c r="T220" s="946">
        <f>'[1]2,DG-capdoi'!N217</f>
        <v>0</v>
      </c>
      <c r="U220" s="946">
        <f t="shared" si="32"/>
        <v>0</v>
      </c>
      <c r="V220" s="1066"/>
      <c r="W220" s="1066"/>
      <c r="X220" s="1066"/>
      <c r="Y220" s="1066"/>
      <c r="Z220" s="1066"/>
      <c r="AA220" s="1066"/>
      <c r="AB220" s="1066"/>
      <c r="AC220" s="1066"/>
      <c r="AD220" s="1066"/>
      <c r="AE220" s="1066"/>
      <c r="AF220" s="1066"/>
      <c r="AG220" s="1066"/>
      <c r="AH220" s="1066"/>
      <c r="AI220" s="1066"/>
      <c r="AJ220" s="1066"/>
      <c r="AK220" s="1066"/>
    </row>
    <row r="221" spans="1:37" s="1067" customFormat="1" ht="25.5" customHeight="1">
      <c r="A221" s="832" t="s">
        <v>444</v>
      </c>
      <c r="B221" s="827" t="s">
        <v>770</v>
      </c>
      <c r="C221" s="832" t="s">
        <v>281</v>
      </c>
      <c r="D221" s="901" t="s">
        <v>881</v>
      </c>
      <c r="E221" s="389" t="e">
        <f>NC_DKDD!H687</f>
        <v>#VALUE!</v>
      </c>
      <c r="F221" s="389"/>
      <c r="G221" s="391"/>
      <c r="H221" s="389"/>
      <c r="I221" s="389"/>
      <c r="J221" s="389"/>
      <c r="K221" s="389"/>
      <c r="L221" s="389"/>
      <c r="M221" s="389"/>
      <c r="N221" s="389"/>
      <c r="O221" s="389"/>
      <c r="P221" s="389">
        <f t="shared" si="36"/>
        <v>307.40384615384619</v>
      </c>
      <c r="Q221" s="1061">
        <f t="shared" si="37"/>
        <v>267.30769230769232</v>
      </c>
      <c r="R221" s="1061">
        <f t="shared" si="35"/>
        <v>40.096153846153847</v>
      </c>
      <c r="S221" s="1011">
        <f>NC_DKDD!G687</f>
        <v>0.05</v>
      </c>
      <c r="T221" s="946">
        <f>'[1]2,DG-capdoi'!N218</f>
        <v>0</v>
      </c>
      <c r="U221" s="946">
        <f t="shared" si="32"/>
        <v>0</v>
      </c>
      <c r="V221" s="1066"/>
      <c r="W221" s="1066"/>
      <c r="X221" s="1066"/>
      <c r="Y221" s="1066"/>
      <c r="Z221" s="1066"/>
      <c r="AA221" s="1066"/>
      <c r="AB221" s="1066"/>
      <c r="AC221" s="1066"/>
      <c r="AD221" s="1066"/>
      <c r="AE221" s="1066"/>
      <c r="AF221" s="1066"/>
      <c r="AG221" s="1066"/>
      <c r="AH221" s="1066"/>
      <c r="AI221" s="1066"/>
      <c r="AJ221" s="1066"/>
      <c r="AK221" s="1066"/>
    </row>
    <row r="222" spans="1:37" s="1067" customFormat="1" ht="25.5" customHeight="1">
      <c r="A222" s="832" t="s">
        <v>445</v>
      </c>
      <c r="B222" s="827" t="s">
        <v>771</v>
      </c>
      <c r="C222" s="832" t="s">
        <v>281</v>
      </c>
      <c r="D222" s="901" t="s">
        <v>881</v>
      </c>
      <c r="E222" s="389" t="e">
        <f>NC_DKDD!H688</f>
        <v>#VALUE!</v>
      </c>
      <c r="F222" s="389"/>
      <c r="G222" s="391"/>
      <c r="H222" s="389"/>
      <c r="I222" s="389"/>
      <c r="J222" s="389"/>
      <c r="K222" s="389"/>
      <c r="L222" s="389"/>
      <c r="M222" s="389"/>
      <c r="N222" s="389"/>
      <c r="O222" s="389"/>
      <c r="P222" s="389">
        <f t="shared" si="36"/>
        <v>614.80769230769238</v>
      </c>
      <c r="Q222" s="1061">
        <f t="shared" si="37"/>
        <v>534.61538461538464</v>
      </c>
      <c r="R222" s="1061">
        <f t="shared" si="35"/>
        <v>80.192307692307693</v>
      </c>
      <c r="S222" s="1011">
        <f>NC_DKDD!G688</f>
        <v>0.1</v>
      </c>
      <c r="T222" s="946">
        <f>'[1]2,DG-capdoi'!N219</f>
        <v>0</v>
      </c>
      <c r="U222" s="946">
        <f t="shared" si="32"/>
        <v>0</v>
      </c>
      <c r="V222" s="1066"/>
      <c r="W222" s="1066"/>
      <c r="X222" s="1066"/>
      <c r="Y222" s="1066"/>
      <c r="Z222" s="1066"/>
      <c r="AA222" s="1066"/>
      <c r="AB222" s="1066"/>
      <c r="AC222" s="1066"/>
      <c r="AD222" s="1066"/>
      <c r="AE222" s="1066"/>
      <c r="AF222" s="1066"/>
      <c r="AG222" s="1066"/>
      <c r="AH222" s="1066"/>
      <c r="AI222" s="1066"/>
      <c r="AJ222" s="1066"/>
      <c r="AK222" s="1066"/>
    </row>
    <row r="223" spans="1:37" s="1067" customFormat="1" ht="32.25" customHeight="1">
      <c r="A223" s="832">
        <v>7</v>
      </c>
      <c r="B223" s="827" t="s">
        <v>510</v>
      </c>
      <c r="C223" s="832" t="s">
        <v>523</v>
      </c>
      <c r="D223" s="901" t="s">
        <v>881</v>
      </c>
      <c r="E223" s="389" t="e">
        <f>NC_DKDD!H689</f>
        <v>#VALUE!</v>
      </c>
      <c r="F223" s="389"/>
      <c r="G223" s="391"/>
      <c r="H223" s="389"/>
      <c r="I223" s="389"/>
      <c r="J223" s="389"/>
      <c r="K223" s="389"/>
      <c r="L223" s="389"/>
      <c r="M223" s="389"/>
      <c r="N223" s="389"/>
      <c r="O223" s="389"/>
      <c r="P223" s="389">
        <f t="shared" si="36"/>
        <v>657.84423076923065</v>
      </c>
      <c r="Q223" s="1061">
        <f t="shared" si="37"/>
        <v>572.03846153846143</v>
      </c>
      <c r="R223" s="1061">
        <f t="shared" si="35"/>
        <v>85.805769230769229</v>
      </c>
      <c r="S223" s="1011">
        <f>NC_DKDD!G689</f>
        <v>0.107</v>
      </c>
      <c r="T223" s="946">
        <f>'[1]2,DG-capdoi'!N220</f>
        <v>0</v>
      </c>
      <c r="U223" s="946">
        <f t="shared" si="32"/>
        <v>0</v>
      </c>
      <c r="V223" s="1066"/>
      <c r="W223" s="1066"/>
      <c r="X223" s="1066"/>
      <c r="Y223" s="1066"/>
      <c r="Z223" s="1066"/>
      <c r="AA223" s="1066"/>
      <c r="AB223" s="1066"/>
      <c r="AC223" s="1066"/>
      <c r="AD223" s="1066"/>
      <c r="AE223" s="1066"/>
      <c r="AF223" s="1066"/>
      <c r="AG223" s="1066"/>
      <c r="AH223" s="1066"/>
      <c r="AI223" s="1066"/>
      <c r="AJ223" s="1066"/>
      <c r="AK223" s="1066"/>
    </row>
    <row r="224" spans="1:37" s="1067" customFormat="1" ht="25.5" customHeight="1">
      <c r="A224" s="832">
        <v>8</v>
      </c>
      <c r="B224" s="827" t="s">
        <v>213</v>
      </c>
      <c r="C224" s="832"/>
      <c r="D224" s="832"/>
      <c r="E224" s="389">
        <f>NC_DKDD!H690</f>
        <v>0</v>
      </c>
      <c r="F224" s="389"/>
      <c r="G224" s="391"/>
      <c r="H224" s="389"/>
      <c r="I224" s="389"/>
      <c r="J224" s="389"/>
      <c r="K224" s="389"/>
      <c r="L224" s="389"/>
      <c r="M224" s="389"/>
      <c r="N224" s="389"/>
      <c r="O224" s="389"/>
      <c r="P224" s="389">
        <f t="shared" si="36"/>
        <v>0</v>
      </c>
      <c r="Q224" s="1061">
        <f t="shared" si="37"/>
        <v>0</v>
      </c>
      <c r="R224" s="1061">
        <f t="shared" si="35"/>
        <v>0</v>
      </c>
      <c r="S224" s="1011">
        <f>NC_DKDD!G690</f>
        <v>0</v>
      </c>
      <c r="T224" s="946">
        <f>'[1]2,DG-capdoi'!N221</f>
        <v>0</v>
      </c>
      <c r="U224" s="946">
        <f t="shared" si="32"/>
        <v>0</v>
      </c>
      <c r="V224" s="1066"/>
      <c r="W224" s="1066"/>
      <c r="X224" s="1066"/>
      <c r="Y224" s="1066"/>
      <c r="Z224" s="1066"/>
      <c r="AA224" s="1066"/>
      <c r="AB224" s="1066"/>
      <c r="AC224" s="1066"/>
      <c r="AD224" s="1066"/>
      <c r="AE224" s="1066"/>
      <c r="AF224" s="1066"/>
      <c r="AG224" s="1066"/>
      <c r="AH224" s="1066"/>
      <c r="AI224" s="1066"/>
      <c r="AJ224" s="1066"/>
      <c r="AK224" s="1066"/>
    </row>
    <row r="225" spans="1:37" s="1067" customFormat="1" ht="25.5" customHeight="1">
      <c r="A225" s="832" t="s">
        <v>374</v>
      </c>
      <c r="B225" s="827" t="s">
        <v>215</v>
      </c>
      <c r="C225" s="832" t="s">
        <v>320</v>
      </c>
      <c r="D225" s="901" t="s">
        <v>881</v>
      </c>
      <c r="E225" s="389" t="e">
        <f>NC_DKDD!H691</f>
        <v>#VALUE!</v>
      </c>
      <c r="F225" s="389"/>
      <c r="G225" s="391"/>
      <c r="H225" s="389"/>
      <c r="I225" s="389"/>
      <c r="J225" s="389"/>
      <c r="K225" s="389"/>
      <c r="L225" s="389"/>
      <c r="M225" s="389"/>
      <c r="N225" s="389"/>
      <c r="O225" s="389"/>
      <c r="P225" s="389">
        <f t="shared" si="36"/>
        <v>614.80769230769238</v>
      </c>
      <c r="Q225" s="1061">
        <f t="shared" si="37"/>
        <v>534.61538461538464</v>
      </c>
      <c r="R225" s="1061">
        <f t="shared" si="35"/>
        <v>80.192307692307693</v>
      </c>
      <c r="S225" s="1011">
        <f>NC_DKDD!G691</f>
        <v>0.1</v>
      </c>
      <c r="T225" s="946">
        <f>'[1]2,DG-capdoi'!N222</f>
        <v>0</v>
      </c>
      <c r="U225" s="946">
        <f t="shared" si="32"/>
        <v>0</v>
      </c>
      <c r="V225" s="1066"/>
      <c r="W225" s="1066"/>
      <c r="X225" s="1066"/>
      <c r="Y225" s="1066"/>
      <c r="Z225" s="1066"/>
      <c r="AA225" s="1066"/>
      <c r="AB225" s="1066"/>
      <c r="AC225" s="1066"/>
      <c r="AD225" s="1066"/>
      <c r="AE225" s="1066"/>
      <c r="AF225" s="1066"/>
      <c r="AG225" s="1066"/>
      <c r="AH225" s="1066"/>
      <c r="AI225" s="1066"/>
      <c r="AJ225" s="1066"/>
      <c r="AK225" s="1066"/>
    </row>
    <row r="226" spans="1:37" s="1067" customFormat="1" ht="25.5" customHeight="1">
      <c r="A226" s="832" t="s">
        <v>375</v>
      </c>
      <c r="B226" s="827" t="s">
        <v>217</v>
      </c>
      <c r="C226" s="832" t="s">
        <v>320</v>
      </c>
      <c r="D226" s="901" t="s">
        <v>881</v>
      </c>
      <c r="E226" s="389" t="e">
        <f>NC_DKDD!H692</f>
        <v>#VALUE!</v>
      </c>
      <c r="F226" s="389"/>
      <c r="G226" s="391"/>
      <c r="H226" s="389"/>
      <c r="I226" s="389"/>
      <c r="J226" s="389"/>
      <c r="K226" s="389"/>
      <c r="L226" s="389"/>
      <c r="M226" s="389"/>
      <c r="N226" s="389"/>
      <c r="O226" s="389"/>
      <c r="P226" s="389">
        <f t="shared" si="36"/>
        <v>922.21153846153834</v>
      </c>
      <c r="Q226" s="1061">
        <f t="shared" si="37"/>
        <v>801.92307692307679</v>
      </c>
      <c r="R226" s="1061">
        <f t="shared" si="35"/>
        <v>120.28846153846153</v>
      </c>
      <c r="S226" s="1011">
        <f>NC_DKDD!G692</f>
        <v>0.15</v>
      </c>
      <c r="T226" s="946">
        <f>'[1]2,DG-capdoi'!N223</f>
        <v>0</v>
      </c>
      <c r="U226" s="946">
        <f t="shared" si="32"/>
        <v>0</v>
      </c>
      <c r="V226" s="1066"/>
      <c r="W226" s="1066"/>
      <c r="X226" s="1066"/>
      <c r="Y226" s="1066"/>
      <c r="Z226" s="1066"/>
      <c r="AA226" s="1066"/>
      <c r="AB226" s="1066"/>
      <c r="AC226" s="1066"/>
      <c r="AD226" s="1066"/>
      <c r="AE226" s="1066"/>
      <c r="AF226" s="1066"/>
      <c r="AG226" s="1066"/>
      <c r="AH226" s="1066"/>
      <c r="AI226" s="1066"/>
      <c r="AJ226" s="1066"/>
      <c r="AK226" s="1066"/>
    </row>
    <row r="227" spans="1:37" s="1067" customFormat="1" ht="57.75" customHeight="1">
      <c r="A227" s="832">
        <v>9</v>
      </c>
      <c r="B227" s="827" t="s">
        <v>511</v>
      </c>
      <c r="C227" s="832" t="s">
        <v>281</v>
      </c>
      <c r="D227" s="901" t="s">
        <v>881</v>
      </c>
      <c r="E227" s="389" t="e">
        <f>NC_DKDD!H693</f>
        <v>#VALUE!</v>
      </c>
      <c r="F227" s="389"/>
      <c r="G227" s="391"/>
      <c r="H227" s="389"/>
      <c r="I227" s="389"/>
      <c r="J227" s="389"/>
      <c r="K227" s="389"/>
      <c r="L227" s="389"/>
      <c r="M227" s="389"/>
      <c r="N227" s="389"/>
      <c r="O227" s="389"/>
      <c r="P227" s="389">
        <f t="shared" si="36"/>
        <v>2459.2307692307695</v>
      </c>
      <c r="Q227" s="1061">
        <f t="shared" si="37"/>
        <v>2138.4615384615386</v>
      </c>
      <c r="R227" s="1061">
        <f t="shared" si="35"/>
        <v>320.76923076923077</v>
      </c>
      <c r="S227" s="1011">
        <f>NC_DKDD!G693</f>
        <v>0.4</v>
      </c>
      <c r="T227" s="946">
        <f>'[1]2,DG-capdoi'!N224</f>
        <v>0</v>
      </c>
      <c r="U227" s="946">
        <f t="shared" si="32"/>
        <v>0</v>
      </c>
      <c r="V227" s="1066"/>
      <c r="W227" s="1066"/>
      <c r="X227" s="1066"/>
      <c r="Y227" s="1066"/>
      <c r="Z227" s="1066"/>
      <c r="AA227" s="1066"/>
      <c r="AB227" s="1066"/>
      <c r="AC227" s="1066"/>
      <c r="AD227" s="1066"/>
      <c r="AE227" s="1066"/>
      <c r="AF227" s="1066"/>
      <c r="AG227" s="1066"/>
      <c r="AH227" s="1066"/>
      <c r="AI227" s="1066"/>
      <c r="AJ227" s="1066"/>
      <c r="AK227" s="1066"/>
    </row>
    <row r="228" spans="1:37" s="1067" customFormat="1" ht="51" customHeight="1">
      <c r="A228" s="832">
        <v>10</v>
      </c>
      <c r="B228" s="827" t="s">
        <v>512</v>
      </c>
      <c r="C228" s="832" t="s">
        <v>281</v>
      </c>
      <c r="D228" s="901" t="s">
        <v>881</v>
      </c>
      <c r="E228" s="389" t="e">
        <f>NC_DKDD!H694</f>
        <v>#VALUE!</v>
      </c>
      <c r="F228" s="389"/>
      <c r="G228" s="391"/>
      <c r="H228" s="389"/>
      <c r="I228" s="389"/>
      <c r="J228" s="389"/>
      <c r="K228" s="389"/>
      <c r="L228" s="389"/>
      <c r="M228" s="389"/>
      <c r="N228" s="389"/>
      <c r="O228" s="389"/>
      <c r="P228" s="389">
        <f t="shared" si="36"/>
        <v>2274.7884615384614</v>
      </c>
      <c r="Q228" s="1061">
        <f t="shared" si="37"/>
        <v>1978.0769230769229</v>
      </c>
      <c r="R228" s="1061">
        <f t="shared" si="35"/>
        <v>296.71153846153845</v>
      </c>
      <c r="S228" s="1011">
        <f>NC_DKDD!G694</f>
        <v>0.37</v>
      </c>
      <c r="T228" s="946">
        <f>'[1]2,DG-capdoi'!N225</f>
        <v>0</v>
      </c>
      <c r="U228" s="946">
        <f t="shared" si="32"/>
        <v>0</v>
      </c>
      <c r="V228" s="1066"/>
      <c r="W228" s="1066"/>
      <c r="X228" s="1066"/>
      <c r="Y228" s="1066"/>
      <c r="Z228" s="1066"/>
      <c r="AA228" s="1066"/>
      <c r="AB228" s="1066"/>
      <c r="AC228" s="1066"/>
      <c r="AD228" s="1066"/>
      <c r="AE228" s="1066"/>
      <c r="AF228" s="1066"/>
      <c r="AG228" s="1066"/>
      <c r="AH228" s="1066"/>
      <c r="AI228" s="1066"/>
      <c r="AJ228" s="1066"/>
      <c r="AK228" s="1066"/>
    </row>
    <row r="229" spans="1:37" s="1067" customFormat="1" ht="25.5" customHeight="1">
      <c r="A229" s="832">
        <v>11</v>
      </c>
      <c r="B229" s="827" t="s">
        <v>221</v>
      </c>
      <c r="C229" s="832"/>
      <c r="D229" s="832"/>
      <c r="E229" s="389">
        <f>NC_DKDD!H695</f>
        <v>0</v>
      </c>
      <c r="F229" s="389"/>
      <c r="G229" s="391"/>
      <c r="H229" s="389"/>
      <c r="I229" s="389"/>
      <c r="J229" s="389"/>
      <c r="K229" s="389"/>
      <c r="L229" s="389"/>
      <c r="M229" s="389"/>
      <c r="N229" s="389"/>
      <c r="O229" s="389"/>
      <c r="P229" s="389">
        <f t="shared" si="36"/>
        <v>0</v>
      </c>
      <c r="Q229" s="1061">
        <f t="shared" si="37"/>
        <v>0</v>
      </c>
      <c r="R229" s="1061">
        <f t="shared" si="35"/>
        <v>0</v>
      </c>
      <c r="S229" s="1011">
        <f>NC_DKDD!G695</f>
        <v>0</v>
      </c>
      <c r="T229" s="946">
        <f>'[1]2,DG-capdoi'!N226</f>
        <v>0</v>
      </c>
      <c r="U229" s="946">
        <f t="shared" si="32"/>
        <v>0</v>
      </c>
      <c r="V229" s="1066"/>
      <c r="W229" s="1066"/>
      <c r="X229" s="1066"/>
      <c r="Y229" s="1066"/>
      <c r="Z229" s="1066"/>
      <c r="AA229" s="1066"/>
      <c r="AB229" s="1066"/>
      <c r="AC229" s="1066"/>
      <c r="AD229" s="1066"/>
      <c r="AE229" s="1066"/>
      <c r="AF229" s="1066"/>
      <c r="AG229" s="1066"/>
      <c r="AH229" s="1066"/>
      <c r="AI229" s="1066"/>
      <c r="AJ229" s="1066"/>
      <c r="AK229" s="1066"/>
    </row>
    <row r="230" spans="1:37" s="1067" customFormat="1" ht="40.5" customHeight="1">
      <c r="A230" s="832" t="s">
        <v>877</v>
      </c>
      <c r="B230" s="827" t="s">
        <v>931</v>
      </c>
      <c r="C230" s="832"/>
      <c r="D230" s="832"/>
      <c r="E230" s="389">
        <f>NC_DKDD!H696</f>
        <v>0</v>
      </c>
      <c r="F230" s="389"/>
      <c r="G230" s="391"/>
      <c r="H230" s="389"/>
      <c r="I230" s="389"/>
      <c r="J230" s="389"/>
      <c r="K230" s="389"/>
      <c r="L230" s="389"/>
      <c r="M230" s="389"/>
      <c r="N230" s="389"/>
      <c r="O230" s="389"/>
      <c r="P230" s="389">
        <f t="shared" si="36"/>
        <v>0</v>
      </c>
      <c r="Q230" s="1061">
        <f t="shared" si="37"/>
        <v>0</v>
      </c>
      <c r="R230" s="1061">
        <f t="shared" si="35"/>
        <v>0</v>
      </c>
      <c r="S230" s="1011">
        <f>NC_DKDD!G696</f>
        <v>0</v>
      </c>
      <c r="T230" s="946">
        <f>'[1]2,DG-capdoi'!N227</f>
        <v>0</v>
      </c>
      <c r="U230" s="946">
        <f t="shared" si="32"/>
        <v>0</v>
      </c>
      <c r="V230" s="1066"/>
      <c r="W230" s="1066"/>
      <c r="X230" s="1066"/>
      <c r="Y230" s="1066"/>
      <c r="Z230" s="1066"/>
      <c r="AA230" s="1066"/>
      <c r="AB230" s="1066"/>
      <c r="AC230" s="1066"/>
      <c r="AD230" s="1066"/>
      <c r="AE230" s="1066"/>
      <c r="AF230" s="1066"/>
      <c r="AG230" s="1066"/>
      <c r="AH230" s="1066"/>
      <c r="AI230" s="1066"/>
      <c r="AJ230" s="1066"/>
      <c r="AK230" s="1066"/>
    </row>
    <row r="231" spans="1:37" s="1067" customFormat="1" ht="25.5" customHeight="1">
      <c r="A231" s="832" t="s">
        <v>513</v>
      </c>
      <c r="B231" s="827" t="s">
        <v>933</v>
      </c>
      <c r="C231" s="832" t="s">
        <v>525</v>
      </c>
      <c r="D231" s="901" t="s">
        <v>881</v>
      </c>
      <c r="E231" s="389" t="e">
        <f>NC_DKDD!H697</f>
        <v>#VALUE!</v>
      </c>
      <c r="F231" s="389"/>
      <c r="G231" s="391"/>
      <c r="H231" s="389"/>
      <c r="I231" s="389"/>
      <c r="J231" s="389"/>
      <c r="K231" s="389"/>
      <c r="L231" s="389"/>
      <c r="M231" s="389"/>
      <c r="N231" s="389"/>
      <c r="O231" s="389"/>
      <c r="P231" s="389">
        <f t="shared" si="36"/>
        <v>98.369230769230768</v>
      </c>
      <c r="Q231" s="1061">
        <f t="shared" si="37"/>
        <v>85.538461538461533</v>
      </c>
      <c r="R231" s="1061">
        <f t="shared" si="35"/>
        <v>12.830769230769231</v>
      </c>
      <c r="S231" s="1011">
        <f>NC_DKDD!G697</f>
        <v>1.6E-2</v>
      </c>
      <c r="T231" s="946">
        <f>'[1]2,DG-capdoi'!N228</f>
        <v>0</v>
      </c>
      <c r="U231" s="946">
        <f t="shared" si="32"/>
        <v>0</v>
      </c>
      <c r="V231" s="1066"/>
      <c r="W231" s="1066"/>
      <c r="X231" s="1066"/>
      <c r="Y231" s="1066"/>
      <c r="Z231" s="1066"/>
      <c r="AA231" s="1066"/>
      <c r="AB231" s="1066"/>
      <c r="AC231" s="1066"/>
      <c r="AD231" s="1066"/>
      <c r="AE231" s="1066"/>
      <c r="AF231" s="1066"/>
      <c r="AG231" s="1066"/>
      <c r="AH231" s="1066"/>
      <c r="AI231" s="1066"/>
      <c r="AJ231" s="1066"/>
      <c r="AK231" s="1066"/>
    </row>
    <row r="232" spans="1:37" s="1067" customFormat="1" ht="25.5" customHeight="1">
      <c r="A232" s="832" t="s">
        <v>514</v>
      </c>
      <c r="B232" s="827" t="s">
        <v>937</v>
      </c>
      <c r="C232" s="832" t="s">
        <v>525</v>
      </c>
      <c r="D232" s="901" t="s">
        <v>881</v>
      </c>
      <c r="E232" s="389" t="e">
        <f>NC_DKDD!H698</f>
        <v>#VALUE!</v>
      </c>
      <c r="F232" s="389"/>
      <c r="G232" s="391"/>
      <c r="H232" s="389"/>
      <c r="I232" s="389"/>
      <c r="J232" s="389"/>
      <c r="K232" s="389"/>
      <c r="L232" s="389"/>
      <c r="M232" s="389"/>
      <c r="N232" s="389"/>
      <c r="O232" s="389"/>
      <c r="P232" s="389">
        <f t="shared" si="36"/>
        <v>49.184615384615384</v>
      </c>
      <c r="Q232" s="1061">
        <f t="shared" si="37"/>
        <v>42.769230769230766</v>
      </c>
      <c r="R232" s="1061">
        <f t="shared" si="35"/>
        <v>6.4153846153846157</v>
      </c>
      <c r="S232" s="1011">
        <f>NC_DKDD!G698</f>
        <v>8.0000000000000002E-3</v>
      </c>
      <c r="T232" s="946">
        <f>'[1]2,DG-capdoi'!N229</f>
        <v>0</v>
      </c>
      <c r="U232" s="946">
        <f t="shared" si="32"/>
        <v>0</v>
      </c>
      <c r="V232" s="1066"/>
      <c r="W232" s="1066"/>
      <c r="X232" s="1066"/>
      <c r="Y232" s="1066"/>
      <c r="Z232" s="1066"/>
      <c r="AA232" s="1066"/>
      <c r="AB232" s="1066"/>
      <c r="AC232" s="1066"/>
      <c r="AD232" s="1066"/>
      <c r="AE232" s="1066"/>
      <c r="AF232" s="1066"/>
      <c r="AG232" s="1066"/>
      <c r="AH232" s="1066"/>
      <c r="AI232" s="1066"/>
      <c r="AJ232" s="1066"/>
      <c r="AK232" s="1066"/>
    </row>
    <row r="233" spans="1:37" s="1067" customFormat="1" ht="33.75" customHeight="1">
      <c r="A233" s="832" t="s">
        <v>878</v>
      </c>
      <c r="B233" s="827" t="s">
        <v>48</v>
      </c>
      <c r="C233" s="832" t="s">
        <v>525</v>
      </c>
      <c r="D233" s="901" t="s">
        <v>881</v>
      </c>
      <c r="E233" s="389" t="e">
        <f>NC_DKDD!H699</f>
        <v>#VALUE!</v>
      </c>
      <c r="F233" s="389"/>
      <c r="G233" s="391"/>
      <c r="H233" s="389"/>
      <c r="I233" s="389"/>
      <c r="J233" s="389"/>
      <c r="K233" s="389"/>
      <c r="L233" s="389"/>
      <c r="M233" s="389"/>
      <c r="N233" s="389"/>
      <c r="O233" s="389"/>
      <c r="P233" s="389">
        <f t="shared" si="36"/>
        <v>24.592307692307692</v>
      </c>
      <c r="Q233" s="1061">
        <f t="shared" si="37"/>
        <v>21.384615384615383</v>
      </c>
      <c r="R233" s="1061">
        <f t="shared" si="35"/>
        <v>3.2076923076923078</v>
      </c>
      <c r="S233" s="1011">
        <f>NC_DKDD!G699</f>
        <v>4.0000000000000001E-3</v>
      </c>
      <c r="T233" s="946">
        <f>'[1]2,DG-capdoi'!N230</f>
        <v>0</v>
      </c>
      <c r="U233" s="946">
        <f t="shared" si="32"/>
        <v>0</v>
      </c>
      <c r="V233" s="1066"/>
      <c r="W233" s="1066"/>
      <c r="X233" s="1066"/>
      <c r="Y233" s="1066"/>
      <c r="Z233" s="1066"/>
      <c r="AA233" s="1066"/>
      <c r="AB233" s="1066"/>
      <c r="AC233" s="1066"/>
      <c r="AD233" s="1066"/>
      <c r="AE233" s="1066"/>
      <c r="AF233" s="1066"/>
      <c r="AG233" s="1066"/>
      <c r="AH233" s="1066"/>
      <c r="AI233" s="1066"/>
      <c r="AJ233" s="1066"/>
      <c r="AK233" s="1066"/>
    </row>
    <row r="234" spans="1:37" s="1067" customFormat="1" ht="25.5" customHeight="1">
      <c r="A234" s="832" t="s">
        <v>879</v>
      </c>
      <c r="B234" s="827" t="s">
        <v>50</v>
      </c>
      <c r="C234" s="832" t="s">
        <v>523</v>
      </c>
      <c r="D234" s="901" t="s">
        <v>881</v>
      </c>
      <c r="E234" s="389" t="e">
        <f>NC_DKDD!H700</f>
        <v>#VALUE!</v>
      </c>
      <c r="F234" s="389"/>
      <c r="G234" s="391"/>
      <c r="H234" s="389"/>
      <c r="I234" s="389"/>
      <c r="J234" s="389"/>
      <c r="K234" s="389"/>
      <c r="L234" s="389"/>
      <c r="M234" s="389"/>
      <c r="N234" s="389"/>
      <c r="O234" s="389"/>
      <c r="P234" s="389">
        <f t="shared" si="36"/>
        <v>61.480769230769226</v>
      </c>
      <c r="Q234" s="1061">
        <f t="shared" si="37"/>
        <v>53.46153846153846</v>
      </c>
      <c r="R234" s="1061">
        <f t="shared" si="35"/>
        <v>8.0192307692307701</v>
      </c>
      <c r="S234" s="1011">
        <f>NC_DKDD!G700</f>
        <v>0.01</v>
      </c>
      <c r="T234" s="946">
        <f>'[1]2,DG-capdoi'!N231</f>
        <v>0</v>
      </c>
      <c r="U234" s="946">
        <f t="shared" si="32"/>
        <v>0</v>
      </c>
      <c r="V234" s="1066"/>
      <c r="W234" s="1066"/>
      <c r="X234" s="1066"/>
      <c r="Y234" s="1066"/>
      <c r="Z234" s="1066"/>
      <c r="AA234" s="1066"/>
      <c r="AB234" s="1066"/>
      <c r="AC234" s="1066"/>
      <c r="AD234" s="1066"/>
      <c r="AE234" s="1066"/>
      <c r="AF234" s="1066"/>
      <c r="AG234" s="1066"/>
      <c r="AH234" s="1066"/>
      <c r="AI234" s="1066"/>
      <c r="AJ234" s="1066"/>
      <c r="AK234" s="1066"/>
    </row>
    <row r="235" spans="1:37" s="1067" customFormat="1" ht="57">
      <c r="A235" s="832">
        <v>12</v>
      </c>
      <c r="B235" s="827" t="s">
        <v>235</v>
      </c>
      <c r="C235" s="832" t="s">
        <v>281</v>
      </c>
      <c r="D235" s="901" t="s">
        <v>881</v>
      </c>
      <c r="E235" s="389" t="e">
        <f>NC_DKDD!H701</f>
        <v>#VALUE!</v>
      </c>
      <c r="F235" s="389"/>
      <c r="G235" s="391"/>
      <c r="H235" s="389"/>
      <c r="I235" s="389"/>
      <c r="J235" s="389"/>
      <c r="K235" s="389"/>
      <c r="L235" s="389"/>
      <c r="M235" s="389"/>
      <c r="N235" s="389"/>
      <c r="O235" s="389"/>
      <c r="P235" s="389">
        <f t="shared" si="36"/>
        <v>307.40384615384619</v>
      </c>
      <c r="Q235" s="1061">
        <f t="shared" si="37"/>
        <v>267.30769230769232</v>
      </c>
      <c r="R235" s="1061">
        <f t="shared" si="35"/>
        <v>40.096153846153847</v>
      </c>
      <c r="S235" s="1011">
        <f>NC_DKDD!G701</f>
        <v>0.05</v>
      </c>
      <c r="T235" s="946">
        <f>'[1]2,DG-capdoi'!N232</f>
        <v>0</v>
      </c>
      <c r="U235" s="946">
        <f t="shared" si="32"/>
        <v>0</v>
      </c>
      <c r="V235" s="1066"/>
      <c r="W235" s="1066"/>
      <c r="X235" s="1066"/>
      <c r="Y235" s="1066"/>
      <c r="Z235" s="1066"/>
      <c r="AA235" s="1066"/>
      <c r="AB235" s="1066"/>
      <c r="AC235" s="1066"/>
      <c r="AD235" s="1066"/>
      <c r="AE235" s="1066"/>
      <c r="AF235" s="1066"/>
      <c r="AG235" s="1066"/>
      <c r="AH235" s="1066"/>
      <c r="AI235" s="1066"/>
      <c r="AJ235" s="1066"/>
      <c r="AK235" s="1066"/>
    </row>
    <row r="236" spans="1:37" s="1067" customFormat="1" ht="32.25" customHeight="1">
      <c r="A236" s="832">
        <v>13</v>
      </c>
      <c r="B236" s="827" t="s">
        <v>236</v>
      </c>
      <c r="C236" s="832" t="s">
        <v>281</v>
      </c>
      <c r="D236" s="901" t="s">
        <v>881</v>
      </c>
      <c r="E236" s="389" t="e">
        <f>NC_DKDD!H702</f>
        <v>#VALUE!</v>
      </c>
      <c r="F236" s="389"/>
      <c r="G236" s="391"/>
      <c r="H236" s="389"/>
      <c r="I236" s="389"/>
      <c r="J236" s="389"/>
      <c r="K236" s="389"/>
      <c r="L236" s="389"/>
      <c r="M236" s="389"/>
      <c r="N236" s="389"/>
      <c r="O236" s="389"/>
      <c r="P236" s="389">
        <f t="shared" si="36"/>
        <v>307.40384615384619</v>
      </c>
      <c r="Q236" s="1061">
        <f t="shared" si="37"/>
        <v>267.30769230769232</v>
      </c>
      <c r="R236" s="1061">
        <f t="shared" si="35"/>
        <v>40.096153846153847</v>
      </c>
      <c r="S236" s="1011">
        <f>NC_DKDD!G702</f>
        <v>0.05</v>
      </c>
      <c r="T236" s="946">
        <f>'[1]2,DG-capdoi'!N233</f>
        <v>0</v>
      </c>
      <c r="U236" s="946">
        <f t="shared" si="32"/>
        <v>0</v>
      </c>
      <c r="V236" s="1066"/>
      <c r="W236" s="1066"/>
      <c r="X236" s="1066"/>
      <c r="Y236" s="1066"/>
      <c r="Z236" s="1066"/>
      <c r="AA236" s="1066"/>
      <c r="AB236" s="1066"/>
      <c r="AC236" s="1066"/>
      <c r="AD236" s="1066"/>
      <c r="AE236" s="1066"/>
      <c r="AF236" s="1066"/>
      <c r="AG236" s="1066"/>
      <c r="AH236" s="1066"/>
      <c r="AI236" s="1066"/>
      <c r="AJ236" s="1066"/>
      <c r="AK236" s="1066"/>
    </row>
    <row r="237" spans="1:37" s="1067" customFormat="1" ht="25.5" customHeight="1">
      <c r="A237" s="869" t="s">
        <v>184</v>
      </c>
      <c r="B237" s="868" t="s">
        <v>606</v>
      </c>
      <c r="C237" s="832"/>
      <c r="D237" s="832"/>
      <c r="E237" s="920" t="e">
        <f>E238</f>
        <v>#VALUE!</v>
      </c>
      <c r="F237" s="389"/>
      <c r="G237" s="391"/>
      <c r="H237" s="389">
        <f>'Dcu-DKDD'!$H$251</f>
        <v>71.083283653846138</v>
      </c>
      <c r="I237" s="389">
        <f>'VL-DKDD'!$F$253</f>
        <v>676.62</v>
      </c>
      <c r="J237" s="389"/>
      <c r="K237" s="389"/>
      <c r="L237" s="387" t="e">
        <f>SUM(E237:K237)</f>
        <v>#VALUE!</v>
      </c>
      <c r="M237" s="387" t="e">
        <f>L237*'He so chung'!$D$17/100</f>
        <v>#VALUE!</v>
      </c>
      <c r="N237" s="387" t="e">
        <f>L237+M237</f>
        <v>#VALUE!</v>
      </c>
      <c r="O237" s="389"/>
      <c r="P237" s="920">
        <f>P238</f>
        <v>122.96153846153845</v>
      </c>
      <c r="Q237" s="1061">
        <f t="shared" si="37"/>
        <v>0</v>
      </c>
      <c r="R237" s="1061">
        <f t="shared" si="35"/>
        <v>0</v>
      </c>
      <c r="S237" s="1011">
        <f>NC_DKDD!G703</f>
        <v>0</v>
      </c>
      <c r="T237" s="946">
        <f>'[1]2,DG-capdoi'!N234</f>
        <v>4963.6386415865381</v>
      </c>
      <c r="U237" s="946" t="e">
        <f t="shared" si="32"/>
        <v>#VALUE!</v>
      </c>
      <c r="V237" s="1066"/>
      <c r="W237" s="1066"/>
      <c r="X237" s="1066"/>
      <c r="Y237" s="1066"/>
      <c r="Z237" s="1066"/>
      <c r="AA237" s="1066"/>
      <c r="AB237" s="1066"/>
      <c r="AC237" s="1066"/>
      <c r="AD237" s="1066"/>
      <c r="AE237" s="1066"/>
      <c r="AF237" s="1066"/>
      <c r="AG237" s="1066"/>
      <c r="AH237" s="1066"/>
      <c r="AI237" s="1066"/>
      <c r="AJ237" s="1066"/>
      <c r="AK237" s="1066"/>
    </row>
    <row r="238" spans="1:37" s="1067" customFormat="1" ht="28.5" customHeight="1">
      <c r="A238" s="832">
        <v>1</v>
      </c>
      <c r="B238" s="827" t="s">
        <v>515</v>
      </c>
      <c r="C238" s="832" t="s">
        <v>281</v>
      </c>
      <c r="D238" s="901" t="s">
        <v>881</v>
      </c>
      <c r="E238" s="389" t="e">
        <f>NC_DKDD!H704</f>
        <v>#VALUE!</v>
      </c>
      <c r="F238" s="389"/>
      <c r="G238" s="391"/>
      <c r="H238" s="389"/>
      <c r="I238" s="389"/>
      <c r="J238" s="389"/>
      <c r="K238" s="389"/>
      <c r="L238" s="389"/>
      <c r="M238" s="389"/>
      <c r="N238" s="389"/>
      <c r="O238" s="389"/>
      <c r="P238" s="389">
        <f t="shared" si="36"/>
        <v>122.96153846153845</v>
      </c>
      <c r="Q238" s="1061">
        <f t="shared" si="37"/>
        <v>106.92307692307692</v>
      </c>
      <c r="R238" s="1061">
        <f t="shared" si="35"/>
        <v>16.03846153846154</v>
      </c>
      <c r="S238" s="1011">
        <f>NC_DKDD!G704</f>
        <v>0.02</v>
      </c>
      <c r="T238" s="946">
        <f>'[1]2,DG-capdoi'!N235</f>
        <v>0</v>
      </c>
      <c r="U238" s="946">
        <f t="shared" si="32"/>
        <v>0</v>
      </c>
      <c r="V238" s="1066"/>
      <c r="W238" s="1066"/>
      <c r="X238" s="1066"/>
      <c r="Y238" s="1066"/>
      <c r="Z238" s="1066"/>
      <c r="AA238" s="1066"/>
      <c r="AB238" s="1066"/>
      <c r="AC238" s="1066"/>
      <c r="AD238" s="1066"/>
      <c r="AE238" s="1066"/>
      <c r="AF238" s="1066"/>
      <c r="AG238" s="1066"/>
      <c r="AH238" s="1066"/>
      <c r="AI238" s="1066"/>
      <c r="AJ238" s="1066"/>
      <c r="AK238" s="1066"/>
    </row>
    <row r="239" spans="1:37" s="917" customFormat="1" ht="21" customHeight="1">
      <c r="A239" s="1069"/>
      <c r="B239" s="1070" t="s">
        <v>282</v>
      </c>
      <c r="C239" s="1071"/>
      <c r="D239" s="1069"/>
      <c r="E239" s="935"/>
      <c r="F239" s="935"/>
      <c r="G239" s="1072"/>
      <c r="H239" s="935"/>
      <c r="I239" s="935"/>
      <c r="J239" s="1073"/>
      <c r="K239" s="1073"/>
      <c r="L239" s="1073"/>
      <c r="M239" s="1073"/>
      <c r="N239" s="1073"/>
      <c r="O239" s="1073"/>
      <c r="P239" s="935"/>
      <c r="Q239" s="367"/>
      <c r="R239" s="367"/>
      <c r="S239" s="1017"/>
      <c r="T239" s="946">
        <f>'[1]2,DG-capdoi'!N236</f>
        <v>0</v>
      </c>
      <c r="U239" s="946">
        <f t="shared" si="32"/>
        <v>0</v>
      </c>
      <c r="V239" s="367"/>
      <c r="W239" s="367"/>
      <c r="X239" s="367"/>
      <c r="Y239" s="367"/>
      <c r="Z239" s="367"/>
      <c r="AA239" s="367"/>
      <c r="AB239" s="367"/>
      <c r="AC239" s="367"/>
      <c r="AD239" s="367"/>
      <c r="AE239" s="367"/>
      <c r="AF239" s="367"/>
      <c r="AG239" s="367"/>
      <c r="AH239" s="367"/>
      <c r="AI239" s="367"/>
      <c r="AJ239" s="367"/>
      <c r="AK239" s="367"/>
    </row>
    <row r="240" spans="1:37" s="917" customFormat="1" ht="33" customHeight="1">
      <c r="A240" s="1041"/>
      <c r="B240" s="1129" t="s">
        <v>20</v>
      </c>
      <c r="C240" s="1129"/>
      <c r="D240" s="1129"/>
      <c r="E240" s="1129"/>
      <c r="F240" s="1129"/>
      <c r="G240" s="1129"/>
      <c r="H240" s="1129"/>
      <c r="I240" s="1129"/>
      <c r="J240" s="1129"/>
      <c r="K240" s="1129"/>
      <c r="L240" s="1129"/>
      <c r="M240" s="1129"/>
      <c r="N240" s="1129"/>
      <c r="O240" s="1129"/>
      <c r="P240" s="1129"/>
      <c r="Q240" s="367"/>
      <c r="R240" s="367" t="s">
        <v>464</v>
      </c>
      <c r="S240" s="1017"/>
      <c r="T240" s="946">
        <f>'[1]2,DG-capdoi'!N237</f>
        <v>0</v>
      </c>
      <c r="U240" s="946">
        <f t="shared" si="32"/>
        <v>0</v>
      </c>
      <c r="V240" s="367"/>
      <c r="W240" s="367"/>
      <c r="X240" s="367"/>
      <c r="Y240" s="367"/>
      <c r="Z240" s="367"/>
      <c r="AA240" s="367"/>
      <c r="AB240" s="367"/>
      <c r="AC240" s="367"/>
      <c r="AD240" s="367"/>
      <c r="AE240" s="367"/>
      <c r="AF240" s="367"/>
      <c r="AG240" s="367"/>
      <c r="AH240" s="367"/>
      <c r="AI240" s="367"/>
      <c r="AJ240" s="367"/>
      <c r="AK240" s="367"/>
    </row>
    <row r="241" spans="1:37" s="917" customFormat="1" ht="40.9" customHeight="1">
      <c r="A241" s="1041"/>
      <c r="B241" s="1118" t="s">
        <v>542</v>
      </c>
      <c r="C241" s="1118"/>
      <c r="D241" s="1118"/>
      <c r="E241" s="1118"/>
      <c r="F241" s="1118"/>
      <c r="G241" s="1118"/>
      <c r="H241" s="1118"/>
      <c r="I241" s="1118"/>
      <c r="J241" s="1118"/>
      <c r="K241" s="1118"/>
      <c r="L241" s="1118"/>
      <c r="M241" s="1118"/>
      <c r="N241" s="1118"/>
      <c r="O241" s="1118"/>
      <c r="P241" s="1118"/>
      <c r="Q241" s="367"/>
      <c r="R241" s="367"/>
      <c r="S241" s="1017"/>
      <c r="T241" s="946">
        <f>'[1]2,DG-capdoi'!N238</f>
        <v>0</v>
      </c>
      <c r="U241" s="946">
        <f t="shared" si="32"/>
        <v>0</v>
      </c>
      <c r="V241" s="367"/>
      <c r="W241" s="367"/>
      <c r="X241" s="367"/>
      <c r="Y241" s="367"/>
      <c r="Z241" s="367"/>
      <c r="AA241" s="367"/>
      <c r="AB241" s="367"/>
      <c r="AC241" s="367"/>
      <c r="AD241" s="367"/>
      <c r="AE241" s="367"/>
      <c r="AF241" s="367"/>
      <c r="AG241" s="367"/>
      <c r="AH241" s="367"/>
      <c r="AI241" s="367"/>
      <c r="AJ241" s="367"/>
      <c r="AK241" s="367"/>
    </row>
    <row r="242" spans="1:37" s="917" customFormat="1" ht="31.5" customHeight="1">
      <c r="A242" s="1041"/>
      <c r="B242" s="1181" t="s">
        <v>186</v>
      </c>
      <c r="C242" s="1181"/>
      <c r="D242" s="1181"/>
      <c r="E242" s="1181"/>
      <c r="F242" s="1181"/>
      <c r="G242" s="1181"/>
      <c r="H242" s="1181"/>
      <c r="I242" s="1181"/>
      <c r="J242" s="1181"/>
      <c r="K242" s="1181"/>
      <c r="L242" s="1181"/>
      <c r="M242" s="1181"/>
      <c r="N242" s="1181"/>
      <c r="O242" s="1181"/>
      <c r="P242" s="1181"/>
      <c r="Q242" s="367"/>
      <c r="R242" s="367"/>
      <c r="S242" s="1017"/>
      <c r="T242" s="946">
        <f>'[1]2,DG-capdoi'!N239</f>
        <v>0</v>
      </c>
      <c r="U242" s="946">
        <f t="shared" si="32"/>
        <v>0</v>
      </c>
      <c r="V242" s="367"/>
      <c r="W242" s="367"/>
      <c r="X242" s="367"/>
      <c r="Y242" s="367"/>
      <c r="Z242" s="367"/>
      <c r="AA242" s="367"/>
      <c r="AB242" s="367"/>
      <c r="AC242" s="367"/>
      <c r="AD242" s="367"/>
      <c r="AE242" s="367"/>
      <c r="AF242" s="367"/>
      <c r="AG242" s="367"/>
      <c r="AH242" s="367"/>
      <c r="AI242" s="367"/>
      <c r="AJ242" s="367"/>
      <c r="AK242" s="367"/>
    </row>
    <row r="243" spans="1:37" s="917" customFormat="1" ht="37.5" customHeight="1">
      <c r="A243" s="1041"/>
      <c r="B243" s="1118" t="s">
        <v>187</v>
      </c>
      <c r="C243" s="1118"/>
      <c r="D243" s="1118"/>
      <c r="E243" s="1118"/>
      <c r="F243" s="1118"/>
      <c r="G243" s="1118"/>
      <c r="H243" s="1118"/>
      <c r="I243" s="1118"/>
      <c r="J243" s="1118"/>
      <c r="K243" s="1118"/>
      <c r="L243" s="1118"/>
      <c r="M243" s="1118"/>
      <c r="N243" s="1118"/>
      <c r="O243" s="1118"/>
      <c r="P243" s="1118"/>
      <c r="Q243" s="367"/>
      <c r="R243" s="367"/>
      <c r="S243" s="1017"/>
      <c r="T243" s="946">
        <f>'[1]2,DG-capdoi'!N240</f>
        <v>0</v>
      </c>
      <c r="U243" s="946">
        <f t="shared" si="32"/>
        <v>0</v>
      </c>
      <c r="V243" s="367"/>
      <c r="W243" s="367"/>
      <c r="X243" s="367"/>
      <c r="Y243" s="367"/>
      <c r="Z243" s="367"/>
      <c r="AA243" s="367"/>
      <c r="AB243" s="367"/>
      <c r="AC243" s="367"/>
      <c r="AD243" s="367"/>
      <c r="AE243" s="367"/>
      <c r="AF243" s="367"/>
      <c r="AG243" s="367"/>
      <c r="AH243" s="367"/>
      <c r="AI243" s="367"/>
      <c r="AJ243" s="367"/>
      <c r="AK243" s="367"/>
    </row>
    <row r="244" spans="1:37" ht="14.25" customHeight="1">
      <c r="A244" s="984"/>
      <c r="B244" s="997"/>
      <c r="C244" s="997"/>
      <c r="D244" s="997"/>
      <c r="E244" s="997"/>
      <c r="F244" s="997"/>
      <c r="G244" s="997"/>
      <c r="H244" s="997"/>
      <c r="I244" s="997"/>
      <c r="J244" s="997"/>
      <c r="K244" s="997"/>
      <c r="L244" s="997"/>
      <c r="M244" s="997"/>
      <c r="N244" s="997"/>
      <c r="O244" s="997"/>
      <c r="P244" s="997"/>
      <c r="S244" s="996"/>
      <c r="T244" s="979">
        <f>'[1]2,DG-capdoi'!N241</f>
        <v>0</v>
      </c>
      <c r="U244" s="979">
        <f t="shared" si="32"/>
        <v>0</v>
      </c>
    </row>
    <row r="245" spans="1:37" ht="22.5" customHeight="1">
      <c r="A245" s="1114" t="s">
        <v>835</v>
      </c>
      <c r="B245" s="1114"/>
      <c r="C245" s="1114"/>
      <c r="D245" s="1114"/>
      <c r="E245" s="1114"/>
      <c r="F245" s="1114"/>
      <c r="G245" s="1114"/>
      <c r="H245" s="1114"/>
      <c r="I245" s="1114"/>
      <c r="J245" s="1114"/>
      <c r="K245" s="1114"/>
      <c r="L245" s="1114"/>
      <c r="M245" s="1114"/>
      <c r="N245" s="1114"/>
      <c r="O245" s="1114"/>
      <c r="P245" s="1114"/>
      <c r="S245" s="996"/>
      <c r="T245" s="979">
        <f>'[1]2,DG-capdoi'!N242</f>
        <v>0</v>
      </c>
      <c r="U245" s="979">
        <f t="shared" si="32"/>
        <v>0</v>
      </c>
    </row>
    <row r="246" spans="1:37" ht="16.5">
      <c r="A246" s="1113" t="s">
        <v>960</v>
      </c>
      <c r="B246" s="1113"/>
      <c r="C246" s="1113"/>
      <c r="D246" s="1113"/>
      <c r="E246" s="1113"/>
      <c r="F246" s="1113"/>
      <c r="G246" s="1113"/>
      <c r="H246" s="1113"/>
      <c r="I246" s="1113"/>
      <c r="J246" s="1113"/>
      <c r="K246" s="1113"/>
      <c r="L246" s="1113"/>
      <c r="M246" s="1113"/>
      <c r="N246" s="1113"/>
      <c r="O246" s="1113"/>
      <c r="P246" s="1113"/>
      <c r="S246" s="996"/>
      <c r="T246" s="979"/>
      <c r="U246" s="979"/>
    </row>
    <row r="247" spans="1:37" ht="21" customHeight="1">
      <c r="A247" s="984"/>
      <c r="B247" s="985"/>
      <c r="C247" s="986"/>
      <c r="D247" s="987" t="s">
        <v>576</v>
      </c>
      <c r="F247" s="988"/>
      <c r="G247" s="989"/>
      <c r="H247" s="988"/>
      <c r="I247" s="990"/>
      <c r="J247" s="988"/>
      <c r="K247" s="988"/>
      <c r="L247" s="983"/>
      <c r="M247" s="991" t="s">
        <v>980</v>
      </c>
      <c r="N247" s="988"/>
      <c r="O247" s="990"/>
      <c r="S247" s="996"/>
      <c r="T247" s="979">
        <f>'[1]2,DG-capdoi'!N243</f>
        <v>0</v>
      </c>
      <c r="U247" s="979" t="e">
        <f>T247-#REF!</f>
        <v>#REF!</v>
      </c>
    </row>
    <row r="248" spans="1:37" ht="17.25" hidden="1" customHeight="1">
      <c r="A248" s="984"/>
      <c r="B248" s="985"/>
      <c r="C248" s="986"/>
      <c r="D248" s="993"/>
      <c r="S248" s="996"/>
      <c r="T248" s="979">
        <f>'[1]2,DG-capdoi'!N244</f>
        <v>0</v>
      </c>
      <c r="U248" s="979">
        <f t="shared" si="32"/>
        <v>0</v>
      </c>
    </row>
    <row r="249" spans="1:37" ht="36" customHeight="1">
      <c r="A249" s="1115" t="s">
        <v>876</v>
      </c>
      <c r="B249" s="1115" t="s">
        <v>381</v>
      </c>
      <c r="C249" s="1111" t="s">
        <v>981</v>
      </c>
      <c r="D249" s="1111" t="s">
        <v>982</v>
      </c>
      <c r="E249" s="1111" t="s">
        <v>466</v>
      </c>
      <c r="F249" s="1111"/>
      <c r="G249" s="1111"/>
      <c r="H249" s="1111"/>
      <c r="I249" s="1111"/>
      <c r="J249" s="1111"/>
      <c r="K249" s="1111"/>
      <c r="L249" s="1111"/>
      <c r="M249" s="1111" t="s">
        <v>581</v>
      </c>
      <c r="N249" s="1111" t="s">
        <v>467</v>
      </c>
      <c r="O249" s="1111" t="s">
        <v>657</v>
      </c>
      <c r="P249" s="1111" t="s">
        <v>468</v>
      </c>
      <c r="Q249" s="1003"/>
      <c r="R249" s="1003"/>
      <c r="S249" s="996"/>
      <c r="T249" s="979" t="str">
        <f>'[1]2,DG-capdoi'!N245</f>
        <v>Đơn giá       sản phẩm</v>
      </c>
      <c r="U249" s="979"/>
    </row>
    <row r="250" spans="1:37" ht="39.75" customHeight="1">
      <c r="A250" s="1115"/>
      <c r="B250" s="1115"/>
      <c r="C250" s="1111"/>
      <c r="D250" s="1111"/>
      <c r="E250" s="825" t="s">
        <v>469</v>
      </c>
      <c r="F250" s="825" t="s">
        <v>470</v>
      </c>
      <c r="G250" s="852" t="s">
        <v>1003</v>
      </c>
      <c r="H250" s="825" t="s">
        <v>59</v>
      </c>
      <c r="I250" s="825" t="s">
        <v>471</v>
      </c>
      <c r="J250" s="825" t="s">
        <v>280</v>
      </c>
      <c r="K250" s="825" t="s">
        <v>472</v>
      </c>
      <c r="L250" s="825" t="s">
        <v>473</v>
      </c>
      <c r="M250" s="1111"/>
      <c r="N250" s="1111"/>
      <c r="O250" s="1111"/>
      <c r="P250" s="1111"/>
      <c r="Q250" s="1003"/>
      <c r="R250" s="1003"/>
      <c r="S250" s="996"/>
      <c r="T250" s="979">
        <f>'[1]2,DG-capdoi'!N246</f>
        <v>0</v>
      </c>
      <c r="U250" s="979">
        <f t="shared" si="32"/>
        <v>0</v>
      </c>
    </row>
    <row r="251" spans="1:37" s="917" customFormat="1" ht="39.75" customHeight="1">
      <c r="A251" s="831"/>
      <c r="B251" s="838" t="s">
        <v>833</v>
      </c>
      <c r="C251" s="382"/>
      <c r="D251" s="382"/>
      <c r="E251" s="382"/>
      <c r="F251" s="382"/>
      <c r="G251" s="837"/>
      <c r="H251" s="382"/>
      <c r="I251" s="382"/>
      <c r="J251" s="382"/>
      <c r="K251" s="382"/>
      <c r="L251" s="382"/>
      <c r="M251" s="382"/>
      <c r="N251" s="382"/>
      <c r="O251" s="382"/>
      <c r="P251" s="382"/>
      <c r="Q251" s="835"/>
      <c r="R251" s="835"/>
      <c r="S251" s="1017"/>
      <c r="T251" s="946">
        <f>'[1]2,DG-capdoi'!N247</f>
        <v>0</v>
      </c>
      <c r="U251" s="946">
        <f t="shared" si="32"/>
        <v>0</v>
      </c>
      <c r="V251" s="367"/>
      <c r="W251" s="367"/>
      <c r="X251" s="367"/>
      <c r="Y251" s="367"/>
      <c r="Z251" s="367"/>
      <c r="AA251" s="367"/>
      <c r="AB251" s="367"/>
      <c r="AC251" s="367"/>
      <c r="AD251" s="367"/>
      <c r="AE251" s="367"/>
      <c r="AF251" s="367"/>
      <c r="AG251" s="367"/>
      <c r="AH251" s="367"/>
      <c r="AI251" s="367"/>
      <c r="AJ251" s="367"/>
      <c r="AK251" s="367"/>
    </row>
    <row r="252" spans="1:37" s="917" customFormat="1" ht="39.75" customHeight="1">
      <c r="A252" s="831"/>
      <c r="B252" s="830" t="s">
        <v>451</v>
      </c>
      <c r="C252" s="382" t="s">
        <v>281</v>
      </c>
      <c r="D252" s="831" t="s">
        <v>881</v>
      </c>
      <c r="E252" s="383" t="e">
        <f>E255+E281</f>
        <v>#VALUE!</v>
      </c>
      <c r="F252" s="383">
        <f t="shared" ref="F252:N252" si="38">F255+F281</f>
        <v>0</v>
      </c>
      <c r="G252" s="383">
        <f t="shared" si="38"/>
        <v>0</v>
      </c>
      <c r="H252" s="383">
        <f t="shared" si="38"/>
        <v>8157.2958317307694</v>
      </c>
      <c r="I252" s="383">
        <f t="shared" si="38"/>
        <v>18661.86</v>
      </c>
      <c r="J252" s="383">
        <f t="shared" si="38"/>
        <v>6612.826</v>
      </c>
      <c r="K252" s="383">
        <f t="shared" si="38"/>
        <v>14571.858</v>
      </c>
      <c r="L252" s="383" t="e">
        <f t="shared" si="38"/>
        <v>#VALUE!</v>
      </c>
      <c r="M252" s="383" t="e">
        <f t="shared" si="38"/>
        <v>#VALUE!</v>
      </c>
      <c r="N252" s="383" t="e">
        <f t="shared" si="38"/>
        <v>#VALUE!</v>
      </c>
      <c r="O252" s="383"/>
      <c r="P252" s="383">
        <f>P255+P281</f>
        <v>11988.749999999998</v>
      </c>
      <c r="Q252" s="835"/>
      <c r="R252" s="835"/>
      <c r="S252" s="1017"/>
      <c r="T252" s="946">
        <f>'[1]2,DG-capdoi'!N248</f>
        <v>478725.71200649044</v>
      </c>
      <c r="U252" s="946" t="e">
        <f t="shared" si="32"/>
        <v>#VALUE!</v>
      </c>
      <c r="V252" s="367"/>
      <c r="W252" s="367"/>
      <c r="X252" s="367"/>
      <c r="Y252" s="367"/>
      <c r="Z252" s="367"/>
      <c r="AA252" s="367"/>
      <c r="AB252" s="367"/>
      <c r="AC252" s="367"/>
      <c r="AD252" s="367"/>
      <c r="AE252" s="367"/>
      <c r="AF252" s="367"/>
      <c r="AG252" s="367"/>
      <c r="AH252" s="367"/>
      <c r="AI252" s="367"/>
      <c r="AJ252" s="367"/>
      <c r="AK252" s="367"/>
    </row>
    <row r="253" spans="1:37" s="917" customFormat="1" ht="25.5" customHeight="1">
      <c r="A253" s="831"/>
      <c r="B253" s="888" t="s">
        <v>452</v>
      </c>
      <c r="C253" s="382" t="s">
        <v>281</v>
      </c>
      <c r="D253" s="831" t="s">
        <v>881</v>
      </c>
      <c r="E253" s="383" t="e">
        <f>E256+E281</f>
        <v>#VALUE!</v>
      </c>
      <c r="F253" s="383">
        <f t="shared" ref="F253:P253" si="39">F256+F281</f>
        <v>0</v>
      </c>
      <c r="G253" s="383">
        <f t="shared" si="39"/>
        <v>0</v>
      </c>
      <c r="H253" s="383">
        <f t="shared" si="39"/>
        <v>8157.2958317307694</v>
      </c>
      <c r="I253" s="383">
        <f t="shared" si="39"/>
        <v>18661.86</v>
      </c>
      <c r="J253" s="383">
        <f t="shared" si="39"/>
        <v>6612.826</v>
      </c>
      <c r="K253" s="383">
        <f t="shared" si="39"/>
        <v>14571.858</v>
      </c>
      <c r="L253" s="383" t="e">
        <f t="shared" si="39"/>
        <v>#VALUE!</v>
      </c>
      <c r="M253" s="383" t="e">
        <f t="shared" si="39"/>
        <v>#VALUE!</v>
      </c>
      <c r="N253" s="383" t="e">
        <f t="shared" si="39"/>
        <v>#VALUE!</v>
      </c>
      <c r="O253" s="383"/>
      <c r="P253" s="383">
        <f t="shared" si="39"/>
        <v>12910.961538461537</v>
      </c>
      <c r="Q253" s="890">
        <f>'He so chung'!D$22</f>
        <v>5346.1538461538457</v>
      </c>
      <c r="R253" s="890">
        <f>'He so chung'!D$23</f>
        <v>801.92307692307691</v>
      </c>
      <c r="S253" s="1019"/>
      <c r="T253" s="946">
        <f>'[1]2,DG-capdoi'!N249</f>
        <v>509504.06099687499</v>
      </c>
      <c r="U253" s="946" t="e">
        <f t="shared" si="32"/>
        <v>#VALUE!</v>
      </c>
      <c r="V253" s="367"/>
      <c r="W253" s="367"/>
      <c r="X253" s="367"/>
      <c r="Y253" s="367"/>
      <c r="Z253" s="367"/>
      <c r="AA253" s="367"/>
      <c r="AB253" s="367"/>
      <c r="AC253" s="367"/>
      <c r="AD253" s="367"/>
      <c r="AE253" s="367"/>
      <c r="AF253" s="367"/>
      <c r="AG253" s="367"/>
      <c r="AH253" s="367"/>
      <c r="AI253" s="367"/>
      <c r="AJ253" s="367"/>
      <c r="AK253" s="367"/>
    </row>
    <row r="254" spans="1:37" s="917" customFormat="1" ht="25.5" customHeight="1">
      <c r="A254" s="831" t="s">
        <v>179</v>
      </c>
      <c r="B254" s="888" t="s">
        <v>765</v>
      </c>
      <c r="C254" s="382"/>
      <c r="D254" s="382"/>
      <c r="E254" s="382"/>
      <c r="F254" s="382"/>
      <c r="G254" s="837"/>
      <c r="H254" s="382"/>
      <c r="I254" s="382"/>
      <c r="J254" s="382"/>
      <c r="K254" s="382"/>
      <c r="L254" s="382"/>
      <c r="M254" s="382"/>
      <c r="N254" s="382"/>
      <c r="O254" s="382"/>
      <c r="P254" s="382"/>
      <c r="Q254" s="890"/>
      <c r="R254" s="890"/>
      <c r="S254" s="1019"/>
      <c r="T254" s="946">
        <f>'[1]2,DG-capdoi'!N250</f>
        <v>0</v>
      </c>
      <c r="U254" s="946">
        <f t="shared" si="32"/>
        <v>0</v>
      </c>
      <c r="V254" s="367"/>
      <c r="W254" s="367"/>
      <c r="X254" s="367"/>
      <c r="Y254" s="367"/>
      <c r="Z254" s="367"/>
      <c r="AA254" s="367"/>
      <c r="AB254" s="367"/>
      <c r="AC254" s="367"/>
      <c r="AD254" s="367"/>
      <c r="AE254" s="367"/>
      <c r="AF254" s="367"/>
      <c r="AG254" s="367"/>
      <c r="AH254" s="367"/>
      <c r="AI254" s="367"/>
      <c r="AJ254" s="367"/>
      <c r="AK254" s="367"/>
    </row>
    <row r="255" spans="1:37" s="917" customFormat="1" ht="25.5" customHeight="1">
      <c r="A255" s="1074" t="s">
        <v>665</v>
      </c>
      <c r="B255" s="1075" t="s">
        <v>451</v>
      </c>
      <c r="C255" s="382" t="s">
        <v>281</v>
      </c>
      <c r="D255" s="1010"/>
      <c r="E255" s="919" t="e">
        <f>E258+E260+E261+E262+E263+E267+E269+E271+E272+E275+E276+E277+E278+E279+E280</f>
        <v>#VALUE!</v>
      </c>
      <c r="F255" s="919">
        <f>F258+F260+F261+F262+F263+F267+F269+F271+F272+F275+F276+F277+F278+F279+F280</f>
        <v>0</v>
      </c>
      <c r="G255" s="391"/>
      <c r="H255" s="383">
        <f>'Dcu-DKDD'!$J$251</f>
        <v>8086.2125480769228</v>
      </c>
      <c r="I255" s="383">
        <f>'VL-DKDD'!$H$253</f>
        <v>17985.240000000002</v>
      </c>
      <c r="J255" s="383">
        <f>'TB-DKDD'!$K$142</f>
        <v>6612.826</v>
      </c>
      <c r="K255" s="383">
        <f>'NL-DKDD'!$H$96</f>
        <v>14571.858</v>
      </c>
      <c r="L255" s="893" t="e">
        <f>SUM(E255:K255)</f>
        <v>#VALUE!</v>
      </c>
      <c r="M255" s="893" t="e">
        <f>L255*'He so chung'!$D$17/100</f>
        <v>#VALUE!</v>
      </c>
      <c r="N255" s="893" t="e">
        <f>L255+M255</f>
        <v>#VALUE!</v>
      </c>
      <c r="O255" s="898"/>
      <c r="P255" s="919">
        <f>P258+P260+P261+P262+P263+P267+P269+P271+P272+P275+P276+P277+P278+P279+P280</f>
        <v>11865.788461538459</v>
      </c>
      <c r="Q255" s="835"/>
      <c r="R255" s="835"/>
      <c r="S255" s="1011"/>
      <c r="T255" s="946">
        <f>'[1]2,DG-capdoi'!N251</f>
        <v>473762.07336490392</v>
      </c>
      <c r="U255" s="946" t="e">
        <f t="shared" si="32"/>
        <v>#VALUE!</v>
      </c>
      <c r="V255" s="367"/>
      <c r="W255" s="367"/>
      <c r="X255" s="367"/>
      <c r="Y255" s="367"/>
      <c r="Z255" s="367"/>
      <c r="AA255" s="367"/>
      <c r="AB255" s="367"/>
      <c r="AC255" s="367"/>
      <c r="AD255" s="367"/>
      <c r="AE255" s="367"/>
      <c r="AF255" s="367"/>
      <c r="AG255" s="367"/>
      <c r="AH255" s="367"/>
      <c r="AI255" s="367"/>
      <c r="AJ255" s="367"/>
      <c r="AK255" s="367"/>
    </row>
    <row r="256" spans="1:37" s="917" customFormat="1" ht="25.5" customHeight="1">
      <c r="A256" s="1074" t="s">
        <v>666</v>
      </c>
      <c r="B256" s="1075" t="s">
        <v>452</v>
      </c>
      <c r="C256" s="382" t="s">
        <v>281</v>
      </c>
      <c r="D256" s="1010"/>
      <c r="E256" s="919" t="e">
        <f>E259+E260+E261+E262+E263+E267+E269+E270+E271+E272+E275+E276+E277+E278+E279+E280</f>
        <v>#VALUE!</v>
      </c>
      <c r="F256" s="919">
        <f>F259+F260+F261+F262+F263+F267+F269+F270+F271+F272+F275+F276+F277+F278+F279+F280</f>
        <v>0</v>
      </c>
      <c r="G256" s="391"/>
      <c r="H256" s="383">
        <f>'Dcu-DKDD'!$J$251</f>
        <v>8086.2125480769228</v>
      </c>
      <c r="I256" s="383">
        <f>'VL-DKDD'!$H$253</f>
        <v>17985.240000000002</v>
      </c>
      <c r="J256" s="383">
        <f>'TB-DKDD'!$K$142</f>
        <v>6612.826</v>
      </c>
      <c r="K256" s="383">
        <f>'NL-DKDD'!$H$96</f>
        <v>14571.858</v>
      </c>
      <c r="L256" s="893" t="e">
        <f>SUM(E256:K256)</f>
        <v>#VALUE!</v>
      </c>
      <c r="M256" s="893" t="e">
        <f>L256*'He so chung'!$D$17/100</f>
        <v>#VALUE!</v>
      </c>
      <c r="N256" s="893" t="e">
        <f>L256+M256</f>
        <v>#VALUE!</v>
      </c>
      <c r="O256" s="898"/>
      <c r="P256" s="919">
        <f>P259+P260+P261+P262+P263+P267+P269+P270+P271+P272+P275+P276+P277+P278+P279+P280</f>
        <v>12787.999999999998</v>
      </c>
      <c r="Q256" s="835"/>
      <c r="R256" s="835"/>
      <c r="S256" s="1011"/>
      <c r="T256" s="946">
        <f>'[1]2,DG-capdoi'!N252</f>
        <v>504540.42235528847</v>
      </c>
      <c r="U256" s="946" t="e">
        <f t="shared" si="32"/>
        <v>#VALUE!</v>
      </c>
      <c r="V256" s="367"/>
      <c r="W256" s="367"/>
      <c r="X256" s="367"/>
      <c r="Y256" s="367"/>
      <c r="Z256" s="367"/>
      <c r="AA256" s="367"/>
      <c r="AB256" s="367"/>
      <c r="AC256" s="367"/>
      <c r="AD256" s="367"/>
      <c r="AE256" s="367"/>
      <c r="AF256" s="367"/>
      <c r="AG256" s="367"/>
      <c r="AH256" s="367"/>
      <c r="AI256" s="367"/>
      <c r="AJ256" s="367"/>
      <c r="AK256" s="367"/>
    </row>
    <row r="257" spans="1:37" s="917" customFormat="1" ht="43.5" customHeight="1">
      <c r="A257" s="1076">
        <v>1</v>
      </c>
      <c r="B257" s="1077" t="s">
        <v>508</v>
      </c>
      <c r="C257" s="1076"/>
      <c r="D257" s="1010"/>
      <c r="E257" s="898"/>
      <c r="F257" s="898"/>
      <c r="G257" s="391"/>
      <c r="H257" s="898"/>
      <c r="I257" s="898"/>
      <c r="J257" s="898"/>
      <c r="K257" s="898"/>
      <c r="L257" s="898"/>
      <c r="M257" s="898"/>
      <c r="N257" s="898"/>
      <c r="O257" s="898"/>
      <c r="P257" s="898">
        <f t="shared" ref="P257:P282" si="40">Q257+R257</f>
        <v>0</v>
      </c>
      <c r="Q257" s="835"/>
      <c r="R257" s="835"/>
      <c r="S257" s="1011"/>
      <c r="T257" s="946">
        <f>'[1]2,DG-capdoi'!N253</f>
        <v>0</v>
      </c>
      <c r="U257" s="946">
        <f t="shared" si="32"/>
        <v>0</v>
      </c>
      <c r="V257" s="367"/>
      <c r="W257" s="367"/>
      <c r="X257" s="367"/>
      <c r="Y257" s="367"/>
      <c r="Z257" s="367"/>
      <c r="AA257" s="367"/>
      <c r="AB257" s="367"/>
      <c r="AC257" s="367"/>
      <c r="AD257" s="367"/>
      <c r="AE257" s="367"/>
      <c r="AF257" s="367"/>
      <c r="AG257" s="367"/>
      <c r="AH257" s="367"/>
      <c r="AI257" s="367"/>
      <c r="AJ257" s="367"/>
      <c r="AK257" s="367"/>
    </row>
    <row r="258" spans="1:37" s="917" customFormat="1" ht="25.5" customHeight="1">
      <c r="A258" s="1076" t="s">
        <v>891</v>
      </c>
      <c r="B258" s="1077" t="s">
        <v>33</v>
      </c>
      <c r="C258" s="1076" t="s">
        <v>281</v>
      </c>
      <c r="D258" s="1078" t="s">
        <v>881</v>
      </c>
      <c r="E258" s="898" t="e">
        <f>NC_DKDD!H712</f>
        <v>#VALUE!</v>
      </c>
      <c r="F258" s="898"/>
      <c r="G258" s="391"/>
      <c r="H258" s="898"/>
      <c r="I258" s="898"/>
      <c r="J258" s="898"/>
      <c r="K258" s="898"/>
      <c r="L258" s="898"/>
      <c r="M258" s="898"/>
      <c r="N258" s="898"/>
      <c r="O258" s="898"/>
      <c r="P258" s="898">
        <f t="shared" si="40"/>
        <v>922.21153846153834</v>
      </c>
      <c r="Q258" s="835">
        <f t="shared" ref="Q258:Q282" si="41">S258*Q$209</f>
        <v>801.92307692307679</v>
      </c>
      <c r="R258" s="835">
        <f t="shared" ref="R258:R282" si="42">S258*R$209</f>
        <v>120.28846153846153</v>
      </c>
      <c r="S258" s="1011">
        <f>NC_DKDD!G712</f>
        <v>0.15</v>
      </c>
      <c r="T258" s="946">
        <f>'[1]2,DG-capdoi'!N254</f>
        <v>0</v>
      </c>
      <c r="U258" s="946">
        <f t="shared" si="32"/>
        <v>0</v>
      </c>
      <c r="V258" s="367"/>
      <c r="W258" s="367"/>
      <c r="X258" s="367"/>
      <c r="Y258" s="367"/>
      <c r="Z258" s="367"/>
      <c r="AA258" s="367"/>
      <c r="AB258" s="367"/>
      <c r="AC258" s="367"/>
      <c r="AD258" s="367"/>
      <c r="AE258" s="367"/>
      <c r="AF258" s="367"/>
      <c r="AG258" s="367"/>
      <c r="AH258" s="367"/>
      <c r="AI258" s="367"/>
      <c r="AJ258" s="367"/>
      <c r="AK258" s="367"/>
    </row>
    <row r="259" spans="1:37" s="917" customFormat="1" ht="25.5" customHeight="1">
      <c r="A259" s="1076" t="s">
        <v>899</v>
      </c>
      <c r="B259" s="1077" t="s">
        <v>36</v>
      </c>
      <c r="C259" s="1076" t="s">
        <v>281</v>
      </c>
      <c r="D259" s="1078" t="s">
        <v>881</v>
      </c>
      <c r="E259" s="898" t="e">
        <f>NC_DKDD!H713</f>
        <v>#VALUE!</v>
      </c>
      <c r="F259" s="898"/>
      <c r="G259" s="391"/>
      <c r="H259" s="898"/>
      <c r="I259" s="898"/>
      <c r="J259" s="898"/>
      <c r="K259" s="898"/>
      <c r="L259" s="898"/>
      <c r="M259" s="898"/>
      <c r="N259" s="898"/>
      <c r="O259" s="898"/>
      <c r="P259" s="898">
        <f t="shared" si="40"/>
        <v>614.80769230769238</v>
      </c>
      <c r="Q259" s="835">
        <f t="shared" si="41"/>
        <v>534.61538461538464</v>
      </c>
      <c r="R259" s="835">
        <f t="shared" si="42"/>
        <v>80.192307692307693</v>
      </c>
      <c r="S259" s="1011">
        <f>NC_DKDD!G713</f>
        <v>0.1</v>
      </c>
      <c r="T259" s="946">
        <f>'[1]2,DG-capdoi'!N255</f>
        <v>0</v>
      </c>
      <c r="U259" s="946">
        <f t="shared" si="32"/>
        <v>0</v>
      </c>
      <c r="V259" s="367"/>
      <c r="W259" s="367"/>
      <c r="X259" s="367"/>
      <c r="Y259" s="367"/>
      <c r="Z259" s="367"/>
      <c r="AA259" s="367"/>
      <c r="AB259" s="367"/>
      <c r="AC259" s="367"/>
      <c r="AD259" s="367"/>
      <c r="AE259" s="367"/>
      <c r="AF259" s="367"/>
      <c r="AG259" s="367"/>
      <c r="AH259" s="367"/>
      <c r="AI259" s="367"/>
      <c r="AJ259" s="367"/>
      <c r="AK259" s="367"/>
    </row>
    <row r="260" spans="1:37" s="917" customFormat="1" ht="54" customHeight="1">
      <c r="A260" s="1076">
        <v>2</v>
      </c>
      <c r="B260" s="1077" t="s">
        <v>953</v>
      </c>
      <c r="C260" s="1076" t="s">
        <v>281</v>
      </c>
      <c r="D260" s="1078" t="s">
        <v>881</v>
      </c>
      <c r="E260" s="898" t="e">
        <f>NC_DKDD!H714</f>
        <v>#VALUE!</v>
      </c>
      <c r="F260" s="898"/>
      <c r="G260" s="391"/>
      <c r="H260" s="898"/>
      <c r="I260" s="898"/>
      <c r="J260" s="898"/>
      <c r="K260" s="898"/>
      <c r="L260" s="898"/>
      <c r="M260" s="898"/>
      <c r="N260" s="898"/>
      <c r="O260" s="898"/>
      <c r="P260" s="898">
        <f t="shared" si="40"/>
        <v>1229.6153846153848</v>
      </c>
      <c r="Q260" s="835">
        <f t="shared" si="41"/>
        <v>1069.2307692307693</v>
      </c>
      <c r="R260" s="835">
        <f t="shared" si="42"/>
        <v>160.38461538461539</v>
      </c>
      <c r="S260" s="1011">
        <f>NC_DKDD!G714</f>
        <v>0.2</v>
      </c>
      <c r="T260" s="946">
        <f>'[1]2,DG-capdoi'!N256</f>
        <v>0</v>
      </c>
      <c r="U260" s="946">
        <f t="shared" si="32"/>
        <v>0</v>
      </c>
      <c r="V260" s="367"/>
      <c r="W260" s="367"/>
      <c r="X260" s="367"/>
      <c r="Y260" s="367"/>
      <c r="Z260" s="367"/>
      <c r="AA260" s="367"/>
      <c r="AB260" s="367"/>
      <c r="AC260" s="367"/>
      <c r="AD260" s="367"/>
      <c r="AE260" s="367"/>
      <c r="AF260" s="367"/>
      <c r="AG260" s="367"/>
      <c r="AH260" s="367"/>
      <c r="AI260" s="367"/>
      <c r="AJ260" s="367"/>
      <c r="AK260" s="367"/>
    </row>
    <row r="261" spans="1:37" s="917" customFormat="1" ht="34.5" customHeight="1">
      <c r="A261" s="1076">
        <v>3</v>
      </c>
      <c r="B261" s="1077" t="s">
        <v>38</v>
      </c>
      <c r="C261" s="1076" t="s">
        <v>523</v>
      </c>
      <c r="D261" s="1078" t="s">
        <v>881</v>
      </c>
      <c r="E261" s="898" t="e">
        <f>NC_DKDD!H715</f>
        <v>#VALUE!</v>
      </c>
      <c r="F261" s="898"/>
      <c r="G261" s="391"/>
      <c r="H261" s="898"/>
      <c r="I261" s="898"/>
      <c r="J261" s="898"/>
      <c r="K261" s="898"/>
      <c r="L261" s="898"/>
      <c r="M261" s="898"/>
      <c r="N261" s="898"/>
      <c r="O261" s="898"/>
      <c r="P261" s="898">
        <f t="shared" si="40"/>
        <v>202.88653846153844</v>
      </c>
      <c r="Q261" s="835">
        <f t="shared" si="41"/>
        <v>176.42307692307691</v>
      </c>
      <c r="R261" s="835">
        <f t="shared" si="42"/>
        <v>26.463461538461541</v>
      </c>
      <c r="S261" s="1011">
        <f>NC_DKDD!G715</f>
        <v>3.3000000000000002E-2</v>
      </c>
      <c r="T261" s="946">
        <f>'[1]2,DG-capdoi'!N257</f>
        <v>0</v>
      </c>
      <c r="U261" s="946">
        <f t="shared" si="32"/>
        <v>0</v>
      </c>
      <c r="V261" s="367"/>
      <c r="W261" s="367"/>
      <c r="X261" s="367"/>
      <c r="Y261" s="367"/>
      <c r="Z261" s="367"/>
      <c r="AA261" s="367"/>
      <c r="AB261" s="367"/>
      <c r="AC261" s="367"/>
      <c r="AD261" s="367"/>
      <c r="AE261" s="367"/>
      <c r="AF261" s="367"/>
      <c r="AG261" s="367"/>
      <c r="AH261" s="367"/>
      <c r="AI261" s="367"/>
      <c r="AJ261" s="367"/>
      <c r="AK261" s="367"/>
    </row>
    <row r="262" spans="1:37" s="917" customFormat="1" ht="48.75" customHeight="1">
      <c r="A262" s="1076">
        <v>4</v>
      </c>
      <c r="B262" s="1077" t="s">
        <v>509</v>
      </c>
      <c r="C262" s="1076" t="s">
        <v>281</v>
      </c>
      <c r="D262" s="1078" t="s">
        <v>881</v>
      </c>
      <c r="E262" s="898" t="e">
        <f>NC_DKDD!H716</f>
        <v>#VALUE!</v>
      </c>
      <c r="F262" s="898"/>
      <c r="G262" s="391"/>
      <c r="H262" s="898"/>
      <c r="I262" s="898"/>
      <c r="J262" s="898"/>
      <c r="K262" s="898"/>
      <c r="L262" s="898"/>
      <c r="M262" s="898"/>
      <c r="N262" s="898"/>
      <c r="O262" s="898"/>
      <c r="P262" s="898">
        <f t="shared" si="40"/>
        <v>3074.0384615384614</v>
      </c>
      <c r="Q262" s="835">
        <f t="shared" si="41"/>
        <v>2673.0769230769229</v>
      </c>
      <c r="R262" s="835">
        <f t="shared" si="42"/>
        <v>400.96153846153845</v>
      </c>
      <c r="S262" s="1011">
        <f>NC_DKDD!G716</f>
        <v>0.5</v>
      </c>
      <c r="T262" s="946">
        <f>'[1]2,DG-capdoi'!N258</f>
        <v>0</v>
      </c>
      <c r="U262" s="946">
        <f t="shared" si="32"/>
        <v>0</v>
      </c>
      <c r="V262" s="367"/>
      <c r="W262" s="367"/>
      <c r="X262" s="367"/>
      <c r="Y262" s="367"/>
      <c r="Z262" s="367"/>
      <c r="AA262" s="367"/>
      <c r="AB262" s="367"/>
      <c r="AC262" s="367"/>
      <c r="AD262" s="367"/>
      <c r="AE262" s="367"/>
      <c r="AF262" s="367"/>
      <c r="AG262" s="367"/>
      <c r="AH262" s="367"/>
      <c r="AI262" s="367"/>
      <c r="AJ262" s="367"/>
      <c r="AK262" s="367"/>
    </row>
    <row r="263" spans="1:37" s="917" customFormat="1" ht="38.25" customHeight="1">
      <c r="A263" s="1076">
        <v>5</v>
      </c>
      <c r="B263" s="1077" t="s">
        <v>69</v>
      </c>
      <c r="C263" s="1076" t="s">
        <v>523</v>
      </c>
      <c r="D263" s="1078" t="s">
        <v>881</v>
      </c>
      <c r="E263" s="898" t="e">
        <f>NC_DKDD!H717</f>
        <v>#VALUE!</v>
      </c>
      <c r="F263" s="898"/>
      <c r="G263" s="391"/>
      <c r="H263" s="898"/>
      <c r="I263" s="898"/>
      <c r="J263" s="898"/>
      <c r="K263" s="898"/>
      <c r="L263" s="898"/>
      <c r="M263" s="898"/>
      <c r="N263" s="898"/>
      <c r="O263" s="898"/>
      <c r="P263" s="898">
        <f t="shared" si="40"/>
        <v>36.888461538461534</v>
      </c>
      <c r="Q263" s="835">
        <f t="shared" si="41"/>
        <v>32.076923076923073</v>
      </c>
      <c r="R263" s="835">
        <f t="shared" si="42"/>
        <v>4.8115384615384613</v>
      </c>
      <c r="S263" s="1011">
        <f>NC_DKDD!G717</f>
        <v>6.0000000000000001E-3</v>
      </c>
      <c r="T263" s="946">
        <f>'[1]2,DG-capdoi'!N259</f>
        <v>0</v>
      </c>
      <c r="U263" s="946">
        <f t="shared" si="32"/>
        <v>0</v>
      </c>
      <c r="V263" s="367"/>
      <c r="W263" s="367"/>
      <c r="X263" s="367"/>
      <c r="Y263" s="367"/>
      <c r="Z263" s="367"/>
      <c r="AA263" s="367"/>
      <c r="AB263" s="367"/>
      <c r="AC263" s="367"/>
      <c r="AD263" s="367"/>
      <c r="AE263" s="367"/>
      <c r="AF263" s="367"/>
      <c r="AG263" s="367"/>
      <c r="AH263" s="367"/>
      <c r="AI263" s="367"/>
      <c r="AJ263" s="367"/>
      <c r="AK263" s="367"/>
    </row>
    <row r="264" spans="1:37" s="917" customFormat="1" ht="50.25" customHeight="1">
      <c r="A264" s="1076">
        <v>6</v>
      </c>
      <c r="B264" s="1077" t="s">
        <v>958</v>
      </c>
      <c r="C264" s="1076"/>
      <c r="D264" s="1076"/>
      <c r="E264" s="898">
        <f>NC_DKDD!H718</f>
        <v>0</v>
      </c>
      <c r="F264" s="898"/>
      <c r="G264" s="391"/>
      <c r="H264" s="898"/>
      <c r="I264" s="898"/>
      <c r="J264" s="898"/>
      <c r="K264" s="898"/>
      <c r="L264" s="898"/>
      <c r="M264" s="898"/>
      <c r="N264" s="898"/>
      <c r="O264" s="898"/>
      <c r="P264" s="898">
        <f t="shared" si="40"/>
        <v>0</v>
      </c>
      <c r="Q264" s="835">
        <f t="shared" si="41"/>
        <v>0</v>
      </c>
      <c r="R264" s="835">
        <f t="shared" si="42"/>
        <v>0</v>
      </c>
      <c r="S264" s="1011">
        <f>NC_DKDD!G718</f>
        <v>0</v>
      </c>
      <c r="T264" s="946">
        <f>'[1]2,DG-capdoi'!N260</f>
        <v>0</v>
      </c>
      <c r="U264" s="946">
        <f t="shared" si="32"/>
        <v>0</v>
      </c>
      <c r="V264" s="367"/>
      <c r="W264" s="367"/>
      <c r="X264" s="367"/>
      <c r="Y264" s="367"/>
      <c r="Z264" s="367"/>
      <c r="AA264" s="367"/>
      <c r="AB264" s="367"/>
      <c r="AC264" s="367"/>
      <c r="AD264" s="367"/>
      <c r="AE264" s="367"/>
      <c r="AF264" s="367"/>
      <c r="AG264" s="367"/>
      <c r="AH264" s="367"/>
      <c r="AI264" s="367"/>
      <c r="AJ264" s="367"/>
      <c r="AK264" s="367"/>
    </row>
    <row r="265" spans="1:37" s="917" customFormat="1" ht="25.5" customHeight="1">
      <c r="A265" s="1076" t="s">
        <v>444</v>
      </c>
      <c r="B265" s="1077" t="s">
        <v>770</v>
      </c>
      <c r="C265" s="1076" t="s">
        <v>281</v>
      </c>
      <c r="D265" s="1078" t="s">
        <v>881</v>
      </c>
      <c r="E265" s="898" t="e">
        <f>NC_DKDD!H719</f>
        <v>#VALUE!</v>
      </c>
      <c r="F265" s="898"/>
      <c r="G265" s="391"/>
      <c r="H265" s="898"/>
      <c r="I265" s="898"/>
      <c r="J265" s="898"/>
      <c r="K265" s="898"/>
      <c r="L265" s="898"/>
      <c r="M265" s="898"/>
      <c r="N265" s="898"/>
      <c r="O265" s="898"/>
      <c r="P265" s="898">
        <f t="shared" si="40"/>
        <v>0</v>
      </c>
      <c r="Q265" s="835">
        <f t="shared" si="41"/>
        <v>0</v>
      </c>
      <c r="R265" s="835">
        <f t="shared" si="42"/>
        <v>0</v>
      </c>
      <c r="S265" s="1011">
        <f>NC_DKDD!G719</f>
        <v>0</v>
      </c>
      <c r="T265" s="946">
        <f>'[1]2,DG-capdoi'!N261</f>
        <v>0</v>
      </c>
      <c r="U265" s="946">
        <f t="shared" si="32"/>
        <v>0</v>
      </c>
      <c r="V265" s="367"/>
      <c r="W265" s="367"/>
      <c r="X265" s="367"/>
      <c r="Y265" s="367"/>
      <c r="Z265" s="367"/>
      <c r="AA265" s="367"/>
      <c r="AB265" s="367"/>
      <c r="AC265" s="367"/>
      <c r="AD265" s="367"/>
      <c r="AE265" s="367"/>
      <c r="AF265" s="367"/>
      <c r="AG265" s="367"/>
      <c r="AH265" s="367"/>
      <c r="AI265" s="367"/>
      <c r="AJ265" s="367"/>
      <c r="AK265" s="367"/>
    </row>
    <row r="266" spans="1:37" s="917" customFormat="1" ht="27.75" customHeight="1">
      <c r="A266" s="1076" t="s">
        <v>445</v>
      </c>
      <c r="B266" s="1077" t="s">
        <v>771</v>
      </c>
      <c r="C266" s="1076" t="s">
        <v>281</v>
      </c>
      <c r="D266" s="1078" t="s">
        <v>881</v>
      </c>
      <c r="E266" s="898" t="e">
        <f>NC_DKDD!H720</f>
        <v>#VALUE!</v>
      </c>
      <c r="F266" s="898"/>
      <c r="G266" s="391"/>
      <c r="H266" s="898"/>
      <c r="I266" s="898"/>
      <c r="J266" s="898"/>
      <c r="K266" s="898"/>
      <c r="L266" s="898"/>
      <c r="M266" s="898"/>
      <c r="N266" s="898"/>
      <c r="O266" s="898"/>
      <c r="P266" s="898">
        <f t="shared" si="40"/>
        <v>0</v>
      </c>
      <c r="Q266" s="835">
        <f t="shared" si="41"/>
        <v>0</v>
      </c>
      <c r="R266" s="835">
        <f t="shared" si="42"/>
        <v>0</v>
      </c>
      <c r="S266" s="1011">
        <f>NC_DKDD!G720</f>
        <v>0</v>
      </c>
      <c r="T266" s="946">
        <f>'[1]2,DG-capdoi'!N262</f>
        <v>0</v>
      </c>
      <c r="U266" s="946">
        <f t="shared" si="32"/>
        <v>0</v>
      </c>
      <c r="V266" s="367"/>
      <c r="W266" s="367"/>
      <c r="X266" s="367"/>
      <c r="Y266" s="367"/>
      <c r="Z266" s="367"/>
      <c r="AA266" s="367"/>
      <c r="AB266" s="367"/>
      <c r="AC266" s="367"/>
      <c r="AD266" s="367"/>
      <c r="AE266" s="367"/>
      <c r="AF266" s="367"/>
      <c r="AG266" s="367"/>
      <c r="AH266" s="367"/>
      <c r="AI266" s="367"/>
      <c r="AJ266" s="367"/>
      <c r="AK266" s="367"/>
    </row>
    <row r="267" spans="1:37" s="917" customFormat="1" ht="33" customHeight="1">
      <c r="A267" s="1076">
        <v>7</v>
      </c>
      <c r="B267" s="1077" t="s">
        <v>510</v>
      </c>
      <c r="C267" s="1076" t="s">
        <v>523</v>
      </c>
      <c r="D267" s="1078" t="s">
        <v>881</v>
      </c>
      <c r="E267" s="898" t="e">
        <f>NC_DKDD!H721</f>
        <v>#VALUE!</v>
      </c>
      <c r="F267" s="898"/>
      <c r="G267" s="391"/>
      <c r="H267" s="898"/>
      <c r="I267" s="898"/>
      <c r="J267" s="898"/>
      <c r="K267" s="898"/>
      <c r="L267" s="898"/>
      <c r="M267" s="898"/>
      <c r="N267" s="898"/>
      <c r="O267" s="898"/>
      <c r="P267" s="898">
        <f t="shared" si="40"/>
        <v>202.88653846153844</v>
      </c>
      <c r="Q267" s="835">
        <f t="shared" si="41"/>
        <v>176.42307692307691</v>
      </c>
      <c r="R267" s="835">
        <f t="shared" si="42"/>
        <v>26.463461538461541</v>
      </c>
      <c r="S267" s="1011">
        <f>NC_DKDD!G721</f>
        <v>3.3000000000000002E-2</v>
      </c>
      <c r="T267" s="946">
        <f>'[1]2,DG-capdoi'!N263</f>
        <v>0</v>
      </c>
      <c r="U267" s="946">
        <f t="shared" si="32"/>
        <v>0</v>
      </c>
      <c r="V267" s="367"/>
      <c r="W267" s="367"/>
      <c r="X267" s="367"/>
      <c r="Y267" s="367"/>
      <c r="Z267" s="367"/>
      <c r="AA267" s="367"/>
      <c r="AB267" s="367"/>
      <c r="AC267" s="367"/>
      <c r="AD267" s="367"/>
      <c r="AE267" s="367"/>
      <c r="AF267" s="367"/>
      <c r="AG267" s="367"/>
      <c r="AH267" s="367"/>
      <c r="AI267" s="367"/>
      <c r="AJ267" s="367"/>
      <c r="AK267" s="367"/>
    </row>
    <row r="268" spans="1:37" s="917" customFormat="1" ht="25.5" customHeight="1">
      <c r="A268" s="1076">
        <v>8</v>
      </c>
      <c r="B268" s="1077" t="s">
        <v>213</v>
      </c>
      <c r="C268" s="1076"/>
      <c r="D268" s="1076"/>
      <c r="E268" s="898">
        <f>NC_DKDD!H722</f>
        <v>0</v>
      </c>
      <c r="F268" s="898"/>
      <c r="G268" s="391"/>
      <c r="H268" s="898"/>
      <c r="I268" s="898"/>
      <c r="J268" s="898"/>
      <c r="K268" s="898"/>
      <c r="L268" s="898"/>
      <c r="M268" s="898"/>
      <c r="N268" s="898"/>
      <c r="O268" s="898"/>
      <c r="P268" s="898">
        <f t="shared" si="40"/>
        <v>0</v>
      </c>
      <c r="Q268" s="835">
        <f t="shared" si="41"/>
        <v>0</v>
      </c>
      <c r="R268" s="835">
        <f t="shared" si="42"/>
        <v>0</v>
      </c>
      <c r="S268" s="1011">
        <f>NC_DKDD!G722</f>
        <v>0</v>
      </c>
      <c r="T268" s="946">
        <f>'[1]2,DG-capdoi'!N264</f>
        <v>0</v>
      </c>
      <c r="U268" s="946">
        <f t="shared" si="32"/>
        <v>0</v>
      </c>
      <c r="V268" s="367"/>
      <c r="W268" s="367"/>
      <c r="X268" s="367"/>
      <c r="Y268" s="367"/>
      <c r="Z268" s="367"/>
      <c r="AA268" s="367"/>
      <c r="AB268" s="367"/>
      <c r="AC268" s="367"/>
      <c r="AD268" s="367"/>
      <c r="AE268" s="367"/>
      <c r="AF268" s="367"/>
      <c r="AG268" s="367"/>
      <c r="AH268" s="367"/>
      <c r="AI268" s="367"/>
      <c r="AJ268" s="367"/>
      <c r="AK268" s="367"/>
    </row>
    <row r="269" spans="1:37" s="917" customFormat="1" ht="25.5" customHeight="1">
      <c r="A269" s="1076" t="s">
        <v>374</v>
      </c>
      <c r="B269" s="1077" t="s">
        <v>215</v>
      </c>
      <c r="C269" s="1076" t="s">
        <v>320</v>
      </c>
      <c r="D269" s="1078" t="s">
        <v>881</v>
      </c>
      <c r="E269" s="898" t="e">
        <f>NC_DKDD!H723</f>
        <v>#VALUE!</v>
      </c>
      <c r="F269" s="898"/>
      <c r="G269" s="391"/>
      <c r="H269" s="898"/>
      <c r="I269" s="898"/>
      <c r="J269" s="898"/>
      <c r="K269" s="898"/>
      <c r="L269" s="898"/>
      <c r="M269" s="898"/>
      <c r="N269" s="898"/>
      <c r="O269" s="898"/>
      <c r="P269" s="898">
        <f t="shared" si="40"/>
        <v>614.80769230769238</v>
      </c>
      <c r="Q269" s="835">
        <f t="shared" si="41"/>
        <v>534.61538461538464</v>
      </c>
      <c r="R269" s="835">
        <f t="shared" si="42"/>
        <v>80.192307692307693</v>
      </c>
      <c r="S269" s="1011">
        <f>NC_DKDD!G723</f>
        <v>0.1</v>
      </c>
      <c r="T269" s="946">
        <f>'[1]2,DG-capdoi'!N265</f>
        <v>0</v>
      </c>
      <c r="U269" s="946">
        <f t="shared" ref="U269:U334" si="43">T269-N269</f>
        <v>0</v>
      </c>
      <c r="V269" s="367"/>
      <c r="W269" s="367"/>
      <c r="X269" s="367"/>
      <c r="Y269" s="367"/>
      <c r="Z269" s="367"/>
      <c r="AA269" s="367"/>
      <c r="AB269" s="367"/>
      <c r="AC269" s="367"/>
      <c r="AD269" s="367"/>
      <c r="AE269" s="367"/>
      <c r="AF269" s="367"/>
      <c r="AG269" s="367"/>
      <c r="AH269" s="367"/>
      <c r="AI269" s="367"/>
      <c r="AJ269" s="367"/>
      <c r="AK269" s="367"/>
    </row>
    <row r="270" spans="1:37" s="917" customFormat="1" ht="25.5" customHeight="1">
      <c r="A270" s="1076" t="s">
        <v>375</v>
      </c>
      <c r="B270" s="1077" t="s">
        <v>217</v>
      </c>
      <c r="C270" s="1076" t="s">
        <v>320</v>
      </c>
      <c r="D270" s="1078" t="s">
        <v>881</v>
      </c>
      <c r="E270" s="898" t="e">
        <f>NC_DKDD!H724</f>
        <v>#VALUE!</v>
      </c>
      <c r="F270" s="898"/>
      <c r="G270" s="391"/>
      <c r="H270" s="898"/>
      <c r="I270" s="898"/>
      <c r="J270" s="898"/>
      <c r="K270" s="898"/>
      <c r="L270" s="898"/>
      <c r="M270" s="898"/>
      <c r="N270" s="898"/>
      <c r="O270" s="898"/>
      <c r="P270" s="898">
        <f t="shared" si="40"/>
        <v>1229.6153846153848</v>
      </c>
      <c r="Q270" s="835">
        <f t="shared" si="41"/>
        <v>1069.2307692307693</v>
      </c>
      <c r="R270" s="835">
        <f t="shared" si="42"/>
        <v>160.38461538461539</v>
      </c>
      <c r="S270" s="1011">
        <f>NC_DKDD!G724</f>
        <v>0.2</v>
      </c>
      <c r="T270" s="946">
        <f>'[1]2,DG-capdoi'!N266</f>
        <v>0</v>
      </c>
      <c r="U270" s="946">
        <f t="shared" si="43"/>
        <v>0</v>
      </c>
      <c r="V270" s="367"/>
      <c r="W270" s="367"/>
      <c r="X270" s="367"/>
      <c r="Y270" s="367"/>
      <c r="Z270" s="367"/>
      <c r="AA270" s="367"/>
      <c r="AB270" s="367"/>
      <c r="AC270" s="367"/>
      <c r="AD270" s="367"/>
      <c r="AE270" s="367"/>
      <c r="AF270" s="367"/>
      <c r="AG270" s="367"/>
      <c r="AH270" s="367"/>
      <c r="AI270" s="367"/>
      <c r="AJ270" s="367"/>
      <c r="AK270" s="367"/>
    </row>
    <row r="271" spans="1:37" s="917" customFormat="1" ht="59.25" customHeight="1">
      <c r="A271" s="1076">
        <v>9</v>
      </c>
      <c r="B271" s="1077" t="s">
        <v>511</v>
      </c>
      <c r="C271" s="1076" t="s">
        <v>281</v>
      </c>
      <c r="D271" s="1078" t="s">
        <v>881</v>
      </c>
      <c r="E271" s="898" t="e">
        <f>NC_DKDD!H725</f>
        <v>#VALUE!</v>
      </c>
      <c r="F271" s="898"/>
      <c r="G271" s="391"/>
      <c r="H271" s="898"/>
      <c r="I271" s="898"/>
      <c r="J271" s="898"/>
      <c r="K271" s="898"/>
      <c r="L271" s="898"/>
      <c r="M271" s="898"/>
      <c r="N271" s="898"/>
      <c r="O271" s="898"/>
      <c r="P271" s="898">
        <f t="shared" si="40"/>
        <v>2459.2307692307695</v>
      </c>
      <c r="Q271" s="835">
        <f t="shared" si="41"/>
        <v>2138.4615384615386</v>
      </c>
      <c r="R271" s="835">
        <f t="shared" si="42"/>
        <v>320.76923076923077</v>
      </c>
      <c r="S271" s="1011">
        <f>NC_DKDD!G725</f>
        <v>0.4</v>
      </c>
      <c r="T271" s="946">
        <f>'[1]2,DG-capdoi'!N267</f>
        <v>0</v>
      </c>
      <c r="U271" s="946">
        <f t="shared" si="43"/>
        <v>0</v>
      </c>
      <c r="V271" s="367"/>
      <c r="W271" s="367"/>
      <c r="X271" s="367"/>
      <c r="Y271" s="367"/>
      <c r="Z271" s="367"/>
      <c r="AA271" s="367"/>
      <c r="AB271" s="367"/>
      <c r="AC271" s="367"/>
      <c r="AD271" s="367"/>
      <c r="AE271" s="367"/>
      <c r="AF271" s="367"/>
      <c r="AG271" s="367"/>
      <c r="AH271" s="367"/>
      <c r="AI271" s="367"/>
      <c r="AJ271" s="367"/>
      <c r="AK271" s="367"/>
    </row>
    <row r="272" spans="1:37" s="917" customFormat="1" ht="45.75" customHeight="1">
      <c r="A272" s="1076">
        <v>10</v>
      </c>
      <c r="B272" s="1077" t="s">
        <v>512</v>
      </c>
      <c r="C272" s="1076" t="s">
        <v>281</v>
      </c>
      <c r="D272" s="1078" t="s">
        <v>881</v>
      </c>
      <c r="E272" s="898" t="e">
        <f>NC_DKDD!H726</f>
        <v>#VALUE!</v>
      </c>
      <c r="F272" s="898"/>
      <c r="G272" s="391"/>
      <c r="H272" s="898"/>
      <c r="I272" s="898"/>
      <c r="J272" s="898"/>
      <c r="K272" s="898"/>
      <c r="L272" s="898"/>
      <c r="M272" s="898"/>
      <c r="N272" s="898"/>
      <c r="O272" s="898"/>
      <c r="P272" s="898">
        <f t="shared" si="40"/>
        <v>2274.7884615384614</v>
      </c>
      <c r="Q272" s="835">
        <f t="shared" si="41"/>
        <v>1978.0769230769229</v>
      </c>
      <c r="R272" s="835">
        <f t="shared" si="42"/>
        <v>296.71153846153845</v>
      </c>
      <c r="S272" s="1011">
        <f>NC_DKDD!G726</f>
        <v>0.37</v>
      </c>
      <c r="T272" s="946">
        <f>'[1]2,DG-capdoi'!N268</f>
        <v>0</v>
      </c>
      <c r="U272" s="946">
        <f t="shared" si="43"/>
        <v>0</v>
      </c>
      <c r="V272" s="367"/>
      <c r="W272" s="367"/>
      <c r="X272" s="367"/>
      <c r="Y272" s="367"/>
      <c r="Z272" s="367"/>
      <c r="AA272" s="367"/>
      <c r="AB272" s="367"/>
      <c r="AC272" s="367"/>
      <c r="AD272" s="367"/>
      <c r="AE272" s="367"/>
      <c r="AF272" s="367"/>
      <c r="AG272" s="367"/>
      <c r="AH272" s="367"/>
      <c r="AI272" s="367"/>
      <c r="AJ272" s="367"/>
      <c r="AK272" s="367"/>
    </row>
    <row r="273" spans="1:37" s="917" customFormat="1" ht="25.5" customHeight="1">
      <c r="A273" s="1076">
        <v>11</v>
      </c>
      <c r="B273" s="1077" t="s">
        <v>221</v>
      </c>
      <c r="C273" s="1076"/>
      <c r="D273" s="1076"/>
      <c r="E273" s="898">
        <f>NC_DKDD!H727</f>
        <v>0</v>
      </c>
      <c r="F273" s="898"/>
      <c r="G273" s="391"/>
      <c r="H273" s="898"/>
      <c r="I273" s="898"/>
      <c r="J273" s="898"/>
      <c r="K273" s="898"/>
      <c r="L273" s="898"/>
      <c r="M273" s="898"/>
      <c r="N273" s="898"/>
      <c r="O273" s="898"/>
      <c r="P273" s="898">
        <f t="shared" si="40"/>
        <v>0</v>
      </c>
      <c r="Q273" s="835">
        <f t="shared" si="41"/>
        <v>0</v>
      </c>
      <c r="R273" s="835">
        <f t="shared" si="42"/>
        <v>0</v>
      </c>
      <c r="S273" s="1011">
        <f>NC_DKDD!G727</f>
        <v>0</v>
      </c>
      <c r="T273" s="946">
        <f>'[1]2,DG-capdoi'!N269</f>
        <v>0</v>
      </c>
      <c r="U273" s="946">
        <f t="shared" si="43"/>
        <v>0</v>
      </c>
      <c r="V273" s="367"/>
      <c r="W273" s="367"/>
      <c r="X273" s="367"/>
      <c r="Y273" s="367"/>
      <c r="Z273" s="367"/>
      <c r="AA273" s="367"/>
      <c r="AB273" s="367"/>
      <c r="AC273" s="367"/>
      <c r="AD273" s="367"/>
      <c r="AE273" s="367"/>
      <c r="AF273" s="367"/>
      <c r="AG273" s="367"/>
      <c r="AH273" s="367"/>
      <c r="AI273" s="367"/>
      <c r="AJ273" s="367"/>
      <c r="AK273" s="367"/>
    </row>
    <row r="274" spans="1:37" s="917" customFormat="1" ht="33.75" customHeight="1">
      <c r="A274" s="1076" t="s">
        <v>877</v>
      </c>
      <c r="B274" s="1077" t="s">
        <v>931</v>
      </c>
      <c r="C274" s="1076"/>
      <c r="D274" s="1076"/>
      <c r="E274" s="898">
        <f>NC_DKDD!H728</f>
        <v>0</v>
      </c>
      <c r="F274" s="898"/>
      <c r="G274" s="391"/>
      <c r="H274" s="898"/>
      <c r="I274" s="898"/>
      <c r="J274" s="898"/>
      <c r="K274" s="898"/>
      <c r="L274" s="898"/>
      <c r="M274" s="898"/>
      <c r="N274" s="898"/>
      <c r="O274" s="898"/>
      <c r="P274" s="898">
        <f t="shared" si="40"/>
        <v>0</v>
      </c>
      <c r="Q274" s="835">
        <f t="shared" si="41"/>
        <v>0</v>
      </c>
      <c r="R274" s="835">
        <f t="shared" si="42"/>
        <v>0</v>
      </c>
      <c r="S274" s="1011">
        <f>NC_DKDD!G728</f>
        <v>0</v>
      </c>
      <c r="T274" s="946">
        <f>'[1]2,DG-capdoi'!N270</f>
        <v>0</v>
      </c>
      <c r="U274" s="946">
        <f t="shared" si="43"/>
        <v>0</v>
      </c>
      <c r="V274" s="367"/>
      <c r="W274" s="367"/>
      <c r="X274" s="367"/>
      <c r="Y274" s="367"/>
      <c r="Z274" s="367"/>
      <c r="AA274" s="367"/>
      <c r="AB274" s="367"/>
      <c r="AC274" s="367"/>
      <c r="AD274" s="367"/>
      <c r="AE274" s="367"/>
      <c r="AF274" s="367"/>
      <c r="AG274" s="367"/>
      <c r="AH274" s="367"/>
      <c r="AI274" s="367"/>
      <c r="AJ274" s="367"/>
      <c r="AK274" s="367"/>
    </row>
    <row r="275" spans="1:37" s="917" customFormat="1" ht="25.5" customHeight="1">
      <c r="A275" s="1076" t="s">
        <v>513</v>
      </c>
      <c r="B275" s="1077" t="s">
        <v>933</v>
      </c>
      <c r="C275" s="1076" t="s">
        <v>525</v>
      </c>
      <c r="D275" s="1078" t="s">
        <v>881</v>
      </c>
      <c r="E275" s="898" t="e">
        <f>NC_DKDD!H729</f>
        <v>#VALUE!</v>
      </c>
      <c r="F275" s="898"/>
      <c r="G275" s="391"/>
      <c r="H275" s="898"/>
      <c r="I275" s="898"/>
      <c r="J275" s="898"/>
      <c r="K275" s="898"/>
      <c r="L275" s="898"/>
      <c r="M275" s="898"/>
      <c r="N275" s="898"/>
      <c r="O275" s="898"/>
      <c r="P275" s="898">
        <f t="shared" si="40"/>
        <v>98.369230769230768</v>
      </c>
      <c r="Q275" s="835">
        <f t="shared" si="41"/>
        <v>85.538461538461533</v>
      </c>
      <c r="R275" s="835">
        <f t="shared" si="42"/>
        <v>12.830769230769231</v>
      </c>
      <c r="S275" s="1011">
        <f>NC_DKDD!G729</f>
        <v>1.6E-2</v>
      </c>
      <c r="T275" s="946">
        <f>'[1]2,DG-capdoi'!N271</f>
        <v>0</v>
      </c>
      <c r="U275" s="946">
        <f t="shared" si="43"/>
        <v>0</v>
      </c>
      <c r="V275" s="367"/>
      <c r="W275" s="367"/>
      <c r="X275" s="367"/>
      <c r="Y275" s="367"/>
      <c r="Z275" s="367"/>
      <c r="AA275" s="367"/>
      <c r="AB275" s="367"/>
      <c r="AC275" s="367"/>
      <c r="AD275" s="367"/>
      <c r="AE275" s="367"/>
      <c r="AF275" s="367"/>
      <c r="AG275" s="367"/>
      <c r="AH275" s="367"/>
      <c r="AI275" s="367"/>
      <c r="AJ275" s="367"/>
      <c r="AK275" s="367"/>
    </row>
    <row r="276" spans="1:37" s="917" customFormat="1" ht="25.5" customHeight="1">
      <c r="A276" s="1076" t="s">
        <v>514</v>
      </c>
      <c r="B276" s="1077" t="s">
        <v>937</v>
      </c>
      <c r="C276" s="1076" t="s">
        <v>525</v>
      </c>
      <c r="D276" s="1078" t="s">
        <v>881</v>
      </c>
      <c r="E276" s="898" t="e">
        <f>NC_DKDD!H730</f>
        <v>#VALUE!</v>
      </c>
      <c r="F276" s="898"/>
      <c r="G276" s="391"/>
      <c r="H276" s="898"/>
      <c r="I276" s="898"/>
      <c r="J276" s="898"/>
      <c r="K276" s="898"/>
      <c r="L276" s="898"/>
      <c r="M276" s="898"/>
      <c r="N276" s="898"/>
      <c r="O276" s="898"/>
      <c r="P276" s="898">
        <f t="shared" si="40"/>
        <v>49.184615384615384</v>
      </c>
      <c r="Q276" s="835">
        <f t="shared" si="41"/>
        <v>42.769230769230766</v>
      </c>
      <c r="R276" s="835">
        <f t="shared" si="42"/>
        <v>6.4153846153846157</v>
      </c>
      <c r="S276" s="1011">
        <f>NC_DKDD!G730</f>
        <v>8.0000000000000002E-3</v>
      </c>
      <c r="T276" s="946">
        <f>'[1]2,DG-capdoi'!N272</f>
        <v>0</v>
      </c>
      <c r="U276" s="946">
        <f t="shared" si="43"/>
        <v>0</v>
      </c>
      <c r="V276" s="367"/>
      <c r="W276" s="367"/>
      <c r="X276" s="367"/>
      <c r="Y276" s="367"/>
      <c r="Z276" s="367"/>
      <c r="AA276" s="367"/>
      <c r="AB276" s="367"/>
      <c r="AC276" s="367"/>
      <c r="AD276" s="367"/>
      <c r="AE276" s="367"/>
      <c r="AF276" s="367"/>
      <c r="AG276" s="367"/>
      <c r="AH276" s="367"/>
      <c r="AI276" s="367"/>
      <c r="AJ276" s="367"/>
      <c r="AK276" s="367"/>
    </row>
    <row r="277" spans="1:37" s="917" customFormat="1" ht="31.5" customHeight="1">
      <c r="A277" s="1076" t="s">
        <v>878</v>
      </c>
      <c r="B277" s="1077" t="s">
        <v>48</v>
      </c>
      <c r="C277" s="1076" t="s">
        <v>525</v>
      </c>
      <c r="D277" s="1078" t="s">
        <v>881</v>
      </c>
      <c r="E277" s="898" t="e">
        <f>NC_DKDD!H731</f>
        <v>#VALUE!</v>
      </c>
      <c r="F277" s="898"/>
      <c r="G277" s="391"/>
      <c r="H277" s="898"/>
      <c r="I277" s="898"/>
      <c r="J277" s="898"/>
      <c r="K277" s="898"/>
      <c r="L277" s="898"/>
      <c r="M277" s="898"/>
      <c r="N277" s="898"/>
      <c r="O277" s="898"/>
      <c r="P277" s="898">
        <f t="shared" si="40"/>
        <v>24.592307692307692</v>
      </c>
      <c r="Q277" s="835">
        <f t="shared" si="41"/>
        <v>21.384615384615383</v>
      </c>
      <c r="R277" s="835">
        <f t="shared" si="42"/>
        <v>3.2076923076923078</v>
      </c>
      <c r="S277" s="1011">
        <f>NC_DKDD!G731</f>
        <v>4.0000000000000001E-3</v>
      </c>
      <c r="T277" s="946">
        <f>'[1]2,DG-capdoi'!N273</f>
        <v>0</v>
      </c>
      <c r="U277" s="946">
        <f t="shared" si="43"/>
        <v>0</v>
      </c>
      <c r="V277" s="367"/>
      <c r="W277" s="367"/>
      <c r="X277" s="367"/>
      <c r="Y277" s="367"/>
      <c r="Z277" s="367"/>
      <c r="AA277" s="367"/>
      <c r="AB277" s="367"/>
      <c r="AC277" s="367"/>
      <c r="AD277" s="367"/>
      <c r="AE277" s="367"/>
      <c r="AF277" s="367"/>
      <c r="AG277" s="367"/>
      <c r="AH277" s="367"/>
      <c r="AI277" s="367"/>
      <c r="AJ277" s="367"/>
      <c r="AK277" s="367"/>
    </row>
    <row r="278" spans="1:37" s="917" customFormat="1" ht="30.75" customHeight="1">
      <c r="A278" s="1076" t="s">
        <v>879</v>
      </c>
      <c r="B278" s="1077" t="s">
        <v>50</v>
      </c>
      <c r="C278" s="1076" t="s">
        <v>523</v>
      </c>
      <c r="D278" s="1078" t="s">
        <v>881</v>
      </c>
      <c r="E278" s="898" t="e">
        <f>NC_DKDD!H732</f>
        <v>#VALUE!</v>
      </c>
      <c r="F278" s="898"/>
      <c r="G278" s="391"/>
      <c r="H278" s="898"/>
      <c r="I278" s="898"/>
      <c r="J278" s="898"/>
      <c r="K278" s="898"/>
      <c r="L278" s="898"/>
      <c r="M278" s="898"/>
      <c r="N278" s="898"/>
      <c r="O278" s="898"/>
      <c r="P278" s="898">
        <f t="shared" si="40"/>
        <v>61.480769230769226</v>
      </c>
      <c r="Q278" s="835">
        <f t="shared" si="41"/>
        <v>53.46153846153846</v>
      </c>
      <c r="R278" s="835">
        <f t="shared" si="42"/>
        <v>8.0192307692307701</v>
      </c>
      <c r="S278" s="1011">
        <f>NC_DKDD!G732</f>
        <v>0.01</v>
      </c>
      <c r="T278" s="946">
        <f>'[1]2,DG-capdoi'!N274</f>
        <v>0</v>
      </c>
      <c r="U278" s="946">
        <f t="shared" si="43"/>
        <v>0</v>
      </c>
      <c r="V278" s="367"/>
      <c r="W278" s="367"/>
      <c r="X278" s="367"/>
      <c r="Y278" s="367"/>
      <c r="Z278" s="367"/>
      <c r="AA278" s="367"/>
      <c r="AB278" s="367"/>
      <c r="AC278" s="367"/>
      <c r="AD278" s="367"/>
      <c r="AE278" s="367"/>
      <c r="AF278" s="367"/>
      <c r="AG278" s="367"/>
      <c r="AH278" s="367"/>
      <c r="AI278" s="367"/>
      <c r="AJ278" s="367"/>
      <c r="AK278" s="367"/>
    </row>
    <row r="279" spans="1:37" s="917" customFormat="1" ht="59.25" customHeight="1">
      <c r="A279" s="1076">
        <v>12</v>
      </c>
      <c r="B279" s="1077" t="s">
        <v>235</v>
      </c>
      <c r="C279" s="1076" t="s">
        <v>281</v>
      </c>
      <c r="D279" s="1078" t="s">
        <v>881</v>
      </c>
      <c r="E279" s="898" t="e">
        <f>NC_DKDD!H733</f>
        <v>#VALUE!</v>
      </c>
      <c r="F279" s="898"/>
      <c r="G279" s="391"/>
      <c r="H279" s="898"/>
      <c r="I279" s="898"/>
      <c r="J279" s="898"/>
      <c r="K279" s="898"/>
      <c r="L279" s="898"/>
      <c r="M279" s="898"/>
      <c r="N279" s="898"/>
      <c r="O279" s="898"/>
      <c r="P279" s="898">
        <f t="shared" si="40"/>
        <v>307.40384615384619</v>
      </c>
      <c r="Q279" s="835">
        <f t="shared" si="41"/>
        <v>267.30769230769232</v>
      </c>
      <c r="R279" s="835">
        <f t="shared" si="42"/>
        <v>40.096153846153847</v>
      </c>
      <c r="S279" s="1011">
        <f>NC_DKDD!G733</f>
        <v>0.05</v>
      </c>
      <c r="T279" s="946">
        <f>'[1]2,DG-capdoi'!N275</f>
        <v>0</v>
      </c>
      <c r="U279" s="946">
        <f t="shared" si="43"/>
        <v>0</v>
      </c>
      <c r="V279" s="367"/>
      <c r="W279" s="367"/>
      <c r="X279" s="367"/>
      <c r="Y279" s="367"/>
      <c r="Z279" s="367"/>
      <c r="AA279" s="367"/>
      <c r="AB279" s="367"/>
      <c r="AC279" s="367"/>
      <c r="AD279" s="367"/>
      <c r="AE279" s="367"/>
      <c r="AF279" s="367"/>
      <c r="AG279" s="367"/>
      <c r="AH279" s="367"/>
      <c r="AI279" s="367"/>
      <c r="AJ279" s="367"/>
      <c r="AK279" s="367"/>
    </row>
    <row r="280" spans="1:37" s="917" customFormat="1" ht="34.5" customHeight="1">
      <c r="A280" s="1076">
        <v>13</v>
      </c>
      <c r="B280" s="1077" t="s">
        <v>236</v>
      </c>
      <c r="C280" s="1076" t="s">
        <v>281</v>
      </c>
      <c r="D280" s="1078" t="s">
        <v>881</v>
      </c>
      <c r="E280" s="898" t="e">
        <f>NC_DKDD!H734</f>
        <v>#VALUE!</v>
      </c>
      <c r="F280" s="898"/>
      <c r="G280" s="391"/>
      <c r="H280" s="898"/>
      <c r="I280" s="898"/>
      <c r="J280" s="898"/>
      <c r="K280" s="898"/>
      <c r="L280" s="898"/>
      <c r="M280" s="898"/>
      <c r="N280" s="898"/>
      <c r="O280" s="898"/>
      <c r="P280" s="898">
        <f t="shared" si="40"/>
        <v>307.40384615384619</v>
      </c>
      <c r="Q280" s="835">
        <f t="shared" si="41"/>
        <v>267.30769230769232</v>
      </c>
      <c r="R280" s="835">
        <f t="shared" si="42"/>
        <v>40.096153846153847</v>
      </c>
      <c r="S280" s="1011">
        <f>NC_DKDD!G734</f>
        <v>0.05</v>
      </c>
      <c r="T280" s="946">
        <f>'[1]2,DG-capdoi'!N276</f>
        <v>0</v>
      </c>
      <c r="U280" s="946">
        <f t="shared" si="43"/>
        <v>0</v>
      </c>
      <c r="V280" s="367"/>
      <c r="W280" s="367"/>
      <c r="X280" s="367"/>
      <c r="Y280" s="367"/>
      <c r="Z280" s="367"/>
      <c r="AA280" s="367"/>
      <c r="AB280" s="367"/>
      <c r="AC280" s="367"/>
      <c r="AD280" s="367"/>
      <c r="AE280" s="367"/>
      <c r="AF280" s="367"/>
      <c r="AG280" s="367"/>
      <c r="AH280" s="367"/>
      <c r="AI280" s="367"/>
      <c r="AJ280" s="367"/>
      <c r="AK280" s="367"/>
    </row>
    <row r="281" spans="1:37" s="917" customFormat="1" ht="25.5" customHeight="1">
      <c r="A281" s="1074" t="s">
        <v>184</v>
      </c>
      <c r="B281" s="1075" t="s">
        <v>606</v>
      </c>
      <c r="C281" s="1076"/>
      <c r="D281" s="1076"/>
      <c r="E281" s="919" t="e">
        <f>E282</f>
        <v>#VALUE!</v>
      </c>
      <c r="F281" s="898"/>
      <c r="G281" s="391"/>
      <c r="H281" s="898">
        <f>'Dcu-DKDD'!$H$251</f>
        <v>71.083283653846138</v>
      </c>
      <c r="I281" s="898">
        <f>'VL-DKDD'!$F$253</f>
        <v>676.62</v>
      </c>
      <c r="J281" s="898"/>
      <c r="K281" s="898"/>
      <c r="L281" s="893" t="e">
        <f>SUM(E281:K281)</f>
        <v>#VALUE!</v>
      </c>
      <c r="M281" s="893" t="e">
        <f>L281*'He so chung'!$D$17/100</f>
        <v>#VALUE!</v>
      </c>
      <c r="N281" s="893" t="e">
        <f>L281+M281</f>
        <v>#VALUE!</v>
      </c>
      <c r="O281" s="898"/>
      <c r="P281" s="919">
        <f>P282</f>
        <v>122.96153846153845</v>
      </c>
      <c r="Q281" s="835">
        <f t="shared" si="41"/>
        <v>0</v>
      </c>
      <c r="R281" s="835">
        <f t="shared" si="42"/>
        <v>0</v>
      </c>
      <c r="S281" s="1011">
        <f>NC_DKDD!G735</f>
        <v>0</v>
      </c>
      <c r="T281" s="946">
        <f>'[1]2,DG-capdoi'!N277</f>
        <v>4963.6386415865381</v>
      </c>
      <c r="U281" s="946" t="e">
        <f t="shared" si="43"/>
        <v>#VALUE!</v>
      </c>
      <c r="V281" s="367"/>
      <c r="W281" s="367"/>
      <c r="X281" s="367"/>
      <c r="Y281" s="367"/>
      <c r="Z281" s="367"/>
      <c r="AA281" s="367"/>
      <c r="AB281" s="367"/>
      <c r="AC281" s="367"/>
      <c r="AD281" s="367"/>
      <c r="AE281" s="367"/>
      <c r="AF281" s="367"/>
      <c r="AG281" s="367"/>
      <c r="AH281" s="367"/>
      <c r="AI281" s="367"/>
      <c r="AJ281" s="367"/>
      <c r="AK281" s="367"/>
    </row>
    <row r="282" spans="1:37" s="917" customFormat="1" ht="25.5" customHeight="1">
      <c r="A282" s="1076">
        <v>1</v>
      </c>
      <c r="B282" s="1077" t="s">
        <v>515</v>
      </c>
      <c r="C282" s="1076" t="s">
        <v>281</v>
      </c>
      <c r="D282" s="1078" t="s">
        <v>881</v>
      </c>
      <c r="E282" s="898" t="e">
        <f>NC_DKDD!H736</f>
        <v>#VALUE!</v>
      </c>
      <c r="F282" s="898"/>
      <c r="G282" s="391"/>
      <c r="H282" s="898"/>
      <c r="I282" s="898"/>
      <c r="J282" s="898"/>
      <c r="K282" s="898"/>
      <c r="L282" s="898"/>
      <c r="M282" s="898"/>
      <c r="N282" s="898"/>
      <c r="O282" s="898"/>
      <c r="P282" s="898">
        <f t="shared" si="40"/>
        <v>122.96153846153845</v>
      </c>
      <c r="Q282" s="835">
        <f t="shared" si="41"/>
        <v>106.92307692307692</v>
      </c>
      <c r="R282" s="835">
        <f t="shared" si="42"/>
        <v>16.03846153846154</v>
      </c>
      <c r="S282" s="1011">
        <f>NC_DKDD!G736</f>
        <v>0.02</v>
      </c>
      <c r="T282" s="946">
        <f>'[1]2,DG-capdoi'!N278</f>
        <v>0</v>
      </c>
      <c r="U282" s="946">
        <f t="shared" si="43"/>
        <v>0</v>
      </c>
      <c r="V282" s="367"/>
      <c r="W282" s="367"/>
      <c r="X282" s="367"/>
      <c r="Y282" s="367"/>
      <c r="Z282" s="367"/>
      <c r="AA282" s="367"/>
      <c r="AB282" s="367"/>
      <c r="AC282" s="367"/>
      <c r="AD282" s="367"/>
      <c r="AE282" s="367"/>
      <c r="AF282" s="367"/>
      <c r="AG282" s="367"/>
      <c r="AH282" s="367"/>
      <c r="AI282" s="367"/>
      <c r="AJ282" s="367"/>
      <c r="AK282" s="367"/>
    </row>
    <row r="283" spans="1:37" s="917" customFormat="1" ht="30.75" customHeight="1">
      <c r="A283" s="1069"/>
      <c r="B283" s="1070" t="s">
        <v>282</v>
      </c>
      <c r="C283" s="1071"/>
      <c r="D283" s="1069"/>
      <c r="E283" s="935"/>
      <c r="F283" s="935"/>
      <c r="G283" s="1072"/>
      <c r="H283" s="935"/>
      <c r="I283" s="935"/>
      <c r="J283" s="1073"/>
      <c r="K283" s="1073"/>
      <c r="L283" s="1073"/>
      <c r="M283" s="1073"/>
      <c r="N283" s="1073"/>
      <c r="O283" s="1073"/>
      <c r="P283" s="935"/>
      <c r="Q283" s="367"/>
      <c r="R283" s="367"/>
      <c r="S283" s="1017"/>
      <c r="T283" s="946">
        <f>'[1]2,DG-capdoi'!N279</f>
        <v>0</v>
      </c>
      <c r="U283" s="946">
        <f t="shared" si="43"/>
        <v>0</v>
      </c>
      <c r="V283" s="367"/>
      <c r="W283" s="367"/>
      <c r="X283" s="367"/>
      <c r="Y283" s="367"/>
      <c r="Z283" s="367"/>
      <c r="AA283" s="367"/>
      <c r="AB283" s="367"/>
      <c r="AC283" s="367"/>
      <c r="AD283" s="367"/>
      <c r="AE283" s="367"/>
      <c r="AF283" s="367"/>
      <c r="AG283" s="367"/>
      <c r="AH283" s="367"/>
      <c r="AI283" s="367"/>
      <c r="AJ283" s="367"/>
      <c r="AK283" s="367"/>
    </row>
    <row r="284" spans="1:37" s="917" customFormat="1" ht="30.75" customHeight="1">
      <c r="A284" s="1041"/>
      <c r="B284" s="1129" t="s">
        <v>20</v>
      </c>
      <c r="C284" s="1129"/>
      <c r="D284" s="1129"/>
      <c r="E284" s="1129"/>
      <c r="F284" s="1129"/>
      <c r="G284" s="1129"/>
      <c r="H284" s="1129"/>
      <c r="I284" s="1129"/>
      <c r="J284" s="1129"/>
      <c r="K284" s="1129"/>
      <c r="L284" s="1129"/>
      <c r="M284" s="1129"/>
      <c r="N284" s="1129"/>
      <c r="O284" s="1129"/>
      <c r="P284" s="1129"/>
      <c r="Q284" s="367"/>
      <c r="R284" s="367" t="s">
        <v>464</v>
      </c>
      <c r="S284" s="1017"/>
      <c r="T284" s="946">
        <f>'[1]2,DG-capdoi'!N280</f>
        <v>0</v>
      </c>
      <c r="U284" s="946">
        <f t="shared" si="43"/>
        <v>0</v>
      </c>
      <c r="V284" s="367"/>
      <c r="W284" s="367"/>
      <c r="X284" s="367"/>
      <c r="Y284" s="367"/>
      <c r="Z284" s="367"/>
      <c r="AA284" s="367"/>
      <c r="AB284" s="367"/>
      <c r="AC284" s="367"/>
      <c r="AD284" s="367"/>
      <c r="AE284" s="367"/>
      <c r="AF284" s="367"/>
      <c r="AG284" s="367"/>
      <c r="AH284" s="367"/>
      <c r="AI284" s="367"/>
      <c r="AJ284" s="367"/>
      <c r="AK284" s="367"/>
    </row>
    <row r="285" spans="1:37" s="917" customFormat="1" ht="30.75" customHeight="1">
      <c r="A285" s="1041"/>
      <c r="B285" s="1118" t="s">
        <v>542</v>
      </c>
      <c r="C285" s="1118"/>
      <c r="D285" s="1118"/>
      <c r="E285" s="1118"/>
      <c r="F285" s="1118"/>
      <c r="G285" s="1118"/>
      <c r="H285" s="1118"/>
      <c r="I285" s="1118"/>
      <c r="J285" s="1118"/>
      <c r="K285" s="1118"/>
      <c r="L285" s="1118"/>
      <c r="M285" s="1118"/>
      <c r="N285" s="1118"/>
      <c r="O285" s="1118"/>
      <c r="P285" s="1118"/>
      <c r="Q285" s="367"/>
      <c r="R285" s="367"/>
      <c r="S285" s="1017"/>
      <c r="T285" s="946">
        <f>'[1]2,DG-capdoi'!N281</f>
        <v>0</v>
      </c>
      <c r="U285" s="946">
        <f t="shared" si="43"/>
        <v>0</v>
      </c>
      <c r="V285" s="367"/>
      <c r="W285" s="367"/>
      <c r="X285" s="367"/>
      <c r="Y285" s="367"/>
      <c r="Z285" s="367"/>
      <c r="AA285" s="367"/>
      <c r="AB285" s="367"/>
      <c r="AC285" s="367"/>
      <c r="AD285" s="367"/>
      <c r="AE285" s="367"/>
      <c r="AF285" s="367"/>
      <c r="AG285" s="367"/>
      <c r="AH285" s="367"/>
      <c r="AI285" s="367"/>
      <c r="AJ285" s="367"/>
      <c r="AK285" s="367"/>
    </row>
    <row r="286" spans="1:37" s="917" customFormat="1" ht="30.75" customHeight="1">
      <c r="A286" s="1041"/>
      <c r="B286" s="1181" t="s">
        <v>186</v>
      </c>
      <c r="C286" s="1181"/>
      <c r="D286" s="1181"/>
      <c r="E286" s="1181"/>
      <c r="F286" s="1181"/>
      <c r="G286" s="1181"/>
      <c r="H286" s="1181"/>
      <c r="I286" s="1181"/>
      <c r="J286" s="1181"/>
      <c r="K286" s="1181"/>
      <c r="L286" s="1181"/>
      <c r="M286" s="1181"/>
      <c r="N286" s="1181"/>
      <c r="O286" s="1181"/>
      <c r="P286" s="1181"/>
      <c r="Q286" s="367"/>
      <c r="R286" s="367"/>
      <c r="S286" s="1017"/>
      <c r="T286" s="946">
        <f>'[1]2,DG-capdoi'!N282</f>
        <v>0</v>
      </c>
      <c r="U286" s="946">
        <f t="shared" si="43"/>
        <v>0</v>
      </c>
      <c r="V286" s="367"/>
      <c r="W286" s="367"/>
      <c r="X286" s="367"/>
      <c r="Y286" s="367"/>
      <c r="Z286" s="367"/>
      <c r="AA286" s="367"/>
      <c r="AB286" s="367"/>
      <c r="AC286" s="367"/>
      <c r="AD286" s="367"/>
      <c r="AE286" s="367"/>
      <c r="AF286" s="367"/>
      <c r="AG286" s="367"/>
      <c r="AH286" s="367"/>
      <c r="AI286" s="367"/>
      <c r="AJ286" s="367"/>
      <c r="AK286" s="367"/>
    </row>
    <row r="287" spans="1:37" s="917" customFormat="1" ht="30.75" customHeight="1">
      <c r="A287" s="1041"/>
      <c r="B287" s="1118" t="s">
        <v>187</v>
      </c>
      <c r="C287" s="1118"/>
      <c r="D287" s="1118"/>
      <c r="E287" s="1118"/>
      <c r="F287" s="1118"/>
      <c r="G287" s="1118"/>
      <c r="H287" s="1118"/>
      <c r="I287" s="1118"/>
      <c r="J287" s="1118"/>
      <c r="K287" s="1118"/>
      <c r="L287" s="1118"/>
      <c r="M287" s="1118"/>
      <c r="N287" s="1118"/>
      <c r="O287" s="1118"/>
      <c r="P287" s="1118"/>
      <c r="Q287" s="367"/>
      <c r="R287" s="367"/>
      <c r="S287" s="1017"/>
      <c r="T287" s="946">
        <f>'[1]2,DG-capdoi'!N283</f>
        <v>0</v>
      </c>
      <c r="U287" s="946">
        <f t="shared" si="43"/>
        <v>0</v>
      </c>
      <c r="V287" s="367"/>
      <c r="W287" s="367"/>
      <c r="X287" s="367"/>
      <c r="Y287" s="367"/>
      <c r="Z287" s="367"/>
      <c r="AA287" s="367"/>
      <c r="AB287" s="367"/>
      <c r="AC287" s="367"/>
      <c r="AD287" s="367"/>
      <c r="AE287" s="367"/>
      <c r="AF287" s="367"/>
      <c r="AG287" s="367"/>
      <c r="AH287" s="367"/>
      <c r="AI287" s="367"/>
      <c r="AJ287" s="367"/>
      <c r="AK287" s="367"/>
    </row>
    <row r="288" spans="1:37" ht="29.25" customHeight="1">
      <c r="A288" s="1114" t="s">
        <v>836</v>
      </c>
      <c r="B288" s="1114"/>
      <c r="C288" s="1114"/>
      <c r="D288" s="1114"/>
      <c r="E288" s="1114"/>
      <c r="F288" s="1114"/>
      <c r="G288" s="1114"/>
      <c r="H288" s="1114"/>
      <c r="I288" s="1114"/>
      <c r="J288" s="1114"/>
      <c r="K288" s="1114"/>
      <c r="L288" s="1114"/>
      <c r="M288" s="1114"/>
      <c r="N288" s="1114"/>
      <c r="O288" s="1114"/>
      <c r="P288" s="1114"/>
      <c r="S288" s="996"/>
      <c r="T288" s="979">
        <f>'[1]2,DG-capdoi'!N284</f>
        <v>0</v>
      </c>
      <c r="U288" s="979">
        <f t="shared" si="43"/>
        <v>0</v>
      </c>
    </row>
    <row r="289" spans="1:37" ht="16.5">
      <c r="A289" s="1113" t="s">
        <v>960</v>
      </c>
      <c r="B289" s="1113"/>
      <c r="C289" s="1113"/>
      <c r="D289" s="1113"/>
      <c r="E289" s="1113"/>
      <c r="F289" s="1113"/>
      <c r="G289" s="1113"/>
      <c r="H289" s="1113"/>
      <c r="I289" s="1113"/>
      <c r="J289" s="1113"/>
      <c r="K289" s="1113"/>
      <c r="L289" s="1113"/>
      <c r="M289" s="1113"/>
      <c r="N289" s="1113"/>
      <c r="O289" s="1113"/>
      <c r="P289" s="1113"/>
      <c r="S289" s="996"/>
      <c r="T289" s="979"/>
      <c r="U289" s="979"/>
    </row>
    <row r="290" spans="1:37" ht="21" customHeight="1">
      <c r="A290" s="984"/>
      <c r="B290" s="985"/>
      <c r="C290" s="986"/>
      <c r="D290" s="987" t="s">
        <v>576</v>
      </c>
      <c r="F290" s="988"/>
      <c r="G290" s="989"/>
      <c r="H290" s="988"/>
      <c r="I290" s="990"/>
      <c r="J290" s="988"/>
      <c r="K290" s="988"/>
      <c r="L290" s="991" t="s">
        <v>980</v>
      </c>
      <c r="M290" s="988"/>
      <c r="N290" s="990"/>
      <c r="O290" s="990"/>
      <c r="S290" s="996"/>
      <c r="T290" s="979">
        <f>'[1]2,DG-capdoi'!N285</f>
        <v>0</v>
      </c>
      <c r="U290" s="979">
        <f t="shared" si="43"/>
        <v>0</v>
      </c>
    </row>
    <row r="291" spans="1:37" ht="21" customHeight="1">
      <c r="A291" s="984"/>
      <c r="B291" s="985"/>
      <c r="C291" s="986"/>
      <c r="D291" s="993"/>
      <c r="S291" s="996"/>
      <c r="T291" s="979">
        <f>'[1]2,DG-capdoi'!N286</f>
        <v>0</v>
      </c>
      <c r="U291" s="979">
        <f t="shared" si="43"/>
        <v>0</v>
      </c>
    </row>
    <row r="292" spans="1:37" s="1004" customFormat="1" ht="40.5" customHeight="1">
      <c r="A292" s="1115" t="s">
        <v>876</v>
      </c>
      <c r="B292" s="1115" t="s">
        <v>381</v>
      </c>
      <c r="C292" s="1111" t="s">
        <v>981</v>
      </c>
      <c r="D292" s="1111" t="s">
        <v>982</v>
      </c>
      <c r="E292" s="1111" t="s">
        <v>466</v>
      </c>
      <c r="F292" s="1111"/>
      <c r="G292" s="1111"/>
      <c r="H292" s="1111"/>
      <c r="I292" s="1111"/>
      <c r="J292" s="1111"/>
      <c r="K292" s="1111"/>
      <c r="L292" s="1111"/>
      <c r="M292" s="1111" t="s">
        <v>581</v>
      </c>
      <c r="N292" s="1111" t="s">
        <v>467</v>
      </c>
      <c r="O292" s="1111" t="s">
        <v>657</v>
      </c>
      <c r="P292" s="1111" t="s">
        <v>468</v>
      </c>
      <c r="Q292" s="976"/>
      <c r="R292" s="976"/>
      <c r="S292" s="998"/>
      <c r="T292" s="979" t="str">
        <f>'[1]2,DG-capdoi'!N287</f>
        <v>Đơn giá       sản phẩm</v>
      </c>
      <c r="U292" s="979"/>
      <c r="V292" s="977"/>
      <c r="W292" s="977"/>
      <c r="X292" s="977"/>
      <c r="Y292" s="977"/>
      <c r="Z292" s="977"/>
      <c r="AA292" s="977"/>
      <c r="AB292" s="977"/>
      <c r="AC292" s="977"/>
      <c r="AD292" s="977"/>
      <c r="AE292" s="977"/>
      <c r="AF292" s="977"/>
      <c r="AG292" s="977"/>
      <c r="AH292" s="977"/>
      <c r="AI292" s="977"/>
      <c r="AJ292" s="977"/>
      <c r="AK292" s="977"/>
    </row>
    <row r="293" spans="1:37" s="1004" customFormat="1" ht="35.25" customHeight="1">
      <c r="A293" s="1115"/>
      <c r="B293" s="1115"/>
      <c r="C293" s="1111"/>
      <c r="D293" s="1111"/>
      <c r="E293" s="825" t="s">
        <v>469</v>
      </c>
      <c r="F293" s="825" t="s">
        <v>470</v>
      </c>
      <c r="G293" s="852" t="s">
        <v>1003</v>
      </c>
      <c r="H293" s="825" t="s">
        <v>59</v>
      </c>
      <c r="I293" s="825" t="s">
        <v>471</v>
      </c>
      <c r="J293" s="825" t="s">
        <v>280</v>
      </c>
      <c r="K293" s="825" t="s">
        <v>472</v>
      </c>
      <c r="L293" s="825" t="s">
        <v>473</v>
      </c>
      <c r="M293" s="1111"/>
      <c r="N293" s="1111"/>
      <c r="O293" s="1111"/>
      <c r="P293" s="1111"/>
      <c r="Q293" s="976"/>
      <c r="R293" s="976"/>
      <c r="S293" s="998"/>
      <c r="T293" s="979">
        <f>'[1]2,DG-capdoi'!N288</f>
        <v>0</v>
      </c>
      <c r="U293" s="979">
        <f t="shared" si="43"/>
        <v>0</v>
      </c>
      <c r="V293" s="977"/>
      <c r="W293" s="977"/>
      <c r="X293" s="977"/>
      <c r="Y293" s="977"/>
      <c r="Z293" s="977"/>
      <c r="AA293" s="977"/>
      <c r="AB293" s="977"/>
      <c r="AC293" s="977"/>
      <c r="AD293" s="977"/>
      <c r="AE293" s="977"/>
      <c r="AF293" s="977"/>
      <c r="AG293" s="977"/>
      <c r="AH293" s="977"/>
      <c r="AI293" s="977"/>
      <c r="AJ293" s="977"/>
      <c r="AK293" s="977"/>
    </row>
    <row r="294" spans="1:37" s="960" customFormat="1" ht="31.5" customHeight="1">
      <c r="A294" s="831"/>
      <c r="B294" s="830" t="s">
        <v>833</v>
      </c>
      <c r="C294" s="382"/>
      <c r="D294" s="382"/>
      <c r="E294" s="382"/>
      <c r="F294" s="382"/>
      <c r="G294" s="837"/>
      <c r="H294" s="382"/>
      <c r="I294" s="382"/>
      <c r="J294" s="382"/>
      <c r="K294" s="382"/>
      <c r="L294" s="382"/>
      <c r="M294" s="382"/>
      <c r="N294" s="382"/>
      <c r="O294" s="382"/>
      <c r="P294" s="382"/>
      <c r="Q294" s="839"/>
      <c r="R294" s="839"/>
      <c r="S294" s="1022"/>
      <c r="T294" s="946">
        <f>'[1]2,DG-capdoi'!N289</f>
        <v>0</v>
      </c>
      <c r="U294" s="946">
        <f t="shared" si="43"/>
        <v>0</v>
      </c>
      <c r="V294" s="840"/>
      <c r="W294" s="840"/>
      <c r="X294" s="840"/>
      <c r="Y294" s="840"/>
      <c r="Z294" s="840"/>
      <c r="AA294" s="840"/>
      <c r="AB294" s="840"/>
      <c r="AC294" s="840"/>
      <c r="AD294" s="840"/>
      <c r="AE294" s="840"/>
      <c r="AF294" s="840"/>
      <c r="AG294" s="840"/>
      <c r="AH294" s="840"/>
      <c r="AI294" s="840"/>
      <c r="AJ294" s="840"/>
      <c r="AK294" s="840"/>
    </row>
    <row r="295" spans="1:37" s="960" customFormat="1" ht="30.75" customHeight="1">
      <c r="A295" s="831"/>
      <c r="B295" s="868" t="s">
        <v>451</v>
      </c>
      <c r="C295" s="382" t="s">
        <v>281</v>
      </c>
      <c r="D295" s="831" t="s">
        <v>881</v>
      </c>
      <c r="E295" s="383" t="e">
        <f>E299+E325</f>
        <v>#VALUE!</v>
      </c>
      <c r="F295" s="383">
        <f t="shared" ref="F295:N295" si="44">F299+F325</f>
        <v>0</v>
      </c>
      <c r="G295" s="383">
        <f t="shared" si="44"/>
        <v>0</v>
      </c>
      <c r="H295" s="383">
        <f t="shared" si="44"/>
        <v>10604.484581249999</v>
      </c>
      <c r="I295" s="383">
        <f t="shared" si="44"/>
        <v>18661.86</v>
      </c>
      <c r="J295" s="383">
        <f t="shared" si="44"/>
        <v>8596.6738000000005</v>
      </c>
      <c r="K295" s="383">
        <f t="shared" si="44"/>
        <v>18943.415400000002</v>
      </c>
      <c r="L295" s="383" t="e">
        <f t="shared" si="44"/>
        <v>#VALUE!</v>
      </c>
      <c r="M295" s="383" t="e">
        <f t="shared" si="44"/>
        <v>#VALUE!</v>
      </c>
      <c r="N295" s="383" t="e">
        <f t="shared" si="44"/>
        <v>#VALUE!</v>
      </c>
      <c r="O295" s="383"/>
      <c r="P295" s="383">
        <f>P299+P325</f>
        <v>16925.655769230769</v>
      </c>
      <c r="Q295" s="839"/>
      <c r="R295" s="839"/>
      <c r="S295" s="1022"/>
      <c r="T295" s="946">
        <f>'[1]2,DG-capdoi'!N290</f>
        <v>667095.84691862983</v>
      </c>
      <c r="U295" s="946" t="e">
        <f t="shared" si="43"/>
        <v>#VALUE!</v>
      </c>
      <c r="V295" s="840"/>
      <c r="W295" s="840"/>
      <c r="X295" s="840"/>
      <c r="Y295" s="840"/>
      <c r="Z295" s="840"/>
      <c r="AA295" s="840"/>
      <c r="AB295" s="840"/>
      <c r="AC295" s="840"/>
      <c r="AD295" s="840"/>
      <c r="AE295" s="840"/>
      <c r="AF295" s="840"/>
      <c r="AG295" s="840"/>
      <c r="AH295" s="840"/>
      <c r="AI295" s="840"/>
      <c r="AJ295" s="840"/>
      <c r="AK295" s="840"/>
    </row>
    <row r="296" spans="1:37" s="960" customFormat="1" ht="30.75" customHeight="1">
      <c r="A296" s="831"/>
      <c r="B296" s="868" t="s">
        <v>452</v>
      </c>
      <c r="C296" s="382" t="s">
        <v>281</v>
      </c>
      <c r="D296" s="831" t="s">
        <v>881</v>
      </c>
      <c r="E296" s="383" t="e">
        <f>E300+E325</f>
        <v>#VALUE!</v>
      </c>
      <c r="F296" s="383">
        <f t="shared" ref="F296:P296" si="45">F300+F325</f>
        <v>0</v>
      </c>
      <c r="G296" s="383">
        <f t="shared" si="45"/>
        <v>0</v>
      </c>
      <c r="H296" s="383">
        <f t="shared" si="45"/>
        <v>10604.484581249999</v>
      </c>
      <c r="I296" s="383">
        <f t="shared" si="45"/>
        <v>18661.86</v>
      </c>
      <c r="J296" s="383">
        <f t="shared" si="45"/>
        <v>8596.6738000000005</v>
      </c>
      <c r="K296" s="383">
        <f t="shared" si="45"/>
        <v>18943.415400000002</v>
      </c>
      <c r="L296" s="383" t="e">
        <f t="shared" si="45"/>
        <v>#VALUE!</v>
      </c>
      <c r="M296" s="383" t="e">
        <f t="shared" si="45"/>
        <v>#VALUE!</v>
      </c>
      <c r="N296" s="383" t="e">
        <f t="shared" si="45"/>
        <v>#VALUE!</v>
      </c>
      <c r="O296" s="383"/>
      <c r="P296" s="383">
        <f t="shared" si="45"/>
        <v>16526.030769230769</v>
      </c>
      <c r="Q296" s="839"/>
      <c r="R296" s="839"/>
      <c r="S296" s="1022"/>
      <c r="T296" s="946">
        <f>'[1]2,DG-capdoi'!N291</f>
        <v>653758.56235612987</v>
      </c>
      <c r="U296" s="946" t="e">
        <f t="shared" si="43"/>
        <v>#VALUE!</v>
      </c>
      <c r="V296" s="840"/>
      <c r="W296" s="840"/>
      <c r="X296" s="840"/>
      <c r="Y296" s="840"/>
      <c r="Z296" s="840"/>
      <c r="AA296" s="840"/>
      <c r="AB296" s="840"/>
      <c r="AC296" s="840"/>
      <c r="AD296" s="840"/>
      <c r="AE296" s="840"/>
      <c r="AF296" s="840"/>
      <c r="AG296" s="840"/>
      <c r="AH296" s="840"/>
      <c r="AI296" s="840"/>
      <c r="AJ296" s="840"/>
      <c r="AK296" s="840"/>
    </row>
    <row r="297" spans="1:37" s="960" customFormat="1" ht="25.5" customHeight="1">
      <c r="A297" s="831"/>
      <c r="B297" s="888"/>
      <c r="C297" s="382"/>
      <c r="D297" s="382"/>
      <c r="E297" s="382"/>
      <c r="F297" s="382"/>
      <c r="G297" s="837"/>
      <c r="H297" s="382"/>
      <c r="I297" s="382"/>
      <c r="J297" s="382"/>
      <c r="K297" s="382"/>
      <c r="L297" s="382"/>
      <c r="M297" s="382"/>
      <c r="N297" s="382"/>
      <c r="O297" s="382"/>
      <c r="P297" s="382"/>
      <c r="Q297" s="849">
        <f>'He so chung'!D$22</f>
        <v>5346.1538461538457</v>
      </c>
      <c r="R297" s="849">
        <f>'He so chung'!D$23</f>
        <v>801.92307692307691</v>
      </c>
      <c r="S297" s="1023"/>
      <c r="T297" s="946">
        <f>'[1]2,DG-capdoi'!N292</f>
        <v>0</v>
      </c>
      <c r="U297" s="946">
        <f t="shared" si="43"/>
        <v>0</v>
      </c>
      <c r="V297" s="840"/>
      <c r="W297" s="840"/>
      <c r="X297" s="840"/>
      <c r="Y297" s="840"/>
      <c r="Z297" s="840"/>
      <c r="AA297" s="840"/>
      <c r="AB297" s="840"/>
      <c r="AC297" s="840"/>
      <c r="AD297" s="840"/>
      <c r="AE297" s="840"/>
      <c r="AF297" s="840"/>
      <c r="AG297" s="840"/>
      <c r="AH297" s="840"/>
      <c r="AI297" s="840"/>
      <c r="AJ297" s="840"/>
      <c r="AK297" s="840"/>
    </row>
    <row r="298" spans="1:37" s="960" customFormat="1" ht="25.5" customHeight="1">
      <c r="A298" s="831" t="s">
        <v>179</v>
      </c>
      <c r="B298" s="888" t="s">
        <v>765</v>
      </c>
      <c r="C298" s="382"/>
      <c r="D298" s="382"/>
      <c r="E298" s="382"/>
      <c r="F298" s="382"/>
      <c r="G298" s="837"/>
      <c r="H298" s="382"/>
      <c r="I298" s="382"/>
      <c r="J298" s="382"/>
      <c r="K298" s="382"/>
      <c r="L298" s="382"/>
      <c r="M298" s="382"/>
      <c r="N298" s="382"/>
      <c r="O298" s="382"/>
      <c r="P298" s="382"/>
      <c r="Q298" s="849"/>
      <c r="R298" s="849"/>
      <c r="S298" s="1023"/>
      <c r="T298" s="946">
        <f>'[1]2,DG-capdoi'!N293</f>
        <v>0</v>
      </c>
      <c r="U298" s="946">
        <f t="shared" si="43"/>
        <v>0</v>
      </c>
      <c r="V298" s="840"/>
      <c r="W298" s="840"/>
      <c r="X298" s="840"/>
      <c r="Y298" s="840"/>
      <c r="Z298" s="840"/>
      <c r="AA298" s="840"/>
      <c r="AB298" s="840"/>
      <c r="AC298" s="840"/>
      <c r="AD298" s="840"/>
      <c r="AE298" s="840"/>
      <c r="AF298" s="840"/>
      <c r="AG298" s="840"/>
      <c r="AH298" s="840"/>
      <c r="AI298" s="840"/>
      <c r="AJ298" s="840"/>
      <c r="AK298" s="840"/>
    </row>
    <row r="299" spans="1:37" s="960" customFormat="1" ht="25.5" customHeight="1">
      <c r="A299" s="869" t="s">
        <v>665</v>
      </c>
      <c r="B299" s="868" t="s">
        <v>451</v>
      </c>
      <c r="C299" s="382" t="s">
        <v>281</v>
      </c>
      <c r="D299" s="901" t="s">
        <v>881</v>
      </c>
      <c r="E299" s="919" t="e">
        <f>E302+E304+E305+E306+E307+E309+E311+E313+E315+E316+E319+E320+E321+E322+E323+E324</f>
        <v>#VALUE!</v>
      </c>
      <c r="F299" s="898"/>
      <c r="G299" s="391"/>
      <c r="H299" s="383">
        <f>'Dcu-DKDD'!$J$251*1.3</f>
        <v>10512.076312499999</v>
      </c>
      <c r="I299" s="383">
        <f>'VL-DKDD'!$H$253</f>
        <v>17985.240000000002</v>
      </c>
      <c r="J299" s="383">
        <f>'TB-DKDD'!$K$142*1.3</f>
        <v>8596.6738000000005</v>
      </c>
      <c r="K299" s="383">
        <f>'NL-DKDD'!$H$96*1.3</f>
        <v>18943.415400000002</v>
      </c>
      <c r="L299" s="893" t="e">
        <f>SUM(E299:K299)</f>
        <v>#VALUE!</v>
      </c>
      <c r="M299" s="893" t="e">
        <f>L299*'He so chung'!$D$17/100</f>
        <v>#VALUE!</v>
      </c>
      <c r="N299" s="893" t="e">
        <f>L299+M299</f>
        <v>#VALUE!</v>
      </c>
      <c r="O299" s="898"/>
      <c r="P299" s="919">
        <f>P302+P304+P305+P306+P307+P309+P311+P313+P315+P316+P319+P320+P321+P322+P323+P324</f>
        <v>16765.80576923077</v>
      </c>
      <c r="Q299" s="839"/>
      <c r="R299" s="839"/>
      <c r="S299" s="1079"/>
      <c r="T299" s="946">
        <f>'[1]2,DG-capdoi'!N294</f>
        <v>660876.55058456736</v>
      </c>
      <c r="U299" s="946" t="e">
        <f t="shared" si="43"/>
        <v>#VALUE!</v>
      </c>
      <c r="V299" s="840"/>
      <c r="W299" s="840"/>
      <c r="X299" s="840"/>
      <c r="Y299" s="840"/>
      <c r="Z299" s="840"/>
      <c r="AA299" s="840"/>
      <c r="AB299" s="840"/>
      <c r="AC299" s="840"/>
      <c r="AD299" s="840"/>
      <c r="AE299" s="840"/>
      <c r="AF299" s="840"/>
      <c r="AG299" s="840"/>
      <c r="AH299" s="840"/>
      <c r="AI299" s="840"/>
      <c r="AJ299" s="840"/>
      <c r="AK299" s="840"/>
    </row>
    <row r="300" spans="1:37" s="960" customFormat="1" ht="25.5" customHeight="1">
      <c r="A300" s="869" t="s">
        <v>666</v>
      </c>
      <c r="B300" s="868" t="s">
        <v>452</v>
      </c>
      <c r="C300" s="382" t="s">
        <v>281</v>
      </c>
      <c r="D300" s="901" t="s">
        <v>881</v>
      </c>
      <c r="E300" s="919" t="e">
        <f>E303+E304+E305+E306+E307+E309+E311+E313+E315+E316+E319+E320+E321+E322+E323+E324</f>
        <v>#VALUE!</v>
      </c>
      <c r="F300" s="898"/>
      <c r="G300" s="391"/>
      <c r="H300" s="383">
        <f>'Dcu-DKDD'!$J$251*1.3</f>
        <v>10512.076312499999</v>
      </c>
      <c r="I300" s="383">
        <f>'VL-DKDD'!$H$253</f>
        <v>17985.240000000002</v>
      </c>
      <c r="J300" s="383">
        <f>'TB-DKDD'!$K$142*1.3</f>
        <v>8596.6738000000005</v>
      </c>
      <c r="K300" s="383">
        <f>'NL-DKDD'!$H$96*1.3</f>
        <v>18943.415400000002</v>
      </c>
      <c r="L300" s="893" t="e">
        <f>SUM(E300:K300)</f>
        <v>#VALUE!</v>
      </c>
      <c r="M300" s="893" t="e">
        <f>L300*'He so chung'!$D$17/100</f>
        <v>#VALUE!</v>
      </c>
      <c r="N300" s="893" t="e">
        <f>L300+M300</f>
        <v>#VALUE!</v>
      </c>
      <c r="O300" s="898"/>
      <c r="P300" s="919">
        <f>P303+P304+P305+P306+P307+P309+P311+P313+P315+P316+P319+P320+P321+P322+P323+P324</f>
        <v>16366.180769230768</v>
      </c>
      <c r="Q300" s="839"/>
      <c r="R300" s="839"/>
      <c r="S300" s="1079"/>
      <c r="T300" s="946">
        <f>'[1]2,DG-capdoi'!N295</f>
        <v>647539.2660220674</v>
      </c>
      <c r="U300" s="946" t="e">
        <f t="shared" si="43"/>
        <v>#VALUE!</v>
      </c>
      <c r="V300" s="840"/>
      <c r="W300" s="840"/>
      <c r="X300" s="840"/>
      <c r="Y300" s="840"/>
      <c r="Z300" s="840"/>
      <c r="AA300" s="840"/>
      <c r="AB300" s="840"/>
      <c r="AC300" s="840"/>
      <c r="AD300" s="840"/>
      <c r="AE300" s="840"/>
      <c r="AF300" s="840"/>
      <c r="AG300" s="840"/>
      <c r="AH300" s="840"/>
      <c r="AI300" s="840"/>
      <c r="AJ300" s="840"/>
      <c r="AK300" s="840"/>
    </row>
    <row r="301" spans="1:37" s="960" customFormat="1" ht="25.5" customHeight="1">
      <c r="A301" s="832">
        <v>1</v>
      </c>
      <c r="B301" s="827" t="s">
        <v>508</v>
      </c>
      <c r="C301" s="832"/>
      <c r="D301" s="1010"/>
      <c r="E301" s="898"/>
      <c r="F301" s="898"/>
      <c r="G301" s="391"/>
      <c r="H301" s="898"/>
      <c r="I301" s="898"/>
      <c r="J301" s="898"/>
      <c r="K301" s="898"/>
      <c r="L301" s="898"/>
      <c r="M301" s="898"/>
      <c r="N301" s="898"/>
      <c r="O301" s="898"/>
      <c r="P301" s="898">
        <f t="shared" ref="P301:P326" si="46">Q301+R301</f>
        <v>0</v>
      </c>
      <c r="Q301" s="839"/>
      <c r="R301" s="839"/>
      <c r="S301" s="1079"/>
      <c r="T301" s="946">
        <f>'[1]2,DG-capdoi'!N296</f>
        <v>0</v>
      </c>
      <c r="U301" s="946">
        <f t="shared" si="43"/>
        <v>0</v>
      </c>
      <c r="V301" s="840"/>
      <c r="W301" s="840"/>
      <c r="X301" s="840"/>
      <c r="Y301" s="840"/>
      <c r="Z301" s="840"/>
      <c r="AA301" s="840"/>
      <c r="AB301" s="840"/>
      <c r="AC301" s="840"/>
      <c r="AD301" s="840"/>
      <c r="AE301" s="840"/>
      <c r="AF301" s="840"/>
      <c r="AG301" s="840"/>
      <c r="AH301" s="840"/>
      <c r="AI301" s="840"/>
      <c r="AJ301" s="840"/>
      <c r="AK301" s="840"/>
    </row>
    <row r="302" spans="1:37" s="960" customFormat="1" ht="25.5" customHeight="1">
      <c r="A302" s="832" t="s">
        <v>891</v>
      </c>
      <c r="B302" s="827" t="s">
        <v>33</v>
      </c>
      <c r="C302" s="832" t="s">
        <v>281</v>
      </c>
      <c r="D302" s="901" t="s">
        <v>881</v>
      </c>
      <c r="E302" s="898" t="e">
        <f>NC_DKDD!H743</f>
        <v>#VALUE!</v>
      </c>
      <c r="F302" s="898"/>
      <c r="G302" s="391"/>
      <c r="H302" s="898"/>
      <c r="I302" s="898"/>
      <c r="J302" s="898"/>
      <c r="K302" s="898"/>
      <c r="L302" s="898"/>
      <c r="M302" s="898"/>
      <c r="N302" s="898"/>
      <c r="O302" s="898"/>
      <c r="P302" s="898">
        <f t="shared" si="46"/>
        <v>1198.875</v>
      </c>
      <c r="Q302" s="839">
        <f t="shared" ref="Q302:Q326" si="47">S302*Q$209</f>
        <v>1042.5</v>
      </c>
      <c r="R302" s="839">
        <f t="shared" ref="R302:R326" si="48">S302*R$209</f>
        <v>156.375</v>
      </c>
      <c r="S302" s="1079">
        <f>NC_DKDD!G743</f>
        <v>0.19500000000000001</v>
      </c>
      <c r="T302" s="946">
        <f>'[1]2,DG-capdoi'!N297</f>
        <v>0</v>
      </c>
      <c r="U302" s="946">
        <f t="shared" si="43"/>
        <v>0</v>
      </c>
      <c r="V302" s="840"/>
      <c r="W302" s="840"/>
      <c r="X302" s="840"/>
      <c r="Y302" s="840"/>
      <c r="Z302" s="840"/>
      <c r="AA302" s="840"/>
      <c r="AB302" s="840"/>
      <c r="AC302" s="840"/>
      <c r="AD302" s="840"/>
      <c r="AE302" s="840"/>
      <c r="AF302" s="840"/>
      <c r="AG302" s="840"/>
      <c r="AH302" s="840"/>
      <c r="AI302" s="840"/>
      <c r="AJ302" s="840"/>
      <c r="AK302" s="840"/>
    </row>
    <row r="303" spans="1:37" s="960" customFormat="1" ht="25.5" customHeight="1">
      <c r="A303" s="832" t="s">
        <v>899</v>
      </c>
      <c r="B303" s="827" t="s">
        <v>36</v>
      </c>
      <c r="C303" s="832" t="s">
        <v>281</v>
      </c>
      <c r="D303" s="901" t="s">
        <v>881</v>
      </c>
      <c r="E303" s="898" t="e">
        <f>NC_DKDD!H744</f>
        <v>#VALUE!</v>
      </c>
      <c r="F303" s="898"/>
      <c r="G303" s="391"/>
      <c r="H303" s="898"/>
      <c r="I303" s="898"/>
      <c r="J303" s="898"/>
      <c r="K303" s="898"/>
      <c r="L303" s="898"/>
      <c r="M303" s="898"/>
      <c r="N303" s="898"/>
      <c r="O303" s="898"/>
      <c r="P303" s="898">
        <f t="shared" si="46"/>
        <v>799.25</v>
      </c>
      <c r="Q303" s="839">
        <f t="shared" si="47"/>
        <v>695</v>
      </c>
      <c r="R303" s="839">
        <f t="shared" si="48"/>
        <v>104.25</v>
      </c>
      <c r="S303" s="1079">
        <f>NC_DKDD!G744</f>
        <v>0.13</v>
      </c>
      <c r="T303" s="946">
        <f>'[1]2,DG-capdoi'!N298</f>
        <v>0</v>
      </c>
      <c r="U303" s="946">
        <f t="shared" si="43"/>
        <v>0</v>
      </c>
      <c r="V303" s="840"/>
      <c r="W303" s="840"/>
      <c r="X303" s="840"/>
      <c r="Y303" s="840"/>
      <c r="Z303" s="840"/>
      <c r="AA303" s="840"/>
      <c r="AB303" s="840"/>
      <c r="AC303" s="840"/>
      <c r="AD303" s="840"/>
      <c r="AE303" s="840"/>
      <c r="AF303" s="840"/>
      <c r="AG303" s="840"/>
      <c r="AH303" s="840"/>
      <c r="AI303" s="840"/>
      <c r="AJ303" s="840"/>
      <c r="AK303" s="840"/>
    </row>
    <row r="304" spans="1:37" s="960" customFormat="1" ht="44.25" customHeight="1">
      <c r="A304" s="832">
        <v>2</v>
      </c>
      <c r="B304" s="827" t="s">
        <v>953</v>
      </c>
      <c r="C304" s="832" t="s">
        <v>281</v>
      </c>
      <c r="D304" s="901" t="s">
        <v>881</v>
      </c>
      <c r="E304" s="898" t="e">
        <f>NC_DKDD!H745</f>
        <v>#VALUE!</v>
      </c>
      <c r="F304" s="898"/>
      <c r="G304" s="391"/>
      <c r="H304" s="898"/>
      <c r="I304" s="898"/>
      <c r="J304" s="898"/>
      <c r="K304" s="898"/>
      <c r="L304" s="898"/>
      <c r="M304" s="898"/>
      <c r="N304" s="898"/>
      <c r="O304" s="898"/>
      <c r="P304" s="898">
        <f t="shared" si="46"/>
        <v>1598.5</v>
      </c>
      <c r="Q304" s="839">
        <f t="shared" si="47"/>
        <v>1390</v>
      </c>
      <c r="R304" s="839">
        <f t="shared" si="48"/>
        <v>208.5</v>
      </c>
      <c r="S304" s="1079">
        <f>NC_DKDD!G745</f>
        <v>0.26</v>
      </c>
      <c r="T304" s="946">
        <f>'[1]2,DG-capdoi'!N299</f>
        <v>0</v>
      </c>
      <c r="U304" s="946">
        <f t="shared" si="43"/>
        <v>0</v>
      </c>
      <c r="V304" s="840"/>
      <c r="W304" s="840"/>
      <c r="X304" s="840"/>
      <c r="Y304" s="840"/>
      <c r="Z304" s="840"/>
      <c r="AA304" s="840"/>
      <c r="AB304" s="840"/>
      <c r="AC304" s="840"/>
      <c r="AD304" s="840"/>
      <c r="AE304" s="840"/>
      <c r="AF304" s="840"/>
      <c r="AG304" s="840"/>
      <c r="AH304" s="840"/>
      <c r="AI304" s="840"/>
      <c r="AJ304" s="840"/>
      <c r="AK304" s="840"/>
    </row>
    <row r="305" spans="1:37" s="960" customFormat="1" ht="37.5" customHeight="1">
      <c r="A305" s="832">
        <v>3</v>
      </c>
      <c r="B305" s="827" t="s">
        <v>38</v>
      </c>
      <c r="C305" s="832" t="s">
        <v>523</v>
      </c>
      <c r="D305" s="901" t="s">
        <v>881</v>
      </c>
      <c r="E305" s="898" t="e">
        <f>NC_DKDD!H746</f>
        <v>#VALUE!</v>
      </c>
      <c r="F305" s="898"/>
      <c r="G305" s="391"/>
      <c r="H305" s="898"/>
      <c r="I305" s="898"/>
      <c r="J305" s="898"/>
      <c r="K305" s="898"/>
      <c r="L305" s="898"/>
      <c r="M305" s="898"/>
      <c r="N305" s="898"/>
      <c r="O305" s="898"/>
      <c r="P305" s="898">
        <f t="shared" si="46"/>
        <v>1026.728846153846</v>
      </c>
      <c r="Q305" s="839">
        <f t="shared" si="47"/>
        <v>892.80769230769226</v>
      </c>
      <c r="R305" s="839">
        <f t="shared" si="48"/>
        <v>133.92115384615386</v>
      </c>
      <c r="S305" s="1079">
        <f>NC_DKDD!G746</f>
        <v>0.16700000000000001</v>
      </c>
      <c r="T305" s="946">
        <f>'[1]2,DG-capdoi'!N300</f>
        <v>0</v>
      </c>
      <c r="U305" s="946">
        <f t="shared" si="43"/>
        <v>0</v>
      </c>
      <c r="V305" s="840"/>
      <c r="W305" s="840"/>
      <c r="X305" s="840"/>
      <c r="Y305" s="840"/>
      <c r="Z305" s="840"/>
      <c r="AA305" s="840"/>
      <c r="AB305" s="840"/>
      <c r="AC305" s="840"/>
      <c r="AD305" s="840"/>
      <c r="AE305" s="840"/>
      <c r="AF305" s="840"/>
      <c r="AG305" s="840"/>
      <c r="AH305" s="840"/>
      <c r="AI305" s="840"/>
      <c r="AJ305" s="840"/>
      <c r="AK305" s="840"/>
    </row>
    <row r="306" spans="1:37" s="960" customFormat="1" ht="41.25" customHeight="1">
      <c r="A306" s="832">
        <v>4</v>
      </c>
      <c r="B306" s="827" t="s">
        <v>509</v>
      </c>
      <c r="C306" s="832" t="s">
        <v>281</v>
      </c>
      <c r="D306" s="901" t="s">
        <v>881</v>
      </c>
      <c r="E306" s="898" t="e">
        <f>NC_DKDD!H747</f>
        <v>#VALUE!</v>
      </c>
      <c r="F306" s="898"/>
      <c r="G306" s="391"/>
      <c r="H306" s="898"/>
      <c r="I306" s="898"/>
      <c r="J306" s="898"/>
      <c r="K306" s="898"/>
      <c r="L306" s="898"/>
      <c r="M306" s="898"/>
      <c r="N306" s="898"/>
      <c r="O306" s="898"/>
      <c r="P306" s="898">
        <f t="shared" si="46"/>
        <v>3996.25</v>
      </c>
      <c r="Q306" s="839">
        <f t="shared" si="47"/>
        <v>3475</v>
      </c>
      <c r="R306" s="839">
        <f t="shared" si="48"/>
        <v>521.25</v>
      </c>
      <c r="S306" s="1079">
        <f>NC_DKDD!G747</f>
        <v>0.65</v>
      </c>
      <c r="T306" s="946">
        <f>'[1]2,DG-capdoi'!N301</f>
        <v>0</v>
      </c>
      <c r="U306" s="946">
        <f t="shared" si="43"/>
        <v>0</v>
      </c>
      <c r="V306" s="840"/>
      <c r="W306" s="840"/>
      <c r="X306" s="840"/>
      <c r="Y306" s="840"/>
      <c r="Z306" s="840"/>
      <c r="AA306" s="840"/>
      <c r="AB306" s="840"/>
      <c r="AC306" s="840"/>
      <c r="AD306" s="840"/>
      <c r="AE306" s="840"/>
      <c r="AF306" s="840"/>
      <c r="AG306" s="840"/>
      <c r="AH306" s="840"/>
      <c r="AI306" s="840"/>
      <c r="AJ306" s="840"/>
      <c r="AK306" s="840"/>
    </row>
    <row r="307" spans="1:37" s="960" customFormat="1" ht="32.25" customHeight="1">
      <c r="A307" s="832">
        <v>5</v>
      </c>
      <c r="B307" s="827" t="s">
        <v>69</v>
      </c>
      <c r="C307" s="832" t="s">
        <v>523</v>
      </c>
      <c r="D307" s="901" t="s">
        <v>881</v>
      </c>
      <c r="E307" s="898" t="e">
        <f>NC_DKDD!H748</f>
        <v>#VALUE!</v>
      </c>
      <c r="F307" s="898"/>
      <c r="G307" s="391"/>
      <c r="H307" s="898"/>
      <c r="I307" s="898"/>
      <c r="J307" s="898"/>
      <c r="K307" s="898"/>
      <c r="L307" s="898"/>
      <c r="M307" s="898"/>
      <c r="N307" s="898"/>
      <c r="O307" s="898"/>
      <c r="P307" s="898">
        <f t="shared" si="46"/>
        <v>36.888461538461534</v>
      </c>
      <c r="Q307" s="839">
        <f t="shared" si="47"/>
        <v>32.076923076923073</v>
      </c>
      <c r="R307" s="839">
        <f t="shared" si="48"/>
        <v>4.8115384615384613</v>
      </c>
      <c r="S307" s="1079">
        <f>NC_DKDD!G748</f>
        <v>6.0000000000000001E-3</v>
      </c>
      <c r="T307" s="946">
        <f>'[1]2,DG-capdoi'!N302</f>
        <v>0</v>
      </c>
      <c r="U307" s="946">
        <f t="shared" si="43"/>
        <v>0</v>
      </c>
      <c r="V307" s="840"/>
      <c r="W307" s="840"/>
      <c r="X307" s="840"/>
      <c r="Y307" s="840"/>
      <c r="Z307" s="840"/>
      <c r="AA307" s="840"/>
      <c r="AB307" s="840"/>
      <c r="AC307" s="840"/>
      <c r="AD307" s="840"/>
      <c r="AE307" s="840"/>
      <c r="AF307" s="840"/>
      <c r="AG307" s="840"/>
      <c r="AH307" s="840"/>
      <c r="AI307" s="840"/>
      <c r="AJ307" s="840"/>
      <c r="AK307" s="840"/>
    </row>
    <row r="308" spans="1:37" s="960" customFormat="1" ht="51.75" customHeight="1">
      <c r="A308" s="832">
        <v>6</v>
      </c>
      <c r="B308" s="827" t="s">
        <v>958</v>
      </c>
      <c r="C308" s="832"/>
      <c r="D308" s="832"/>
      <c r="E308" s="898">
        <f>NC_DKDD!H749</f>
        <v>0</v>
      </c>
      <c r="F308" s="898"/>
      <c r="G308" s="391"/>
      <c r="H308" s="898"/>
      <c r="I308" s="898"/>
      <c r="J308" s="898"/>
      <c r="K308" s="898"/>
      <c r="L308" s="898"/>
      <c r="M308" s="898"/>
      <c r="N308" s="898"/>
      <c r="O308" s="898"/>
      <c r="P308" s="898">
        <f t="shared" si="46"/>
        <v>0</v>
      </c>
      <c r="Q308" s="839">
        <f t="shared" si="47"/>
        <v>0</v>
      </c>
      <c r="R308" s="839">
        <f t="shared" si="48"/>
        <v>0</v>
      </c>
      <c r="S308" s="1079">
        <f>NC_DKDD!G749</f>
        <v>0</v>
      </c>
      <c r="T308" s="946">
        <f>'[1]2,DG-capdoi'!N303</f>
        <v>0</v>
      </c>
      <c r="U308" s="946">
        <f t="shared" si="43"/>
        <v>0</v>
      </c>
      <c r="V308" s="840"/>
      <c r="W308" s="840"/>
      <c r="X308" s="840"/>
      <c r="Y308" s="840"/>
      <c r="Z308" s="840"/>
      <c r="AA308" s="840"/>
      <c r="AB308" s="840"/>
      <c r="AC308" s="840"/>
      <c r="AD308" s="840"/>
      <c r="AE308" s="840"/>
      <c r="AF308" s="840"/>
      <c r="AG308" s="840"/>
      <c r="AH308" s="840"/>
      <c r="AI308" s="840"/>
      <c r="AJ308" s="840"/>
      <c r="AK308" s="840"/>
    </row>
    <row r="309" spans="1:37" s="960" customFormat="1" ht="25.5" customHeight="1">
      <c r="A309" s="832" t="s">
        <v>444</v>
      </c>
      <c r="B309" s="827" t="s">
        <v>770</v>
      </c>
      <c r="C309" s="832" t="s">
        <v>281</v>
      </c>
      <c r="D309" s="901" t="s">
        <v>881</v>
      </c>
      <c r="E309" s="898" t="e">
        <f>NC_DKDD!H750</f>
        <v>#VALUE!</v>
      </c>
      <c r="F309" s="898"/>
      <c r="G309" s="391"/>
      <c r="H309" s="898"/>
      <c r="I309" s="898"/>
      <c r="J309" s="898"/>
      <c r="K309" s="898"/>
      <c r="L309" s="898"/>
      <c r="M309" s="898"/>
      <c r="N309" s="898"/>
      <c r="O309" s="898"/>
      <c r="P309" s="898">
        <f t="shared" si="46"/>
        <v>307.40384615384619</v>
      </c>
      <c r="Q309" s="839">
        <f t="shared" si="47"/>
        <v>267.30769230769232</v>
      </c>
      <c r="R309" s="839">
        <f t="shared" si="48"/>
        <v>40.096153846153847</v>
      </c>
      <c r="S309" s="1079">
        <f>NC_DKDD!G750</f>
        <v>0.05</v>
      </c>
      <c r="T309" s="946">
        <f>'[1]2,DG-capdoi'!N304</f>
        <v>0</v>
      </c>
      <c r="U309" s="946">
        <f t="shared" si="43"/>
        <v>0</v>
      </c>
      <c r="V309" s="840"/>
      <c r="W309" s="840"/>
      <c r="X309" s="840"/>
      <c r="Y309" s="840"/>
      <c r="Z309" s="840"/>
      <c r="AA309" s="840"/>
      <c r="AB309" s="840"/>
      <c r="AC309" s="840"/>
      <c r="AD309" s="840"/>
      <c r="AE309" s="840"/>
      <c r="AF309" s="840"/>
      <c r="AG309" s="840"/>
      <c r="AH309" s="840"/>
      <c r="AI309" s="840"/>
      <c r="AJ309" s="840"/>
      <c r="AK309" s="840"/>
    </row>
    <row r="310" spans="1:37" s="960" customFormat="1" ht="25.5" customHeight="1">
      <c r="A310" s="832" t="s">
        <v>445</v>
      </c>
      <c r="B310" s="827" t="s">
        <v>771</v>
      </c>
      <c r="C310" s="832" t="s">
        <v>281</v>
      </c>
      <c r="D310" s="901" t="s">
        <v>881</v>
      </c>
      <c r="E310" s="898" t="e">
        <f>NC_DKDD!H751</f>
        <v>#VALUE!</v>
      </c>
      <c r="F310" s="898"/>
      <c r="G310" s="391"/>
      <c r="H310" s="898"/>
      <c r="I310" s="898"/>
      <c r="J310" s="898"/>
      <c r="K310" s="898"/>
      <c r="L310" s="898"/>
      <c r="M310" s="898"/>
      <c r="N310" s="898"/>
      <c r="O310" s="898"/>
      <c r="P310" s="898">
        <f t="shared" si="46"/>
        <v>614.80769230769238</v>
      </c>
      <c r="Q310" s="839">
        <f t="shared" si="47"/>
        <v>534.61538461538464</v>
      </c>
      <c r="R310" s="839">
        <f t="shared" si="48"/>
        <v>80.192307692307693</v>
      </c>
      <c r="S310" s="1079">
        <f>NC_DKDD!G751</f>
        <v>0.1</v>
      </c>
      <c r="T310" s="946">
        <f>'[1]2,DG-capdoi'!N305</f>
        <v>0</v>
      </c>
      <c r="U310" s="946">
        <f t="shared" si="43"/>
        <v>0</v>
      </c>
      <c r="V310" s="840"/>
      <c r="W310" s="840"/>
      <c r="X310" s="840"/>
      <c r="Y310" s="840"/>
      <c r="Z310" s="840"/>
      <c r="AA310" s="840"/>
      <c r="AB310" s="840"/>
      <c r="AC310" s="840"/>
      <c r="AD310" s="840"/>
      <c r="AE310" s="840"/>
      <c r="AF310" s="840"/>
      <c r="AG310" s="840"/>
      <c r="AH310" s="840"/>
      <c r="AI310" s="840"/>
      <c r="AJ310" s="840"/>
      <c r="AK310" s="840"/>
    </row>
    <row r="311" spans="1:37" s="960" customFormat="1" ht="44.25" customHeight="1">
      <c r="A311" s="832">
        <v>7</v>
      </c>
      <c r="B311" s="827" t="s">
        <v>510</v>
      </c>
      <c r="C311" s="832" t="s">
        <v>523</v>
      </c>
      <c r="D311" s="901" t="s">
        <v>881</v>
      </c>
      <c r="E311" s="898" t="e">
        <f>NC_DKDD!H752</f>
        <v>#VALUE!</v>
      </c>
      <c r="F311" s="898"/>
      <c r="G311" s="391"/>
      <c r="H311" s="898"/>
      <c r="I311" s="898"/>
      <c r="J311" s="898"/>
      <c r="K311" s="898"/>
      <c r="L311" s="898"/>
      <c r="M311" s="898"/>
      <c r="N311" s="898"/>
      <c r="O311" s="898"/>
      <c r="P311" s="898">
        <f t="shared" si="46"/>
        <v>1026.728846153846</v>
      </c>
      <c r="Q311" s="839">
        <f t="shared" si="47"/>
        <v>892.80769230769226</v>
      </c>
      <c r="R311" s="839">
        <f t="shared" si="48"/>
        <v>133.92115384615386</v>
      </c>
      <c r="S311" s="1079">
        <f>NC_DKDD!G752</f>
        <v>0.16700000000000001</v>
      </c>
      <c r="T311" s="946">
        <f>'[1]2,DG-capdoi'!N306</f>
        <v>0</v>
      </c>
      <c r="U311" s="946">
        <f t="shared" si="43"/>
        <v>0</v>
      </c>
      <c r="V311" s="840"/>
      <c r="W311" s="840"/>
      <c r="X311" s="840"/>
      <c r="Y311" s="840"/>
      <c r="Z311" s="840"/>
      <c r="AA311" s="840"/>
      <c r="AB311" s="840"/>
      <c r="AC311" s="840"/>
      <c r="AD311" s="840"/>
      <c r="AE311" s="840"/>
      <c r="AF311" s="840"/>
      <c r="AG311" s="840"/>
      <c r="AH311" s="840"/>
      <c r="AI311" s="840"/>
      <c r="AJ311" s="840"/>
      <c r="AK311" s="840"/>
    </row>
    <row r="312" spans="1:37" s="960" customFormat="1" ht="25.5" customHeight="1">
      <c r="A312" s="832">
        <v>8</v>
      </c>
      <c r="B312" s="827" t="s">
        <v>213</v>
      </c>
      <c r="C312" s="832"/>
      <c r="D312" s="832"/>
      <c r="E312" s="898">
        <f>NC_DKDD!H753</f>
        <v>0</v>
      </c>
      <c r="F312" s="898"/>
      <c r="G312" s="391"/>
      <c r="H312" s="898"/>
      <c r="I312" s="898"/>
      <c r="J312" s="898"/>
      <c r="K312" s="898"/>
      <c r="L312" s="898"/>
      <c r="M312" s="898"/>
      <c r="N312" s="898"/>
      <c r="O312" s="898"/>
      <c r="P312" s="898">
        <f t="shared" si="46"/>
        <v>0</v>
      </c>
      <c r="Q312" s="839">
        <f t="shared" si="47"/>
        <v>0</v>
      </c>
      <c r="R312" s="839">
        <f t="shared" si="48"/>
        <v>0</v>
      </c>
      <c r="S312" s="1079">
        <f>NC_DKDD!G753</f>
        <v>0</v>
      </c>
      <c r="T312" s="946">
        <f>'[1]2,DG-capdoi'!N307</f>
        <v>0</v>
      </c>
      <c r="U312" s="946">
        <f t="shared" si="43"/>
        <v>0</v>
      </c>
      <c r="V312" s="840"/>
      <c r="W312" s="840"/>
      <c r="X312" s="840"/>
      <c r="Y312" s="840"/>
      <c r="Z312" s="840"/>
      <c r="AA312" s="840"/>
      <c r="AB312" s="840"/>
      <c r="AC312" s="840"/>
      <c r="AD312" s="840"/>
      <c r="AE312" s="840"/>
      <c r="AF312" s="840"/>
      <c r="AG312" s="840"/>
      <c r="AH312" s="840"/>
      <c r="AI312" s="840"/>
      <c r="AJ312" s="840"/>
      <c r="AK312" s="840"/>
    </row>
    <row r="313" spans="1:37" s="960" customFormat="1" ht="25.5" customHeight="1">
      <c r="A313" s="832" t="s">
        <v>374</v>
      </c>
      <c r="B313" s="827" t="s">
        <v>215</v>
      </c>
      <c r="C313" s="832" t="s">
        <v>320</v>
      </c>
      <c r="D313" s="901" t="s">
        <v>881</v>
      </c>
      <c r="E313" s="898" t="e">
        <f>NC_DKDD!H754</f>
        <v>#VALUE!</v>
      </c>
      <c r="F313" s="898"/>
      <c r="G313" s="391"/>
      <c r="H313" s="898"/>
      <c r="I313" s="898"/>
      <c r="J313" s="898"/>
      <c r="K313" s="898"/>
      <c r="L313" s="898"/>
      <c r="M313" s="898"/>
      <c r="N313" s="898"/>
      <c r="O313" s="898"/>
      <c r="P313" s="898">
        <f t="shared" si="46"/>
        <v>614.80769230769238</v>
      </c>
      <c r="Q313" s="839">
        <f t="shared" si="47"/>
        <v>534.61538461538464</v>
      </c>
      <c r="R313" s="839">
        <f t="shared" si="48"/>
        <v>80.192307692307693</v>
      </c>
      <c r="S313" s="1079">
        <f>NC_DKDD!G754</f>
        <v>0.1</v>
      </c>
      <c r="T313" s="946">
        <f>'[1]2,DG-capdoi'!N308</f>
        <v>0</v>
      </c>
      <c r="U313" s="946">
        <f t="shared" si="43"/>
        <v>0</v>
      </c>
      <c r="V313" s="840"/>
      <c r="W313" s="840"/>
      <c r="X313" s="840"/>
      <c r="Y313" s="840"/>
      <c r="Z313" s="840"/>
      <c r="AA313" s="840"/>
      <c r="AB313" s="840"/>
      <c r="AC313" s="840"/>
      <c r="AD313" s="840"/>
      <c r="AE313" s="840"/>
      <c r="AF313" s="840"/>
      <c r="AG313" s="840"/>
      <c r="AH313" s="840"/>
      <c r="AI313" s="840"/>
      <c r="AJ313" s="840"/>
      <c r="AK313" s="840"/>
    </row>
    <row r="314" spans="1:37" s="960" customFormat="1" ht="25.5" customHeight="1">
      <c r="A314" s="832" t="s">
        <v>375</v>
      </c>
      <c r="B314" s="827" t="s">
        <v>217</v>
      </c>
      <c r="C314" s="832" t="s">
        <v>320</v>
      </c>
      <c r="D314" s="901" t="s">
        <v>881</v>
      </c>
      <c r="E314" s="898" t="e">
        <f>NC_DKDD!H755</f>
        <v>#VALUE!</v>
      </c>
      <c r="F314" s="898"/>
      <c r="G314" s="391"/>
      <c r="H314" s="898"/>
      <c r="I314" s="898"/>
      <c r="J314" s="898"/>
      <c r="K314" s="898"/>
      <c r="L314" s="898"/>
      <c r="M314" s="898"/>
      <c r="N314" s="898"/>
      <c r="O314" s="898"/>
      <c r="P314" s="898">
        <f t="shared" si="46"/>
        <v>1229.6153846153848</v>
      </c>
      <c r="Q314" s="839">
        <f t="shared" si="47"/>
        <v>1069.2307692307693</v>
      </c>
      <c r="R314" s="839">
        <f t="shared" si="48"/>
        <v>160.38461538461539</v>
      </c>
      <c r="S314" s="1079">
        <f>NC_DKDD!G755</f>
        <v>0.2</v>
      </c>
      <c r="T314" s="946">
        <f>'[1]2,DG-capdoi'!N309</f>
        <v>0</v>
      </c>
      <c r="U314" s="946">
        <f t="shared" si="43"/>
        <v>0</v>
      </c>
      <c r="V314" s="840"/>
      <c r="W314" s="840"/>
      <c r="X314" s="840"/>
      <c r="Y314" s="840"/>
      <c r="Z314" s="840"/>
      <c r="AA314" s="840"/>
      <c r="AB314" s="840"/>
      <c r="AC314" s="840"/>
      <c r="AD314" s="840"/>
      <c r="AE314" s="840"/>
      <c r="AF314" s="840"/>
      <c r="AG314" s="840"/>
      <c r="AH314" s="840"/>
      <c r="AI314" s="840"/>
      <c r="AJ314" s="840"/>
      <c r="AK314" s="840"/>
    </row>
    <row r="315" spans="1:37" s="960" customFormat="1" ht="51.75" customHeight="1">
      <c r="A315" s="832">
        <v>9</v>
      </c>
      <c r="B315" s="827" t="s">
        <v>511</v>
      </c>
      <c r="C315" s="832" t="s">
        <v>281</v>
      </c>
      <c r="D315" s="901" t="s">
        <v>881</v>
      </c>
      <c r="E315" s="898" t="e">
        <f>NC_DKDD!H756</f>
        <v>#VALUE!</v>
      </c>
      <c r="F315" s="898"/>
      <c r="G315" s="391"/>
      <c r="H315" s="898"/>
      <c r="I315" s="898"/>
      <c r="J315" s="898"/>
      <c r="K315" s="898"/>
      <c r="L315" s="898"/>
      <c r="M315" s="898"/>
      <c r="N315" s="898"/>
      <c r="O315" s="898"/>
      <c r="P315" s="898">
        <f t="shared" si="46"/>
        <v>3197</v>
      </c>
      <c r="Q315" s="839">
        <f t="shared" si="47"/>
        <v>2780</v>
      </c>
      <c r="R315" s="839">
        <f t="shared" si="48"/>
        <v>417</v>
      </c>
      <c r="S315" s="1079">
        <f>NC_DKDD!G756</f>
        <v>0.52</v>
      </c>
      <c r="T315" s="946">
        <f>'[1]2,DG-capdoi'!N310</f>
        <v>0</v>
      </c>
      <c r="U315" s="946">
        <f t="shared" si="43"/>
        <v>0</v>
      </c>
      <c r="V315" s="840"/>
      <c r="W315" s="840"/>
      <c r="X315" s="840"/>
      <c r="Y315" s="840"/>
      <c r="Z315" s="840"/>
      <c r="AA315" s="840"/>
      <c r="AB315" s="840"/>
      <c r="AC315" s="840"/>
      <c r="AD315" s="840"/>
      <c r="AE315" s="840"/>
      <c r="AF315" s="840"/>
      <c r="AG315" s="840"/>
      <c r="AH315" s="840"/>
      <c r="AI315" s="840"/>
      <c r="AJ315" s="840"/>
      <c r="AK315" s="840"/>
    </row>
    <row r="316" spans="1:37" s="960" customFormat="1" ht="42.75">
      <c r="A316" s="832">
        <v>10</v>
      </c>
      <c r="B316" s="827" t="s">
        <v>512</v>
      </c>
      <c r="C316" s="832" t="s">
        <v>281</v>
      </c>
      <c r="D316" s="901" t="s">
        <v>881</v>
      </c>
      <c r="E316" s="898" t="e">
        <f>NC_DKDD!H757</f>
        <v>#VALUE!</v>
      </c>
      <c r="F316" s="898"/>
      <c r="G316" s="391"/>
      <c r="H316" s="898"/>
      <c r="I316" s="898"/>
      <c r="J316" s="898"/>
      <c r="K316" s="898"/>
      <c r="L316" s="898"/>
      <c r="M316" s="898"/>
      <c r="N316" s="898"/>
      <c r="O316" s="898"/>
      <c r="P316" s="898">
        <f t="shared" si="46"/>
        <v>2729.7461538461539</v>
      </c>
      <c r="Q316" s="839">
        <f t="shared" si="47"/>
        <v>2373.6923076923076</v>
      </c>
      <c r="R316" s="839">
        <f t="shared" si="48"/>
        <v>356.05384615384617</v>
      </c>
      <c r="S316" s="1079">
        <f>NC_DKDD!G757</f>
        <v>0.44400000000000001</v>
      </c>
      <c r="T316" s="946">
        <f>'[1]2,DG-capdoi'!N311</f>
        <v>0</v>
      </c>
      <c r="U316" s="946">
        <f t="shared" si="43"/>
        <v>0</v>
      </c>
      <c r="V316" s="840"/>
      <c r="W316" s="840"/>
      <c r="X316" s="840"/>
      <c r="Y316" s="840"/>
      <c r="Z316" s="840"/>
      <c r="AA316" s="840"/>
      <c r="AB316" s="840"/>
      <c r="AC316" s="840"/>
      <c r="AD316" s="840"/>
      <c r="AE316" s="840"/>
      <c r="AF316" s="840"/>
      <c r="AG316" s="840"/>
      <c r="AH316" s="840"/>
      <c r="AI316" s="840"/>
      <c r="AJ316" s="840"/>
      <c r="AK316" s="840"/>
    </row>
    <row r="317" spans="1:37" s="960" customFormat="1" ht="25.5" customHeight="1">
      <c r="A317" s="832">
        <v>11</v>
      </c>
      <c r="B317" s="827" t="s">
        <v>221</v>
      </c>
      <c r="C317" s="832"/>
      <c r="D317" s="832"/>
      <c r="E317" s="898">
        <f>NC_DKDD!H758</f>
        <v>0</v>
      </c>
      <c r="F317" s="898"/>
      <c r="G317" s="391"/>
      <c r="H317" s="898"/>
      <c r="I317" s="898"/>
      <c r="J317" s="898"/>
      <c r="K317" s="898"/>
      <c r="L317" s="898"/>
      <c r="M317" s="898"/>
      <c r="N317" s="898"/>
      <c r="O317" s="898"/>
      <c r="P317" s="898">
        <f t="shared" si="46"/>
        <v>0</v>
      </c>
      <c r="Q317" s="839">
        <f t="shared" si="47"/>
        <v>0</v>
      </c>
      <c r="R317" s="839">
        <f t="shared" si="48"/>
        <v>0</v>
      </c>
      <c r="S317" s="1079">
        <f>NC_DKDD!G758</f>
        <v>0</v>
      </c>
      <c r="T317" s="946">
        <f>'[1]2,DG-capdoi'!N312</f>
        <v>0</v>
      </c>
      <c r="U317" s="946">
        <f t="shared" si="43"/>
        <v>0</v>
      </c>
      <c r="V317" s="840"/>
      <c r="W317" s="840"/>
      <c r="X317" s="840"/>
      <c r="Y317" s="840"/>
      <c r="Z317" s="840"/>
      <c r="AA317" s="840"/>
      <c r="AB317" s="840"/>
      <c r="AC317" s="840"/>
      <c r="AD317" s="840"/>
      <c r="AE317" s="840"/>
      <c r="AF317" s="840"/>
      <c r="AG317" s="840"/>
      <c r="AH317" s="840"/>
      <c r="AI317" s="840"/>
      <c r="AJ317" s="840"/>
      <c r="AK317" s="840"/>
    </row>
    <row r="318" spans="1:37" s="960" customFormat="1" ht="31.5" customHeight="1">
      <c r="A318" s="832" t="s">
        <v>877</v>
      </c>
      <c r="B318" s="827" t="s">
        <v>931</v>
      </c>
      <c r="C318" s="832"/>
      <c r="D318" s="832"/>
      <c r="E318" s="898">
        <f>NC_DKDD!H759</f>
        <v>0</v>
      </c>
      <c r="F318" s="898"/>
      <c r="G318" s="391"/>
      <c r="H318" s="898"/>
      <c r="I318" s="898"/>
      <c r="J318" s="898"/>
      <c r="K318" s="898"/>
      <c r="L318" s="898"/>
      <c r="M318" s="898"/>
      <c r="N318" s="898"/>
      <c r="O318" s="898"/>
      <c r="P318" s="898">
        <f t="shared" si="46"/>
        <v>0</v>
      </c>
      <c r="Q318" s="839">
        <f t="shared" si="47"/>
        <v>0</v>
      </c>
      <c r="R318" s="839">
        <f t="shared" si="48"/>
        <v>0</v>
      </c>
      <c r="S318" s="1079">
        <f>NC_DKDD!G759</f>
        <v>0</v>
      </c>
      <c r="T318" s="946">
        <f>'[1]2,DG-capdoi'!N313</f>
        <v>0</v>
      </c>
      <c r="U318" s="946">
        <f t="shared" si="43"/>
        <v>0</v>
      </c>
      <c r="V318" s="840"/>
      <c r="W318" s="840"/>
      <c r="X318" s="840"/>
      <c r="Y318" s="840"/>
      <c r="Z318" s="840"/>
      <c r="AA318" s="840"/>
      <c r="AB318" s="840"/>
      <c r="AC318" s="840"/>
      <c r="AD318" s="840"/>
      <c r="AE318" s="840"/>
      <c r="AF318" s="840"/>
      <c r="AG318" s="840"/>
      <c r="AH318" s="840"/>
      <c r="AI318" s="840"/>
      <c r="AJ318" s="840"/>
      <c r="AK318" s="840"/>
    </row>
    <row r="319" spans="1:37" s="960" customFormat="1" ht="25.5" customHeight="1">
      <c r="A319" s="832" t="s">
        <v>513</v>
      </c>
      <c r="B319" s="827" t="s">
        <v>933</v>
      </c>
      <c r="C319" s="832" t="s">
        <v>525</v>
      </c>
      <c r="D319" s="901" t="s">
        <v>881</v>
      </c>
      <c r="E319" s="898" t="e">
        <f>NC_DKDD!H760</f>
        <v>#VALUE!</v>
      </c>
      <c r="F319" s="898"/>
      <c r="G319" s="391"/>
      <c r="H319" s="898"/>
      <c r="I319" s="898"/>
      <c r="J319" s="898"/>
      <c r="K319" s="898"/>
      <c r="L319" s="898"/>
      <c r="M319" s="898"/>
      <c r="N319" s="898"/>
      <c r="O319" s="898"/>
      <c r="P319" s="898">
        <f t="shared" si="46"/>
        <v>98.369230769230768</v>
      </c>
      <c r="Q319" s="839">
        <f t="shared" si="47"/>
        <v>85.538461538461533</v>
      </c>
      <c r="R319" s="839">
        <f t="shared" si="48"/>
        <v>12.830769230769231</v>
      </c>
      <c r="S319" s="1079">
        <f>NC_DKDD!G760</f>
        <v>1.6E-2</v>
      </c>
      <c r="T319" s="946">
        <f>'[1]2,DG-capdoi'!N314</f>
        <v>0</v>
      </c>
      <c r="U319" s="946">
        <f t="shared" si="43"/>
        <v>0</v>
      </c>
      <c r="V319" s="840"/>
      <c r="W319" s="840"/>
      <c r="X319" s="840"/>
      <c r="Y319" s="840"/>
      <c r="Z319" s="840"/>
      <c r="AA319" s="840"/>
      <c r="AB319" s="840"/>
      <c r="AC319" s="840"/>
      <c r="AD319" s="840"/>
      <c r="AE319" s="840"/>
      <c r="AF319" s="840"/>
      <c r="AG319" s="840"/>
      <c r="AH319" s="840"/>
      <c r="AI319" s="840"/>
      <c r="AJ319" s="840"/>
      <c r="AK319" s="840"/>
    </row>
    <row r="320" spans="1:37" s="960" customFormat="1" ht="25.5" customHeight="1">
      <c r="A320" s="832" t="s">
        <v>514</v>
      </c>
      <c r="B320" s="827" t="s">
        <v>937</v>
      </c>
      <c r="C320" s="832" t="s">
        <v>525</v>
      </c>
      <c r="D320" s="901" t="s">
        <v>881</v>
      </c>
      <c r="E320" s="898" t="e">
        <f>NC_DKDD!H761</f>
        <v>#VALUE!</v>
      </c>
      <c r="F320" s="898"/>
      <c r="G320" s="391"/>
      <c r="H320" s="898"/>
      <c r="I320" s="898"/>
      <c r="J320" s="898"/>
      <c r="K320" s="898"/>
      <c r="L320" s="898"/>
      <c r="M320" s="898"/>
      <c r="N320" s="898"/>
      <c r="O320" s="898"/>
      <c r="P320" s="898">
        <f t="shared" si="46"/>
        <v>49.184615384615384</v>
      </c>
      <c r="Q320" s="839">
        <f t="shared" si="47"/>
        <v>42.769230769230766</v>
      </c>
      <c r="R320" s="839">
        <f t="shared" si="48"/>
        <v>6.4153846153846157</v>
      </c>
      <c r="S320" s="1079">
        <f>NC_DKDD!G761</f>
        <v>8.0000000000000002E-3</v>
      </c>
      <c r="T320" s="946">
        <f>'[1]2,DG-capdoi'!N315</f>
        <v>0</v>
      </c>
      <c r="U320" s="946">
        <f t="shared" si="43"/>
        <v>0</v>
      </c>
      <c r="V320" s="840"/>
      <c r="W320" s="840"/>
      <c r="X320" s="840"/>
      <c r="Y320" s="840"/>
      <c r="Z320" s="840"/>
      <c r="AA320" s="840"/>
      <c r="AB320" s="840"/>
      <c r="AC320" s="840"/>
      <c r="AD320" s="840"/>
      <c r="AE320" s="840"/>
      <c r="AF320" s="840"/>
      <c r="AG320" s="840"/>
      <c r="AH320" s="840"/>
      <c r="AI320" s="840"/>
      <c r="AJ320" s="840"/>
      <c r="AK320" s="840"/>
    </row>
    <row r="321" spans="1:37" s="960" customFormat="1" ht="35.25" customHeight="1">
      <c r="A321" s="832" t="s">
        <v>878</v>
      </c>
      <c r="B321" s="827" t="s">
        <v>48</v>
      </c>
      <c r="C321" s="832" t="s">
        <v>525</v>
      </c>
      <c r="D321" s="901" t="s">
        <v>881</v>
      </c>
      <c r="E321" s="898" t="e">
        <f>NC_DKDD!H762</f>
        <v>#VALUE!</v>
      </c>
      <c r="F321" s="898"/>
      <c r="G321" s="391"/>
      <c r="H321" s="898"/>
      <c r="I321" s="898"/>
      <c r="J321" s="898"/>
      <c r="K321" s="898"/>
      <c r="L321" s="898"/>
      <c r="M321" s="898"/>
      <c r="N321" s="898"/>
      <c r="O321" s="898"/>
      <c r="P321" s="898">
        <f t="shared" si="46"/>
        <v>24.592307692307692</v>
      </c>
      <c r="Q321" s="839">
        <f t="shared" si="47"/>
        <v>21.384615384615383</v>
      </c>
      <c r="R321" s="839">
        <f t="shared" si="48"/>
        <v>3.2076923076923078</v>
      </c>
      <c r="S321" s="1079">
        <f>NC_DKDD!G762</f>
        <v>4.0000000000000001E-3</v>
      </c>
      <c r="T321" s="946">
        <f>'[1]2,DG-capdoi'!N316</f>
        <v>0</v>
      </c>
      <c r="U321" s="946">
        <f t="shared" si="43"/>
        <v>0</v>
      </c>
      <c r="V321" s="840"/>
      <c r="W321" s="840"/>
      <c r="X321" s="840"/>
      <c r="Y321" s="840"/>
      <c r="Z321" s="840"/>
      <c r="AA321" s="840"/>
      <c r="AB321" s="840"/>
      <c r="AC321" s="840"/>
      <c r="AD321" s="840"/>
      <c r="AE321" s="840"/>
      <c r="AF321" s="840"/>
      <c r="AG321" s="840"/>
      <c r="AH321" s="840"/>
      <c r="AI321" s="840"/>
      <c r="AJ321" s="840"/>
      <c r="AK321" s="840"/>
    </row>
    <row r="322" spans="1:37" s="960" customFormat="1" ht="25.5" customHeight="1">
      <c r="A322" s="832" t="s">
        <v>879</v>
      </c>
      <c r="B322" s="827" t="s">
        <v>50</v>
      </c>
      <c r="C322" s="832" t="s">
        <v>523</v>
      </c>
      <c r="D322" s="901" t="s">
        <v>881</v>
      </c>
      <c r="E322" s="898" t="e">
        <f>NC_DKDD!H763</f>
        <v>#VALUE!</v>
      </c>
      <c r="F322" s="898"/>
      <c r="G322" s="391"/>
      <c r="H322" s="898"/>
      <c r="I322" s="898"/>
      <c r="J322" s="898"/>
      <c r="K322" s="898"/>
      <c r="L322" s="898"/>
      <c r="M322" s="898"/>
      <c r="N322" s="898"/>
      <c r="O322" s="898"/>
      <c r="P322" s="898">
        <f t="shared" si="46"/>
        <v>61.480769230769226</v>
      </c>
      <c r="Q322" s="839">
        <f t="shared" si="47"/>
        <v>53.46153846153846</v>
      </c>
      <c r="R322" s="839">
        <f t="shared" si="48"/>
        <v>8.0192307692307701</v>
      </c>
      <c r="S322" s="1079">
        <f>NC_DKDD!G763</f>
        <v>0.01</v>
      </c>
      <c r="T322" s="946">
        <f>'[1]2,DG-capdoi'!N317</f>
        <v>0</v>
      </c>
      <c r="U322" s="946">
        <f t="shared" si="43"/>
        <v>0</v>
      </c>
      <c r="V322" s="840"/>
      <c r="W322" s="840"/>
      <c r="X322" s="840"/>
      <c r="Y322" s="840"/>
      <c r="Z322" s="840"/>
      <c r="AA322" s="840"/>
      <c r="AB322" s="840"/>
      <c r="AC322" s="840"/>
      <c r="AD322" s="840"/>
      <c r="AE322" s="840"/>
      <c r="AF322" s="840"/>
      <c r="AG322" s="840"/>
      <c r="AH322" s="840"/>
      <c r="AI322" s="840"/>
      <c r="AJ322" s="840"/>
      <c r="AK322" s="840"/>
    </row>
    <row r="323" spans="1:37" s="960" customFormat="1" ht="63.75" customHeight="1">
      <c r="A323" s="832">
        <v>12</v>
      </c>
      <c r="B323" s="827" t="s">
        <v>235</v>
      </c>
      <c r="C323" s="832" t="s">
        <v>281</v>
      </c>
      <c r="D323" s="901" t="s">
        <v>881</v>
      </c>
      <c r="E323" s="898" t="e">
        <f>NC_DKDD!H764</f>
        <v>#VALUE!</v>
      </c>
      <c r="F323" s="898"/>
      <c r="G323" s="391"/>
      <c r="H323" s="898"/>
      <c r="I323" s="898"/>
      <c r="J323" s="898"/>
      <c r="K323" s="898"/>
      <c r="L323" s="898"/>
      <c r="M323" s="898"/>
      <c r="N323" s="898"/>
      <c r="O323" s="898"/>
      <c r="P323" s="898">
        <f t="shared" si="46"/>
        <v>399.625</v>
      </c>
      <c r="Q323" s="839">
        <f t="shared" si="47"/>
        <v>347.5</v>
      </c>
      <c r="R323" s="839">
        <f t="shared" si="48"/>
        <v>52.125</v>
      </c>
      <c r="S323" s="1079">
        <f>NC_DKDD!G764</f>
        <v>6.5000000000000002E-2</v>
      </c>
      <c r="T323" s="946">
        <f>'[1]2,DG-capdoi'!N318</f>
        <v>0</v>
      </c>
      <c r="U323" s="946">
        <f t="shared" si="43"/>
        <v>0</v>
      </c>
      <c r="V323" s="840"/>
      <c r="W323" s="840"/>
      <c r="X323" s="840"/>
      <c r="Y323" s="840"/>
      <c r="Z323" s="840"/>
      <c r="AA323" s="840"/>
      <c r="AB323" s="840"/>
      <c r="AC323" s="840"/>
      <c r="AD323" s="840"/>
      <c r="AE323" s="840"/>
      <c r="AF323" s="840"/>
      <c r="AG323" s="840"/>
      <c r="AH323" s="840"/>
      <c r="AI323" s="840"/>
      <c r="AJ323" s="840"/>
      <c r="AK323" s="840"/>
    </row>
    <row r="324" spans="1:37" s="960" customFormat="1" ht="44.25" customHeight="1">
      <c r="A324" s="832">
        <v>13</v>
      </c>
      <c r="B324" s="827" t="s">
        <v>236</v>
      </c>
      <c r="C324" s="832" t="s">
        <v>281</v>
      </c>
      <c r="D324" s="901" t="s">
        <v>881</v>
      </c>
      <c r="E324" s="898" t="e">
        <f>NC_DKDD!H765</f>
        <v>#VALUE!</v>
      </c>
      <c r="F324" s="898"/>
      <c r="G324" s="391"/>
      <c r="H324" s="898"/>
      <c r="I324" s="898"/>
      <c r="J324" s="898"/>
      <c r="K324" s="898"/>
      <c r="L324" s="898"/>
      <c r="M324" s="898"/>
      <c r="N324" s="898"/>
      <c r="O324" s="898"/>
      <c r="P324" s="898">
        <f t="shared" si="46"/>
        <v>399.625</v>
      </c>
      <c r="Q324" s="839">
        <f t="shared" si="47"/>
        <v>347.5</v>
      </c>
      <c r="R324" s="839">
        <f t="shared" si="48"/>
        <v>52.125</v>
      </c>
      <c r="S324" s="1079">
        <f>NC_DKDD!G765</f>
        <v>6.5000000000000002E-2</v>
      </c>
      <c r="T324" s="946">
        <f>'[1]2,DG-capdoi'!N319</f>
        <v>0</v>
      </c>
      <c r="U324" s="946">
        <f t="shared" si="43"/>
        <v>0</v>
      </c>
      <c r="V324" s="840"/>
      <c r="W324" s="840"/>
      <c r="X324" s="840"/>
      <c r="Y324" s="840"/>
      <c r="Z324" s="840"/>
      <c r="AA324" s="840"/>
      <c r="AB324" s="840"/>
      <c r="AC324" s="840"/>
      <c r="AD324" s="840"/>
      <c r="AE324" s="840"/>
      <c r="AF324" s="840"/>
      <c r="AG324" s="840"/>
      <c r="AH324" s="840"/>
      <c r="AI324" s="840"/>
      <c r="AJ324" s="840"/>
      <c r="AK324" s="840"/>
    </row>
    <row r="325" spans="1:37" s="960" customFormat="1" ht="25.5" customHeight="1">
      <c r="A325" s="869" t="s">
        <v>184</v>
      </c>
      <c r="B325" s="868" t="s">
        <v>606</v>
      </c>
      <c r="C325" s="832"/>
      <c r="D325" s="832"/>
      <c r="E325" s="919" t="e">
        <f>E326</f>
        <v>#VALUE!</v>
      </c>
      <c r="F325" s="898"/>
      <c r="G325" s="391"/>
      <c r="H325" s="898">
        <f>'Dcu-DKDD'!$H$251*1.3</f>
        <v>92.408268749999976</v>
      </c>
      <c r="I325" s="898">
        <f>'VL-DKDD'!$F$253</f>
        <v>676.62</v>
      </c>
      <c r="J325" s="898"/>
      <c r="K325" s="898"/>
      <c r="L325" s="893" t="e">
        <f>SUM(E325:K325)</f>
        <v>#VALUE!</v>
      </c>
      <c r="M325" s="893" t="e">
        <f>L325*'He so chung'!$D$17/100</f>
        <v>#VALUE!</v>
      </c>
      <c r="N325" s="893" t="e">
        <f>L325+M325</f>
        <v>#VALUE!</v>
      </c>
      <c r="O325" s="898"/>
      <c r="P325" s="919">
        <f>P326</f>
        <v>159.84999999999997</v>
      </c>
      <c r="Q325" s="839">
        <f t="shared" si="47"/>
        <v>0</v>
      </c>
      <c r="R325" s="839">
        <f t="shared" si="48"/>
        <v>0</v>
      </c>
      <c r="S325" s="1079">
        <f>NC_DKDD!G766</f>
        <v>0</v>
      </c>
      <c r="T325" s="946">
        <f>'[1]2,DG-capdoi'!N320</f>
        <v>6219.2963340624992</v>
      </c>
      <c r="U325" s="946" t="e">
        <f t="shared" si="43"/>
        <v>#VALUE!</v>
      </c>
      <c r="V325" s="840"/>
      <c r="W325" s="840"/>
      <c r="X325" s="840"/>
      <c r="Y325" s="840"/>
      <c r="Z325" s="840"/>
      <c r="AA325" s="840"/>
      <c r="AB325" s="840"/>
      <c r="AC325" s="840"/>
      <c r="AD325" s="840"/>
      <c r="AE325" s="840"/>
      <c r="AF325" s="840"/>
      <c r="AG325" s="840"/>
      <c r="AH325" s="840"/>
      <c r="AI325" s="840"/>
      <c r="AJ325" s="840"/>
      <c r="AK325" s="840"/>
    </row>
    <row r="326" spans="1:37" s="960" customFormat="1" ht="27.75" customHeight="1">
      <c r="A326" s="832">
        <v>1</v>
      </c>
      <c r="B326" s="827" t="s">
        <v>515</v>
      </c>
      <c r="C326" s="832" t="s">
        <v>281</v>
      </c>
      <c r="D326" s="901" t="s">
        <v>881</v>
      </c>
      <c r="E326" s="898" t="e">
        <f>NC_DKDD!H767</f>
        <v>#VALUE!</v>
      </c>
      <c r="F326" s="898"/>
      <c r="G326" s="391"/>
      <c r="H326" s="898"/>
      <c r="I326" s="898"/>
      <c r="J326" s="898"/>
      <c r="K326" s="898"/>
      <c r="L326" s="898"/>
      <c r="M326" s="898"/>
      <c r="N326" s="898"/>
      <c r="O326" s="898"/>
      <c r="P326" s="898">
        <f t="shared" si="46"/>
        <v>159.84999999999997</v>
      </c>
      <c r="Q326" s="839">
        <f t="shared" si="47"/>
        <v>138.99999999999997</v>
      </c>
      <c r="R326" s="839">
        <f t="shared" si="48"/>
        <v>20.849999999999998</v>
      </c>
      <c r="S326" s="1079">
        <f>NC_DKDD!G767</f>
        <v>2.5999999999999999E-2</v>
      </c>
      <c r="T326" s="946">
        <f>'[1]2,DG-capdoi'!N321</f>
        <v>0</v>
      </c>
      <c r="U326" s="946">
        <f t="shared" si="43"/>
        <v>0</v>
      </c>
      <c r="V326" s="840"/>
      <c r="W326" s="840"/>
      <c r="X326" s="840"/>
      <c r="Y326" s="840"/>
      <c r="Z326" s="840"/>
      <c r="AA326" s="840"/>
      <c r="AB326" s="840"/>
      <c r="AC326" s="840"/>
      <c r="AD326" s="840"/>
      <c r="AE326" s="840"/>
      <c r="AF326" s="840"/>
      <c r="AG326" s="840"/>
      <c r="AH326" s="840"/>
      <c r="AI326" s="840"/>
      <c r="AJ326" s="840"/>
      <c r="AK326" s="840"/>
    </row>
    <row r="327" spans="1:37" s="917" customFormat="1" ht="21" customHeight="1">
      <c r="A327" s="353"/>
      <c r="B327" s="366" t="s">
        <v>282</v>
      </c>
      <c r="C327" s="354"/>
      <c r="D327" s="353"/>
      <c r="E327" s="365"/>
      <c r="F327" s="365"/>
      <c r="G327" s="1058"/>
      <c r="H327" s="365"/>
      <c r="I327" s="365"/>
      <c r="J327" s="1059"/>
      <c r="K327" s="1059"/>
      <c r="L327" s="1059"/>
      <c r="M327" s="1060"/>
      <c r="N327" s="1060"/>
      <c r="O327" s="1060"/>
      <c r="P327" s="935"/>
      <c r="Q327" s="367"/>
      <c r="R327" s="367"/>
      <c r="S327" s="1017"/>
      <c r="T327" s="946">
        <f>'[1]2,DG-capdoi'!N322</f>
        <v>0</v>
      </c>
      <c r="U327" s="946">
        <f t="shared" si="43"/>
        <v>0</v>
      </c>
      <c r="V327" s="367"/>
      <c r="W327" s="367"/>
      <c r="X327" s="367"/>
      <c r="Y327" s="367"/>
      <c r="Z327" s="367"/>
      <c r="AA327" s="367"/>
      <c r="AB327" s="367"/>
      <c r="AC327" s="367"/>
      <c r="AD327" s="367"/>
      <c r="AE327" s="367"/>
      <c r="AF327" s="367"/>
      <c r="AG327" s="367"/>
      <c r="AH327" s="367"/>
      <c r="AI327" s="367"/>
      <c r="AJ327" s="367"/>
      <c r="AK327" s="367"/>
    </row>
    <row r="328" spans="1:37" s="917" customFormat="1" ht="33" customHeight="1">
      <c r="A328" s="1041"/>
      <c r="B328" s="1129" t="s">
        <v>20</v>
      </c>
      <c r="C328" s="1129"/>
      <c r="D328" s="1129"/>
      <c r="E328" s="1129"/>
      <c r="F328" s="1129"/>
      <c r="G328" s="1129"/>
      <c r="H328" s="1129"/>
      <c r="I328" s="1129"/>
      <c r="J328" s="1129"/>
      <c r="K328" s="1129"/>
      <c r="L328" s="1129"/>
      <c r="M328" s="1129"/>
      <c r="N328" s="1129"/>
      <c r="O328" s="1129"/>
      <c r="P328" s="1129"/>
      <c r="Q328" s="367"/>
      <c r="R328" s="367"/>
      <c r="S328" s="1017"/>
      <c r="T328" s="946">
        <f>'[1]2,DG-capdoi'!N323</f>
        <v>0</v>
      </c>
      <c r="U328" s="946">
        <f t="shared" si="43"/>
        <v>0</v>
      </c>
      <c r="V328" s="367"/>
      <c r="W328" s="367"/>
      <c r="X328" s="367"/>
      <c r="Y328" s="367"/>
      <c r="Z328" s="367"/>
      <c r="AA328" s="367"/>
      <c r="AB328" s="367"/>
      <c r="AC328" s="367"/>
      <c r="AD328" s="367"/>
      <c r="AE328" s="367"/>
      <c r="AF328" s="367"/>
      <c r="AG328" s="367"/>
      <c r="AH328" s="367"/>
      <c r="AI328" s="367"/>
      <c r="AJ328" s="367"/>
      <c r="AK328" s="367"/>
    </row>
    <row r="329" spans="1:37" s="917" customFormat="1" ht="40.9" customHeight="1">
      <c r="A329" s="1041"/>
      <c r="B329" s="1118" t="s">
        <v>542</v>
      </c>
      <c r="C329" s="1118"/>
      <c r="D329" s="1118"/>
      <c r="E329" s="1118"/>
      <c r="F329" s="1118"/>
      <c r="G329" s="1118"/>
      <c r="H329" s="1118"/>
      <c r="I329" s="1118"/>
      <c r="J329" s="1118"/>
      <c r="K329" s="1118"/>
      <c r="L329" s="1118"/>
      <c r="M329" s="1118"/>
      <c r="N329" s="1118"/>
      <c r="O329" s="1118"/>
      <c r="P329" s="1118"/>
      <c r="Q329" s="367"/>
      <c r="R329" s="367"/>
      <c r="S329" s="1017"/>
      <c r="T329" s="946">
        <f>'[1]2,DG-capdoi'!N324</f>
        <v>0</v>
      </c>
      <c r="U329" s="946">
        <f t="shared" si="43"/>
        <v>0</v>
      </c>
      <c r="V329" s="367"/>
      <c r="W329" s="367"/>
      <c r="X329" s="367"/>
      <c r="Y329" s="367"/>
      <c r="Z329" s="367"/>
      <c r="AA329" s="367"/>
      <c r="AB329" s="367"/>
      <c r="AC329" s="367"/>
      <c r="AD329" s="367"/>
      <c r="AE329" s="367"/>
      <c r="AF329" s="367"/>
      <c r="AG329" s="367"/>
      <c r="AH329" s="367"/>
      <c r="AI329" s="367"/>
      <c r="AJ329" s="367"/>
      <c r="AK329" s="367"/>
    </row>
    <row r="330" spans="1:37" s="917" customFormat="1" ht="30" customHeight="1">
      <c r="A330" s="1041"/>
      <c r="B330" s="1181" t="s">
        <v>186</v>
      </c>
      <c r="C330" s="1181"/>
      <c r="D330" s="1181"/>
      <c r="E330" s="1181"/>
      <c r="F330" s="1181"/>
      <c r="G330" s="1181"/>
      <c r="H330" s="1181"/>
      <c r="I330" s="1181"/>
      <c r="J330" s="1181"/>
      <c r="K330" s="1181"/>
      <c r="L330" s="1181"/>
      <c r="M330" s="1181"/>
      <c r="N330" s="1181"/>
      <c r="O330" s="1181"/>
      <c r="P330" s="1181"/>
      <c r="Q330" s="367"/>
      <c r="R330" s="367"/>
      <c r="S330" s="1017"/>
      <c r="T330" s="946">
        <f>'[1]2,DG-capdoi'!N325</f>
        <v>0</v>
      </c>
      <c r="U330" s="946">
        <f t="shared" si="43"/>
        <v>0</v>
      </c>
      <c r="V330" s="367"/>
      <c r="W330" s="367"/>
      <c r="X330" s="367"/>
      <c r="Y330" s="367"/>
      <c r="Z330" s="367"/>
      <c r="AA330" s="367"/>
      <c r="AB330" s="367"/>
      <c r="AC330" s="367"/>
      <c r="AD330" s="367"/>
      <c r="AE330" s="367"/>
      <c r="AF330" s="367"/>
      <c r="AG330" s="367"/>
      <c r="AH330" s="367"/>
      <c r="AI330" s="367"/>
      <c r="AJ330" s="367"/>
      <c r="AK330" s="367"/>
    </row>
    <row r="331" spans="1:37" s="917" customFormat="1" ht="30" customHeight="1">
      <c r="A331" s="1041"/>
      <c r="B331" s="1118" t="s">
        <v>187</v>
      </c>
      <c r="C331" s="1118"/>
      <c r="D331" s="1118"/>
      <c r="E331" s="1118"/>
      <c r="F331" s="1118"/>
      <c r="G331" s="1118"/>
      <c r="H331" s="1118"/>
      <c r="I331" s="1118"/>
      <c r="J331" s="1118"/>
      <c r="K331" s="1118"/>
      <c r="L331" s="1118"/>
      <c r="M331" s="1118"/>
      <c r="N331" s="1118"/>
      <c r="O331" s="1118"/>
      <c r="P331" s="1118"/>
      <c r="Q331" s="367"/>
      <c r="R331" s="367"/>
      <c r="S331" s="1017"/>
      <c r="T331" s="946">
        <f>'[1]2,DG-capdoi'!N326</f>
        <v>0</v>
      </c>
      <c r="U331" s="946">
        <f t="shared" si="43"/>
        <v>0</v>
      </c>
      <c r="V331" s="367"/>
      <c r="W331" s="367"/>
      <c r="X331" s="367"/>
      <c r="Y331" s="367"/>
      <c r="Z331" s="367"/>
      <c r="AA331" s="367"/>
      <c r="AB331" s="367"/>
      <c r="AC331" s="367"/>
      <c r="AD331" s="367"/>
      <c r="AE331" s="367"/>
      <c r="AF331" s="367"/>
      <c r="AG331" s="367"/>
      <c r="AH331" s="367"/>
      <c r="AI331" s="367"/>
      <c r="AJ331" s="367"/>
      <c r="AK331" s="367"/>
    </row>
    <row r="332" spans="1:37" ht="27" customHeight="1">
      <c r="A332" s="1114" t="s">
        <v>839</v>
      </c>
      <c r="B332" s="1114"/>
      <c r="C332" s="1114"/>
      <c r="D332" s="1114"/>
      <c r="E332" s="1114"/>
      <c r="F332" s="1114"/>
      <c r="G332" s="1114"/>
      <c r="H332" s="1114"/>
      <c r="I332" s="1114"/>
      <c r="J332" s="1114"/>
      <c r="K332" s="1114"/>
      <c r="L332" s="1114"/>
      <c r="M332" s="1114"/>
      <c r="N332" s="1114"/>
      <c r="O332" s="1114"/>
      <c r="P332" s="1114"/>
      <c r="S332" s="996"/>
      <c r="T332" s="979">
        <f>'[1]2,DG-capdoi'!N327</f>
        <v>0</v>
      </c>
      <c r="U332" s="979">
        <f t="shared" si="43"/>
        <v>0</v>
      </c>
    </row>
    <row r="333" spans="1:37" ht="16.5">
      <c r="A333" s="1113" t="s">
        <v>960</v>
      </c>
      <c r="B333" s="1113"/>
      <c r="C333" s="1113"/>
      <c r="D333" s="1113"/>
      <c r="E333" s="1113"/>
      <c r="F333" s="1113"/>
      <c r="G333" s="1113"/>
      <c r="H333" s="1113"/>
      <c r="I333" s="1113"/>
      <c r="J333" s="1113"/>
      <c r="K333" s="1113"/>
      <c r="L333" s="1113"/>
      <c r="M333" s="1113"/>
      <c r="N333" s="1113"/>
      <c r="O333" s="1113"/>
      <c r="P333" s="1113"/>
      <c r="S333" s="996"/>
      <c r="T333" s="979"/>
      <c r="U333" s="979"/>
    </row>
    <row r="334" spans="1:37" ht="20.25" customHeight="1">
      <c r="A334" s="984"/>
      <c r="B334" s="985"/>
      <c r="C334" s="986"/>
      <c r="D334" s="987" t="s">
        <v>576</v>
      </c>
      <c r="F334" s="988"/>
      <c r="G334" s="989"/>
      <c r="H334" s="988"/>
      <c r="I334" s="990"/>
      <c r="J334" s="988"/>
      <c r="K334" s="988"/>
      <c r="L334" s="991" t="s">
        <v>980</v>
      </c>
      <c r="M334" s="988"/>
      <c r="N334" s="990"/>
      <c r="O334" s="990"/>
      <c r="S334" s="996"/>
      <c r="T334" s="979">
        <f>'[1]2,DG-capdoi'!N328</f>
        <v>0</v>
      </c>
      <c r="U334" s="979">
        <f t="shared" si="43"/>
        <v>0</v>
      </c>
    </row>
    <row r="335" spans="1:37" s="1004" customFormat="1" ht="27.75" customHeight="1">
      <c r="A335" s="1115" t="s">
        <v>876</v>
      </c>
      <c r="B335" s="1115" t="s">
        <v>381</v>
      </c>
      <c r="C335" s="1111" t="s">
        <v>981</v>
      </c>
      <c r="D335" s="1111" t="s">
        <v>982</v>
      </c>
      <c r="E335" s="1111" t="s">
        <v>466</v>
      </c>
      <c r="F335" s="1111"/>
      <c r="G335" s="1111"/>
      <c r="H335" s="1111"/>
      <c r="I335" s="1111"/>
      <c r="J335" s="1111"/>
      <c r="K335" s="1111"/>
      <c r="L335" s="1111"/>
      <c r="M335" s="1111" t="s">
        <v>581</v>
      </c>
      <c r="N335" s="1111" t="s">
        <v>467</v>
      </c>
      <c r="O335" s="1111" t="s">
        <v>657</v>
      </c>
      <c r="P335" s="1111" t="s">
        <v>468</v>
      </c>
      <c r="Q335" s="976"/>
      <c r="R335" s="976"/>
      <c r="S335" s="998"/>
      <c r="T335" s="979" t="str">
        <f>'[1]2,DG-capdoi'!N329</f>
        <v>Đơn giá       sản phẩm</v>
      </c>
      <c r="U335" s="979"/>
      <c r="V335" s="977"/>
      <c r="W335" s="977"/>
      <c r="X335" s="977"/>
      <c r="Y335" s="977"/>
      <c r="Z335" s="977"/>
      <c r="AA335" s="977"/>
      <c r="AB335" s="977"/>
      <c r="AC335" s="977"/>
      <c r="AD335" s="977"/>
      <c r="AE335" s="977"/>
      <c r="AF335" s="977"/>
      <c r="AG335" s="977"/>
      <c r="AH335" s="977"/>
      <c r="AI335" s="977"/>
      <c r="AJ335" s="977"/>
      <c r="AK335" s="977"/>
    </row>
    <row r="336" spans="1:37" s="1004" customFormat="1" ht="37.5" customHeight="1">
      <c r="A336" s="1115"/>
      <c r="B336" s="1115"/>
      <c r="C336" s="1111"/>
      <c r="D336" s="1111"/>
      <c r="E336" s="825" t="s">
        <v>469</v>
      </c>
      <c r="F336" s="825" t="s">
        <v>470</v>
      </c>
      <c r="G336" s="852" t="s">
        <v>1003</v>
      </c>
      <c r="H336" s="825" t="s">
        <v>59</v>
      </c>
      <c r="I336" s="825" t="s">
        <v>471</v>
      </c>
      <c r="J336" s="825" t="s">
        <v>280</v>
      </c>
      <c r="K336" s="825" t="s">
        <v>472</v>
      </c>
      <c r="L336" s="825" t="s">
        <v>473</v>
      </c>
      <c r="M336" s="1111"/>
      <c r="N336" s="1111"/>
      <c r="O336" s="1111"/>
      <c r="P336" s="1111"/>
      <c r="Q336" s="976"/>
      <c r="R336" s="976"/>
      <c r="S336" s="998"/>
      <c r="T336" s="979">
        <f>'[1]2,DG-capdoi'!N330</f>
        <v>0</v>
      </c>
      <c r="U336" s="979">
        <f t="shared" ref="U336:U399" si="49">T336-N336</f>
        <v>0</v>
      </c>
      <c r="V336" s="977"/>
      <c r="W336" s="977"/>
      <c r="X336" s="977"/>
      <c r="Y336" s="977"/>
      <c r="Z336" s="977"/>
      <c r="AA336" s="977"/>
      <c r="AB336" s="977"/>
      <c r="AC336" s="977"/>
      <c r="AD336" s="977"/>
      <c r="AE336" s="977"/>
      <c r="AF336" s="977"/>
      <c r="AG336" s="977"/>
      <c r="AH336" s="977"/>
      <c r="AI336" s="977"/>
      <c r="AJ336" s="977"/>
      <c r="AK336" s="977"/>
    </row>
    <row r="337" spans="1:37" s="960" customFormat="1" ht="42" customHeight="1">
      <c r="A337" s="831"/>
      <c r="B337" s="830" t="s">
        <v>840</v>
      </c>
      <c r="C337" s="382"/>
      <c r="D337" s="382"/>
      <c r="E337" s="382"/>
      <c r="F337" s="382"/>
      <c r="G337" s="837"/>
      <c r="H337" s="382"/>
      <c r="I337" s="382"/>
      <c r="J337" s="382"/>
      <c r="K337" s="382"/>
      <c r="L337" s="382"/>
      <c r="M337" s="382"/>
      <c r="N337" s="382"/>
      <c r="O337" s="382"/>
      <c r="P337" s="382"/>
      <c r="Q337" s="839"/>
      <c r="R337" s="839"/>
      <c r="S337" s="1022"/>
      <c r="T337" s="946">
        <f>'[1]2,DG-capdoi'!N331</f>
        <v>0</v>
      </c>
      <c r="U337" s="946">
        <f t="shared" si="49"/>
        <v>0</v>
      </c>
      <c r="V337" s="840"/>
      <c r="W337" s="840"/>
      <c r="X337" s="840"/>
      <c r="Y337" s="840"/>
      <c r="Z337" s="840"/>
      <c r="AA337" s="840"/>
      <c r="AB337" s="840"/>
      <c r="AC337" s="840"/>
      <c r="AD337" s="840"/>
      <c r="AE337" s="840"/>
      <c r="AF337" s="840"/>
      <c r="AG337" s="840"/>
      <c r="AH337" s="840"/>
      <c r="AI337" s="840"/>
      <c r="AJ337" s="840"/>
      <c r="AK337" s="840"/>
    </row>
    <row r="338" spans="1:37" s="960" customFormat="1" ht="30.75" customHeight="1">
      <c r="A338" s="831"/>
      <c r="B338" s="868" t="s">
        <v>451</v>
      </c>
      <c r="C338" s="382" t="s">
        <v>281</v>
      </c>
      <c r="D338" s="831" t="s">
        <v>881</v>
      </c>
      <c r="E338" s="383" t="e">
        <f>E342+E368+E370</f>
        <v>#VALUE!</v>
      </c>
      <c r="F338" s="383">
        <f t="shared" ref="F338:P338" si="50">F342+F368+F370</f>
        <v>0</v>
      </c>
      <c r="G338" s="383">
        <f t="shared" si="50"/>
        <v>0</v>
      </c>
      <c r="H338" s="383">
        <f t="shared" si="50"/>
        <v>10556.157858974357</v>
      </c>
      <c r="I338" s="383">
        <f t="shared" si="50"/>
        <v>24167.16</v>
      </c>
      <c r="J338" s="383">
        <f t="shared" si="50"/>
        <v>9815.5200000000023</v>
      </c>
      <c r="K338" s="383">
        <f t="shared" si="50"/>
        <v>19428.108</v>
      </c>
      <c r="L338" s="383" t="e">
        <f t="shared" si="50"/>
        <v>#VALUE!</v>
      </c>
      <c r="M338" s="383" t="e">
        <f t="shared" si="50"/>
        <v>#VALUE!</v>
      </c>
      <c r="N338" s="383" t="e">
        <f t="shared" si="50"/>
        <v>#VALUE!</v>
      </c>
      <c r="O338" s="383"/>
      <c r="P338" s="383">
        <f t="shared" si="50"/>
        <v>18247.492307692308</v>
      </c>
      <c r="Q338" s="839"/>
      <c r="R338" s="839"/>
      <c r="S338" s="1022"/>
      <c r="T338" s="946">
        <f>'[1]2,DG-capdoi'!N332</f>
        <v>761540.96836089727</v>
      </c>
      <c r="U338" s="946" t="e">
        <f t="shared" si="49"/>
        <v>#VALUE!</v>
      </c>
      <c r="V338" s="840"/>
      <c r="W338" s="840"/>
      <c r="X338" s="840"/>
      <c r="Y338" s="840"/>
      <c r="Z338" s="840"/>
      <c r="AA338" s="840"/>
      <c r="AB338" s="840"/>
      <c r="AC338" s="840"/>
      <c r="AD338" s="840"/>
      <c r="AE338" s="840"/>
      <c r="AF338" s="840"/>
      <c r="AG338" s="840"/>
      <c r="AH338" s="840"/>
      <c r="AI338" s="840"/>
      <c r="AJ338" s="840"/>
      <c r="AK338" s="840"/>
    </row>
    <row r="339" spans="1:37" s="960" customFormat="1" ht="30.75" customHeight="1">
      <c r="A339" s="831"/>
      <c r="B339" s="868" t="s">
        <v>452</v>
      </c>
      <c r="C339" s="382" t="s">
        <v>281</v>
      </c>
      <c r="D339" s="831" t="s">
        <v>881</v>
      </c>
      <c r="E339" s="383" t="e">
        <f>E343+E368+E370</f>
        <v>#VALUE!</v>
      </c>
      <c r="F339" s="383">
        <f t="shared" ref="F339:P339" si="51">F343+F368+F370</f>
        <v>0</v>
      </c>
      <c r="G339" s="383">
        <f t="shared" si="51"/>
        <v>0</v>
      </c>
      <c r="H339" s="383">
        <f t="shared" si="51"/>
        <v>10556.157858974357</v>
      </c>
      <c r="I339" s="383">
        <f t="shared" si="51"/>
        <v>24167.16</v>
      </c>
      <c r="J339" s="383">
        <f t="shared" si="51"/>
        <v>9815.5200000000023</v>
      </c>
      <c r="K339" s="383">
        <f t="shared" si="51"/>
        <v>19428.108</v>
      </c>
      <c r="L339" s="383" t="e">
        <f t="shared" si="51"/>
        <v>#VALUE!</v>
      </c>
      <c r="M339" s="383" t="e">
        <f t="shared" si="51"/>
        <v>#VALUE!</v>
      </c>
      <c r="N339" s="383" t="e">
        <f t="shared" si="51"/>
        <v>#VALUE!</v>
      </c>
      <c r="O339" s="383"/>
      <c r="P339" s="383">
        <f t="shared" si="51"/>
        <v>17940.08846153846</v>
      </c>
      <c r="Q339" s="839"/>
      <c r="R339" s="839"/>
      <c r="S339" s="1022"/>
      <c r="T339" s="946">
        <f>'[1]2,DG-capdoi'!N333</f>
        <v>751281.51869743585</v>
      </c>
      <c r="U339" s="946" t="e">
        <f t="shared" si="49"/>
        <v>#VALUE!</v>
      </c>
      <c r="V339" s="840"/>
      <c r="W339" s="840"/>
      <c r="X339" s="840"/>
      <c r="Y339" s="840"/>
      <c r="Z339" s="840"/>
      <c r="AA339" s="840"/>
      <c r="AB339" s="840"/>
      <c r="AC339" s="840"/>
      <c r="AD339" s="840"/>
      <c r="AE339" s="840"/>
      <c r="AF339" s="840"/>
      <c r="AG339" s="840"/>
      <c r="AH339" s="840"/>
      <c r="AI339" s="840"/>
      <c r="AJ339" s="840"/>
      <c r="AK339" s="840"/>
    </row>
    <row r="340" spans="1:37" s="960" customFormat="1" ht="16.5" customHeight="1">
      <c r="A340" s="831"/>
      <c r="B340" s="888"/>
      <c r="C340" s="382"/>
      <c r="D340" s="382"/>
      <c r="E340" s="382"/>
      <c r="F340" s="382"/>
      <c r="G340" s="837"/>
      <c r="H340" s="382"/>
      <c r="I340" s="382"/>
      <c r="J340" s="382"/>
      <c r="K340" s="382"/>
      <c r="L340" s="382"/>
      <c r="M340" s="382"/>
      <c r="N340" s="382"/>
      <c r="O340" s="382"/>
      <c r="P340" s="382"/>
      <c r="Q340" s="849">
        <f>'He so chung'!D$22</f>
        <v>5346.1538461538457</v>
      </c>
      <c r="R340" s="849">
        <f>'He so chung'!D$23</f>
        <v>801.92307692307691</v>
      </c>
      <c r="S340" s="1023"/>
      <c r="T340" s="946">
        <f>'[1]2,DG-capdoi'!N334</f>
        <v>0</v>
      </c>
      <c r="U340" s="946">
        <f t="shared" si="49"/>
        <v>0</v>
      </c>
      <c r="V340" s="840"/>
      <c r="W340" s="840"/>
      <c r="X340" s="840"/>
      <c r="Y340" s="840"/>
      <c r="Z340" s="840"/>
      <c r="AA340" s="840"/>
      <c r="AB340" s="840"/>
      <c r="AC340" s="840"/>
      <c r="AD340" s="840"/>
      <c r="AE340" s="840"/>
      <c r="AF340" s="840"/>
      <c r="AG340" s="840"/>
      <c r="AH340" s="840"/>
      <c r="AI340" s="840"/>
      <c r="AJ340" s="840"/>
      <c r="AK340" s="840"/>
    </row>
    <row r="341" spans="1:37" s="960" customFormat="1" ht="25.5" customHeight="1">
      <c r="A341" s="831" t="s">
        <v>179</v>
      </c>
      <c r="B341" s="868" t="s">
        <v>1057</v>
      </c>
      <c r="C341" s="382"/>
      <c r="D341" s="382"/>
      <c r="E341" s="382"/>
      <c r="F341" s="382"/>
      <c r="G341" s="837"/>
      <c r="H341" s="382"/>
      <c r="I341" s="382"/>
      <c r="J341" s="382"/>
      <c r="K341" s="382"/>
      <c r="L341" s="382"/>
      <c r="M341" s="382"/>
      <c r="N341" s="382"/>
      <c r="O341" s="382"/>
      <c r="P341" s="382"/>
      <c r="Q341" s="849"/>
      <c r="R341" s="849"/>
      <c r="S341" s="1023"/>
      <c r="T341" s="946">
        <f>'[1]2,DG-capdoi'!N335</f>
        <v>0</v>
      </c>
      <c r="U341" s="946">
        <f t="shared" si="49"/>
        <v>0</v>
      </c>
      <c r="V341" s="840"/>
      <c r="W341" s="840"/>
      <c r="X341" s="840"/>
      <c r="Y341" s="840"/>
      <c r="Z341" s="840"/>
      <c r="AA341" s="840"/>
      <c r="AB341" s="840"/>
      <c r="AC341" s="840"/>
      <c r="AD341" s="840"/>
      <c r="AE341" s="840"/>
      <c r="AF341" s="840"/>
      <c r="AG341" s="840"/>
      <c r="AH341" s="840"/>
      <c r="AI341" s="840"/>
      <c r="AJ341" s="840"/>
      <c r="AK341" s="840"/>
    </row>
    <row r="342" spans="1:37" s="960" customFormat="1" ht="21.75" customHeight="1">
      <c r="A342" s="869" t="s">
        <v>665</v>
      </c>
      <c r="B342" s="868" t="s">
        <v>451</v>
      </c>
      <c r="C342" s="382" t="s">
        <v>281</v>
      </c>
      <c r="D342" s="1080"/>
      <c r="E342" s="919" t="e">
        <f>E345+E347+E348+E349+E350+E352+E354+E356+E358+E359+E362+E363+E364+E365+E366+E367</f>
        <v>#VALUE!</v>
      </c>
      <c r="F342" s="919">
        <f>F345+F347+F348+F349+F350+F352+F354+F356+F358+F359+F362+F363+F364+F365+F366+F367</f>
        <v>0</v>
      </c>
      <c r="G342" s="391"/>
      <c r="H342" s="919">
        <f>'Dcu-DKDD'!$L$280</f>
        <v>10462.416147435895</v>
      </c>
      <c r="I342" s="913">
        <f>'VL-DKDD'!$J$283</f>
        <v>23281.56</v>
      </c>
      <c r="J342" s="913">
        <f>'TB-DKDD'!$M$159</f>
        <v>9815.5200000000023</v>
      </c>
      <c r="K342" s="913">
        <f>'NL-DKDD'!$J$108</f>
        <v>19428.108</v>
      </c>
      <c r="L342" s="893" t="e">
        <f>SUM(E342:K342)</f>
        <v>#VALUE!</v>
      </c>
      <c r="M342" s="893" t="e">
        <f>L342*'He so chung'!$D$17/100</f>
        <v>#VALUE!</v>
      </c>
      <c r="N342" s="893" t="e">
        <f>L342+M342</f>
        <v>#VALUE!</v>
      </c>
      <c r="O342" s="914"/>
      <c r="P342" s="919">
        <f>P345+P347+P348+P349+P350+P352+P354+P356+P358+P359+P362+P363+P364+P365+P366+P367</f>
        <v>18001.56923076923</v>
      </c>
      <c r="Q342" s="839"/>
      <c r="R342" s="839"/>
      <c r="S342" s="1079"/>
      <c r="T342" s="946">
        <f>'[1]2,DG-capdoi'!N336</f>
        <v>752207.16566185886</v>
      </c>
      <c r="U342" s="946" t="e">
        <f t="shared" si="49"/>
        <v>#VALUE!</v>
      </c>
      <c r="V342" s="840"/>
      <c r="W342" s="840"/>
      <c r="X342" s="840"/>
      <c r="Y342" s="840"/>
      <c r="Z342" s="840"/>
      <c r="AA342" s="840"/>
      <c r="AB342" s="840"/>
      <c r="AC342" s="840"/>
      <c r="AD342" s="840"/>
      <c r="AE342" s="840"/>
      <c r="AF342" s="840"/>
      <c r="AG342" s="840"/>
      <c r="AH342" s="840"/>
      <c r="AI342" s="840"/>
      <c r="AJ342" s="840"/>
      <c r="AK342" s="840"/>
    </row>
    <row r="343" spans="1:37" s="960" customFormat="1" ht="21.75" customHeight="1">
      <c r="A343" s="869" t="s">
        <v>666</v>
      </c>
      <c r="B343" s="868" t="s">
        <v>452</v>
      </c>
      <c r="C343" s="382" t="s">
        <v>281</v>
      </c>
      <c r="D343" s="1080"/>
      <c r="E343" s="919" t="e">
        <f>E346+E347+E348+E349+E350+E352+E354+E356+E358+E359+E362+E363+E364+E365+E366+E367</f>
        <v>#VALUE!</v>
      </c>
      <c r="F343" s="919">
        <f>F346+F347+F348+F349+F350+F352+F354+F356+F358+F359+F362+F363+F364+F365+F366+F367</f>
        <v>0</v>
      </c>
      <c r="G343" s="391"/>
      <c r="H343" s="919">
        <f>'Dcu-DKDD'!$L$280</f>
        <v>10462.416147435895</v>
      </c>
      <c r="I343" s="913">
        <f>'VL-DKDD'!$J$283</f>
        <v>23281.56</v>
      </c>
      <c r="J343" s="913">
        <f>'TB-DKDD'!$M$159</f>
        <v>9815.5200000000023</v>
      </c>
      <c r="K343" s="913">
        <f>'NL-DKDD'!$J$108</f>
        <v>19428.108</v>
      </c>
      <c r="L343" s="893" t="e">
        <f>SUM(E343:K343)</f>
        <v>#VALUE!</v>
      </c>
      <c r="M343" s="893" t="e">
        <f>L343*'He so chung'!$D$17/100</f>
        <v>#VALUE!</v>
      </c>
      <c r="N343" s="893" t="e">
        <f>L343+M343</f>
        <v>#VALUE!</v>
      </c>
      <c r="O343" s="914"/>
      <c r="P343" s="919">
        <f>P346+P347+P348+P349+P350+P352+P354+P356+P358+P359+P362+P363+P364+P365+P366+P367</f>
        <v>17694.165384615382</v>
      </c>
      <c r="Q343" s="839"/>
      <c r="R343" s="839"/>
      <c r="S343" s="1079"/>
      <c r="T343" s="946">
        <f>'[1]2,DG-capdoi'!N337</f>
        <v>741947.71599839744</v>
      </c>
      <c r="U343" s="946" t="e">
        <f t="shared" si="49"/>
        <v>#VALUE!</v>
      </c>
      <c r="V343" s="840"/>
      <c r="W343" s="840"/>
      <c r="X343" s="840"/>
      <c r="Y343" s="840"/>
      <c r="Z343" s="840"/>
      <c r="AA343" s="840"/>
      <c r="AB343" s="840"/>
      <c r="AC343" s="840"/>
      <c r="AD343" s="840"/>
      <c r="AE343" s="840"/>
      <c r="AF343" s="840"/>
      <c r="AG343" s="840"/>
      <c r="AH343" s="840"/>
      <c r="AI343" s="840"/>
      <c r="AJ343" s="840"/>
      <c r="AK343" s="840"/>
    </row>
    <row r="344" spans="1:37" s="960" customFormat="1" ht="19.5" customHeight="1">
      <c r="A344" s="832">
        <v>1</v>
      </c>
      <c r="B344" s="827" t="s">
        <v>516</v>
      </c>
      <c r="C344" s="1047"/>
      <c r="D344" s="1080"/>
      <c r="E344" s="914"/>
      <c r="F344" s="914"/>
      <c r="G344" s="391"/>
      <c r="H344" s="914"/>
      <c r="I344" s="914"/>
      <c r="J344" s="914"/>
      <c r="K344" s="914"/>
      <c r="L344" s="914"/>
      <c r="M344" s="914"/>
      <c r="N344" s="914"/>
      <c r="O344" s="914"/>
      <c r="P344" s="898"/>
      <c r="Q344" s="839"/>
      <c r="R344" s="839"/>
      <c r="S344" s="1079"/>
      <c r="T344" s="946">
        <f>'[1]2,DG-capdoi'!N338</f>
        <v>0</v>
      </c>
      <c r="U344" s="946">
        <f t="shared" si="49"/>
        <v>0</v>
      </c>
      <c r="V344" s="840"/>
      <c r="W344" s="840"/>
      <c r="X344" s="840"/>
      <c r="Y344" s="840"/>
      <c r="Z344" s="840"/>
      <c r="AA344" s="840"/>
      <c r="AB344" s="840"/>
      <c r="AC344" s="840"/>
      <c r="AD344" s="840"/>
      <c r="AE344" s="840"/>
      <c r="AF344" s="840"/>
      <c r="AG344" s="840"/>
      <c r="AH344" s="840"/>
      <c r="AI344" s="840"/>
      <c r="AJ344" s="840"/>
      <c r="AK344" s="840"/>
    </row>
    <row r="345" spans="1:37" s="960" customFormat="1" ht="21.75" customHeight="1">
      <c r="A345" s="832" t="s">
        <v>891</v>
      </c>
      <c r="B345" s="827" t="s">
        <v>33</v>
      </c>
      <c r="C345" s="832" t="s">
        <v>281</v>
      </c>
      <c r="D345" s="901" t="s">
        <v>881</v>
      </c>
      <c r="E345" s="898" t="e">
        <f>NC_DKDD!H774</f>
        <v>#VALUE!</v>
      </c>
      <c r="F345" s="914"/>
      <c r="G345" s="391"/>
      <c r="H345" s="914"/>
      <c r="I345" s="914"/>
      <c r="J345" s="914"/>
      <c r="K345" s="914"/>
      <c r="L345" s="914"/>
      <c r="M345" s="914"/>
      <c r="N345" s="914"/>
      <c r="O345" s="914"/>
      <c r="P345" s="898">
        <f>Q345+R345</f>
        <v>1537.0192307692307</v>
      </c>
      <c r="Q345" s="839">
        <f>S345*Q$209</f>
        <v>1336.5384615384614</v>
      </c>
      <c r="R345" s="839">
        <f t="shared" ref="R345:R371" si="52">S345*R$209</f>
        <v>200.48076923076923</v>
      </c>
      <c r="S345" s="1079">
        <f>NC_DKDD!G774</f>
        <v>0.25</v>
      </c>
      <c r="T345" s="946">
        <f>'[1]2,DG-capdoi'!N339</f>
        <v>0</v>
      </c>
      <c r="U345" s="946">
        <f t="shared" si="49"/>
        <v>0</v>
      </c>
      <c r="V345" s="840"/>
      <c r="W345" s="840"/>
      <c r="X345" s="840"/>
      <c r="Y345" s="840"/>
      <c r="Z345" s="840"/>
      <c r="AA345" s="840"/>
      <c r="AB345" s="840"/>
      <c r="AC345" s="840"/>
      <c r="AD345" s="840"/>
      <c r="AE345" s="840"/>
      <c r="AF345" s="840"/>
      <c r="AG345" s="840"/>
      <c r="AH345" s="840"/>
      <c r="AI345" s="840"/>
      <c r="AJ345" s="840"/>
      <c r="AK345" s="840"/>
    </row>
    <row r="346" spans="1:37" s="960" customFormat="1" ht="21.75" customHeight="1">
      <c r="A346" s="832" t="s">
        <v>899</v>
      </c>
      <c r="B346" s="827" t="s">
        <v>36</v>
      </c>
      <c r="C346" s="832" t="s">
        <v>281</v>
      </c>
      <c r="D346" s="901" t="s">
        <v>881</v>
      </c>
      <c r="E346" s="898" t="e">
        <f>NC_DKDD!H775</f>
        <v>#VALUE!</v>
      </c>
      <c r="F346" s="914"/>
      <c r="G346" s="391"/>
      <c r="H346" s="914"/>
      <c r="I346" s="914"/>
      <c r="J346" s="914"/>
      <c r="K346" s="914"/>
      <c r="L346" s="914"/>
      <c r="M346" s="914"/>
      <c r="N346" s="914"/>
      <c r="O346" s="914"/>
      <c r="P346" s="898">
        <f>Q346+R346</f>
        <v>1229.6153846153848</v>
      </c>
      <c r="Q346" s="839">
        <f>S346*Q$209</f>
        <v>1069.2307692307693</v>
      </c>
      <c r="R346" s="839">
        <f t="shared" si="52"/>
        <v>160.38461538461539</v>
      </c>
      <c r="S346" s="1079">
        <f>NC_DKDD!G775</f>
        <v>0.2</v>
      </c>
      <c r="T346" s="946">
        <f>'[1]2,DG-capdoi'!N340</f>
        <v>0</v>
      </c>
      <c r="U346" s="946">
        <f t="shared" si="49"/>
        <v>0</v>
      </c>
      <c r="V346" s="840"/>
      <c r="W346" s="840"/>
      <c r="X346" s="840"/>
      <c r="Y346" s="840"/>
      <c r="Z346" s="840"/>
      <c r="AA346" s="840"/>
      <c r="AB346" s="840"/>
      <c r="AC346" s="840"/>
      <c r="AD346" s="840"/>
      <c r="AE346" s="840"/>
      <c r="AF346" s="840"/>
      <c r="AG346" s="840"/>
      <c r="AH346" s="840"/>
      <c r="AI346" s="840"/>
      <c r="AJ346" s="840"/>
      <c r="AK346" s="840"/>
    </row>
    <row r="347" spans="1:37" s="960" customFormat="1" ht="39.75" customHeight="1">
      <c r="A347" s="832">
        <v>2</v>
      </c>
      <c r="B347" s="827" t="s">
        <v>953</v>
      </c>
      <c r="C347" s="832" t="s">
        <v>281</v>
      </c>
      <c r="D347" s="901" t="s">
        <v>881</v>
      </c>
      <c r="E347" s="898" t="e">
        <f>NC_DKDD!H776</f>
        <v>#VALUE!</v>
      </c>
      <c r="F347" s="914"/>
      <c r="G347" s="391"/>
      <c r="H347" s="914"/>
      <c r="I347" s="914"/>
      <c r="J347" s="914"/>
      <c r="K347" s="914"/>
      <c r="L347" s="914"/>
      <c r="M347" s="914"/>
      <c r="N347" s="914"/>
      <c r="O347" s="914"/>
      <c r="P347" s="898">
        <f t="shared" ref="P347:P355" si="53">Q347+R347</f>
        <v>1229.6153846153848</v>
      </c>
      <c r="Q347" s="839">
        <f t="shared" ref="Q347:Q355" si="54">S347*Q$209</f>
        <v>1069.2307692307693</v>
      </c>
      <c r="R347" s="839">
        <f t="shared" si="52"/>
        <v>160.38461538461539</v>
      </c>
      <c r="S347" s="1079">
        <f>NC_DKDD!G776</f>
        <v>0.2</v>
      </c>
      <c r="T347" s="946">
        <f>'[1]2,DG-capdoi'!N341</f>
        <v>0</v>
      </c>
      <c r="U347" s="946">
        <f t="shared" si="49"/>
        <v>0</v>
      </c>
      <c r="V347" s="840"/>
      <c r="W347" s="840"/>
      <c r="X347" s="840"/>
      <c r="Y347" s="840"/>
      <c r="Z347" s="840"/>
      <c r="AA347" s="840"/>
      <c r="AB347" s="840"/>
      <c r="AC347" s="840"/>
      <c r="AD347" s="840"/>
      <c r="AE347" s="840"/>
      <c r="AF347" s="840"/>
      <c r="AG347" s="840"/>
      <c r="AH347" s="840"/>
      <c r="AI347" s="840"/>
      <c r="AJ347" s="840"/>
      <c r="AK347" s="840"/>
    </row>
    <row r="348" spans="1:37" s="960" customFormat="1" ht="42" customHeight="1">
      <c r="A348" s="832">
        <v>3</v>
      </c>
      <c r="B348" s="827" t="s">
        <v>517</v>
      </c>
      <c r="C348" s="832" t="s">
        <v>523</v>
      </c>
      <c r="D348" s="901" t="s">
        <v>881</v>
      </c>
      <c r="E348" s="898" t="e">
        <f>NC_DKDD!H777</f>
        <v>#VALUE!</v>
      </c>
      <c r="F348" s="914"/>
      <c r="G348" s="391"/>
      <c r="H348" s="914"/>
      <c r="I348" s="914"/>
      <c r="J348" s="914"/>
      <c r="K348" s="914"/>
      <c r="L348" s="914"/>
      <c r="M348" s="914"/>
      <c r="N348" s="914"/>
      <c r="O348" s="914"/>
      <c r="P348" s="898">
        <f t="shared" si="53"/>
        <v>657.84423076923065</v>
      </c>
      <c r="Q348" s="839">
        <f t="shared" si="54"/>
        <v>572.03846153846143</v>
      </c>
      <c r="R348" s="839">
        <f t="shared" si="52"/>
        <v>85.805769230769229</v>
      </c>
      <c r="S348" s="1079">
        <f>NC_DKDD!G777</f>
        <v>0.107</v>
      </c>
      <c r="T348" s="946">
        <f>'[1]2,DG-capdoi'!N342</f>
        <v>0</v>
      </c>
      <c r="U348" s="946">
        <f t="shared" si="49"/>
        <v>0</v>
      </c>
      <c r="V348" s="840"/>
      <c r="W348" s="840"/>
      <c r="X348" s="840"/>
      <c r="Y348" s="840"/>
      <c r="Z348" s="840"/>
      <c r="AA348" s="840"/>
      <c r="AB348" s="840"/>
      <c r="AC348" s="840"/>
      <c r="AD348" s="840"/>
      <c r="AE348" s="840"/>
      <c r="AF348" s="840"/>
      <c r="AG348" s="840"/>
      <c r="AH348" s="840"/>
      <c r="AI348" s="840"/>
      <c r="AJ348" s="840"/>
      <c r="AK348" s="840"/>
    </row>
    <row r="349" spans="1:37" s="960" customFormat="1" ht="43.5" customHeight="1">
      <c r="A349" s="832">
        <v>4</v>
      </c>
      <c r="B349" s="827" t="s">
        <v>518</v>
      </c>
      <c r="C349" s="832" t="s">
        <v>281</v>
      </c>
      <c r="D349" s="901" t="s">
        <v>881</v>
      </c>
      <c r="E349" s="898" t="e">
        <f>NC_DKDD!H778</f>
        <v>#VALUE!</v>
      </c>
      <c r="F349" s="914"/>
      <c r="G349" s="391"/>
      <c r="H349" s="914"/>
      <c r="I349" s="914"/>
      <c r="J349" s="914"/>
      <c r="K349" s="914"/>
      <c r="L349" s="914"/>
      <c r="M349" s="914"/>
      <c r="N349" s="914"/>
      <c r="O349" s="914"/>
      <c r="P349" s="898">
        <f t="shared" si="53"/>
        <v>6148.0769230769229</v>
      </c>
      <c r="Q349" s="839">
        <f t="shared" si="54"/>
        <v>5346.1538461538457</v>
      </c>
      <c r="R349" s="839">
        <f t="shared" si="52"/>
        <v>801.92307692307691</v>
      </c>
      <c r="S349" s="1079">
        <f>NC_DKDD!G778</f>
        <v>1</v>
      </c>
      <c r="T349" s="946">
        <f>'[1]2,DG-capdoi'!N343</f>
        <v>0</v>
      </c>
      <c r="U349" s="946">
        <f t="shared" si="49"/>
        <v>0</v>
      </c>
      <c r="V349" s="840"/>
      <c r="W349" s="840"/>
      <c r="X349" s="840"/>
      <c r="Y349" s="840"/>
      <c r="Z349" s="840"/>
      <c r="AA349" s="840"/>
      <c r="AB349" s="840"/>
      <c r="AC349" s="840"/>
      <c r="AD349" s="840"/>
      <c r="AE349" s="840"/>
      <c r="AF349" s="840"/>
      <c r="AG349" s="840"/>
      <c r="AH349" s="840"/>
      <c r="AI349" s="840"/>
      <c r="AJ349" s="840"/>
      <c r="AK349" s="840"/>
    </row>
    <row r="350" spans="1:37" s="960" customFormat="1" ht="33.75" customHeight="1">
      <c r="A350" s="832">
        <v>5</v>
      </c>
      <c r="B350" s="827" t="s">
        <v>519</v>
      </c>
      <c r="C350" s="832" t="s">
        <v>523</v>
      </c>
      <c r="D350" s="901" t="s">
        <v>881</v>
      </c>
      <c r="E350" s="898" t="e">
        <f>NC_DKDD!H779</f>
        <v>#VALUE!</v>
      </c>
      <c r="F350" s="914"/>
      <c r="G350" s="391"/>
      <c r="H350" s="914"/>
      <c r="I350" s="914"/>
      <c r="J350" s="914"/>
      <c r="K350" s="914"/>
      <c r="L350" s="914"/>
      <c r="M350" s="914"/>
      <c r="N350" s="914"/>
      <c r="O350" s="914"/>
      <c r="P350" s="898">
        <f t="shared" si="53"/>
        <v>36.888461538461534</v>
      </c>
      <c r="Q350" s="839">
        <f t="shared" si="54"/>
        <v>32.076923076923073</v>
      </c>
      <c r="R350" s="839">
        <f t="shared" si="52"/>
        <v>4.8115384615384613</v>
      </c>
      <c r="S350" s="1079">
        <f>NC_DKDD!G779</f>
        <v>6.0000000000000001E-3</v>
      </c>
      <c r="T350" s="946">
        <f>'[1]2,DG-capdoi'!N344</f>
        <v>0</v>
      </c>
      <c r="U350" s="946">
        <f t="shared" si="49"/>
        <v>0</v>
      </c>
      <c r="V350" s="840"/>
      <c r="W350" s="840"/>
      <c r="X350" s="840"/>
      <c r="Y350" s="840"/>
      <c r="Z350" s="840"/>
      <c r="AA350" s="840"/>
      <c r="AB350" s="840"/>
      <c r="AC350" s="840"/>
      <c r="AD350" s="840"/>
      <c r="AE350" s="840"/>
      <c r="AF350" s="840"/>
      <c r="AG350" s="840"/>
      <c r="AH350" s="840"/>
      <c r="AI350" s="840"/>
      <c r="AJ350" s="840"/>
      <c r="AK350" s="840"/>
    </row>
    <row r="351" spans="1:37" s="960" customFormat="1" ht="48.75" customHeight="1">
      <c r="A351" s="832">
        <v>6</v>
      </c>
      <c r="B351" s="827" t="s">
        <v>958</v>
      </c>
      <c r="C351" s="832"/>
      <c r="D351" s="832"/>
      <c r="E351" s="898">
        <f>NC_DKDD!H780</f>
        <v>0</v>
      </c>
      <c r="F351" s="914"/>
      <c r="G351" s="391"/>
      <c r="H351" s="914"/>
      <c r="I351" s="914"/>
      <c r="J351" s="914"/>
      <c r="K351" s="914"/>
      <c r="L351" s="914"/>
      <c r="M351" s="914"/>
      <c r="N351" s="914"/>
      <c r="O351" s="914"/>
      <c r="P351" s="898">
        <f t="shared" si="53"/>
        <v>0</v>
      </c>
      <c r="Q351" s="839">
        <f t="shared" si="54"/>
        <v>0</v>
      </c>
      <c r="R351" s="839">
        <f t="shared" si="52"/>
        <v>0</v>
      </c>
      <c r="S351" s="1079">
        <f>NC_DKDD!G780</f>
        <v>0</v>
      </c>
      <c r="T351" s="946">
        <f>'[1]2,DG-capdoi'!N345</f>
        <v>0</v>
      </c>
      <c r="U351" s="946">
        <f t="shared" si="49"/>
        <v>0</v>
      </c>
      <c r="V351" s="840"/>
      <c r="W351" s="840"/>
      <c r="X351" s="840"/>
      <c r="Y351" s="840"/>
      <c r="Z351" s="840"/>
      <c r="AA351" s="840"/>
      <c r="AB351" s="840"/>
      <c r="AC351" s="840"/>
      <c r="AD351" s="840"/>
      <c r="AE351" s="840"/>
      <c r="AF351" s="840"/>
      <c r="AG351" s="840"/>
      <c r="AH351" s="840"/>
      <c r="AI351" s="840"/>
      <c r="AJ351" s="840"/>
      <c r="AK351" s="840"/>
    </row>
    <row r="352" spans="1:37" s="960" customFormat="1" ht="24.75" customHeight="1">
      <c r="A352" s="832" t="s">
        <v>444</v>
      </c>
      <c r="B352" s="827" t="s">
        <v>770</v>
      </c>
      <c r="C352" s="832" t="s">
        <v>281</v>
      </c>
      <c r="D352" s="901" t="s">
        <v>881</v>
      </c>
      <c r="E352" s="898" t="e">
        <f>NC_DKDD!H781</f>
        <v>#VALUE!</v>
      </c>
      <c r="F352" s="914"/>
      <c r="G352" s="391"/>
      <c r="H352" s="914"/>
      <c r="I352" s="914"/>
      <c r="J352" s="914"/>
      <c r="K352" s="914"/>
      <c r="L352" s="914"/>
      <c r="M352" s="914"/>
      <c r="N352" s="914"/>
      <c r="O352" s="914"/>
      <c r="P352" s="898">
        <f t="shared" si="53"/>
        <v>307.40384615384619</v>
      </c>
      <c r="Q352" s="839">
        <f t="shared" si="54"/>
        <v>267.30769230769232</v>
      </c>
      <c r="R352" s="839">
        <f t="shared" si="52"/>
        <v>40.096153846153847</v>
      </c>
      <c r="S352" s="1079">
        <f>NC_DKDD!G781</f>
        <v>0.05</v>
      </c>
      <c r="T352" s="946">
        <f>'[1]2,DG-capdoi'!N346</f>
        <v>0</v>
      </c>
      <c r="U352" s="946">
        <f t="shared" si="49"/>
        <v>0</v>
      </c>
      <c r="V352" s="840"/>
      <c r="W352" s="840"/>
      <c r="X352" s="840"/>
      <c r="Y352" s="840"/>
      <c r="Z352" s="840"/>
      <c r="AA352" s="840"/>
      <c r="AB352" s="840"/>
      <c r="AC352" s="840"/>
      <c r="AD352" s="840"/>
      <c r="AE352" s="840"/>
      <c r="AF352" s="840"/>
      <c r="AG352" s="840"/>
      <c r="AH352" s="840"/>
      <c r="AI352" s="840"/>
      <c r="AJ352" s="840"/>
      <c r="AK352" s="840"/>
    </row>
    <row r="353" spans="1:37" s="960" customFormat="1" ht="24.75" customHeight="1">
      <c r="A353" s="832" t="s">
        <v>445</v>
      </c>
      <c r="B353" s="827" t="s">
        <v>771</v>
      </c>
      <c r="C353" s="832" t="s">
        <v>281</v>
      </c>
      <c r="D353" s="901" t="s">
        <v>881</v>
      </c>
      <c r="E353" s="898" t="e">
        <f>NC_DKDD!H782</f>
        <v>#VALUE!</v>
      </c>
      <c r="F353" s="914"/>
      <c r="G353" s="391"/>
      <c r="H353" s="914"/>
      <c r="I353" s="914"/>
      <c r="J353" s="914"/>
      <c r="K353" s="914"/>
      <c r="L353" s="914"/>
      <c r="M353" s="914"/>
      <c r="N353" s="914"/>
      <c r="O353" s="914"/>
      <c r="P353" s="898">
        <f t="shared" si="53"/>
        <v>614.80769230769238</v>
      </c>
      <c r="Q353" s="839">
        <f t="shared" si="54"/>
        <v>534.61538461538464</v>
      </c>
      <c r="R353" s="839">
        <f t="shared" si="52"/>
        <v>80.192307692307693</v>
      </c>
      <c r="S353" s="1079">
        <f>NC_DKDD!G782</f>
        <v>0.1</v>
      </c>
      <c r="T353" s="946">
        <f>'[1]2,DG-capdoi'!N347</f>
        <v>0</v>
      </c>
      <c r="U353" s="946">
        <f t="shared" si="49"/>
        <v>0</v>
      </c>
      <c r="V353" s="840"/>
      <c r="W353" s="840"/>
      <c r="X353" s="840"/>
      <c r="Y353" s="840"/>
      <c r="Z353" s="840"/>
      <c r="AA353" s="840"/>
      <c r="AB353" s="840"/>
      <c r="AC353" s="840"/>
      <c r="AD353" s="840"/>
      <c r="AE353" s="840"/>
      <c r="AF353" s="840"/>
      <c r="AG353" s="840"/>
      <c r="AH353" s="840"/>
      <c r="AI353" s="840"/>
      <c r="AJ353" s="840"/>
      <c r="AK353" s="840"/>
    </row>
    <row r="354" spans="1:37" s="960" customFormat="1" ht="42.75" customHeight="1">
      <c r="A354" s="832">
        <v>7</v>
      </c>
      <c r="B354" s="827" t="s">
        <v>510</v>
      </c>
      <c r="C354" s="832" t="s">
        <v>523</v>
      </c>
      <c r="D354" s="901" t="s">
        <v>881</v>
      </c>
      <c r="E354" s="898" t="e">
        <f>NC_DKDD!H783</f>
        <v>#VALUE!</v>
      </c>
      <c r="F354" s="914"/>
      <c r="G354" s="391"/>
      <c r="H354" s="914"/>
      <c r="I354" s="914"/>
      <c r="J354" s="914"/>
      <c r="K354" s="914"/>
      <c r="L354" s="914"/>
      <c r="M354" s="914"/>
      <c r="N354" s="914"/>
      <c r="O354" s="914"/>
      <c r="P354" s="898">
        <f t="shared" si="53"/>
        <v>657.84423076923065</v>
      </c>
      <c r="Q354" s="839">
        <f t="shared" si="54"/>
        <v>572.03846153846143</v>
      </c>
      <c r="R354" s="839">
        <f t="shared" si="52"/>
        <v>85.805769230769229</v>
      </c>
      <c r="S354" s="1079">
        <f>NC_DKDD!G783</f>
        <v>0.107</v>
      </c>
      <c r="T354" s="946">
        <f>'[1]2,DG-capdoi'!N348</f>
        <v>0</v>
      </c>
      <c r="U354" s="946">
        <f t="shared" si="49"/>
        <v>0</v>
      </c>
      <c r="V354" s="840"/>
      <c r="W354" s="840"/>
      <c r="X354" s="840"/>
      <c r="Y354" s="840"/>
      <c r="Z354" s="840"/>
      <c r="AA354" s="840"/>
      <c r="AB354" s="840"/>
      <c r="AC354" s="840"/>
      <c r="AD354" s="840"/>
      <c r="AE354" s="840"/>
      <c r="AF354" s="840"/>
      <c r="AG354" s="840"/>
      <c r="AH354" s="840"/>
      <c r="AI354" s="840"/>
      <c r="AJ354" s="840"/>
      <c r="AK354" s="840"/>
    </row>
    <row r="355" spans="1:37" s="960" customFormat="1" ht="24.75" customHeight="1">
      <c r="A355" s="832">
        <v>8</v>
      </c>
      <c r="B355" s="827" t="s">
        <v>213</v>
      </c>
      <c r="C355" s="832"/>
      <c r="D355" s="832"/>
      <c r="E355" s="898">
        <f>NC_DKDD!H784</f>
        <v>0</v>
      </c>
      <c r="F355" s="914"/>
      <c r="G355" s="391"/>
      <c r="H355" s="914"/>
      <c r="I355" s="914"/>
      <c r="J355" s="914"/>
      <c r="K355" s="914"/>
      <c r="L355" s="914"/>
      <c r="M355" s="914"/>
      <c r="N355" s="914"/>
      <c r="O355" s="914"/>
      <c r="P355" s="898">
        <f t="shared" si="53"/>
        <v>0</v>
      </c>
      <c r="Q355" s="839">
        <f t="shared" si="54"/>
        <v>0</v>
      </c>
      <c r="R355" s="839">
        <f t="shared" si="52"/>
        <v>0</v>
      </c>
      <c r="S355" s="1079">
        <f>NC_DKDD!G784</f>
        <v>0</v>
      </c>
      <c r="T355" s="946">
        <f>'[1]2,DG-capdoi'!N349</f>
        <v>0</v>
      </c>
      <c r="U355" s="946">
        <f t="shared" si="49"/>
        <v>0</v>
      </c>
      <c r="V355" s="840"/>
      <c r="W355" s="840"/>
      <c r="X355" s="840"/>
      <c r="Y355" s="840"/>
      <c r="Z355" s="840"/>
      <c r="AA355" s="840"/>
      <c r="AB355" s="840"/>
      <c r="AC355" s="840"/>
      <c r="AD355" s="840"/>
      <c r="AE355" s="840"/>
      <c r="AF355" s="840"/>
      <c r="AG355" s="840"/>
      <c r="AH355" s="840"/>
      <c r="AI355" s="840"/>
      <c r="AJ355" s="840"/>
      <c r="AK355" s="840"/>
    </row>
    <row r="356" spans="1:37" s="960" customFormat="1" ht="27" customHeight="1">
      <c r="A356" s="832" t="s">
        <v>374</v>
      </c>
      <c r="B356" s="827" t="s">
        <v>215</v>
      </c>
      <c r="C356" s="832" t="s">
        <v>320</v>
      </c>
      <c r="D356" s="901" t="s">
        <v>881</v>
      </c>
      <c r="E356" s="898" t="e">
        <f>NC_DKDD!H785</f>
        <v>#VALUE!</v>
      </c>
      <c r="F356" s="914"/>
      <c r="G356" s="391"/>
      <c r="H356" s="914"/>
      <c r="I356" s="914"/>
      <c r="J356" s="914"/>
      <c r="K356" s="914"/>
      <c r="L356" s="914"/>
      <c r="M356" s="914"/>
      <c r="N356" s="914"/>
      <c r="O356" s="914"/>
      <c r="P356" s="898">
        <f t="shared" ref="P356:P371" si="55">Q356+R356</f>
        <v>614.80769230769238</v>
      </c>
      <c r="Q356" s="839">
        <f t="shared" ref="Q356:Q371" si="56">S356*Q$209</f>
        <v>534.61538461538464</v>
      </c>
      <c r="R356" s="839">
        <f t="shared" si="52"/>
        <v>80.192307692307693</v>
      </c>
      <c r="S356" s="1079">
        <f>NC_DKDD!G785</f>
        <v>0.1</v>
      </c>
      <c r="T356" s="946">
        <f>'[1]2,DG-capdoi'!N350</f>
        <v>0</v>
      </c>
      <c r="U356" s="946">
        <f t="shared" si="49"/>
        <v>0</v>
      </c>
      <c r="V356" s="840"/>
      <c r="W356" s="840"/>
      <c r="X356" s="840"/>
      <c r="Y356" s="840"/>
      <c r="Z356" s="840"/>
      <c r="AA356" s="840"/>
      <c r="AB356" s="840"/>
      <c r="AC356" s="840"/>
      <c r="AD356" s="840"/>
      <c r="AE356" s="840"/>
      <c r="AF356" s="840"/>
      <c r="AG356" s="840"/>
      <c r="AH356" s="840"/>
      <c r="AI356" s="840"/>
      <c r="AJ356" s="840"/>
      <c r="AK356" s="840"/>
    </row>
    <row r="357" spans="1:37" s="960" customFormat="1" ht="27" customHeight="1">
      <c r="A357" s="832" t="s">
        <v>375</v>
      </c>
      <c r="B357" s="827" t="s">
        <v>217</v>
      </c>
      <c r="C357" s="832" t="s">
        <v>320</v>
      </c>
      <c r="D357" s="901" t="s">
        <v>881</v>
      </c>
      <c r="E357" s="898" t="e">
        <f>NC_DKDD!H786</f>
        <v>#VALUE!</v>
      </c>
      <c r="F357" s="914"/>
      <c r="G357" s="391"/>
      <c r="H357" s="914"/>
      <c r="I357" s="914"/>
      <c r="J357" s="914"/>
      <c r="K357" s="914"/>
      <c r="L357" s="914"/>
      <c r="M357" s="914"/>
      <c r="N357" s="914"/>
      <c r="O357" s="914"/>
      <c r="P357" s="898">
        <f t="shared" si="55"/>
        <v>922.21153846153834</v>
      </c>
      <c r="Q357" s="839">
        <f t="shared" si="56"/>
        <v>801.92307692307679</v>
      </c>
      <c r="R357" s="839">
        <f t="shared" si="52"/>
        <v>120.28846153846153</v>
      </c>
      <c r="S357" s="1079">
        <f>NC_DKDD!G786</f>
        <v>0.15</v>
      </c>
      <c r="T357" s="946">
        <f>'[1]2,DG-capdoi'!N351</f>
        <v>0</v>
      </c>
      <c r="U357" s="946">
        <f t="shared" si="49"/>
        <v>0</v>
      </c>
      <c r="V357" s="840"/>
      <c r="W357" s="840"/>
      <c r="X357" s="840"/>
      <c r="Y357" s="840"/>
      <c r="Z357" s="840"/>
      <c r="AA357" s="840"/>
      <c r="AB357" s="840"/>
      <c r="AC357" s="840"/>
      <c r="AD357" s="840"/>
      <c r="AE357" s="840"/>
      <c r="AF357" s="840"/>
      <c r="AG357" s="840"/>
      <c r="AH357" s="840"/>
      <c r="AI357" s="840"/>
      <c r="AJ357" s="840"/>
      <c r="AK357" s="840"/>
    </row>
    <row r="358" spans="1:37" s="960" customFormat="1" ht="46.5" customHeight="1">
      <c r="A358" s="832">
        <v>9</v>
      </c>
      <c r="B358" s="827" t="s">
        <v>520</v>
      </c>
      <c r="C358" s="832" t="s">
        <v>281</v>
      </c>
      <c r="D358" s="901" t="s">
        <v>881</v>
      </c>
      <c r="E358" s="898" t="e">
        <f>NC_DKDD!H787</f>
        <v>#VALUE!</v>
      </c>
      <c r="F358" s="914"/>
      <c r="G358" s="391"/>
      <c r="H358" s="914"/>
      <c r="I358" s="914"/>
      <c r="J358" s="914"/>
      <c r="K358" s="914"/>
      <c r="L358" s="914"/>
      <c r="M358" s="914"/>
      <c r="N358" s="914"/>
      <c r="O358" s="914"/>
      <c r="P358" s="898">
        <f t="shared" si="55"/>
        <v>3074.0384615384614</v>
      </c>
      <c r="Q358" s="839">
        <f t="shared" si="56"/>
        <v>2673.0769230769229</v>
      </c>
      <c r="R358" s="839">
        <f t="shared" si="52"/>
        <v>400.96153846153845</v>
      </c>
      <c r="S358" s="1079">
        <f>NC_DKDD!G787</f>
        <v>0.5</v>
      </c>
      <c r="T358" s="946">
        <f>'[1]2,DG-capdoi'!N352</f>
        <v>0</v>
      </c>
      <c r="U358" s="946">
        <f t="shared" si="49"/>
        <v>0</v>
      </c>
      <c r="V358" s="840"/>
      <c r="W358" s="840"/>
      <c r="X358" s="840"/>
      <c r="Y358" s="840"/>
      <c r="Z358" s="840"/>
      <c r="AA358" s="840"/>
      <c r="AB358" s="840"/>
      <c r="AC358" s="840"/>
      <c r="AD358" s="840"/>
      <c r="AE358" s="840"/>
      <c r="AF358" s="840"/>
      <c r="AG358" s="840"/>
      <c r="AH358" s="840"/>
      <c r="AI358" s="840"/>
      <c r="AJ358" s="840"/>
      <c r="AK358" s="840"/>
    </row>
    <row r="359" spans="1:37" s="960" customFormat="1" ht="49.5" customHeight="1">
      <c r="A359" s="832">
        <v>10</v>
      </c>
      <c r="B359" s="827" t="s">
        <v>480</v>
      </c>
      <c r="C359" s="832" t="s">
        <v>281</v>
      </c>
      <c r="D359" s="901" t="s">
        <v>881</v>
      </c>
      <c r="E359" s="898" t="e">
        <f>NC_DKDD!H788</f>
        <v>#VALUE!</v>
      </c>
      <c r="F359" s="914"/>
      <c r="G359" s="391"/>
      <c r="H359" s="914"/>
      <c r="I359" s="914"/>
      <c r="J359" s="914"/>
      <c r="K359" s="914"/>
      <c r="L359" s="914"/>
      <c r="M359" s="914"/>
      <c r="N359" s="914"/>
      <c r="O359" s="914"/>
      <c r="P359" s="898">
        <f t="shared" si="55"/>
        <v>2889.5961538461534</v>
      </c>
      <c r="Q359" s="839">
        <f t="shared" si="56"/>
        <v>2512.6923076923072</v>
      </c>
      <c r="R359" s="839">
        <f t="shared" si="52"/>
        <v>376.90384615384613</v>
      </c>
      <c r="S359" s="1079">
        <f>NC_DKDD!G788</f>
        <v>0.47</v>
      </c>
      <c r="T359" s="946">
        <f>'[1]2,DG-capdoi'!N353</f>
        <v>0</v>
      </c>
      <c r="U359" s="946">
        <f t="shared" si="49"/>
        <v>0</v>
      </c>
      <c r="V359" s="840"/>
      <c r="W359" s="840"/>
      <c r="X359" s="840"/>
      <c r="Y359" s="840"/>
      <c r="Z359" s="840"/>
      <c r="AA359" s="840"/>
      <c r="AB359" s="840"/>
      <c r="AC359" s="840"/>
      <c r="AD359" s="840"/>
      <c r="AE359" s="840"/>
      <c r="AF359" s="840"/>
      <c r="AG359" s="840"/>
      <c r="AH359" s="840"/>
      <c r="AI359" s="840"/>
      <c r="AJ359" s="840"/>
      <c r="AK359" s="840"/>
    </row>
    <row r="360" spans="1:37" s="960" customFormat="1" ht="39" customHeight="1">
      <c r="A360" s="832">
        <v>11</v>
      </c>
      <c r="B360" s="827" t="s">
        <v>221</v>
      </c>
      <c r="C360" s="832"/>
      <c r="D360" s="832"/>
      <c r="E360" s="898">
        <f>NC_DKDD!H789</f>
        <v>0</v>
      </c>
      <c r="F360" s="914"/>
      <c r="G360" s="391"/>
      <c r="H360" s="914"/>
      <c r="I360" s="914"/>
      <c r="J360" s="914"/>
      <c r="K360" s="914"/>
      <c r="L360" s="914"/>
      <c r="M360" s="914"/>
      <c r="N360" s="914"/>
      <c r="O360" s="914"/>
      <c r="P360" s="898">
        <f t="shared" si="55"/>
        <v>0</v>
      </c>
      <c r="Q360" s="839">
        <f t="shared" si="56"/>
        <v>0</v>
      </c>
      <c r="R360" s="839">
        <f t="shared" si="52"/>
        <v>0</v>
      </c>
      <c r="S360" s="1079">
        <f>NC_DKDD!G789</f>
        <v>0</v>
      </c>
      <c r="T360" s="946">
        <f>'[1]2,DG-capdoi'!N354</f>
        <v>0</v>
      </c>
      <c r="U360" s="946">
        <f t="shared" si="49"/>
        <v>0</v>
      </c>
      <c r="V360" s="840"/>
      <c r="W360" s="840"/>
      <c r="X360" s="840"/>
      <c r="Y360" s="840"/>
      <c r="Z360" s="840"/>
      <c r="AA360" s="840"/>
      <c r="AB360" s="840"/>
      <c r="AC360" s="840"/>
      <c r="AD360" s="840"/>
      <c r="AE360" s="840"/>
      <c r="AF360" s="840"/>
      <c r="AG360" s="840"/>
      <c r="AH360" s="840"/>
      <c r="AI360" s="840"/>
      <c r="AJ360" s="840"/>
      <c r="AK360" s="840"/>
    </row>
    <row r="361" spans="1:37" s="960" customFormat="1" ht="28.5">
      <c r="A361" s="832" t="s">
        <v>877</v>
      </c>
      <c r="B361" s="827" t="s">
        <v>931</v>
      </c>
      <c r="C361" s="832"/>
      <c r="D361" s="832"/>
      <c r="E361" s="898">
        <f>NC_DKDD!H790</f>
        <v>0</v>
      </c>
      <c r="F361" s="914"/>
      <c r="G361" s="391"/>
      <c r="H361" s="914"/>
      <c r="I361" s="914"/>
      <c r="J361" s="914"/>
      <c r="K361" s="914"/>
      <c r="L361" s="914"/>
      <c r="M361" s="914"/>
      <c r="N361" s="914"/>
      <c r="O361" s="914"/>
      <c r="P361" s="898">
        <f t="shared" si="55"/>
        <v>0</v>
      </c>
      <c r="Q361" s="839">
        <f t="shared" si="56"/>
        <v>0</v>
      </c>
      <c r="R361" s="839">
        <f t="shared" si="52"/>
        <v>0</v>
      </c>
      <c r="S361" s="1079">
        <f>NC_DKDD!G790</f>
        <v>0</v>
      </c>
      <c r="T361" s="946">
        <f>'[1]2,DG-capdoi'!N355</f>
        <v>0</v>
      </c>
      <c r="U361" s="946">
        <f t="shared" si="49"/>
        <v>0</v>
      </c>
      <c r="V361" s="840"/>
      <c r="W361" s="840"/>
      <c r="X361" s="840"/>
      <c r="Y361" s="840"/>
      <c r="Z361" s="840"/>
      <c r="AA361" s="840"/>
      <c r="AB361" s="840"/>
      <c r="AC361" s="840"/>
      <c r="AD361" s="840"/>
      <c r="AE361" s="840"/>
      <c r="AF361" s="840"/>
      <c r="AG361" s="840"/>
      <c r="AH361" s="840"/>
      <c r="AI361" s="840"/>
      <c r="AJ361" s="840"/>
      <c r="AK361" s="840"/>
    </row>
    <row r="362" spans="1:37" s="960" customFormat="1" ht="25.5" customHeight="1">
      <c r="A362" s="832" t="s">
        <v>513</v>
      </c>
      <c r="B362" s="827" t="s">
        <v>933</v>
      </c>
      <c r="C362" s="832" t="s">
        <v>525</v>
      </c>
      <c r="D362" s="901" t="s">
        <v>881</v>
      </c>
      <c r="E362" s="898" t="e">
        <f>NC_DKDD!H791</f>
        <v>#VALUE!</v>
      </c>
      <c r="F362" s="914"/>
      <c r="G362" s="391"/>
      <c r="H362" s="914"/>
      <c r="I362" s="914"/>
      <c r="J362" s="914"/>
      <c r="K362" s="914"/>
      <c r="L362" s="914"/>
      <c r="M362" s="914"/>
      <c r="N362" s="914"/>
      <c r="O362" s="914"/>
      <c r="P362" s="898">
        <f t="shared" si="55"/>
        <v>98.369230769230768</v>
      </c>
      <c r="Q362" s="839">
        <f t="shared" si="56"/>
        <v>85.538461538461533</v>
      </c>
      <c r="R362" s="839">
        <f t="shared" si="52"/>
        <v>12.830769230769231</v>
      </c>
      <c r="S362" s="1079">
        <f>NC_DKDD!G791</f>
        <v>1.6E-2</v>
      </c>
      <c r="T362" s="946">
        <f>'[1]2,DG-capdoi'!N356</f>
        <v>0</v>
      </c>
      <c r="U362" s="946">
        <f t="shared" si="49"/>
        <v>0</v>
      </c>
      <c r="V362" s="840"/>
      <c r="W362" s="840"/>
      <c r="X362" s="840"/>
      <c r="Y362" s="840"/>
      <c r="Z362" s="840"/>
      <c r="AA362" s="840"/>
      <c r="AB362" s="840"/>
      <c r="AC362" s="840"/>
      <c r="AD362" s="840"/>
      <c r="AE362" s="840"/>
      <c r="AF362" s="840"/>
      <c r="AG362" s="840"/>
      <c r="AH362" s="840"/>
      <c r="AI362" s="840"/>
      <c r="AJ362" s="840"/>
      <c r="AK362" s="840"/>
    </row>
    <row r="363" spans="1:37" s="960" customFormat="1" ht="25.5" customHeight="1">
      <c r="A363" s="832" t="s">
        <v>514</v>
      </c>
      <c r="B363" s="827" t="s">
        <v>937</v>
      </c>
      <c r="C363" s="832" t="s">
        <v>525</v>
      </c>
      <c r="D363" s="901" t="s">
        <v>881</v>
      </c>
      <c r="E363" s="898" t="e">
        <f>NC_DKDD!H792</f>
        <v>#VALUE!</v>
      </c>
      <c r="F363" s="914"/>
      <c r="G363" s="391"/>
      <c r="H363" s="914"/>
      <c r="I363" s="914"/>
      <c r="J363" s="914"/>
      <c r="K363" s="914"/>
      <c r="L363" s="914"/>
      <c r="M363" s="914"/>
      <c r="N363" s="914"/>
      <c r="O363" s="914"/>
      <c r="P363" s="898">
        <f t="shared" si="55"/>
        <v>49.184615384615384</v>
      </c>
      <c r="Q363" s="839">
        <f t="shared" si="56"/>
        <v>42.769230769230766</v>
      </c>
      <c r="R363" s="839">
        <f t="shared" si="52"/>
        <v>6.4153846153846157</v>
      </c>
      <c r="S363" s="1079">
        <f>NC_DKDD!G792</f>
        <v>8.0000000000000002E-3</v>
      </c>
      <c r="T363" s="946">
        <f>'[1]2,DG-capdoi'!N357</f>
        <v>0</v>
      </c>
      <c r="U363" s="946">
        <f t="shared" si="49"/>
        <v>0</v>
      </c>
      <c r="V363" s="840"/>
      <c r="W363" s="840"/>
      <c r="X363" s="840"/>
      <c r="Y363" s="840"/>
      <c r="Z363" s="840"/>
      <c r="AA363" s="840"/>
      <c r="AB363" s="840"/>
      <c r="AC363" s="840"/>
      <c r="AD363" s="840"/>
      <c r="AE363" s="840"/>
      <c r="AF363" s="840"/>
      <c r="AG363" s="840"/>
      <c r="AH363" s="840"/>
      <c r="AI363" s="840"/>
      <c r="AJ363" s="840"/>
      <c r="AK363" s="840"/>
    </row>
    <row r="364" spans="1:37" s="960" customFormat="1" ht="33.75" customHeight="1">
      <c r="A364" s="832" t="s">
        <v>878</v>
      </c>
      <c r="B364" s="827" t="s">
        <v>48</v>
      </c>
      <c r="C364" s="832" t="s">
        <v>525</v>
      </c>
      <c r="D364" s="901" t="s">
        <v>881</v>
      </c>
      <c r="E364" s="898" t="e">
        <f>NC_DKDD!H793</f>
        <v>#VALUE!</v>
      </c>
      <c r="F364" s="914"/>
      <c r="G364" s="391"/>
      <c r="H364" s="914"/>
      <c r="I364" s="914"/>
      <c r="J364" s="914"/>
      <c r="K364" s="914"/>
      <c r="L364" s="914"/>
      <c r="M364" s="914"/>
      <c r="N364" s="914"/>
      <c r="O364" s="914"/>
      <c r="P364" s="898">
        <f t="shared" si="55"/>
        <v>24.592307692307692</v>
      </c>
      <c r="Q364" s="839">
        <f t="shared" si="56"/>
        <v>21.384615384615383</v>
      </c>
      <c r="R364" s="839">
        <f t="shared" si="52"/>
        <v>3.2076923076923078</v>
      </c>
      <c r="S364" s="1079">
        <f>NC_DKDD!G793</f>
        <v>4.0000000000000001E-3</v>
      </c>
      <c r="T364" s="946">
        <f>'[1]2,DG-capdoi'!N358</f>
        <v>0</v>
      </c>
      <c r="U364" s="946">
        <f t="shared" si="49"/>
        <v>0</v>
      </c>
      <c r="V364" s="840"/>
      <c r="W364" s="840"/>
      <c r="X364" s="840"/>
      <c r="Y364" s="840"/>
      <c r="Z364" s="840"/>
      <c r="AA364" s="840"/>
      <c r="AB364" s="840"/>
      <c r="AC364" s="840"/>
      <c r="AD364" s="840"/>
      <c r="AE364" s="840"/>
      <c r="AF364" s="840"/>
      <c r="AG364" s="840"/>
      <c r="AH364" s="840"/>
      <c r="AI364" s="840"/>
      <c r="AJ364" s="840"/>
      <c r="AK364" s="840"/>
    </row>
    <row r="365" spans="1:37" s="960" customFormat="1" ht="39.75" customHeight="1">
      <c r="A365" s="832" t="s">
        <v>879</v>
      </c>
      <c r="B365" s="827" t="s">
        <v>50</v>
      </c>
      <c r="C365" s="832" t="s">
        <v>523</v>
      </c>
      <c r="D365" s="901" t="s">
        <v>881</v>
      </c>
      <c r="E365" s="898" t="e">
        <f>NC_DKDD!H794</f>
        <v>#VALUE!</v>
      </c>
      <c r="F365" s="914"/>
      <c r="G365" s="391"/>
      <c r="H365" s="914"/>
      <c r="I365" s="914"/>
      <c r="J365" s="914"/>
      <c r="K365" s="914"/>
      <c r="L365" s="914"/>
      <c r="M365" s="914"/>
      <c r="N365" s="914"/>
      <c r="O365" s="914"/>
      <c r="P365" s="898">
        <f t="shared" si="55"/>
        <v>61.480769230769226</v>
      </c>
      <c r="Q365" s="839">
        <f t="shared" si="56"/>
        <v>53.46153846153846</v>
      </c>
      <c r="R365" s="839">
        <f t="shared" si="52"/>
        <v>8.0192307692307701</v>
      </c>
      <c r="S365" s="1079">
        <f>NC_DKDD!G794</f>
        <v>0.01</v>
      </c>
      <c r="T365" s="946">
        <f>'[1]2,DG-capdoi'!N359</f>
        <v>0</v>
      </c>
      <c r="U365" s="946">
        <f t="shared" si="49"/>
        <v>0</v>
      </c>
      <c r="V365" s="840"/>
      <c r="W365" s="840"/>
      <c r="X365" s="840"/>
      <c r="Y365" s="840"/>
      <c r="Z365" s="840"/>
      <c r="AA365" s="840"/>
      <c r="AB365" s="840"/>
      <c r="AC365" s="840"/>
      <c r="AD365" s="840"/>
      <c r="AE365" s="840"/>
      <c r="AF365" s="840"/>
      <c r="AG365" s="840"/>
      <c r="AH365" s="840"/>
      <c r="AI365" s="840"/>
      <c r="AJ365" s="840"/>
      <c r="AK365" s="840"/>
    </row>
    <row r="366" spans="1:37" s="960" customFormat="1" ht="59.25" customHeight="1">
      <c r="A366" s="832">
        <v>12</v>
      </c>
      <c r="B366" s="827" t="s">
        <v>235</v>
      </c>
      <c r="C366" s="832" t="s">
        <v>281</v>
      </c>
      <c r="D366" s="901" t="s">
        <v>881</v>
      </c>
      <c r="E366" s="898" t="e">
        <f>NC_DKDD!H795</f>
        <v>#VALUE!</v>
      </c>
      <c r="F366" s="914"/>
      <c r="G366" s="391"/>
      <c r="H366" s="914"/>
      <c r="I366" s="914"/>
      <c r="J366" s="914"/>
      <c r="K366" s="914"/>
      <c r="L366" s="914"/>
      <c r="M366" s="914"/>
      <c r="N366" s="914"/>
      <c r="O366" s="914"/>
      <c r="P366" s="898">
        <f t="shared" si="55"/>
        <v>307.40384615384619</v>
      </c>
      <c r="Q366" s="839">
        <f t="shared" si="56"/>
        <v>267.30769230769232</v>
      </c>
      <c r="R366" s="839">
        <f t="shared" si="52"/>
        <v>40.096153846153847</v>
      </c>
      <c r="S366" s="1079">
        <f>NC_DKDD!G795</f>
        <v>0.05</v>
      </c>
      <c r="T366" s="946">
        <f>'[1]2,DG-capdoi'!N360</f>
        <v>0</v>
      </c>
      <c r="U366" s="946">
        <f t="shared" si="49"/>
        <v>0</v>
      </c>
      <c r="V366" s="840"/>
      <c r="W366" s="840"/>
      <c r="X366" s="840"/>
      <c r="Y366" s="840"/>
      <c r="Z366" s="840"/>
      <c r="AA366" s="840"/>
      <c r="AB366" s="840"/>
      <c r="AC366" s="840"/>
      <c r="AD366" s="840"/>
      <c r="AE366" s="840"/>
      <c r="AF366" s="840"/>
      <c r="AG366" s="840"/>
      <c r="AH366" s="840"/>
      <c r="AI366" s="840"/>
      <c r="AJ366" s="840"/>
      <c r="AK366" s="840"/>
    </row>
    <row r="367" spans="1:37" s="960" customFormat="1" ht="36.75" customHeight="1">
      <c r="A367" s="832">
        <v>13</v>
      </c>
      <c r="B367" s="827" t="s">
        <v>236</v>
      </c>
      <c r="C367" s="832" t="s">
        <v>281</v>
      </c>
      <c r="D367" s="901" t="s">
        <v>881</v>
      </c>
      <c r="E367" s="898" t="e">
        <f>NC_DKDD!H796</f>
        <v>#VALUE!</v>
      </c>
      <c r="F367" s="914"/>
      <c r="G367" s="391"/>
      <c r="H367" s="914"/>
      <c r="I367" s="914"/>
      <c r="J367" s="914"/>
      <c r="K367" s="914"/>
      <c r="L367" s="914"/>
      <c r="M367" s="914"/>
      <c r="N367" s="914"/>
      <c r="O367" s="914"/>
      <c r="P367" s="898">
        <f t="shared" si="55"/>
        <v>307.40384615384619</v>
      </c>
      <c r="Q367" s="839">
        <f t="shared" si="56"/>
        <v>267.30769230769232</v>
      </c>
      <c r="R367" s="839">
        <f t="shared" si="52"/>
        <v>40.096153846153847</v>
      </c>
      <c r="S367" s="1079">
        <f>NC_DKDD!G796</f>
        <v>0.05</v>
      </c>
      <c r="T367" s="946">
        <f>'[1]2,DG-capdoi'!N361</f>
        <v>0</v>
      </c>
      <c r="U367" s="946">
        <f t="shared" si="49"/>
        <v>0</v>
      </c>
      <c r="V367" s="840"/>
      <c r="W367" s="840"/>
      <c r="X367" s="840"/>
      <c r="Y367" s="840"/>
      <c r="Z367" s="840"/>
      <c r="AA367" s="840"/>
      <c r="AB367" s="840"/>
      <c r="AC367" s="840"/>
      <c r="AD367" s="840"/>
      <c r="AE367" s="840"/>
      <c r="AF367" s="840"/>
      <c r="AG367" s="840"/>
      <c r="AH367" s="840"/>
      <c r="AI367" s="840"/>
      <c r="AJ367" s="840"/>
      <c r="AK367" s="840"/>
    </row>
    <row r="368" spans="1:37" s="960" customFormat="1" ht="24.75" customHeight="1">
      <c r="A368" s="869" t="s">
        <v>184</v>
      </c>
      <c r="B368" s="868" t="s">
        <v>765</v>
      </c>
      <c r="C368" s="832"/>
      <c r="D368" s="832"/>
      <c r="E368" s="919" t="e">
        <f>E369</f>
        <v>#VALUE!</v>
      </c>
      <c r="F368" s="914"/>
      <c r="G368" s="391"/>
      <c r="H368" s="914"/>
      <c r="I368" s="914"/>
      <c r="J368" s="914"/>
      <c r="K368" s="914"/>
      <c r="L368" s="893" t="e">
        <f>SUM(E368:K368)</f>
        <v>#VALUE!</v>
      </c>
      <c r="M368" s="893" t="e">
        <f>L368*'He so chung'!$D$17/100</f>
        <v>#VALUE!</v>
      </c>
      <c r="N368" s="893" t="e">
        <f>L368+M368</f>
        <v>#VALUE!</v>
      </c>
      <c r="O368" s="914"/>
      <c r="P368" s="919">
        <f>P369</f>
        <v>122.96153846153845</v>
      </c>
      <c r="Q368" s="839">
        <f t="shared" si="56"/>
        <v>0</v>
      </c>
      <c r="R368" s="839">
        <f t="shared" si="52"/>
        <v>0</v>
      </c>
      <c r="S368" s="1079">
        <f>NC_DKDD!G797</f>
        <v>0</v>
      </c>
      <c r="T368" s="946">
        <f>'[1]2,DG-capdoi'!N362</f>
        <v>4103.7798653846148</v>
      </c>
      <c r="U368" s="946" t="e">
        <f t="shared" si="49"/>
        <v>#VALUE!</v>
      </c>
      <c r="V368" s="840"/>
      <c r="W368" s="840"/>
      <c r="X368" s="840"/>
      <c r="Y368" s="840"/>
      <c r="Z368" s="840"/>
      <c r="AA368" s="840"/>
      <c r="AB368" s="840"/>
      <c r="AC368" s="840"/>
      <c r="AD368" s="840"/>
      <c r="AE368" s="840"/>
      <c r="AF368" s="840"/>
      <c r="AG368" s="840"/>
      <c r="AH368" s="840"/>
      <c r="AI368" s="840"/>
      <c r="AJ368" s="840"/>
      <c r="AK368" s="840"/>
    </row>
    <row r="369" spans="1:37" s="960" customFormat="1" ht="40.5" customHeight="1">
      <c r="A369" s="832">
        <v>1</v>
      </c>
      <c r="B369" s="827" t="s">
        <v>809</v>
      </c>
      <c r="C369" s="832" t="s">
        <v>281</v>
      </c>
      <c r="D369" s="901" t="s">
        <v>881</v>
      </c>
      <c r="E369" s="898" t="e">
        <f>NC_DKDD!H798</f>
        <v>#VALUE!</v>
      </c>
      <c r="F369" s="914"/>
      <c r="G369" s="391"/>
      <c r="H369" s="914"/>
      <c r="I369" s="914"/>
      <c r="J369" s="914"/>
      <c r="K369" s="914"/>
      <c r="L369" s="914"/>
      <c r="M369" s="914"/>
      <c r="N369" s="914"/>
      <c r="O369" s="914"/>
      <c r="P369" s="898">
        <f t="shared" si="55"/>
        <v>122.96153846153845</v>
      </c>
      <c r="Q369" s="839">
        <f t="shared" si="56"/>
        <v>106.92307692307692</v>
      </c>
      <c r="R369" s="839">
        <f t="shared" si="52"/>
        <v>16.03846153846154</v>
      </c>
      <c r="S369" s="1079">
        <f>NC_DKDD!G798</f>
        <v>0.02</v>
      </c>
      <c r="T369" s="946">
        <f>'[1]2,DG-capdoi'!N363</f>
        <v>0</v>
      </c>
      <c r="U369" s="946">
        <f t="shared" si="49"/>
        <v>0</v>
      </c>
      <c r="V369" s="840"/>
      <c r="W369" s="840"/>
      <c r="X369" s="840"/>
      <c r="Y369" s="840"/>
      <c r="Z369" s="840"/>
      <c r="AA369" s="840"/>
      <c r="AB369" s="840"/>
      <c r="AC369" s="840"/>
      <c r="AD369" s="840"/>
      <c r="AE369" s="840"/>
      <c r="AF369" s="840"/>
      <c r="AG369" s="840"/>
      <c r="AH369" s="840"/>
      <c r="AI369" s="840"/>
      <c r="AJ369" s="840"/>
      <c r="AK369" s="840"/>
    </row>
    <row r="370" spans="1:37" s="960" customFormat="1" ht="24" customHeight="1">
      <c r="A370" s="869" t="s">
        <v>913</v>
      </c>
      <c r="B370" s="868" t="s">
        <v>606</v>
      </c>
      <c r="C370" s="832"/>
      <c r="D370" s="1080"/>
      <c r="E370" s="919" t="e">
        <f>E371</f>
        <v>#VALUE!</v>
      </c>
      <c r="F370" s="914"/>
      <c r="G370" s="391"/>
      <c r="H370" s="1081">
        <f>'Dcu-DKDD'!$H$280</f>
        <v>93.74171153846153</v>
      </c>
      <c r="I370" s="914">
        <f>'VL-DKDD'!$F$283</f>
        <v>885.6</v>
      </c>
      <c r="J370" s="914"/>
      <c r="K370" s="914"/>
      <c r="L370" s="893" t="e">
        <f>SUM(E370:K370)</f>
        <v>#VALUE!</v>
      </c>
      <c r="M370" s="893" t="e">
        <f>L370*'He so chung'!$D$17/100</f>
        <v>#VALUE!</v>
      </c>
      <c r="N370" s="893" t="e">
        <f>L370+M370</f>
        <v>#VALUE!</v>
      </c>
      <c r="O370" s="914"/>
      <c r="P370" s="919">
        <f>P371</f>
        <v>122.96153846153845</v>
      </c>
      <c r="Q370" s="839">
        <f t="shared" si="56"/>
        <v>0</v>
      </c>
      <c r="R370" s="839">
        <f t="shared" si="52"/>
        <v>0</v>
      </c>
      <c r="S370" s="1079">
        <f>NC_DKDD!G799</f>
        <v>0</v>
      </c>
      <c r="T370" s="946">
        <f>'[1]2,DG-capdoi'!N364</f>
        <v>5230.0228336538457</v>
      </c>
      <c r="U370" s="946" t="e">
        <f t="shared" si="49"/>
        <v>#VALUE!</v>
      </c>
      <c r="V370" s="840"/>
      <c r="W370" s="840"/>
      <c r="X370" s="840"/>
      <c r="Y370" s="840"/>
      <c r="Z370" s="840"/>
      <c r="AA370" s="840"/>
      <c r="AB370" s="840"/>
      <c r="AC370" s="840"/>
      <c r="AD370" s="840"/>
      <c r="AE370" s="840"/>
      <c r="AF370" s="840"/>
      <c r="AG370" s="840"/>
      <c r="AH370" s="840"/>
      <c r="AI370" s="840"/>
      <c r="AJ370" s="840"/>
      <c r="AK370" s="840"/>
    </row>
    <row r="371" spans="1:37" s="960" customFormat="1" ht="31.5" customHeight="1">
      <c r="A371" s="832">
        <v>1</v>
      </c>
      <c r="B371" s="827" t="s">
        <v>810</v>
      </c>
      <c r="C371" s="832" t="s">
        <v>281</v>
      </c>
      <c r="D371" s="901" t="s">
        <v>881</v>
      </c>
      <c r="E371" s="898" t="e">
        <f>NC_DKDD!H800</f>
        <v>#VALUE!</v>
      </c>
      <c r="F371" s="914"/>
      <c r="G371" s="391"/>
      <c r="H371" s="914"/>
      <c r="I371" s="914"/>
      <c r="J371" s="914"/>
      <c r="K371" s="914"/>
      <c r="L371" s="914"/>
      <c r="M371" s="914"/>
      <c r="N371" s="914"/>
      <c r="O371" s="914"/>
      <c r="P371" s="898">
        <f t="shared" si="55"/>
        <v>122.96153846153845</v>
      </c>
      <c r="Q371" s="839">
        <f t="shared" si="56"/>
        <v>106.92307692307692</v>
      </c>
      <c r="R371" s="839">
        <f t="shared" si="52"/>
        <v>16.03846153846154</v>
      </c>
      <c r="S371" s="1079">
        <f>NC_DKDD!G800</f>
        <v>0.02</v>
      </c>
      <c r="T371" s="946">
        <f>'[1]2,DG-capdoi'!N365</f>
        <v>0</v>
      </c>
      <c r="U371" s="946">
        <f t="shared" si="49"/>
        <v>0</v>
      </c>
      <c r="V371" s="840"/>
      <c r="W371" s="840"/>
      <c r="X371" s="840"/>
      <c r="Y371" s="840"/>
      <c r="Z371" s="840"/>
      <c r="AA371" s="840"/>
      <c r="AB371" s="840"/>
      <c r="AC371" s="840"/>
      <c r="AD371" s="840"/>
      <c r="AE371" s="840"/>
      <c r="AF371" s="840"/>
      <c r="AG371" s="840"/>
      <c r="AH371" s="840"/>
      <c r="AI371" s="840"/>
      <c r="AJ371" s="840"/>
      <c r="AK371" s="840"/>
    </row>
    <row r="372" spans="1:37" s="917" customFormat="1" ht="21.75" customHeight="1">
      <c r="A372" s="1082"/>
      <c r="B372" s="1129" t="s">
        <v>20</v>
      </c>
      <c r="C372" s="1129"/>
      <c r="D372" s="1129"/>
      <c r="E372" s="1129"/>
      <c r="F372" s="1129"/>
      <c r="G372" s="1129"/>
      <c r="H372" s="1129"/>
      <c r="I372" s="1129"/>
      <c r="J372" s="1129"/>
      <c r="K372" s="1129"/>
      <c r="L372" s="1129"/>
      <c r="M372" s="1129"/>
      <c r="N372" s="1129"/>
      <c r="O372" s="1129"/>
      <c r="P372" s="1129"/>
      <c r="Q372" s="367"/>
      <c r="R372" s="367"/>
      <c r="S372" s="1017"/>
      <c r="T372" s="946">
        <f>'[1]2,DG-capdoi'!N366</f>
        <v>0</v>
      </c>
      <c r="U372" s="946">
        <f t="shared" si="49"/>
        <v>0</v>
      </c>
      <c r="V372" s="367"/>
      <c r="W372" s="367"/>
      <c r="X372" s="367"/>
      <c r="Y372" s="367"/>
      <c r="Z372" s="367"/>
      <c r="AA372" s="367"/>
      <c r="AB372" s="367"/>
      <c r="AC372" s="367"/>
      <c r="AD372" s="367"/>
      <c r="AE372" s="367"/>
      <c r="AF372" s="367"/>
      <c r="AG372" s="367"/>
      <c r="AH372" s="367"/>
      <c r="AI372" s="367"/>
      <c r="AJ372" s="367"/>
      <c r="AK372" s="367"/>
    </row>
    <row r="373" spans="1:37" s="917" customFormat="1" ht="21.75" customHeight="1">
      <c r="A373" s="1082"/>
      <c r="B373" s="1129" t="s">
        <v>262</v>
      </c>
      <c r="C373" s="1129"/>
      <c r="D373" s="1129"/>
      <c r="E373" s="1129"/>
      <c r="F373" s="1129"/>
      <c r="G373" s="1129"/>
      <c r="H373" s="1129"/>
      <c r="I373" s="1129"/>
      <c r="J373" s="1129"/>
      <c r="K373" s="1129"/>
      <c r="L373" s="1129"/>
      <c r="M373" s="1129"/>
      <c r="N373" s="1129"/>
      <c r="O373" s="1129"/>
      <c r="P373" s="1129"/>
      <c r="Q373" s="367"/>
      <c r="R373" s="367"/>
      <c r="S373" s="1017"/>
      <c r="T373" s="946">
        <f>'[1]2,DG-capdoi'!N367</f>
        <v>0</v>
      </c>
      <c r="U373" s="946">
        <f t="shared" si="49"/>
        <v>0</v>
      </c>
      <c r="V373" s="367"/>
      <c r="W373" s="367"/>
      <c r="X373" s="367"/>
      <c r="Y373" s="367"/>
      <c r="Z373" s="367"/>
      <c r="AA373" s="367"/>
      <c r="AB373" s="367"/>
      <c r="AC373" s="367"/>
      <c r="AD373" s="367"/>
      <c r="AE373" s="367"/>
      <c r="AF373" s="367"/>
      <c r="AG373" s="367"/>
      <c r="AH373" s="367"/>
      <c r="AI373" s="367"/>
      <c r="AJ373" s="367"/>
      <c r="AK373" s="367"/>
    </row>
    <row r="374" spans="1:37" s="917" customFormat="1" ht="14.25">
      <c r="A374" s="1082"/>
      <c r="B374" s="1083"/>
      <c r="C374" s="1084"/>
      <c r="D374" s="361"/>
      <c r="E374" s="1060"/>
      <c r="F374" s="1060"/>
      <c r="G374" s="1085"/>
      <c r="H374" s="1060"/>
      <c r="I374" s="1060"/>
      <c r="J374" s="1060"/>
      <c r="K374" s="1060"/>
      <c r="L374" s="1060"/>
      <c r="M374" s="1060"/>
      <c r="N374" s="1060"/>
      <c r="O374" s="1060"/>
      <c r="P374" s="1060"/>
      <c r="Q374" s="367"/>
      <c r="R374" s="367"/>
      <c r="S374" s="1017"/>
      <c r="T374" s="946">
        <f>'[1]2,DG-capdoi'!N368</f>
        <v>0</v>
      </c>
      <c r="U374" s="946">
        <f t="shared" si="49"/>
        <v>0</v>
      </c>
      <c r="V374" s="367"/>
      <c r="W374" s="367"/>
      <c r="X374" s="367"/>
      <c r="Y374" s="367"/>
      <c r="Z374" s="367"/>
      <c r="AA374" s="367"/>
      <c r="AB374" s="367"/>
      <c r="AC374" s="367"/>
      <c r="AD374" s="367"/>
      <c r="AE374" s="367"/>
      <c r="AF374" s="367"/>
      <c r="AG374" s="367"/>
      <c r="AH374" s="367"/>
      <c r="AI374" s="367"/>
      <c r="AJ374" s="367"/>
      <c r="AK374" s="367"/>
    </row>
    <row r="375" spans="1:37" ht="23.25" customHeight="1">
      <c r="A375" s="1114" t="s">
        <v>841</v>
      </c>
      <c r="B375" s="1114"/>
      <c r="C375" s="1114"/>
      <c r="D375" s="1114"/>
      <c r="E375" s="1114"/>
      <c r="F375" s="1114"/>
      <c r="G375" s="1114"/>
      <c r="H375" s="1114"/>
      <c r="I375" s="1114"/>
      <c r="J375" s="1114"/>
      <c r="K375" s="1114"/>
      <c r="L375" s="1114"/>
      <c r="M375" s="1114"/>
      <c r="N375" s="1114"/>
      <c r="O375" s="1114"/>
      <c r="P375" s="1114"/>
      <c r="S375" s="996"/>
      <c r="T375" s="979">
        <f>'[1]2,DG-capdoi'!N369</f>
        <v>0</v>
      </c>
      <c r="U375" s="979">
        <f t="shared" si="49"/>
        <v>0</v>
      </c>
    </row>
    <row r="376" spans="1:37" ht="18.75" customHeight="1">
      <c r="A376" s="1113" t="s">
        <v>960</v>
      </c>
      <c r="B376" s="1113"/>
      <c r="C376" s="1113"/>
      <c r="D376" s="1113"/>
      <c r="E376" s="1113"/>
      <c r="F376" s="1113"/>
      <c r="G376" s="1113"/>
      <c r="H376" s="1113"/>
      <c r="I376" s="1113"/>
      <c r="J376" s="1113"/>
      <c r="K376" s="1113"/>
      <c r="L376" s="1113"/>
      <c r="M376" s="1113"/>
      <c r="N376" s="1113"/>
      <c r="O376" s="1113"/>
      <c r="P376" s="1113"/>
      <c r="S376" s="996"/>
      <c r="T376" s="979"/>
      <c r="U376" s="979"/>
    </row>
    <row r="377" spans="1:37" ht="21" customHeight="1">
      <c r="A377" s="984"/>
      <c r="B377" s="985"/>
      <c r="C377" s="986"/>
      <c r="D377" s="987" t="s">
        <v>576</v>
      </c>
      <c r="F377" s="988"/>
      <c r="G377" s="989"/>
      <c r="H377" s="988"/>
      <c r="I377" s="990"/>
      <c r="J377" s="988"/>
      <c r="K377" s="988"/>
      <c r="L377" s="991" t="s">
        <v>980</v>
      </c>
      <c r="M377" s="988"/>
      <c r="N377" s="990"/>
      <c r="O377" s="990"/>
      <c r="S377" s="996"/>
      <c r="T377" s="979">
        <f>'[1]2,DG-capdoi'!N370</f>
        <v>0</v>
      </c>
      <c r="U377" s="979">
        <f t="shared" si="49"/>
        <v>0</v>
      </c>
    </row>
    <row r="378" spans="1:37" s="1004" customFormat="1" ht="27.75" customHeight="1">
      <c r="A378" s="1115" t="s">
        <v>876</v>
      </c>
      <c r="B378" s="1115" t="s">
        <v>381</v>
      </c>
      <c r="C378" s="1111" t="s">
        <v>981</v>
      </c>
      <c r="D378" s="1111" t="s">
        <v>982</v>
      </c>
      <c r="E378" s="1111" t="s">
        <v>466</v>
      </c>
      <c r="F378" s="1111"/>
      <c r="G378" s="1111"/>
      <c r="H378" s="1111"/>
      <c r="I378" s="1111"/>
      <c r="J378" s="1111"/>
      <c r="K378" s="1111"/>
      <c r="L378" s="1111"/>
      <c r="M378" s="1111" t="s">
        <v>581</v>
      </c>
      <c r="N378" s="1111" t="s">
        <v>467</v>
      </c>
      <c r="O378" s="1111" t="s">
        <v>657</v>
      </c>
      <c r="P378" s="1111" t="s">
        <v>468</v>
      </c>
      <c r="Q378" s="976"/>
      <c r="R378" s="976"/>
      <c r="S378" s="998"/>
      <c r="T378" s="979" t="str">
        <f>'[1]2,DG-capdoi'!N371</f>
        <v>Đơn giá       sản phẩm</v>
      </c>
      <c r="U378" s="979"/>
      <c r="V378" s="977"/>
      <c r="W378" s="977"/>
      <c r="X378" s="977"/>
      <c r="Y378" s="977"/>
      <c r="Z378" s="977"/>
      <c r="AA378" s="977"/>
      <c r="AB378" s="977"/>
      <c r="AC378" s="977"/>
      <c r="AD378" s="977"/>
      <c r="AE378" s="977"/>
      <c r="AF378" s="977"/>
      <c r="AG378" s="977"/>
      <c r="AH378" s="977"/>
      <c r="AI378" s="977"/>
      <c r="AJ378" s="977"/>
      <c r="AK378" s="977"/>
    </row>
    <row r="379" spans="1:37" s="1004" customFormat="1" ht="31.5" customHeight="1">
      <c r="A379" s="1115"/>
      <c r="B379" s="1115"/>
      <c r="C379" s="1111"/>
      <c r="D379" s="1111"/>
      <c r="E379" s="825" t="s">
        <v>469</v>
      </c>
      <c r="F379" s="825" t="s">
        <v>470</v>
      </c>
      <c r="G379" s="852" t="s">
        <v>1003</v>
      </c>
      <c r="H379" s="825" t="s">
        <v>59</v>
      </c>
      <c r="I379" s="825" t="s">
        <v>471</v>
      </c>
      <c r="J379" s="825" t="s">
        <v>280</v>
      </c>
      <c r="K379" s="825" t="s">
        <v>472</v>
      </c>
      <c r="L379" s="825" t="s">
        <v>473</v>
      </c>
      <c r="M379" s="1111"/>
      <c r="N379" s="1111"/>
      <c r="O379" s="1111"/>
      <c r="P379" s="1111"/>
      <c r="Q379" s="976"/>
      <c r="R379" s="976"/>
      <c r="S379" s="998"/>
      <c r="T379" s="979">
        <f>'[1]2,DG-capdoi'!N372</f>
        <v>0</v>
      </c>
      <c r="U379" s="979">
        <f t="shared" si="49"/>
        <v>0</v>
      </c>
      <c r="V379" s="977"/>
      <c r="W379" s="977"/>
      <c r="X379" s="977"/>
      <c r="Y379" s="977"/>
      <c r="Z379" s="977"/>
      <c r="AA379" s="977"/>
      <c r="AB379" s="977"/>
      <c r="AC379" s="977"/>
      <c r="AD379" s="977"/>
      <c r="AE379" s="977"/>
      <c r="AF379" s="977"/>
      <c r="AG379" s="977"/>
      <c r="AH379" s="977"/>
      <c r="AI379" s="977"/>
      <c r="AJ379" s="977"/>
      <c r="AK379" s="977"/>
    </row>
    <row r="380" spans="1:37" s="960" customFormat="1" ht="34.5" customHeight="1">
      <c r="A380" s="831"/>
      <c r="B380" s="830" t="s">
        <v>254</v>
      </c>
      <c r="C380" s="382"/>
      <c r="D380" s="382"/>
      <c r="E380" s="382"/>
      <c r="F380" s="382"/>
      <c r="G380" s="837"/>
      <c r="H380" s="382"/>
      <c r="I380" s="382"/>
      <c r="J380" s="382"/>
      <c r="K380" s="382"/>
      <c r="L380" s="382"/>
      <c r="M380" s="382"/>
      <c r="N380" s="382"/>
      <c r="O380" s="382"/>
      <c r="P380" s="382"/>
      <c r="Q380" s="839"/>
      <c r="R380" s="839"/>
      <c r="S380" s="1022"/>
      <c r="T380" s="946">
        <f>'[1]2,DG-capdoi'!N373</f>
        <v>0</v>
      </c>
      <c r="U380" s="946">
        <f t="shared" si="49"/>
        <v>0</v>
      </c>
      <c r="V380" s="840"/>
      <c r="W380" s="840"/>
      <c r="X380" s="840"/>
      <c r="Y380" s="840"/>
      <c r="Z380" s="840"/>
      <c r="AA380" s="840"/>
      <c r="AB380" s="840"/>
      <c r="AC380" s="840"/>
      <c r="AD380" s="840"/>
      <c r="AE380" s="840"/>
      <c r="AF380" s="840"/>
      <c r="AG380" s="840"/>
      <c r="AH380" s="840"/>
      <c r="AI380" s="840"/>
      <c r="AJ380" s="840"/>
      <c r="AK380" s="840"/>
    </row>
    <row r="381" spans="1:37" s="960" customFormat="1" ht="31.5" customHeight="1">
      <c r="A381" s="831"/>
      <c r="B381" s="868" t="s">
        <v>451</v>
      </c>
      <c r="C381" s="382" t="s">
        <v>281</v>
      </c>
      <c r="D381" s="831" t="s">
        <v>881</v>
      </c>
      <c r="E381" s="383" t="e">
        <f>E385+E412+E414</f>
        <v>#VALUE!</v>
      </c>
      <c r="F381" s="383">
        <f t="shared" ref="F381:N381" si="57">F385+F412+F414</f>
        <v>0</v>
      </c>
      <c r="G381" s="383">
        <f t="shared" si="57"/>
        <v>0</v>
      </c>
      <c r="H381" s="383">
        <f t="shared" si="57"/>
        <v>10556.157858974357</v>
      </c>
      <c r="I381" s="383">
        <f t="shared" si="57"/>
        <v>24167.16</v>
      </c>
      <c r="J381" s="383">
        <f t="shared" si="57"/>
        <v>9815.5200000000023</v>
      </c>
      <c r="K381" s="383">
        <f t="shared" si="57"/>
        <v>19428.108</v>
      </c>
      <c r="L381" s="383" t="e">
        <f t="shared" si="57"/>
        <v>#VALUE!</v>
      </c>
      <c r="M381" s="383" t="e">
        <f t="shared" si="57"/>
        <v>#VALUE!</v>
      </c>
      <c r="N381" s="383" t="e">
        <f t="shared" si="57"/>
        <v>#VALUE!</v>
      </c>
      <c r="O381" s="383"/>
      <c r="P381" s="383">
        <f>P385+P412+P414</f>
        <v>17030.173076923078</v>
      </c>
      <c r="Q381" s="839"/>
      <c r="R381" s="839"/>
      <c r="S381" s="1022"/>
      <c r="T381" s="946">
        <f>'[1]2,DG-capdoi'!N374</f>
        <v>717205.18754358962</v>
      </c>
      <c r="U381" s="946" t="e">
        <f t="shared" si="49"/>
        <v>#VALUE!</v>
      </c>
      <c r="V381" s="840"/>
      <c r="W381" s="840"/>
      <c r="X381" s="840"/>
      <c r="Y381" s="840"/>
      <c r="Z381" s="840"/>
      <c r="AA381" s="840"/>
      <c r="AB381" s="840"/>
      <c r="AC381" s="840"/>
      <c r="AD381" s="840"/>
      <c r="AE381" s="840"/>
      <c r="AF381" s="840"/>
      <c r="AG381" s="840"/>
      <c r="AH381" s="840"/>
      <c r="AI381" s="840"/>
      <c r="AJ381" s="840"/>
      <c r="AK381" s="840"/>
    </row>
    <row r="382" spans="1:37" s="960" customFormat="1" ht="30.75" customHeight="1">
      <c r="A382" s="831"/>
      <c r="B382" s="868" t="s">
        <v>452</v>
      </c>
      <c r="C382" s="382" t="s">
        <v>281</v>
      </c>
      <c r="D382" s="831" t="s">
        <v>881</v>
      </c>
      <c r="E382" s="383" t="e">
        <f>E386+E412+E414</f>
        <v>#VALUE!</v>
      </c>
      <c r="F382" s="383">
        <f t="shared" ref="F382:P382" si="58">F386+F412+F414</f>
        <v>0</v>
      </c>
      <c r="G382" s="383">
        <f t="shared" si="58"/>
        <v>0</v>
      </c>
      <c r="H382" s="383">
        <f t="shared" si="58"/>
        <v>10556.157858974357</v>
      </c>
      <c r="I382" s="383">
        <f t="shared" si="58"/>
        <v>24167.16</v>
      </c>
      <c r="J382" s="383">
        <f t="shared" si="58"/>
        <v>9815.5200000000023</v>
      </c>
      <c r="K382" s="383">
        <f t="shared" si="58"/>
        <v>19428.108</v>
      </c>
      <c r="L382" s="383" t="e">
        <f t="shared" si="58"/>
        <v>#VALUE!</v>
      </c>
      <c r="M382" s="383" t="e">
        <f t="shared" si="58"/>
        <v>#VALUE!</v>
      </c>
      <c r="N382" s="383" t="e">
        <f t="shared" si="58"/>
        <v>#VALUE!</v>
      </c>
      <c r="O382" s="383"/>
      <c r="P382" s="383">
        <f t="shared" si="58"/>
        <v>16722.76923076923</v>
      </c>
      <c r="Q382" s="839"/>
      <c r="R382" s="839"/>
      <c r="S382" s="1022"/>
      <c r="T382" s="946">
        <f>'[1]2,DG-capdoi'!N375</f>
        <v>706945.73788012809</v>
      </c>
      <c r="U382" s="946" t="e">
        <f t="shared" si="49"/>
        <v>#VALUE!</v>
      </c>
      <c r="V382" s="840"/>
      <c r="W382" s="840"/>
      <c r="X382" s="840"/>
      <c r="Y382" s="840"/>
      <c r="Z382" s="840"/>
      <c r="AA382" s="840"/>
      <c r="AB382" s="840"/>
      <c r="AC382" s="840"/>
      <c r="AD382" s="840"/>
      <c r="AE382" s="840"/>
      <c r="AF382" s="840"/>
      <c r="AG382" s="840"/>
      <c r="AH382" s="840"/>
      <c r="AI382" s="840"/>
      <c r="AJ382" s="840"/>
      <c r="AK382" s="840"/>
    </row>
    <row r="383" spans="1:37" s="960" customFormat="1" ht="21" customHeight="1">
      <c r="A383" s="831"/>
      <c r="B383" s="868"/>
      <c r="C383" s="868"/>
      <c r="D383" s="868"/>
      <c r="E383" s="383"/>
      <c r="F383" s="383"/>
      <c r="G383" s="383"/>
      <c r="H383" s="383"/>
      <c r="I383" s="383"/>
      <c r="J383" s="383"/>
      <c r="K383" s="383"/>
      <c r="L383" s="383"/>
      <c r="M383" s="383"/>
      <c r="N383" s="383"/>
      <c r="O383" s="383"/>
      <c r="P383" s="383"/>
      <c r="Q383" s="839"/>
      <c r="R383" s="839"/>
      <c r="S383" s="1022"/>
      <c r="T383" s="946">
        <f>'[1]2,DG-capdoi'!N376</f>
        <v>0</v>
      </c>
      <c r="U383" s="946">
        <f t="shared" si="49"/>
        <v>0</v>
      </c>
      <c r="V383" s="840"/>
      <c r="W383" s="840"/>
      <c r="X383" s="840"/>
      <c r="Y383" s="840"/>
      <c r="Z383" s="840"/>
      <c r="AA383" s="840"/>
      <c r="AB383" s="840"/>
      <c r="AC383" s="840"/>
      <c r="AD383" s="840"/>
      <c r="AE383" s="840"/>
      <c r="AF383" s="840"/>
      <c r="AG383" s="840"/>
      <c r="AH383" s="840"/>
      <c r="AI383" s="840"/>
      <c r="AJ383" s="840"/>
      <c r="AK383" s="840"/>
    </row>
    <row r="384" spans="1:37" s="960" customFormat="1" ht="25.5" customHeight="1">
      <c r="A384" s="831" t="s">
        <v>179</v>
      </c>
      <c r="B384" s="888" t="s">
        <v>1057</v>
      </c>
      <c r="C384" s="868"/>
      <c r="D384" s="868"/>
      <c r="E384" s="382"/>
      <c r="F384" s="382"/>
      <c r="G384" s="837"/>
      <c r="H384" s="382"/>
      <c r="I384" s="382"/>
      <c r="J384" s="382"/>
      <c r="K384" s="382"/>
      <c r="L384" s="382"/>
      <c r="M384" s="382"/>
      <c r="N384" s="382"/>
      <c r="O384" s="382"/>
      <c r="P384" s="382"/>
      <c r="Q384" s="849">
        <f>'He so chung'!D$22</f>
        <v>5346.1538461538457</v>
      </c>
      <c r="R384" s="849">
        <f>'He so chung'!D$23</f>
        <v>801.92307692307691</v>
      </c>
      <c r="S384" s="1023"/>
      <c r="T384" s="946">
        <f>'[1]2,DG-capdoi'!N377</f>
        <v>0</v>
      </c>
      <c r="U384" s="946">
        <f t="shared" si="49"/>
        <v>0</v>
      </c>
      <c r="V384" s="840"/>
      <c r="W384" s="840"/>
      <c r="X384" s="840"/>
      <c r="Y384" s="840"/>
      <c r="Z384" s="840"/>
      <c r="AA384" s="840"/>
      <c r="AB384" s="840"/>
      <c r="AC384" s="840"/>
      <c r="AD384" s="840"/>
      <c r="AE384" s="840"/>
      <c r="AF384" s="840"/>
      <c r="AG384" s="840"/>
      <c r="AH384" s="840"/>
      <c r="AI384" s="840"/>
      <c r="AJ384" s="840"/>
      <c r="AK384" s="840"/>
    </row>
    <row r="385" spans="1:37" s="960" customFormat="1" ht="24" customHeight="1">
      <c r="A385" s="869" t="s">
        <v>665</v>
      </c>
      <c r="B385" s="868" t="s">
        <v>451</v>
      </c>
      <c r="C385" s="382" t="s">
        <v>281</v>
      </c>
      <c r="D385" s="967" t="s">
        <v>881</v>
      </c>
      <c r="E385" s="919" t="e">
        <f>E389+E391+E392+E393+E394+E398+E400+E402+E403+E406+E407+E408+E409+E410+E411</f>
        <v>#VALUE!</v>
      </c>
      <c r="F385" s="919">
        <f>F389+F391+F392+F393+F394+F398+F400+F402+F403+F406+F407+F408+F409+F410+F411</f>
        <v>0</v>
      </c>
      <c r="G385" s="391"/>
      <c r="H385" s="919">
        <f>'Dcu-DKDD'!$L$280</f>
        <v>10462.416147435895</v>
      </c>
      <c r="I385" s="913">
        <f>'VL-DKDD'!$J$283</f>
        <v>23281.56</v>
      </c>
      <c r="J385" s="913">
        <f>'TB-DKDD'!$M$159</f>
        <v>9815.5200000000023</v>
      </c>
      <c r="K385" s="913">
        <f>'NL-DKDD'!$J$108</f>
        <v>19428.108</v>
      </c>
      <c r="L385" s="893" t="e">
        <f>SUM(E385:K385)</f>
        <v>#VALUE!</v>
      </c>
      <c r="M385" s="893" t="e">
        <f>L385*'He so chung'!$D$17/100</f>
        <v>#VALUE!</v>
      </c>
      <c r="N385" s="893" t="e">
        <f>L385+M385</f>
        <v>#VALUE!</v>
      </c>
      <c r="O385" s="914"/>
      <c r="P385" s="919">
        <f>P389+P391+P392+P393+P394+P398+P400+P402+P403+P406+P407+P408+P409+P410+P411</f>
        <v>16784.25</v>
      </c>
      <c r="Q385" s="839"/>
      <c r="R385" s="839"/>
      <c r="S385" s="1079"/>
      <c r="T385" s="946">
        <f>'[1]2,DG-capdoi'!N378</f>
        <v>707871.38484455121</v>
      </c>
      <c r="U385" s="946" t="e">
        <f t="shared" si="49"/>
        <v>#VALUE!</v>
      </c>
      <c r="V385" s="840"/>
      <c r="W385" s="840"/>
      <c r="X385" s="840"/>
      <c r="Y385" s="840"/>
      <c r="Z385" s="840"/>
      <c r="AA385" s="840"/>
      <c r="AB385" s="840"/>
      <c r="AC385" s="840"/>
      <c r="AD385" s="840"/>
      <c r="AE385" s="840"/>
      <c r="AF385" s="840"/>
      <c r="AG385" s="840"/>
      <c r="AH385" s="840"/>
      <c r="AI385" s="840"/>
      <c r="AJ385" s="840"/>
      <c r="AK385" s="840"/>
    </row>
    <row r="386" spans="1:37" s="960" customFormat="1" ht="24" customHeight="1">
      <c r="A386" s="869" t="s">
        <v>666</v>
      </c>
      <c r="B386" s="868" t="s">
        <v>452</v>
      </c>
      <c r="C386" s="382" t="s">
        <v>281</v>
      </c>
      <c r="D386" s="967" t="s">
        <v>881</v>
      </c>
      <c r="E386" s="919" t="e">
        <f>E390+E391+E392+E393+E394+E398+E400+E402+E403+E406+E407+E408+E409+E410+E411</f>
        <v>#VALUE!</v>
      </c>
      <c r="F386" s="919">
        <f>F390+F391+F392+F393+F394+F398+F400+F402+F403+F406+F407+F408+F409+F410+F411</f>
        <v>0</v>
      </c>
      <c r="G386" s="391"/>
      <c r="H386" s="919">
        <f>'Dcu-DKDD'!$L$280</f>
        <v>10462.416147435895</v>
      </c>
      <c r="I386" s="913">
        <f>'VL-DKDD'!$J$283</f>
        <v>23281.56</v>
      </c>
      <c r="J386" s="913">
        <f>'TB-DKDD'!$M$159</f>
        <v>9815.5200000000023</v>
      </c>
      <c r="K386" s="913">
        <f>'NL-DKDD'!$J$108</f>
        <v>19428.108</v>
      </c>
      <c r="L386" s="893" t="e">
        <f>SUM(E386:K386)</f>
        <v>#VALUE!</v>
      </c>
      <c r="M386" s="893" t="e">
        <f>L386*'He so chung'!$D$17/100</f>
        <v>#VALUE!</v>
      </c>
      <c r="N386" s="893" t="e">
        <f>L386+M386</f>
        <v>#VALUE!</v>
      </c>
      <c r="O386" s="914"/>
      <c r="P386" s="919">
        <f>P390+P391+P392+P393+P394+P398+P400+P402+P403+P406+P407+P408+P409+P410+P411</f>
        <v>16476.846153846152</v>
      </c>
      <c r="Q386" s="839"/>
      <c r="R386" s="839"/>
      <c r="S386" s="1079"/>
      <c r="T386" s="946">
        <f>'[1]2,DG-capdoi'!N379</f>
        <v>697611.93518108968</v>
      </c>
      <c r="U386" s="946" t="e">
        <f t="shared" si="49"/>
        <v>#VALUE!</v>
      </c>
      <c r="V386" s="840"/>
      <c r="W386" s="840"/>
      <c r="X386" s="840"/>
      <c r="Y386" s="840"/>
      <c r="Z386" s="840"/>
      <c r="AA386" s="840"/>
      <c r="AB386" s="840"/>
      <c r="AC386" s="840"/>
      <c r="AD386" s="840"/>
      <c r="AE386" s="840"/>
      <c r="AF386" s="840"/>
      <c r="AG386" s="840"/>
      <c r="AH386" s="840"/>
      <c r="AI386" s="840"/>
      <c r="AJ386" s="840"/>
      <c r="AK386" s="840"/>
    </row>
    <row r="387" spans="1:37" s="960" customFormat="1">
      <c r="A387" s="869"/>
      <c r="B387" s="868"/>
      <c r="C387" s="1047"/>
      <c r="D387" s="1080"/>
      <c r="E387" s="919"/>
      <c r="F387" s="914"/>
      <c r="G387" s="391"/>
      <c r="H387" s="919"/>
      <c r="I387" s="913"/>
      <c r="J387" s="913"/>
      <c r="K387" s="913"/>
      <c r="L387" s="893"/>
      <c r="M387" s="893"/>
      <c r="N387" s="893"/>
      <c r="O387" s="914"/>
      <c r="P387" s="919"/>
      <c r="Q387" s="839"/>
      <c r="R387" s="839"/>
      <c r="S387" s="1079"/>
      <c r="T387" s="946">
        <f>'[1]2,DG-capdoi'!N380</f>
        <v>0</v>
      </c>
      <c r="U387" s="946">
        <f t="shared" si="49"/>
        <v>0</v>
      </c>
      <c r="V387" s="840"/>
      <c r="W387" s="840"/>
      <c r="X387" s="840"/>
      <c r="Y387" s="840"/>
      <c r="Z387" s="840"/>
      <c r="AA387" s="840"/>
      <c r="AB387" s="840"/>
      <c r="AC387" s="840"/>
      <c r="AD387" s="840"/>
      <c r="AE387" s="840"/>
      <c r="AF387" s="840"/>
      <c r="AG387" s="840"/>
      <c r="AH387" s="840"/>
      <c r="AI387" s="840"/>
      <c r="AJ387" s="840"/>
      <c r="AK387" s="840"/>
    </row>
    <row r="388" spans="1:37" s="960" customFormat="1" ht="21" customHeight="1">
      <c r="A388" s="966">
        <v>1</v>
      </c>
      <c r="B388" s="914" t="s">
        <v>516</v>
      </c>
      <c r="C388" s="1047"/>
      <c r="D388" s="1080"/>
      <c r="E388" s="914"/>
      <c r="F388" s="914"/>
      <c r="G388" s="391"/>
      <c r="H388" s="914"/>
      <c r="I388" s="914"/>
      <c r="J388" s="914"/>
      <c r="K388" s="914"/>
      <c r="L388" s="914"/>
      <c r="M388" s="914"/>
      <c r="N388" s="914"/>
      <c r="O388" s="914"/>
      <c r="P388" s="898"/>
      <c r="Q388" s="839"/>
      <c r="R388" s="839"/>
      <c r="S388" s="1079"/>
      <c r="T388" s="946">
        <f>'[1]2,DG-capdoi'!N381</f>
        <v>0</v>
      </c>
      <c r="U388" s="946">
        <f t="shared" si="49"/>
        <v>0</v>
      </c>
      <c r="V388" s="840"/>
      <c r="W388" s="840"/>
      <c r="X388" s="840"/>
      <c r="Y388" s="840"/>
      <c r="Z388" s="840"/>
      <c r="AA388" s="840"/>
      <c r="AB388" s="840"/>
      <c r="AC388" s="840"/>
      <c r="AD388" s="840"/>
      <c r="AE388" s="840"/>
      <c r="AF388" s="840"/>
      <c r="AG388" s="840"/>
      <c r="AH388" s="840"/>
      <c r="AI388" s="840"/>
      <c r="AJ388" s="840"/>
      <c r="AK388" s="840"/>
    </row>
    <row r="389" spans="1:37" s="960" customFormat="1" ht="21" customHeight="1">
      <c r="A389" s="966" t="s">
        <v>891</v>
      </c>
      <c r="B389" s="914" t="s">
        <v>33</v>
      </c>
      <c r="C389" s="966" t="s">
        <v>281</v>
      </c>
      <c r="D389" s="967" t="s">
        <v>881</v>
      </c>
      <c r="E389" s="898" t="e">
        <f>NC_DKDD!H808</f>
        <v>#VALUE!</v>
      </c>
      <c r="F389" s="914"/>
      <c r="G389" s="391"/>
      <c r="H389" s="914"/>
      <c r="I389" s="914"/>
      <c r="J389" s="914"/>
      <c r="K389" s="914"/>
      <c r="L389" s="914"/>
      <c r="M389" s="914"/>
      <c r="N389" s="914"/>
      <c r="O389" s="914"/>
      <c r="P389" s="898">
        <f t="shared" ref="P389:P415" si="59">Q389+R389</f>
        <v>1537.0192307692307</v>
      </c>
      <c r="Q389" s="839">
        <f t="shared" ref="Q389:Q415" si="60">S389*Q$209</f>
        <v>1336.5384615384614</v>
      </c>
      <c r="R389" s="839">
        <f t="shared" ref="R389:R415" si="61">S389*R$209</f>
        <v>200.48076923076923</v>
      </c>
      <c r="S389" s="1079">
        <f>NC_DKDD!G808</f>
        <v>0.25</v>
      </c>
      <c r="T389" s="946">
        <f>'[1]2,DG-capdoi'!N382</f>
        <v>0</v>
      </c>
      <c r="U389" s="946">
        <f t="shared" si="49"/>
        <v>0</v>
      </c>
      <c r="V389" s="840"/>
      <c r="W389" s="840"/>
      <c r="X389" s="840"/>
      <c r="Y389" s="840"/>
      <c r="Z389" s="840"/>
      <c r="AA389" s="840"/>
      <c r="AB389" s="840"/>
      <c r="AC389" s="840"/>
      <c r="AD389" s="840"/>
      <c r="AE389" s="840"/>
      <c r="AF389" s="840"/>
      <c r="AG389" s="840"/>
      <c r="AH389" s="840"/>
      <c r="AI389" s="840"/>
      <c r="AJ389" s="840"/>
      <c r="AK389" s="840"/>
    </row>
    <row r="390" spans="1:37" s="960" customFormat="1" ht="21" customHeight="1">
      <c r="A390" s="966" t="s">
        <v>899</v>
      </c>
      <c r="B390" s="914" t="s">
        <v>36</v>
      </c>
      <c r="C390" s="966" t="s">
        <v>281</v>
      </c>
      <c r="D390" s="967" t="s">
        <v>881</v>
      </c>
      <c r="E390" s="898" t="e">
        <f>NC_DKDD!H809</f>
        <v>#VALUE!</v>
      </c>
      <c r="F390" s="914"/>
      <c r="G390" s="391"/>
      <c r="H390" s="914"/>
      <c r="I390" s="914"/>
      <c r="J390" s="914"/>
      <c r="K390" s="914"/>
      <c r="L390" s="914"/>
      <c r="M390" s="914"/>
      <c r="N390" s="914"/>
      <c r="O390" s="914"/>
      <c r="P390" s="898">
        <f t="shared" si="59"/>
        <v>1229.6153846153848</v>
      </c>
      <c r="Q390" s="839">
        <f t="shared" si="60"/>
        <v>1069.2307692307693</v>
      </c>
      <c r="R390" s="839">
        <f t="shared" si="61"/>
        <v>160.38461538461539</v>
      </c>
      <c r="S390" s="1079">
        <f>NC_DKDD!G809</f>
        <v>0.2</v>
      </c>
      <c r="T390" s="946">
        <f>'[1]2,DG-capdoi'!N383</f>
        <v>0</v>
      </c>
      <c r="U390" s="946">
        <f t="shared" si="49"/>
        <v>0</v>
      </c>
      <c r="V390" s="840"/>
      <c r="W390" s="840"/>
      <c r="X390" s="840"/>
      <c r="Y390" s="840"/>
      <c r="Z390" s="840"/>
      <c r="AA390" s="840"/>
      <c r="AB390" s="840"/>
      <c r="AC390" s="840"/>
      <c r="AD390" s="840"/>
      <c r="AE390" s="840"/>
      <c r="AF390" s="840"/>
      <c r="AG390" s="840"/>
      <c r="AH390" s="840"/>
      <c r="AI390" s="840"/>
      <c r="AJ390" s="840"/>
      <c r="AK390" s="840"/>
    </row>
    <row r="391" spans="1:37" s="960" customFormat="1" ht="47.25" customHeight="1">
      <c r="A391" s="966">
        <v>2</v>
      </c>
      <c r="B391" s="914" t="s">
        <v>953</v>
      </c>
      <c r="C391" s="966" t="s">
        <v>281</v>
      </c>
      <c r="D391" s="967" t="s">
        <v>881</v>
      </c>
      <c r="E391" s="898" t="e">
        <f>NC_DKDD!H810</f>
        <v>#VALUE!</v>
      </c>
      <c r="F391" s="914"/>
      <c r="G391" s="391"/>
      <c r="H391" s="914"/>
      <c r="I391" s="914"/>
      <c r="J391" s="914"/>
      <c r="K391" s="914"/>
      <c r="L391" s="914"/>
      <c r="M391" s="914"/>
      <c r="N391" s="914"/>
      <c r="O391" s="914"/>
      <c r="P391" s="898">
        <f t="shared" si="59"/>
        <v>1229.6153846153848</v>
      </c>
      <c r="Q391" s="839">
        <f t="shared" si="60"/>
        <v>1069.2307692307693</v>
      </c>
      <c r="R391" s="839">
        <f t="shared" si="61"/>
        <v>160.38461538461539</v>
      </c>
      <c r="S391" s="1079">
        <f>NC_DKDD!G810</f>
        <v>0.2</v>
      </c>
      <c r="T391" s="946">
        <f>'[1]2,DG-capdoi'!N384</f>
        <v>0</v>
      </c>
      <c r="U391" s="946">
        <f t="shared" si="49"/>
        <v>0</v>
      </c>
      <c r="V391" s="840"/>
      <c r="W391" s="840"/>
      <c r="X391" s="840"/>
      <c r="Y391" s="840"/>
      <c r="Z391" s="840"/>
      <c r="AA391" s="840"/>
      <c r="AB391" s="840"/>
      <c r="AC391" s="840"/>
      <c r="AD391" s="840"/>
      <c r="AE391" s="840"/>
      <c r="AF391" s="840"/>
      <c r="AG391" s="840"/>
      <c r="AH391" s="840"/>
      <c r="AI391" s="840"/>
      <c r="AJ391" s="840"/>
      <c r="AK391" s="840"/>
    </row>
    <row r="392" spans="1:37" s="960" customFormat="1" ht="38.25" customHeight="1">
      <c r="A392" s="966">
        <v>3</v>
      </c>
      <c r="B392" s="914" t="s">
        <v>517</v>
      </c>
      <c r="C392" s="966" t="s">
        <v>523</v>
      </c>
      <c r="D392" s="967" t="s">
        <v>881</v>
      </c>
      <c r="E392" s="898" t="e">
        <f>NC_DKDD!H811</f>
        <v>#VALUE!</v>
      </c>
      <c r="F392" s="914"/>
      <c r="G392" s="391"/>
      <c r="H392" s="914"/>
      <c r="I392" s="914"/>
      <c r="J392" s="914"/>
      <c r="K392" s="914"/>
      <c r="L392" s="914"/>
      <c r="M392" s="914"/>
      <c r="N392" s="914"/>
      <c r="O392" s="914"/>
      <c r="P392" s="898">
        <f t="shared" si="59"/>
        <v>202.88653846153844</v>
      </c>
      <c r="Q392" s="839">
        <f t="shared" si="60"/>
        <v>176.42307692307691</v>
      </c>
      <c r="R392" s="839">
        <f t="shared" si="61"/>
        <v>26.463461538461541</v>
      </c>
      <c r="S392" s="1079">
        <f>NC_DKDD!G811</f>
        <v>3.3000000000000002E-2</v>
      </c>
      <c r="T392" s="946">
        <f>'[1]2,DG-capdoi'!N385</f>
        <v>0</v>
      </c>
      <c r="U392" s="946">
        <f t="shared" si="49"/>
        <v>0</v>
      </c>
      <c r="V392" s="840"/>
      <c r="W392" s="840"/>
      <c r="X392" s="840"/>
      <c r="Y392" s="840"/>
      <c r="Z392" s="840"/>
      <c r="AA392" s="840"/>
      <c r="AB392" s="840"/>
      <c r="AC392" s="840"/>
      <c r="AD392" s="840"/>
      <c r="AE392" s="840"/>
      <c r="AF392" s="840"/>
      <c r="AG392" s="840"/>
      <c r="AH392" s="840"/>
      <c r="AI392" s="840"/>
      <c r="AJ392" s="840"/>
      <c r="AK392" s="840"/>
    </row>
    <row r="393" spans="1:37" s="960" customFormat="1" ht="38.25" customHeight="1">
      <c r="A393" s="966">
        <v>4</v>
      </c>
      <c r="B393" s="914" t="s">
        <v>518</v>
      </c>
      <c r="C393" s="966" t="s">
        <v>281</v>
      </c>
      <c r="D393" s="967" t="s">
        <v>881</v>
      </c>
      <c r="E393" s="898" t="e">
        <f>NC_DKDD!H812</f>
        <v>#VALUE!</v>
      </c>
      <c r="F393" s="914"/>
      <c r="G393" s="391"/>
      <c r="H393" s="914"/>
      <c r="I393" s="914"/>
      <c r="J393" s="914"/>
      <c r="K393" s="914"/>
      <c r="L393" s="914"/>
      <c r="M393" s="914"/>
      <c r="N393" s="914"/>
      <c r="O393" s="914"/>
      <c r="P393" s="898">
        <f t="shared" si="59"/>
        <v>6148.0769230769229</v>
      </c>
      <c r="Q393" s="839">
        <f t="shared" si="60"/>
        <v>5346.1538461538457</v>
      </c>
      <c r="R393" s="839">
        <f t="shared" si="61"/>
        <v>801.92307692307691</v>
      </c>
      <c r="S393" s="1079">
        <f>NC_DKDD!G812</f>
        <v>1</v>
      </c>
      <c r="T393" s="946">
        <f>'[1]2,DG-capdoi'!N386</f>
        <v>0</v>
      </c>
      <c r="U393" s="946">
        <f t="shared" si="49"/>
        <v>0</v>
      </c>
      <c r="V393" s="840"/>
      <c r="W393" s="840"/>
      <c r="X393" s="840"/>
      <c r="Y393" s="840"/>
      <c r="Z393" s="840"/>
      <c r="AA393" s="840"/>
      <c r="AB393" s="840"/>
      <c r="AC393" s="840"/>
      <c r="AD393" s="840"/>
      <c r="AE393" s="840"/>
      <c r="AF393" s="840"/>
      <c r="AG393" s="840"/>
      <c r="AH393" s="840"/>
      <c r="AI393" s="840"/>
      <c r="AJ393" s="840"/>
      <c r="AK393" s="840"/>
    </row>
    <row r="394" spans="1:37" s="960" customFormat="1" ht="31.5" customHeight="1">
      <c r="A394" s="966">
        <v>5</v>
      </c>
      <c r="B394" s="914" t="s">
        <v>519</v>
      </c>
      <c r="C394" s="966" t="s">
        <v>523</v>
      </c>
      <c r="D394" s="967" t="s">
        <v>881</v>
      </c>
      <c r="E394" s="898" t="e">
        <f>NC_DKDD!H813</f>
        <v>#VALUE!</v>
      </c>
      <c r="F394" s="914"/>
      <c r="G394" s="391"/>
      <c r="H394" s="914"/>
      <c r="I394" s="914"/>
      <c r="J394" s="914"/>
      <c r="K394" s="914"/>
      <c r="L394" s="914"/>
      <c r="M394" s="914"/>
      <c r="N394" s="914"/>
      <c r="O394" s="914"/>
      <c r="P394" s="898">
        <f t="shared" si="59"/>
        <v>36.888461538461534</v>
      </c>
      <c r="Q394" s="839">
        <f t="shared" si="60"/>
        <v>32.076923076923073</v>
      </c>
      <c r="R394" s="839">
        <f t="shared" si="61"/>
        <v>4.8115384615384613</v>
      </c>
      <c r="S394" s="1079">
        <f>NC_DKDD!G813</f>
        <v>6.0000000000000001E-3</v>
      </c>
      <c r="T394" s="946">
        <f>'[1]2,DG-capdoi'!N387</f>
        <v>0</v>
      </c>
      <c r="U394" s="946">
        <f t="shared" si="49"/>
        <v>0</v>
      </c>
      <c r="V394" s="840"/>
      <c r="W394" s="840"/>
      <c r="X394" s="840"/>
      <c r="Y394" s="840"/>
      <c r="Z394" s="840"/>
      <c r="AA394" s="840"/>
      <c r="AB394" s="840"/>
      <c r="AC394" s="840"/>
      <c r="AD394" s="840"/>
      <c r="AE394" s="840"/>
      <c r="AF394" s="840"/>
      <c r="AG394" s="840"/>
      <c r="AH394" s="840"/>
      <c r="AI394" s="840"/>
      <c r="AJ394" s="840"/>
      <c r="AK394" s="840"/>
    </row>
    <row r="395" spans="1:37" s="960" customFormat="1" ht="53.25" customHeight="1">
      <c r="A395" s="966">
        <v>6</v>
      </c>
      <c r="B395" s="914" t="s">
        <v>958</v>
      </c>
      <c r="C395" s="966"/>
      <c r="D395" s="966"/>
      <c r="E395" s="898">
        <f>NC_DKDD!H814</f>
        <v>0</v>
      </c>
      <c r="F395" s="914"/>
      <c r="G395" s="391"/>
      <c r="H395" s="914"/>
      <c r="I395" s="914"/>
      <c r="J395" s="914"/>
      <c r="K395" s="914"/>
      <c r="L395" s="914"/>
      <c r="M395" s="914"/>
      <c r="N395" s="914"/>
      <c r="O395" s="914"/>
      <c r="P395" s="898">
        <f t="shared" si="59"/>
        <v>0</v>
      </c>
      <c r="Q395" s="839">
        <f t="shared" si="60"/>
        <v>0</v>
      </c>
      <c r="R395" s="839">
        <f t="shared" si="61"/>
        <v>0</v>
      </c>
      <c r="S395" s="1079">
        <f>NC_DKDD!G814</f>
        <v>0</v>
      </c>
      <c r="T395" s="946">
        <f>'[1]2,DG-capdoi'!N388</f>
        <v>0</v>
      </c>
      <c r="U395" s="946">
        <f t="shared" si="49"/>
        <v>0</v>
      </c>
      <c r="V395" s="840"/>
      <c r="W395" s="840"/>
      <c r="X395" s="840"/>
      <c r="Y395" s="840"/>
      <c r="Z395" s="840"/>
      <c r="AA395" s="840"/>
      <c r="AB395" s="840"/>
      <c r="AC395" s="840"/>
      <c r="AD395" s="840"/>
      <c r="AE395" s="840"/>
      <c r="AF395" s="840"/>
      <c r="AG395" s="840"/>
      <c r="AH395" s="840"/>
      <c r="AI395" s="840"/>
      <c r="AJ395" s="840"/>
      <c r="AK395" s="840"/>
    </row>
    <row r="396" spans="1:37" s="960" customFormat="1" ht="22.5" customHeight="1">
      <c r="A396" s="966" t="s">
        <v>444</v>
      </c>
      <c r="B396" s="914" t="s">
        <v>770</v>
      </c>
      <c r="C396" s="966" t="s">
        <v>281</v>
      </c>
      <c r="D396" s="967" t="s">
        <v>881</v>
      </c>
      <c r="E396" s="898" t="e">
        <f>NC_DKDD!H815</f>
        <v>#VALUE!</v>
      </c>
      <c r="F396" s="914"/>
      <c r="G396" s="391"/>
      <c r="H396" s="914"/>
      <c r="I396" s="914"/>
      <c r="J396" s="914"/>
      <c r="K396" s="914"/>
      <c r="L396" s="914"/>
      <c r="M396" s="914"/>
      <c r="N396" s="914"/>
      <c r="O396" s="914"/>
      <c r="P396" s="898">
        <f t="shared" si="59"/>
        <v>0</v>
      </c>
      <c r="Q396" s="839">
        <f t="shared" si="60"/>
        <v>0</v>
      </c>
      <c r="R396" s="839">
        <f t="shared" si="61"/>
        <v>0</v>
      </c>
      <c r="S396" s="1079">
        <f>NC_DKDD!G815</f>
        <v>0</v>
      </c>
      <c r="T396" s="946">
        <f>'[1]2,DG-capdoi'!N389</f>
        <v>0</v>
      </c>
      <c r="U396" s="946">
        <f t="shared" si="49"/>
        <v>0</v>
      </c>
      <c r="V396" s="840"/>
      <c r="W396" s="840"/>
      <c r="X396" s="840"/>
      <c r="Y396" s="840"/>
      <c r="Z396" s="840"/>
      <c r="AA396" s="840"/>
      <c r="AB396" s="840"/>
      <c r="AC396" s="840"/>
      <c r="AD396" s="840"/>
      <c r="AE396" s="840"/>
      <c r="AF396" s="840"/>
      <c r="AG396" s="840"/>
      <c r="AH396" s="840"/>
      <c r="AI396" s="840"/>
      <c r="AJ396" s="840"/>
      <c r="AK396" s="840"/>
    </row>
    <row r="397" spans="1:37" s="960" customFormat="1" ht="22.5" customHeight="1">
      <c r="A397" s="966" t="s">
        <v>445</v>
      </c>
      <c r="B397" s="914" t="s">
        <v>771</v>
      </c>
      <c r="C397" s="966" t="s">
        <v>281</v>
      </c>
      <c r="D397" s="967" t="s">
        <v>881</v>
      </c>
      <c r="E397" s="898" t="e">
        <f>NC_DKDD!H816</f>
        <v>#VALUE!</v>
      </c>
      <c r="F397" s="914"/>
      <c r="G397" s="391"/>
      <c r="H397" s="914"/>
      <c r="I397" s="914"/>
      <c r="J397" s="914"/>
      <c r="K397" s="914"/>
      <c r="L397" s="914"/>
      <c r="M397" s="914"/>
      <c r="N397" s="914"/>
      <c r="O397" s="914"/>
      <c r="P397" s="898">
        <f t="shared" si="59"/>
        <v>0</v>
      </c>
      <c r="Q397" s="839">
        <f t="shared" si="60"/>
        <v>0</v>
      </c>
      <c r="R397" s="839">
        <f t="shared" si="61"/>
        <v>0</v>
      </c>
      <c r="S397" s="1079">
        <f>NC_DKDD!G816</f>
        <v>0</v>
      </c>
      <c r="T397" s="946">
        <f>'[1]2,DG-capdoi'!N390</f>
        <v>0</v>
      </c>
      <c r="U397" s="946">
        <f t="shared" si="49"/>
        <v>0</v>
      </c>
      <c r="V397" s="840"/>
      <c r="W397" s="840"/>
      <c r="X397" s="840"/>
      <c r="Y397" s="840"/>
      <c r="Z397" s="840"/>
      <c r="AA397" s="840"/>
      <c r="AB397" s="840"/>
      <c r="AC397" s="840"/>
      <c r="AD397" s="840"/>
      <c r="AE397" s="840"/>
      <c r="AF397" s="840"/>
      <c r="AG397" s="840"/>
      <c r="AH397" s="840"/>
      <c r="AI397" s="840"/>
      <c r="AJ397" s="840"/>
      <c r="AK397" s="840"/>
    </row>
    <row r="398" spans="1:37" s="960" customFormat="1" ht="27" customHeight="1">
      <c r="A398" s="966">
        <v>7</v>
      </c>
      <c r="B398" s="914" t="s">
        <v>510</v>
      </c>
      <c r="C398" s="966" t="s">
        <v>523</v>
      </c>
      <c r="D398" s="967" t="s">
        <v>881</v>
      </c>
      <c r="E398" s="898" t="e">
        <f>NC_DKDD!H817</f>
        <v>#VALUE!</v>
      </c>
      <c r="F398" s="914"/>
      <c r="G398" s="391"/>
      <c r="H398" s="914"/>
      <c r="I398" s="914"/>
      <c r="J398" s="914"/>
      <c r="K398" s="914"/>
      <c r="L398" s="914"/>
      <c r="M398" s="914"/>
      <c r="N398" s="914"/>
      <c r="O398" s="914"/>
      <c r="P398" s="898">
        <f t="shared" si="59"/>
        <v>202.88653846153844</v>
      </c>
      <c r="Q398" s="839">
        <f t="shared" si="60"/>
        <v>176.42307692307691</v>
      </c>
      <c r="R398" s="839">
        <f t="shared" si="61"/>
        <v>26.463461538461541</v>
      </c>
      <c r="S398" s="1079">
        <f>NC_DKDD!G817</f>
        <v>3.3000000000000002E-2</v>
      </c>
      <c r="T398" s="946">
        <f>'[1]2,DG-capdoi'!N391</f>
        <v>0</v>
      </c>
      <c r="U398" s="946">
        <f t="shared" si="49"/>
        <v>0</v>
      </c>
      <c r="V398" s="840"/>
      <c r="W398" s="840"/>
      <c r="X398" s="840"/>
      <c r="Y398" s="840"/>
      <c r="Z398" s="840"/>
      <c r="AA398" s="840"/>
      <c r="AB398" s="840"/>
      <c r="AC398" s="840"/>
      <c r="AD398" s="840"/>
      <c r="AE398" s="840"/>
      <c r="AF398" s="840"/>
      <c r="AG398" s="840"/>
      <c r="AH398" s="840"/>
      <c r="AI398" s="840"/>
      <c r="AJ398" s="840"/>
      <c r="AK398" s="840"/>
    </row>
    <row r="399" spans="1:37" s="960" customFormat="1" ht="17.25" customHeight="1">
      <c r="A399" s="966">
        <v>8</v>
      </c>
      <c r="B399" s="914" t="s">
        <v>213</v>
      </c>
      <c r="C399" s="966"/>
      <c r="D399" s="966"/>
      <c r="E399" s="898">
        <f>NC_DKDD!H818</f>
        <v>0</v>
      </c>
      <c r="F399" s="914"/>
      <c r="G399" s="391"/>
      <c r="H399" s="914"/>
      <c r="I399" s="914"/>
      <c r="J399" s="914"/>
      <c r="K399" s="914"/>
      <c r="L399" s="914"/>
      <c r="M399" s="914"/>
      <c r="N399" s="914"/>
      <c r="O399" s="914"/>
      <c r="P399" s="898">
        <f t="shared" si="59"/>
        <v>0</v>
      </c>
      <c r="Q399" s="839">
        <f t="shared" si="60"/>
        <v>0</v>
      </c>
      <c r="R399" s="839">
        <f t="shared" si="61"/>
        <v>0</v>
      </c>
      <c r="S399" s="1079">
        <f>NC_DKDD!G818</f>
        <v>0</v>
      </c>
      <c r="T399" s="946">
        <f>'[1]2,DG-capdoi'!N392</f>
        <v>0</v>
      </c>
      <c r="U399" s="946">
        <f t="shared" si="49"/>
        <v>0</v>
      </c>
      <c r="V399" s="840"/>
      <c r="W399" s="840"/>
      <c r="X399" s="840"/>
      <c r="Y399" s="840"/>
      <c r="Z399" s="840"/>
      <c r="AA399" s="840"/>
      <c r="AB399" s="840"/>
      <c r="AC399" s="840"/>
      <c r="AD399" s="840"/>
      <c r="AE399" s="840"/>
      <c r="AF399" s="840"/>
      <c r="AG399" s="840"/>
      <c r="AH399" s="840"/>
      <c r="AI399" s="840"/>
      <c r="AJ399" s="840"/>
      <c r="AK399" s="840"/>
    </row>
    <row r="400" spans="1:37" s="960" customFormat="1" ht="17.25" customHeight="1">
      <c r="A400" s="966" t="s">
        <v>374</v>
      </c>
      <c r="B400" s="914" t="s">
        <v>215</v>
      </c>
      <c r="C400" s="966" t="s">
        <v>320</v>
      </c>
      <c r="D400" s="967" t="s">
        <v>881</v>
      </c>
      <c r="E400" s="898" t="e">
        <f>NC_DKDD!H819</f>
        <v>#VALUE!</v>
      </c>
      <c r="F400" s="914"/>
      <c r="G400" s="391"/>
      <c r="H400" s="914"/>
      <c r="I400" s="914"/>
      <c r="J400" s="914"/>
      <c r="K400" s="914"/>
      <c r="L400" s="914"/>
      <c r="M400" s="914"/>
      <c r="N400" s="914"/>
      <c r="O400" s="914"/>
      <c r="P400" s="898">
        <f t="shared" si="59"/>
        <v>614.80769230769238</v>
      </c>
      <c r="Q400" s="839">
        <f t="shared" si="60"/>
        <v>534.61538461538464</v>
      </c>
      <c r="R400" s="839">
        <f t="shared" si="61"/>
        <v>80.192307692307693</v>
      </c>
      <c r="S400" s="1079">
        <f>NC_DKDD!G819</f>
        <v>0.1</v>
      </c>
      <c r="T400" s="946">
        <f>'[1]2,DG-capdoi'!N393</f>
        <v>0</v>
      </c>
      <c r="U400" s="946">
        <f t="shared" ref="U400:U457" si="62">T400-N400</f>
        <v>0</v>
      </c>
      <c r="V400" s="840"/>
      <c r="W400" s="840"/>
      <c r="X400" s="840"/>
      <c r="Y400" s="840"/>
      <c r="Z400" s="840"/>
      <c r="AA400" s="840"/>
      <c r="AB400" s="840"/>
      <c r="AC400" s="840"/>
      <c r="AD400" s="840"/>
      <c r="AE400" s="840"/>
      <c r="AF400" s="840"/>
      <c r="AG400" s="840"/>
      <c r="AH400" s="840"/>
      <c r="AI400" s="840"/>
      <c r="AJ400" s="840"/>
      <c r="AK400" s="840"/>
    </row>
    <row r="401" spans="1:37" s="960" customFormat="1" ht="17.25" customHeight="1">
      <c r="A401" s="966" t="s">
        <v>375</v>
      </c>
      <c r="B401" s="914" t="s">
        <v>217</v>
      </c>
      <c r="C401" s="966" t="s">
        <v>320</v>
      </c>
      <c r="D401" s="967" t="s">
        <v>881</v>
      </c>
      <c r="E401" s="898" t="e">
        <f>NC_DKDD!H820</f>
        <v>#VALUE!</v>
      </c>
      <c r="F401" s="914"/>
      <c r="G401" s="391"/>
      <c r="H401" s="914"/>
      <c r="I401" s="914"/>
      <c r="J401" s="914"/>
      <c r="K401" s="914"/>
      <c r="L401" s="914"/>
      <c r="M401" s="914"/>
      <c r="N401" s="914"/>
      <c r="O401" s="914"/>
      <c r="P401" s="898">
        <f t="shared" si="59"/>
        <v>1229.6153846153848</v>
      </c>
      <c r="Q401" s="839">
        <f t="shared" si="60"/>
        <v>1069.2307692307693</v>
      </c>
      <c r="R401" s="839">
        <f t="shared" si="61"/>
        <v>160.38461538461539</v>
      </c>
      <c r="S401" s="1079">
        <f>NC_DKDD!G820</f>
        <v>0.2</v>
      </c>
      <c r="T401" s="946">
        <f>'[1]2,DG-capdoi'!N394</f>
        <v>0</v>
      </c>
      <c r="U401" s="946">
        <f t="shared" si="62"/>
        <v>0</v>
      </c>
      <c r="V401" s="840"/>
      <c r="W401" s="840"/>
      <c r="X401" s="840"/>
      <c r="Y401" s="840"/>
      <c r="Z401" s="840"/>
      <c r="AA401" s="840"/>
      <c r="AB401" s="840"/>
      <c r="AC401" s="840"/>
      <c r="AD401" s="840"/>
      <c r="AE401" s="840"/>
      <c r="AF401" s="840"/>
      <c r="AG401" s="840"/>
      <c r="AH401" s="840"/>
      <c r="AI401" s="840"/>
      <c r="AJ401" s="840"/>
      <c r="AK401" s="840"/>
    </row>
    <row r="402" spans="1:37" s="960" customFormat="1" ht="52.5" customHeight="1">
      <c r="A402" s="966">
        <v>9</v>
      </c>
      <c r="B402" s="914" t="s">
        <v>520</v>
      </c>
      <c r="C402" s="966" t="s">
        <v>281</v>
      </c>
      <c r="D402" s="967" t="s">
        <v>881</v>
      </c>
      <c r="E402" s="898" t="e">
        <f>NC_DKDD!H821</f>
        <v>#VALUE!</v>
      </c>
      <c r="F402" s="914"/>
      <c r="G402" s="391"/>
      <c r="H402" s="914"/>
      <c r="I402" s="914"/>
      <c r="J402" s="914"/>
      <c r="K402" s="914"/>
      <c r="L402" s="914"/>
      <c r="M402" s="914"/>
      <c r="N402" s="914"/>
      <c r="O402" s="914"/>
      <c r="P402" s="898">
        <f t="shared" si="59"/>
        <v>3074.0384615384614</v>
      </c>
      <c r="Q402" s="839">
        <f t="shared" si="60"/>
        <v>2673.0769230769229</v>
      </c>
      <c r="R402" s="839">
        <f t="shared" si="61"/>
        <v>400.96153846153845</v>
      </c>
      <c r="S402" s="1079">
        <f>NC_DKDD!G821</f>
        <v>0.5</v>
      </c>
      <c r="T402" s="946">
        <f>'[1]2,DG-capdoi'!N395</f>
        <v>0</v>
      </c>
      <c r="U402" s="946">
        <f t="shared" si="62"/>
        <v>0</v>
      </c>
      <c r="V402" s="840"/>
      <c r="W402" s="840"/>
      <c r="X402" s="840"/>
      <c r="Y402" s="840"/>
      <c r="Z402" s="840"/>
      <c r="AA402" s="840"/>
      <c r="AB402" s="840"/>
      <c r="AC402" s="840"/>
      <c r="AD402" s="840"/>
      <c r="AE402" s="840"/>
      <c r="AF402" s="840"/>
      <c r="AG402" s="840"/>
      <c r="AH402" s="840"/>
      <c r="AI402" s="840"/>
      <c r="AJ402" s="840"/>
      <c r="AK402" s="840"/>
    </row>
    <row r="403" spans="1:37" s="960" customFormat="1" ht="59.25" customHeight="1">
      <c r="A403" s="966">
        <v>10</v>
      </c>
      <c r="B403" s="914" t="s">
        <v>480</v>
      </c>
      <c r="C403" s="966" t="s">
        <v>281</v>
      </c>
      <c r="D403" s="967" t="s">
        <v>881</v>
      </c>
      <c r="E403" s="898" t="e">
        <f>NC_DKDD!H822</f>
        <v>#VALUE!</v>
      </c>
      <c r="F403" s="914"/>
      <c r="G403" s="391"/>
      <c r="H403" s="914"/>
      <c r="I403" s="914"/>
      <c r="J403" s="914"/>
      <c r="K403" s="914"/>
      <c r="L403" s="914"/>
      <c r="M403" s="914"/>
      <c r="N403" s="914"/>
      <c r="O403" s="914"/>
      <c r="P403" s="898">
        <f t="shared" si="59"/>
        <v>2889.5961538461534</v>
      </c>
      <c r="Q403" s="839">
        <f t="shared" si="60"/>
        <v>2512.6923076923072</v>
      </c>
      <c r="R403" s="839">
        <f t="shared" si="61"/>
        <v>376.90384615384613</v>
      </c>
      <c r="S403" s="1079">
        <f>NC_DKDD!G822</f>
        <v>0.47</v>
      </c>
      <c r="T403" s="946">
        <f>'[1]2,DG-capdoi'!N396</f>
        <v>0</v>
      </c>
      <c r="U403" s="946">
        <f t="shared" si="62"/>
        <v>0</v>
      </c>
      <c r="V403" s="840"/>
      <c r="W403" s="840"/>
      <c r="X403" s="840"/>
      <c r="Y403" s="840"/>
      <c r="Z403" s="840"/>
      <c r="AA403" s="840"/>
      <c r="AB403" s="840"/>
      <c r="AC403" s="840"/>
      <c r="AD403" s="840"/>
      <c r="AE403" s="840"/>
      <c r="AF403" s="840"/>
      <c r="AG403" s="840"/>
      <c r="AH403" s="840"/>
      <c r="AI403" s="840"/>
      <c r="AJ403" s="840"/>
      <c r="AK403" s="840"/>
    </row>
    <row r="404" spans="1:37" s="960" customFormat="1" ht="21.75" customHeight="1">
      <c r="A404" s="966">
        <v>11</v>
      </c>
      <c r="B404" s="914" t="s">
        <v>221</v>
      </c>
      <c r="C404" s="966"/>
      <c r="D404" s="966"/>
      <c r="E404" s="898">
        <f>NC_DKDD!H823</f>
        <v>0</v>
      </c>
      <c r="F404" s="914"/>
      <c r="G404" s="391"/>
      <c r="H404" s="914"/>
      <c r="I404" s="914"/>
      <c r="J404" s="914"/>
      <c r="K404" s="914"/>
      <c r="L404" s="914"/>
      <c r="M404" s="914"/>
      <c r="N404" s="914"/>
      <c r="O404" s="914"/>
      <c r="P404" s="898">
        <f t="shared" si="59"/>
        <v>0</v>
      </c>
      <c r="Q404" s="839">
        <f t="shared" si="60"/>
        <v>0</v>
      </c>
      <c r="R404" s="839">
        <f t="shared" si="61"/>
        <v>0</v>
      </c>
      <c r="S404" s="1079">
        <f>NC_DKDD!G823</f>
        <v>0</v>
      </c>
      <c r="T404" s="946">
        <f>'[1]2,DG-capdoi'!N397</f>
        <v>0</v>
      </c>
      <c r="U404" s="946">
        <f t="shared" si="62"/>
        <v>0</v>
      </c>
      <c r="V404" s="840"/>
      <c r="W404" s="840"/>
      <c r="X404" s="840"/>
      <c r="Y404" s="840"/>
      <c r="Z404" s="840"/>
      <c r="AA404" s="840"/>
      <c r="AB404" s="840"/>
      <c r="AC404" s="840"/>
      <c r="AD404" s="840"/>
      <c r="AE404" s="840"/>
      <c r="AF404" s="840"/>
      <c r="AG404" s="840"/>
      <c r="AH404" s="840"/>
      <c r="AI404" s="840"/>
      <c r="AJ404" s="840"/>
      <c r="AK404" s="840"/>
    </row>
    <row r="405" spans="1:37" s="960" customFormat="1" ht="32.25" customHeight="1">
      <c r="A405" s="966" t="s">
        <v>877</v>
      </c>
      <c r="B405" s="914" t="s">
        <v>931</v>
      </c>
      <c r="C405" s="966"/>
      <c r="D405" s="966"/>
      <c r="E405" s="898">
        <f>NC_DKDD!H824</f>
        <v>0</v>
      </c>
      <c r="F405" s="914"/>
      <c r="G405" s="391"/>
      <c r="H405" s="914"/>
      <c r="I405" s="914"/>
      <c r="J405" s="914"/>
      <c r="K405" s="914"/>
      <c r="L405" s="914"/>
      <c r="M405" s="914"/>
      <c r="N405" s="914"/>
      <c r="O405" s="914"/>
      <c r="P405" s="898">
        <f t="shared" si="59"/>
        <v>0</v>
      </c>
      <c r="Q405" s="839">
        <f t="shared" si="60"/>
        <v>0</v>
      </c>
      <c r="R405" s="839">
        <f t="shared" si="61"/>
        <v>0</v>
      </c>
      <c r="S405" s="1079">
        <f>NC_DKDD!G824</f>
        <v>0</v>
      </c>
      <c r="T405" s="946">
        <f>'[1]2,DG-capdoi'!N398</f>
        <v>0</v>
      </c>
      <c r="U405" s="946">
        <f t="shared" si="62"/>
        <v>0</v>
      </c>
      <c r="V405" s="840"/>
      <c r="W405" s="840"/>
      <c r="X405" s="840"/>
      <c r="Y405" s="840"/>
      <c r="Z405" s="840"/>
      <c r="AA405" s="840"/>
      <c r="AB405" s="840"/>
      <c r="AC405" s="840"/>
      <c r="AD405" s="840"/>
      <c r="AE405" s="840"/>
      <c r="AF405" s="840"/>
      <c r="AG405" s="840"/>
      <c r="AH405" s="840"/>
      <c r="AI405" s="840"/>
      <c r="AJ405" s="840"/>
      <c r="AK405" s="840"/>
    </row>
    <row r="406" spans="1:37" s="960" customFormat="1" ht="19.5" customHeight="1">
      <c r="A406" s="966" t="s">
        <v>513</v>
      </c>
      <c r="B406" s="914" t="s">
        <v>933</v>
      </c>
      <c r="C406" s="966" t="s">
        <v>525</v>
      </c>
      <c r="D406" s="967" t="s">
        <v>881</v>
      </c>
      <c r="E406" s="898" t="e">
        <f>NC_DKDD!H825</f>
        <v>#VALUE!</v>
      </c>
      <c r="F406" s="914"/>
      <c r="G406" s="391"/>
      <c r="H406" s="914"/>
      <c r="I406" s="914"/>
      <c r="J406" s="914"/>
      <c r="K406" s="914"/>
      <c r="L406" s="914"/>
      <c r="M406" s="914"/>
      <c r="N406" s="914"/>
      <c r="O406" s="914"/>
      <c r="P406" s="898">
        <f t="shared" si="59"/>
        <v>98.369230769230768</v>
      </c>
      <c r="Q406" s="839">
        <f t="shared" si="60"/>
        <v>85.538461538461533</v>
      </c>
      <c r="R406" s="839">
        <f t="shared" si="61"/>
        <v>12.830769230769231</v>
      </c>
      <c r="S406" s="1079">
        <f>NC_DKDD!G825</f>
        <v>1.6E-2</v>
      </c>
      <c r="T406" s="946">
        <f>'[1]2,DG-capdoi'!N399</f>
        <v>0</v>
      </c>
      <c r="U406" s="946">
        <f t="shared" si="62"/>
        <v>0</v>
      </c>
      <c r="V406" s="840"/>
      <c r="W406" s="840"/>
      <c r="X406" s="840"/>
      <c r="Y406" s="840"/>
      <c r="Z406" s="840"/>
      <c r="AA406" s="840"/>
      <c r="AB406" s="840"/>
      <c r="AC406" s="840"/>
      <c r="AD406" s="840"/>
      <c r="AE406" s="840"/>
      <c r="AF406" s="840"/>
      <c r="AG406" s="840"/>
      <c r="AH406" s="840"/>
      <c r="AI406" s="840"/>
      <c r="AJ406" s="840"/>
      <c r="AK406" s="840"/>
    </row>
    <row r="407" spans="1:37" s="960" customFormat="1" ht="19.5" customHeight="1">
      <c r="A407" s="966" t="s">
        <v>514</v>
      </c>
      <c r="B407" s="914" t="s">
        <v>937</v>
      </c>
      <c r="C407" s="966" t="s">
        <v>525</v>
      </c>
      <c r="D407" s="967" t="s">
        <v>881</v>
      </c>
      <c r="E407" s="898" t="e">
        <f>NC_DKDD!H826</f>
        <v>#VALUE!</v>
      </c>
      <c r="F407" s="914"/>
      <c r="G407" s="391"/>
      <c r="H407" s="914"/>
      <c r="I407" s="914"/>
      <c r="J407" s="914"/>
      <c r="K407" s="914"/>
      <c r="L407" s="914"/>
      <c r="M407" s="914"/>
      <c r="N407" s="914"/>
      <c r="O407" s="914"/>
      <c r="P407" s="898">
        <f t="shared" si="59"/>
        <v>49.184615384615384</v>
      </c>
      <c r="Q407" s="839">
        <f t="shared" si="60"/>
        <v>42.769230769230766</v>
      </c>
      <c r="R407" s="839">
        <f t="shared" si="61"/>
        <v>6.4153846153846157</v>
      </c>
      <c r="S407" s="1079">
        <f>NC_DKDD!G826</f>
        <v>8.0000000000000002E-3</v>
      </c>
      <c r="T407" s="946">
        <f>'[1]2,DG-capdoi'!N400</f>
        <v>0</v>
      </c>
      <c r="U407" s="946">
        <f t="shared" si="62"/>
        <v>0</v>
      </c>
      <c r="V407" s="840"/>
      <c r="W407" s="840"/>
      <c r="X407" s="840"/>
      <c r="Y407" s="840"/>
      <c r="Z407" s="840"/>
      <c r="AA407" s="840"/>
      <c r="AB407" s="840"/>
      <c r="AC407" s="840"/>
      <c r="AD407" s="840"/>
      <c r="AE407" s="840"/>
      <c r="AF407" s="840"/>
      <c r="AG407" s="840"/>
      <c r="AH407" s="840"/>
      <c r="AI407" s="840"/>
      <c r="AJ407" s="840"/>
      <c r="AK407" s="840"/>
    </row>
    <row r="408" spans="1:37" s="960" customFormat="1" ht="28.5">
      <c r="A408" s="966" t="s">
        <v>878</v>
      </c>
      <c r="B408" s="914" t="s">
        <v>48</v>
      </c>
      <c r="C408" s="966" t="s">
        <v>525</v>
      </c>
      <c r="D408" s="967" t="s">
        <v>881</v>
      </c>
      <c r="E408" s="898" t="e">
        <f>NC_DKDD!H827</f>
        <v>#VALUE!</v>
      </c>
      <c r="F408" s="914"/>
      <c r="G408" s="391"/>
      <c r="H408" s="914"/>
      <c r="I408" s="914"/>
      <c r="J408" s="914"/>
      <c r="K408" s="914"/>
      <c r="L408" s="914"/>
      <c r="M408" s="914"/>
      <c r="N408" s="914"/>
      <c r="O408" s="914"/>
      <c r="P408" s="898">
        <f t="shared" si="59"/>
        <v>24.592307692307692</v>
      </c>
      <c r="Q408" s="839">
        <f t="shared" si="60"/>
        <v>21.384615384615383</v>
      </c>
      <c r="R408" s="839">
        <f t="shared" si="61"/>
        <v>3.2076923076923078</v>
      </c>
      <c r="S408" s="1079">
        <f>NC_DKDD!G827</f>
        <v>4.0000000000000001E-3</v>
      </c>
      <c r="T408" s="946">
        <f>'[1]2,DG-capdoi'!N401</f>
        <v>0</v>
      </c>
      <c r="U408" s="946">
        <f t="shared" si="62"/>
        <v>0</v>
      </c>
      <c r="V408" s="840"/>
      <c r="W408" s="840"/>
      <c r="X408" s="840"/>
      <c r="Y408" s="840"/>
      <c r="Z408" s="840"/>
      <c r="AA408" s="840"/>
      <c r="AB408" s="840"/>
      <c r="AC408" s="840"/>
      <c r="AD408" s="840"/>
      <c r="AE408" s="840"/>
      <c r="AF408" s="840"/>
      <c r="AG408" s="840"/>
      <c r="AH408" s="840"/>
      <c r="AI408" s="840"/>
      <c r="AJ408" s="840"/>
      <c r="AK408" s="840"/>
    </row>
    <row r="409" spans="1:37" s="960" customFormat="1" ht="33" customHeight="1">
      <c r="A409" s="966" t="s">
        <v>879</v>
      </c>
      <c r="B409" s="914" t="s">
        <v>50</v>
      </c>
      <c r="C409" s="966" t="s">
        <v>523</v>
      </c>
      <c r="D409" s="967" t="s">
        <v>881</v>
      </c>
      <c r="E409" s="898" t="e">
        <f>NC_DKDD!H828</f>
        <v>#VALUE!</v>
      </c>
      <c r="F409" s="914"/>
      <c r="G409" s="391"/>
      <c r="H409" s="914"/>
      <c r="I409" s="914"/>
      <c r="J409" s="914"/>
      <c r="K409" s="914"/>
      <c r="L409" s="914"/>
      <c r="M409" s="914"/>
      <c r="N409" s="914"/>
      <c r="O409" s="914"/>
      <c r="P409" s="898">
        <f t="shared" si="59"/>
        <v>61.480769230769226</v>
      </c>
      <c r="Q409" s="839">
        <f t="shared" si="60"/>
        <v>53.46153846153846</v>
      </c>
      <c r="R409" s="839">
        <f t="shared" si="61"/>
        <v>8.0192307692307701</v>
      </c>
      <c r="S409" s="1079">
        <f>NC_DKDD!G828</f>
        <v>0.01</v>
      </c>
      <c r="T409" s="946">
        <f>'[1]2,DG-capdoi'!N402</f>
        <v>0</v>
      </c>
      <c r="U409" s="946">
        <f t="shared" si="62"/>
        <v>0</v>
      </c>
      <c r="V409" s="840"/>
      <c r="W409" s="840"/>
      <c r="X409" s="840"/>
      <c r="Y409" s="840"/>
      <c r="Z409" s="840"/>
      <c r="AA409" s="840"/>
      <c r="AB409" s="840"/>
      <c r="AC409" s="840"/>
      <c r="AD409" s="840"/>
      <c r="AE409" s="840"/>
      <c r="AF409" s="840"/>
      <c r="AG409" s="840"/>
      <c r="AH409" s="840"/>
      <c r="AI409" s="840"/>
      <c r="AJ409" s="840"/>
      <c r="AK409" s="840"/>
    </row>
    <row r="410" spans="1:37" s="960" customFormat="1" ht="65.25" customHeight="1">
      <c r="A410" s="966">
        <v>12</v>
      </c>
      <c r="B410" s="914" t="s">
        <v>235</v>
      </c>
      <c r="C410" s="966" t="s">
        <v>281</v>
      </c>
      <c r="D410" s="967" t="s">
        <v>881</v>
      </c>
      <c r="E410" s="898" t="e">
        <f>NC_DKDD!H829</f>
        <v>#VALUE!</v>
      </c>
      <c r="F410" s="914"/>
      <c r="G410" s="391"/>
      <c r="H410" s="914"/>
      <c r="I410" s="914"/>
      <c r="J410" s="914"/>
      <c r="K410" s="914"/>
      <c r="L410" s="914"/>
      <c r="M410" s="914"/>
      <c r="N410" s="914"/>
      <c r="O410" s="914"/>
      <c r="P410" s="898">
        <f t="shared" si="59"/>
        <v>307.40384615384619</v>
      </c>
      <c r="Q410" s="839">
        <f t="shared" si="60"/>
        <v>267.30769230769232</v>
      </c>
      <c r="R410" s="839">
        <f t="shared" si="61"/>
        <v>40.096153846153847</v>
      </c>
      <c r="S410" s="1079">
        <f>NC_DKDD!G829</f>
        <v>0.05</v>
      </c>
      <c r="T410" s="946">
        <f>'[1]2,DG-capdoi'!N403</f>
        <v>0</v>
      </c>
      <c r="U410" s="946">
        <f t="shared" si="62"/>
        <v>0</v>
      </c>
      <c r="V410" s="840"/>
      <c r="W410" s="840"/>
      <c r="X410" s="840"/>
      <c r="Y410" s="840"/>
      <c r="Z410" s="840"/>
      <c r="AA410" s="840"/>
      <c r="AB410" s="840"/>
      <c r="AC410" s="840"/>
      <c r="AD410" s="840"/>
      <c r="AE410" s="840"/>
      <c r="AF410" s="840"/>
      <c r="AG410" s="840"/>
      <c r="AH410" s="840"/>
      <c r="AI410" s="840"/>
      <c r="AJ410" s="840"/>
      <c r="AK410" s="840"/>
    </row>
    <row r="411" spans="1:37" s="960" customFormat="1" ht="38.25" customHeight="1">
      <c r="A411" s="966">
        <v>13</v>
      </c>
      <c r="B411" s="914" t="s">
        <v>236</v>
      </c>
      <c r="C411" s="966" t="s">
        <v>281</v>
      </c>
      <c r="D411" s="967" t="s">
        <v>881</v>
      </c>
      <c r="E411" s="898" t="e">
        <f>NC_DKDD!H830</f>
        <v>#VALUE!</v>
      </c>
      <c r="F411" s="914"/>
      <c r="G411" s="391"/>
      <c r="H411" s="914"/>
      <c r="I411" s="914"/>
      <c r="J411" s="914"/>
      <c r="K411" s="914"/>
      <c r="L411" s="914"/>
      <c r="M411" s="914"/>
      <c r="N411" s="914"/>
      <c r="O411" s="914"/>
      <c r="P411" s="898">
        <f t="shared" si="59"/>
        <v>307.40384615384619</v>
      </c>
      <c r="Q411" s="839">
        <f t="shared" si="60"/>
        <v>267.30769230769232</v>
      </c>
      <c r="R411" s="839">
        <f t="shared" si="61"/>
        <v>40.096153846153847</v>
      </c>
      <c r="S411" s="1079">
        <f>NC_DKDD!G830</f>
        <v>0.05</v>
      </c>
      <c r="T411" s="946">
        <f>'[1]2,DG-capdoi'!N404</f>
        <v>0</v>
      </c>
      <c r="U411" s="946">
        <f t="shared" si="62"/>
        <v>0</v>
      </c>
      <c r="V411" s="840"/>
      <c r="W411" s="840"/>
      <c r="X411" s="840"/>
      <c r="Y411" s="840"/>
      <c r="Z411" s="840"/>
      <c r="AA411" s="840"/>
      <c r="AB411" s="840"/>
      <c r="AC411" s="840"/>
      <c r="AD411" s="840"/>
      <c r="AE411" s="840"/>
      <c r="AF411" s="840"/>
      <c r="AG411" s="840"/>
      <c r="AH411" s="840"/>
      <c r="AI411" s="840"/>
      <c r="AJ411" s="840"/>
      <c r="AK411" s="840"/>
    </row>
    <row r="412" spans="1:37" s="960" customFormat="1" ht="26.25" customHeight="1">
      <c r="A412" s="869" t="s">
        <v>184</v>
      </c>
      <c r="B412" s="868" t="s">
        <v>765</v>
      </c>
      <c r="C412" s="832"/>
      <c r="D412" s="832"/>
      <c r="E412" s="919" t="e">
        <f>E413</f>
        <v>#VALUE!</v>
      </c>
      <c r="F412" s="914"/>
      <c r="G412" s="391"/>
      <c r="H412" s="914"/>
      <c r="I412" s="914"/>
      <c r="J412" s="914"/>
      <c r="K412" s="914"/>
      <c r="L412" s="893" t="e">
        <f>SUM(E412:K412)</f>
        <v>#VALUE!</v>
      </c>
      <c r="M412" s="893" t="e">
        <f>L412*'He so chung'!$D$17/100</f>
        <v>#VALUE!</v>
      </c>
      <c r="N412" s="893" t="e">
        <f>L412+M412</f>
        <v>#VALUE!</v>
      </c>
      <c r="O412" s="914"/>
      <c r="P412" s="919">
        <f>P413</f>
        <v>122.96153846153845</v>
      </c>
      <c r="Q412" s="839">
        <f t="shared" si="60"/>
        <v>0</v>
      </c>
      <c r="R412" s="839">
        <f t="shared" si="61"/>
        <v>0</v>
      </c>
      <c r="S412" s="1079">
        <f>NC_DKDD!G831</f>
        <v>0</v>
      </c>
      <c r="T412" s="946">
        <f>'[1]2,DG-capdoi'!N405</f>
        <v>4103.7798653846148</v>
      </c>
      <c r="U412" s="946" t="e">
        <f t="shared" si="62"/>
        <v>#VALUE!</v>
      </c>
      <c r="V412" s="840"/>
      <c r="W412" s="840"/>
      <c r="X412" s="840"/>
      <c r="Y412" s="840"/>
      <c r="Z412" s="840"/>
      <c r="AA412" s="840"/>
      <c r="AB412" s="840"/>
      <c r="AC412" s="840"/>
      <c r="AD412" s="840"/>
      <c r="AE412" s="840"/>
      <c r="AF412" s="840"/>
      <c r="AG412" s="840"/>
      <c r="AH412" s="840"/>
      <c r="AI412" s="840"/>
      <c r="AJ412" s="840"/>
      <c r="AK412" s="840"/>
    </row>
    <row r="413" spans="1:37" s="960" customFormat="1" ht="23.25" customHeight="1">
      <c r="A413" s="832">
        <v>1</v>
      </c>
      <c r="B413" s="827" t="s">
        <v>809</v>
      </c>
      <c r="C413" s="832" t="s">
        <v>281</v>
      </c>
      <c r="D413" s="901" t="s">
        <v>881</v>
      </c>
      <c r="E413" s="898" t="e">
        <f>NC_DKDD!H832</f>
        <v>#VALUE!</v>
      </c>
      <c r="F413" s="914"/>
      <c r="G413" s="391"/>
      <c r="H413" s="914"/>
      <c r="I413" s="914"/>
      <c r="J413" s="914"/>
      <c r="K413" s="914"/>
      <c r="L413" s="914"/>
      <c r="M413" s="914"/>
      <c r="N413" s="914"/>
      <c r="O413" s="914"/>
      <c r="P413" s="898">
        <f t="shared" si="59"/>
        <v>122.96153846153845</v>
      </c>
      <c r="Q413" s="839">
        <f t="shared" si="60"/>
        <v>106.92307692307692</v>
      </c>
      <c r="R413" s="839">
        <f t="shared" si="61"/>
        <v>16.03846153846154</v>
      </c>
      <c r="S413" s="1079">
        <f>NC_DKDD!G832</f>
        <v>0.02</v>
      </c>
      <c r="T413" s="946">
        <f>'[1]2,DG-capdoi'!N406</f>
        <v>0</v>
      </c>
      <c r="U413" s="946">
        <f t="shared" si="62"/>
        <v>0</v>
      </c>
      <c r="V413" s="840"/>
      <c r="W413" s="840"/>
      <c r="X413" s="840"/>
      <c r="Y413" s="840"/>
      <c r="Z413" s="840"/>
      <c r="AA413" s="840"/>
      <c r="AB413" s="840"/>
      <c r="AC413" s="840"/>
      <c r="AD413" s="840"/>
      <c r="AE413" s="840"/>
      <c r="AF413" s="840"/>
      <c r="AG413" s="840"/>
      <c r="AH413" s="840"/>
      <c r="AI413" s="840"/>
      <c r="AJ413" s="840"/>
      <c r="AK413" s="840"/>
    </row>
    <row r="414" spans="1:37" s="960" customFormat="1" ht="26.25" customHeight="1">
      <c r="A414" s="869" t="s">
        <v>913</v>
      </c>
      <c r="B414" s="868" t="s">
        <v>606</v>
      </c>
      <c r="C414" s="832"/>
      <c r="D414" s="1080"/>
      <c r="E414" s="919" t="e">
        <f>E415</f>
        <v>#VALUE!</v>
      </c>
      <c r="F414" s="914"/>
      <c r="G414" s="391"/>
      <c r="H414" s="1081">
        <f>'Dcu-DKDD'!$H$280</f>
        <v>93.74171153846153</v>
      </c>
      <c r="I414" s="914">
        <f>'VL-DKDD'!$F$283</f>
        <v>885.6</v>
      </c>
      <c r="J414" s="914"/>
      <c r="K414" s="914"/>
      <c r="L414" s="893" t="e">
        <f>SUM(E414:K414)</f>
        <v>#VALUE!</v>
      </c>
      <c r="M414" s="893" t="e">
        <f>L414*'He so chung'!$D$17/100</f>
        <v>#VALUE!</v>
      </c>
      <c r="N414" s="893" t="e">
        <f>L414+M414</f>
        <v>#VALUE!</v>
      </c>
      <c r="O414" s="914"/>
      <c r="P414" s="919">
        <f>P415</f>
        <v>122.96153846153845</v>
      </c>
      <c r="Q414" s="839">
        <f t="shared" si="60"/>
        <v>0</v>
      </c>
      <c r="R414" s="839">
        <f t="shared" si="61"/>
        <v>0</v>
      </c>
      <c r="S414" s="1079">
        <f>NC_DKDD!G833</f>
        <v>0</v>
      </c>
      <c r="T414" s="946">
        <f>'[1]2,DG-capdoi'!N407</f>
        <v>5230.0228336538457</v>
      </c>
      <c r="U414" s="946" t="e">
        <f t="shared" si="62"/>
        <v>#VALUE!</v>
      </c>
      <c r="V414" s="840"/>
      <c r="W414" s="840"/>
      <c r="X414" s="840"/>
      <c r="Y414" s="840"/>
      <c r="Z414" s="840"/>
      <c r="AA414" s="840"/>
      <c r="AB414" s="840"/>
      <c r="AC414" s="840"/>
      <c r="AD414" s="840"/>
      <c r="AE414" s="840"/>
      <c r="AF414" s="840"/>
      <c r="AG414" s="840"/>
      <c r="AH414" s="840"/>
      <c r="AI414" s="840"/>
      <c r="AJ414" s="840"/>
      <c r="AK414" s="840"/>
    </row>
    <row r="415" spans="1:37" s="960" customFormat="1" ht="31.5" customHeight="1">
      <c r="A415" s="832">
        <v>1</v>
      </c>
      <c r="B415" s="827" t="s">
        <v>810</v>
      </c>
      <c r="C415" s="832" t="s">
        <v>281</v>
      </c>
      <c r="D415" s="901" t="s">
        <v>881</v>
      </c>
      <c r="E415" s="898" t="e">
        <f>NC_DKDD!H834</f>
        <v>#VALUE!</v>
      </c>
      <c r="F415" s="914"/>
      <c r="G415" s="391"/>
      <c r="H415" s="914"/>
      <c r="I415" s="914"/>
      <c r="J415" s="914"/>
      <c r="K415" s="914"/>
      <c r="L415" s="914"/>
      <c r="M415" s="914"/>
      <c r="N415" s="914"/>
      <c r="O415" s="914"/>
      <c r="P415" s="898">
        <f t="shared" si="59"/>
        <v>122.96153846153845</v>
      </c>
      <c r="Q415" s="839">
        <f t="shared" si="60"/>
        <v>106.92307692307692</v>
      </c>
      <c r="R415" s="839">
        <f t="shared" si="61"/>
        <v>16.03846153846154</v>
      </c>
      <c r="S415" s="1079">
        <f>NC_DKDD!G834</f>
        <v>0.02</v>
      </c>
      <c r="T415" s="946">
        <f>'[1]2,DG-capdoi'!N408</f>
        <v>0</v>
      </c>
      <c r="U415" s="946">
        <f t="shared" si="62"/>
        <v>0</v>
      </c>
      <c r="V415" s="840"/>
      <c r="W415" s="840"/>
      <c r="X415" s="840"/>
      <c r="Y415" s="840"/>
      <c r="Z415" s="840"/>
      <c r="AA415" s="840"/>
      <c r="AB415" s="840"/>
      <c r="AC415" s="840"/>
      <c r="AD415" s="840"/>
      <c r="AE415" s="840"/>
      <c r="AF415" s="840"/>
      <c r="AG415" s="840"/>
      <c r="AH415" s="840"/>
      <c r="AI415" s="840"/>
      <c r="AJ415" s="840"/>
      <c r="AK415" s="840"/>
    </row>
    <row r="416" spans="1:37" s="917" customFormat="1" ht="23.25" customHeight="1">
      <c r="A416" s="1082"/>
      <c r="B416" s="1129" t="s">
        <v>20</v>
      </c>
      <c r="C416" s="1129"/>
      <c r="D416" s="1129"/>
      <c r="E416" s="1129"/>
      <c r="F416" s="1129"/>
      <c r="G416" s="1129"/>
      <c r="H416" s="1129"/>
      <c r="I416" s="1129"/>
      <c r="J416" s="1129"/>
      <c r="K416" s="1129"/>
      <c r="L416" s="1129"/>
      <c r="M416" s="1129"/>
      <c r="N416" s="1129"/>
      <c r="O416" s="1129"/>
      <c r="P416" s="1129"/>
      <c r="Q416" s="367"/>
      <c r="R416" s="367"/>
      <c r="S416" s="1017"/>
      <c r="T416" s="946">
        <f>'[1]2,DG-capdoi'!N409</f>
        <v>0</v>
      </c>
      <c r="U416" s="946">
        <f t="shared" si="62"/>
        <v>0</v>
      </c>
      <c r="V416" s="367"/>
      <c r="W416" s="367"/>
      <c r="X416" s="367"/>
      <c r="Y416" s="367"/>
      <c r="Z416" s="367"/>
      <c r="AA416" s="367"/>
      <c r="AB416" s="367"/>
      <c r="AC416" s="367"/>
      <c r="AD416" s="367"/>
      <c r="AE416" s="367"/>
      <c r="AF416" s="367"/>
      <c r="AG416" s="367"/>
      <c r="AH416" s="367"/>
      <c r="AI416" s="367"/>
      <c r="AJ416" s="367"/>
      <c r="AK416" s="367"/>
    </row>
    <row r="417" spans="1:37" s="917" customFormat="1" ht="23.25" customHeight="1">
      <c r="A417" s="1082"/>
      <c r="B417" s="1129" t="s">
        <v>262</v>
      </c>
      <c r="C417" s="1129"/>
      <c r="D417" s="1129"/>
      <c r="E417" s="1129"/>
      <c r="F417" s="1129"/>
      <c r="G417" s="1129"/>
      <c r="H417" s="1129"/>
      <c r="I417" s="1129"/>
      <c r="J417" s="1129"/>
      <c r="K417" s="1129"/>
      <c r="L417" s="1129"/>
      <c r="M417" s="1129"/>
      <c r="N417" s="1129"/>
      <c r="O417" s="1129"/>
      <c r="P417" s="1129"/>
      <c r="Q417" s="367"/>
      <c r="R417" s="367"/>
      <c r="S417" s="1017"/>
      <c r="T417" s="946">
        <f>'[1]2,DG-capdoi'!N410</f>
        <v>0</v>
      </c>
      <c r="U417" s="946">
        <f t="shared" si="62"/>
        <v>0</v>
      </c>
      <c r="V417" s="367"/>
      <c r="W417" s="367"/>
      <c r="X417" s="367"/>
      <c r="Y417" s="367"/>
      <c r="Z417" s="367"/>
      <c r="AA417" s="367"/>
      <c r="AB417" s="367"/>
      <c r="AC417" s="367"/>
      <c r="AD417" s="367"/>
      <c r="AE417" s="367"/>
      <c r="AF417" s="367"/>
      <c r="AG417" s="367"/>
      <c r="AH417" s="367"/>
      <c r="AI417" s="367"/>
      <c r="AJ417" s="367"/>
      <c r="AK417" s="367"/>
    </row>
    <row r="418" spans="1:37" ht="27" customHeight="1">
      <c r="A418" s="1114" t="s">
        <v>842</v>
      </c>
      <c r="B418" s="1114"/>
      <c r="C418" s="1114"/>
      <c r="D418" s="1114"/>
      <c r="E418" s="1114"/>
      <c r="F418" s="1114"/>
      <c r="G418" s="1114"/>
      <c r="H418" s="1114"/>
      <c r="I418" s="1114"/>
      <c r="J418" s="1114"/>
      <c r="K418" s="1114"/>
      <c r="L418" s="1114"/>
      <c r="M418" s="1114"/>
      <c r="N418" s="1114"/>
      <c r="O418" s="1114"/>
      <c r="P418" s="1114"/>
      <c r="S418" s="996"/>
      <c r="T418" s="979">
        <f>'[1]2,DG-capdoi'!N411</f>
        <v>0</v>
      </c>
      <c r="U418" s="979">
        <f t="shared" si="62"/>
        <v>0</v>
      </c>
    </row>
    <row r="419" spans="1:37" ht="18" customHeight="1">
      <c r="A419" s="1113" t="s">
        <v>960</v>
      </c>
      <c r="B419" s="1113"/>
      <c r="C419" s="1113"/>
      <c r="D419" s="1113"/>
      <c r="E419" s="1113"/>
      <c r="F419" s="1113"/>
      <c r="G419" s="1113"/>
      <c r="H419" s="1113"/>
      <c r="I419" s="1113"/>
      <c r="J419" s="1113"/>
      <c r="K419" s="1113"/>
      <c r="L419" s="1113"/>
      <c r="M419" s="1113"/>
      <c r="N419" s="1113"/>
      <c r="O419" s="1113"/>
      <c r="P419" s="1113"/>
      <c r="S419" s="996"/>
      <c r="T419" s="979"/>
      <c r="U419" s="979"/>
    </row>
    <row r="420" spans="1:37" ht="21" customHeight="1">
      <c r="A420" s="984"/>
      <c r="B420" s="985"/>
      <c r="C420" s="986"/>
      <c r="D420" s="987" t="s">
        <v>576</v>
      </c>
      <c r="F420" s="988"/>
      <c r="G420" s="989"/>
      <c r="H420" s="988"/>
      <c r="I420" s="990"/>
      <c r="J420" s="988"/>
      <c r="K420" s="988"/>
      <c r="L420" s="991" t="s">
        <v>980</v>
      </c>
      <c r="M420" s="988"/>
      <c r="N420" s="990"/>
      <c r="O420" s="990"/>
      <c r="S420" s="996"/>
      <c r="T420" s="979">
        <f>'[1]2,DG-capdoi'!N412</f>
        <v>0</v>
      </c>
      <c r="U420" s="979">
        <f t="shared" si="62"/>
        <v>0</v>
      </c>
    </row>
    <row r="421" spans="1:37" ht="27.75" customHeight="1">
      <c r="A421" s="1115" t="s">
        <v>876</v>
      </c>
      <c r="B421" s="1115" t="s">
        <v>381</v>
      </c>
      <c r="C421" s="1111" t="s">
        <v>981</v>
      </c>
      <c r="D421" s="1111" t="s">
        <v>982</v>
      </c>
      <c r="E421" s="1111" t="s">
        <v>466</v>
      </c>
      <c r="F421" s="1111"/>
      <c r="G421" s="1111"/>
      <c r="H421" s="1111"/>
      <c r="I421" s="1111"/>
      <c r="J421" s="1111"/>
      <c r="K421" s="1111"/>
      <c r="L421" s="1111"/>
      <c r="M421" s="1111" t="s">
        <v>581</v>
      </c>
      <c r="N421" s="1111" t="s">
        <v>467</v>
      </c>
      <c r="O421" s="1111" t="s">
        <v>657</v>
      </c>
      <c r="P421" s="1119" t="s">
        <v>468</v>
      </c>
      <c r="Q421" s="1003"/>
      <c r="R421" s="1003"/>
      <c r="S421" s="996"/>
      <c r="T421" s="979" t="str">
        <f>'[1]2,DG-capdoi'!N413</f>
        <v>Đơn giá       sản phẩm</v>
      </c>
      <c r="U421" s="979"/>
    </row>
    <row r="422" spans="1:37" ht="42.75" customHeight="1">
      <c r="A422" s="1115"/>
      <c r="B422" s="1115"/>
      <c r="C422" s="1111"/>
      <c r="D422" s="1111"/>
      <c r="E422" s="825" t="s">
        <v>469</v>
      </c>
      <c r="F422" s="825" t="s">
        <v>470</v>
      </c>
      <c r="G422" s="852" t="s">
        <v>1003</v>
      </c>
      <c r="H422" s="825" t="s">
        <v>59</v>
      </c>
      <c r="I422" s="825" t="s">
        <v>471</v>
      </c>
      <c r="J422" s="825" t="s">
        <v>280</v>
      </c>
      <c r="K422" s="825" t="s">
        <v>472</v>
      </c>
      <c r="L422" s="825" t="s">
        <v>473</v>
      </c>
      <c r="M422" s="1111"/>
      <c r="N422" s="1111"/>
      <c r="O422" s="1111"/>
      <c r="P422" s="1120"/>
      <c r="Q422" s="1003"/>
      <c r="R422" s="1003"/>
      <c r="S422" s="996"/>
      <c r="T422" s="979">
        <f>'[1]2,DG-capdoi'!N414</f>
        <v>0</v>
      </c>
      <c r="U422" s="979">
        <f t="shared" si="62"/>
        <v>0</v>
      </c>
    </row>
    <row r="423" spans="1:37" s="917" customFormat="1" ht="46.5" customHeight="1">
      <c r="A423" s="831"/>
      <c r="B423" s="838" t="s">
        <v>255</v>
      </c>
      <c r="C423" s="382"/>
      <c r="D423" s="382"/>
      <c r="E423" s="382"/>
      <c r="F423" s="382"/>
      <c r="G423" s="837"/>
      <c r="H423" s="382"/>
      <c r="I423" s="382"/>
      <c r="J423" s="382"/>
      <c r="K423" s="382"/>
      <c r="L423" s="382"/>
      <c r="M423" s="382"/>
      <c r="N423" s="382"/>
      <c r="O423" s="382"/>
      <c r="P423" s="1086"/>
      <c r="Q423" s="835"/>
      <c r="R423" s="835"/>
      <c r="S423" s="1017"/>
      <c r="T423" s="946">
        <f>'[1]2,DG-capdoi'!N415</f>
        <v>0</v>
      </c>
      <c r="U423" s="946">
        <f t="shared" si="62"/>
        <v>0</v>
      </c>
      <c r="V423" s="367"/>
      <c r="W423" s="367"/>
      <c r="X423" s="367"/>
      <c r="Y423" s="367"/>
      <c r="Z423" s="367"/>
      <c r="AA423" s="367"/>
      <c r="AB423" s="367"/>
      <c r="AC423" s="367"/>
      <c r="AD423" s="367"/>
      <c r="AE423" s="367"/>
      <c r="AF423" s="367"/>
      <c r="AG423" s="367"/>
      <c r="AH423" s="367"/>
      <c r="AI423" s="367"/>
      <c r="AJ423" s="367"/>
      <c r="AK423" s="367"/>
    </row>
    <row r="424" spans="1:37" s="917" customFormat="1" ht="23.25" customHeight="1">
      <c r="A424" s="831"/>
      <c r="B424" s="868" t="s">
        <v>451</v>
      </c>
      <c r="C424" s="382" t="s">
        <v>281</v>
      </c>
      <c r="D424" s="831" t="s">
        <v>881</v>
      </c>
      <c r="E424" s="383" t="e">
        <f>E428+E454+E456</f>
        <v>#VALUE!</v>
      </c>
      <c r="F424" s="383">
        <f t="shared" ref="F424:N424" si="63">F428+F454+F456</f>
        <v>0</v>
      </c>
      <c r="G424" s="383">
        <f t="shared" si="63"/>
        <v>0</v>
      </c>
      <c r="H424" s="383">
        <f t="shared" si="63"/>
        <v>13723.005216666663</v>
      </c>
      <c r="I424" s="383">
        <f t="shared" si="63"/>
        <v>24167.16</v>
      </c>
      <c r="J424" s="383">
        <f t="shared" si="63"/>
        <v>12760.176000000003</v>
      </c>
      <c r="K424" s="383">
        <f t="shared" si="63"/>
        <v>25256.540400000002</v>
      </c>
      <c r="L424" s="383" t="e">
        <f t="shared" si="63"/>
        <v>#VALUE!</v>
      </c>
      <c r="M424" s="383" t="e">
        <f t="shared" si="63"/>
        <v>#VALUE!</v>
      </c>
      <c r="N424" s="383" t="e">
        <f t="shared" si="63"/>
        <v>#VALUE!</v>
      </c>
      <c r="O424" s="383"/>
      <c r="P424" s="383">
        <f>P428+P454+P456</f>
        <v>23706.984615384608</v>
      </c>
      <c r="Q424" s="835"/>
      <c r="R424" s="835"/>
      <c r="S424" s="1017"/>
      <c r="T424" s="946">
        <f>'[1]2,DG-capdoi'!N416</f>
        <v>982811.82936782076</v>
      </c>
      <c r="U424" s="946" t="e">
        <f t="shared" si="62"/>
        <v>#VALUE!</v>
      </c>
      <c r="V424" s="367"/>
      <c r="W424" s="367"/>
      <c r="X424" s="367"/>
      <c r="Y424" s="367"/>
      <c r="Z424" s="367"/>
      <c r="AA424" s="367"/>
      <c r="AB424" s="367"/>
      <c r="AC424" s="367"/>
      <c r="AD424" s="367"/>
      <c r="AE424" s="367"/>
      <c r="AF424" s="367"/>
      <c r="AG424" s="367"/>
      <c r="AH424" s="367"/>
      <c r="AI424" s="367"/>
      <c r="AJ424" s="367"/>
      <c r="AK424" s="367"/>
    </row>
    <row r="425" spans="1:37" s="917" customFormat="1" ht="23.25" customHeight="1">
      <c r="A425" s="831"/>
      <c r="B425" s="868" t="s">
        <v>452</v>
      </c>
      <c r="C425" s="382" t="s">
        <v>281</v>
      </c>
      <c r="D425" s="831" t="s">
        <v>881</v>
      </c>
      <c r="E425" s="383" t="e">
        <f>E429+E454+E456</f>
        <v>#VALUE!</v>
      </c>
      <c r="F425" s="383">
        <f t="shared" ref="F425:P425" si="64">F429+F454+F456</f>
        <v>0</v>
      </c>
      <c r="G425" s="383">
        <f t="shared" si="64"/>
        <v>0</v>
      </c>
      <c r="H425" s="383">
        <f t="shared" si="64"/>
        <v>13723.005216666663</v>
      </c>
      <c r="I425" s="383">
        <f t="shared" si="64"/>
        <v>24167.16</v>
      </c>
      <c r="J425" s="383">
        <f t="shared" si="64"/>
        <v>12760.176000000003</v>
      </c>
      <c r="K425" s="383">
        <f t="shared" si="64"/>
        <v>25256.540400000002</v>
      </c>
      <c r="L425" s="383" t="e">
        <f t="shared" si="64"/>
        <v>#VALUE!</v>
      </c>
      <c r="M425" s="383" t="e">
        <f t="shared" si="64"/>
        <v>#VALUE!</v>
      </c>
      <c r="N425" s="383" t="e">
        <f t="shared" si="64"/>
        <v>#VALUE!</v>
      </c>
      <c r="O425" s="383"/>
      <c r="P425" s="383">
        <f t="shared" si="64"/>
        <v>23307.359615384608</v>
      </c>
      <c r="Q425" s="890">
        <f>'He so chung'!D$22</f>
        <v>5346.1538461538457</v>
      </c>
      <c r="R425" s="890">
        <f>'He so chung'!D$23</f>
        <v>801.92307692307691</v>
      </c>
      <c r="S425" s="1019"/>
      <c r="T425" s="946">
        <f>'[1]2,DG-capdoi'!N417</f>
        <v>969474.54480532079</v>
      </c>
      <c r="U425" s="946" t="e">
        <f t="shared" si="62"/>
        <v>#VALUE!</v>
      </c>
      <c r="V425" s="367"/>
      <c r="W425" s="367"/>
      <c r="X425" s="367"/>
      <c r="Y425" s="367"/>
      <c r="Z425" s="367"/>
      <c r="AA425" s="367"/>
      <c r="AB425" s="367"/>
      <c r="AC425" s="367"/>
      <c r="AD425" s="367"/>
      <c r="AE425" s="367"/>
      <c r="AF425" s="367"/>
      <c r="AG425" s="367"/>
      <c r="AH425" s="367"/>
      <c r="AI425" s="367"/>
      <c r="AJ425" s="367"/>
      <c r="AK425" s="367"/>
    </row>
    <row r="426" spans="1:37" s="917" customFormat="1" ht="19.5" customHeight="1">
      <c r="A426" s="831"/>
      <c r="B426" s="868"/>
      <c r="C426" s="382"/>
      <c r="D426" s="382"/>
      <c r="E426" s="382"/>
      <c r="F426" s="382"/>
      <c r="G426" s="837"/>
      <c r="H426" s="382"/>
      <c r="I426" s="382"/>
      <c r="J426" s="382"/>
      <c r="K426" s="382"/>
      <c r="L426" s="382"/>
      <c r="M426" s="382"/>
      <c r="N426" s="382"/>
      <c r="O426" s="382"/>
      <c r="P426" s="383"/>
      <c r="Q426" s="890"/>
      <c r="R426" s="890"/>
      <c r="S426" s="1019"/>
      <c r="T426" s="946">
        <f>'[1]2,DG-capdoi'!N418</f>
        <v>0</v>
      </c>
      <c r="U426" s="946">
        <f t="shared" si="62"/>
        <v>0</v>
      </c>
      <c r="V426" s="367"/>
      <c r="W426" s="367"/>
      <c r="X426" s="367"/>
      <c r="Y426" s="367"/>
      <c r="Z426" s="367"/>
      <c r="AA426" s="367"/>
      <c r="AB426" s="367"/>
      <c r="AC426" s="367"/>
      <c r="AD426" s="367"/>
      <c r="AE426" s="367"/>
      <c r="AF426" s="367"/>
      <c r="AG426" s="367"/>
      <c r="AH426" s="367"/>
      <c r="AI426" s="367"/>
      <c r="AJ426" s="367"/>
      <c r="AK426" s="367"/>
    </row>
    <row r="427" spans="1:37" s="917" customFormat="1" ht="25.5" customHeight="1">
      <c r="A427" s="831" t="s">
        <v>179</v>
      </c>
      <c r="B427" s="888" t="s">
        <v>1057</v>
      </c>
      <c r="C427" s="382"/>
      <c r="D427" s="382"/>
      <c r="E427" s="382"/>
      <c r="F427" s="382"/>
      <c r="G427" s="837"/>
      <c r="H427" s="382"/>
      <c r="I427" s="382"/>
      <c r="J427" s="382"/>
      <c r="K427" s="382"/>
      <c r="L427" s="382"/>
      <c r="M427" s="382"/>
      <c r="N427" s="382"/>
      <c r="O427" s="382"/>
      <c r="P427" s="383"/>
      <c r="Q427" s="890"/>
      <c r="R427" s="890"/>
      <c r="S427" s="1019"/>
      <c r="T427" s="946">
        <f>'[1]2,DG-capdoi'!N419</f>
        <v>0</v>
      </c>
      <c r="U427" s="946">
        <f t="shared" si="62"/>
        <v>0</v>
      </c>
      <c r="V427" s="367"/>
      <c r="W427" s="367"/>
      <c r="X427" s="367"/>
      <c r="Y427" s="367"/>
      <c r="Z427" s="367"/>
      <c r="AA427" s="367"/>
      <c r="AB427" s="367"/>
      <c r="AC427" s="367"/>
      <c r="AD427" s="367"/>
      <c r="AE427" s="367"/>
      <c r="AF427" s="367"/>
      <c r="AG427" s="367"/>
      <c r="AH427" s="367"/>
      <c r="AI427" s="367"/>
      <c r="AJ427" s="367"/>
      <c r="AK427" s="367"/>
    </row>
    <row r="428" spans="1:37" s="917" customFormat="1" ht="20.25" customHeight="1">
      <c r="A428" s="869" t="s">
        <v>665</v>
      </c>
      <c r="B428" s="868" t="s">
        <v>451</v>
      </c>
      <c r="C428" s="382" t="s">
        <v>281</v>
      </c>
      <c r="D428" s="1080"/>
      <c r="E428" s="919" t="e">
        <f>E431+E433+E434+E435+E436+E438+E440+E442+E444+E445+E448+E449+E450+E451+E452+E453</f>
        <v>#VALUE!</v>
      </c>
      <c r="F428" s="914"/>
      <c r="G428" s="391"/>
      <c r="H428" s="919">
        <f>'Dcu-DKDD'!$L$280*1.3</f>
        <v>13601.140991666663</v>
      </c>
      <c r="I428" s="919">
        <f>'VL-DKDD'!$J$283</f>
        <v>23281.56</v>
      </c>
      <c r="J428" s="919">
        <f>'TB-DKDD'!$M$159*1.3</f>
        <v>12760.176000000003</v>
      </c>
      <c r="K428" s="919">
        <f>'NL-DKDD'!$J$108*1.3</f>
        <v>25256.540400000002</v>
      </c>
      <c r="L428" s="919" t="e">
        <f>SUM(E428:K428)</f>
        <v>#VALUE!</v>
      </c>
      <c r="M428" s="919" t="e">
        <f>L428*'He so chung'!$D$17/100</f>
        <v>#VALUE!</v>
      </c>
      <c r="N428" s="919" t="e">
        <f>L428+M428</f>
        <v>#VALUE!</v>
      </c>
      <c r="O428" s="914"/>
      <c r="P428" s="383">
        <f>P431+P433+P434+P435+P436+P438+P440+P442+P444+P445+P448+P449+P450+P451+P452+P453</f>
        <v>23387.284615384611</v>
      </c>
      <c r="Q428" s="835"/>
      <c r="R428" s="835"/>
      <c r="S428" s="1011"/>
      <c r="T428" s="946">
        <f>'[1]2,DG-capdoi'!N420</f>
        <v>970983.4178590707</v>
      </c>
      <c r="U428" s="946" t="e">
        <f t="shared" si="62"/>
        <v>#VALUE!</v>
      </c>
      <c r="V428" s="367"/>
      <c r="W428" s="367"/>
      <c r="X428" s="367"/>
      <c r="Y428" s="367"/>
      <c r="Z428" s="367"/>
      <c r="AA428" s="367"/>
      <c r="AB428" s="367"/>
      <c r="AC428" s="367"/>
      <c r="AD428" s="367"/>
      <c r="AE428" s="367"/>
      <c r="AF428" s="367"/>
      <c r="AG428" s="367"/>
      <c r="AH428" s="367"/>
      <c r="AI428" s="367"/>
      <c r="AJ428" s="367"/>
      <c r="AK428" s="367"/>
    </row>
    <row r="429" spans="1:37" s="917" customFormat="1" ht="20.25" customHeight="1">
      <c r="A429" s="869" t="s">
        <v>666</v>
      </c>
      <c r="B429" s="868" t="s">
        <v>452</v>
      </c>
      <c r="C429" s="382" t="s">
        <v>281</v>
      </c>
      <c r="D429" s="1080"/>
      <c r="E429" s="919" t="e">
        <f>E432+E433+E434+E435+E436+E438+E440+E442+E444+E445+E448+E449+E450+E451+E452+E453</f>
        <v>#VALUE!</v>
      </c>
      <c r="F429" s="914"/>
      <c r="G429" s="391"/>
      <c r="H429" s="919">
        <f>'Dcu-DKDD'!$L$280*1.3</f>
        <v>13601.140991666663</v>
      </c>
      <c r="I429" s="919">
        <f>'VL-DKDD'!$J$283</f>
        <v>23281.56</v>
      </c>
      <c r="J429" s="919">
        <f>'TB-DKDD'!$M$159*1.3</f>
        <v>12760.176000000003</v>
      </c>
      <c r="K429" s="919">
        <f>'NL-DKDD'!$J$108*1.3</f>
        <v>25256.540400000002</v>
      </c>
      <c r="L429" s="919" t="e">
        <f>SUM(E429:K429)</f>
        <v>#VALUE!</v>
      </c>
      <c r="M429" s="919" t="e">
        <f>L429*'He so chung'!$D$17/100</f>
        <v>#VALUE!</v>
      </c>
      <c r="N429" s="919" t="e">
        <f>L429+M429</f>
        <v>#VALUE!</v>
      </c>
      <c r="O429" s="914"/>
      <c r="P429" s="383">
        <f>P432+P433+P434+P435+P436+P438+P440+P442+P444+P445+P448+P449+P450+P451+P452+P453</f>
        <v>22987.659615384611</v>
      </c>
      <c r="Q429" s="835"/>
      <c r="R429" s="835"/>
      <c r="S429" s="1011"/>
      <c r="T429" s="946">
        <f>'[1]2,DG-capdoi'!N421</f>
        <v>957646.13329657074</v>
      </c>
      <c r="U429" s="946" t="e">
        <f t="shared" si="62"/>
        <v>#VALUE!</v>
      </c>
      <c r="V429" s="367"/>
      <c r="W429" s="367"/>
      <c r="X429" s="367"/>
      <c r="Y429" s="367"/>
      <c r="Z429" s="367"/>
      <c r="AA429" s="367"/>
      <c r="AB429" s="367"/>
      <c r="AC429" s="367"/>
      <c r="AD429" s="367"/>
      <c r="AE429" s="367"/>
      <c r="AF429" s="367"/>
      <c r="AG429" s="367"/>
      <c r="AH429" s="367"/>
      <c r="AI429" s="367"/>
      <c r="AJ429" s="367"/>
      <c r="AK429" s="367"/>
    </row>
    <row r="430" spans="1:37" s="917" customFormat="1" ht="28.5" customHeight="1">
      <c r="A430" s="832">
        <v>1</v>
      </c>
      <c r="B430" s="827" t="s">
        <v>516</v>
      </c>
      <c r="C430" s="1047"/>
      <c r="D430" s="1080"/>
      <c r="E430" s="914"/>
      <c r="F430" s="914"/>
      <c r="G430" s="391"/>
      <c r="H430" s="914"/>
      <c r="I430" s="914"/>
      <c r="J430" s="914"/>
      <c r="K430" s="914"/>
      <c r="L430" s="914"/>
      <c r="M430" s="914"/>
      <c r="N430" s="914"/>
      <c r="O430" s="914"/>
      <c r="P430" s="383"/>
      <c r="Q430" s="835"/>
      <c r="R430" s="835"/>
      <c r="S430" s="1011"/>
      <c r="T430" s="946">
        <f>'[1]2,DG-capdoi'!N422</f>
        <v>0</v>
      </c>
      <c r="U430" s="946">
        <f t="shared" si="62"/>
        <v>0</v>
      </c>
      <c r="V430" s="367"/>
      <c r="W430" s="367"/>
      <c r="X430" s="367"/>
      <c r="Y430" s="367"/>
      <c r="Z430" s="367"/>
      <c r="AA430" s="367"/>
      <c r="AB430" s="367"/>
      <c r="AC430" s="367"/>
      <c r="AD430" s="367"/>
      <c r="AE430" s="367"/>
      <c r="AF430" s="367"/>
      <c r="AG430" s="367"/>
      <c r="AH430" s="367"/>
      <c r="AI430" s="367"/>
      <c r="AJ430" s="367"/>
      <c r="AK430" s="367"/>
    </row>
    <row r="431" spans="1:37" s="917" customFormat="1" ht="22.5" customHeight="1">
      <c r="A431" s="832" t="s">
        <v>891</v>
      </c>
      <c r="B431" s="827" t="s">
        <v>33</v>
      </c>
      <c r="C431" s="832" t="s">
        <v>281</v>
      </c>
      <c r="D431" s="901" t="s">
        <v>881</v>
      </c>
      <c r="E431" s="898" t="e">
        <f>NC_DKDD!H840</f>
        <v>#VALUE!</v>
      </c>
      <c r="F431" s="914"/>
      <c r="G431" s="391"/>
      <c r="H431" s="914"/>
      <c r="I431" s="914"/>
      <c r="J431" s="914"/>
      <c r="K431" s="914"/>
      <c r="L431" s="914"/>
      <c r="M431" s="914"/>
      <c r="N431" s="914"/>
      <c r="O431" s="914"/>
      <c r="P431" s="383">
        <f t="shared" ref="P431:P457" si="65">Q431+R431</f>
        <v>1998.125</v>
      </c>
      <c r="Q431" s="835">
        <f t="shared" ref="Q431:Q457" si="66">S431*Q$209</f>
        <v>1737.5</v>
      </c>
      <c r="R431" s="835">
        <f t="shared" ref="R431:R457" si="67">S431*R$209</f>
        <v>260.625</v>
      </c>
      <c r="S431" s="1011">
        <f>NC_DKDD!G840</f>
        <v>0.32500000000000001</v>
      </c>
      <c r="T431" s="946">
        <f>'[1]2,DG-capdoi'!N423</f>
        <v>0</v>
      </c>
      <c r="U431" s="946">
        <f t="shared" si="62"/>
        <v>0</v>
      </c>
      <c r="V431" s="367"/>
      <c r="W431" s="367"/>
      <c r="X431" s="367"/>
      <c r="Y431" s="367"/>
      <c r="Z431" s="367"/>
      <c r="AA431" s="367"/>
      <c r="AB431" s="367"/>
      <c r="AC431" s="367"/>
      <c r="AD431" s="367"/>
      <c r="AE431" s="367"/>
      <c r="AF431" s="367"/>
      <c r="AG431" s="367"/>
      <c r="AH431" s="367"/>
      <c r="AI431" s="367"/>
      <c r="AJ431" s="367"/>
      <c r="AK431" s="367"/>
    </row>
    <row r="432" spans="1:37" s="917" customFormat="1" ht="22.5" customHeight="1">
      <c r="A432" s="832" t="s">
        <v>899</v>
      </c>
      <c r="B432" s="827" t="s">
        <v>36</v>
      </c>
      <c r="C432" s="832" t="s">
        <v>281</v>
      </c>
      <c r="D432" s="901" t="s">
        <v>881</v>
      </c>
      <c r="E432" s="898" t="e">
        <f>NC_DKDD!H841</f>
        <v>#VALUE!</v>
      </c>
      <c r="F432" s="914"/>
      <c r="G432" s="391"/>
      <c r="H432" s="914"/>
      <c r="I432" s="914"/>
      <c r="J432" s="914"/>
      <c r="K432" s="914"/>
      <c r="L432" s="914"/>
      <c r="M432" s="914"/>
      <c r="N432" s="914"/>
      <c r="O432" s="914"/>
      <c r="P432" s="383">
        <f t="shared" si="65"/>
        <v>1598.5</v>
      </c>
      <c r="Q432" s="835">
        <f t="shared" si="66"/>
        <v>1390</v>
      </c>
      <c r="R432" s="835">
        <f t="shared" si="67"/>
        <v>208.5</v>
      </c>
      <c r="S432" s="1011">
        <f>NC_DKDD!G841</f>
        <v>0.26</v>
      </c>
      <c r="T432" s="946">
        <f>'[1]2,DG-capdoi'!N424</f>
        <v>0</v>
      </c>
      <c r="U432" s="946">
        <f t="shared" si="62"/>
        <v>0</v>
      </c>
      <c r="V432" s="367"/>
      <c r="W432" s="367"/>
      <c r="X432" s="367"/>
      <c r="Y432" s="367"/>
      <c r="Z432" s="367"/>
      <c r="AA432" s="367"/>
      <c r="AB432" s="367"/>
      <c r="AC432" s="367"/>
      <c r="AD432" s="367"/>
      <c r="AE432" s="367"/>
      <c r="AF432" s="367"/>
      <c r="AG432" s="367"/>
      <c r="AH432" s="367"/>
      <c r="AI432" s="367"/>
      <c r="AJ432" s="367"/>
      <c r="AK432" s="367"/>
    </row>
    <row r="433" spans="1:37" s="917" customFormat="1" ht="45.75" customHeight="1">
      <c r="A433" s="832">
        <v>2</v>
      </c>
      <c r="B433" s="827" t="s">
        <v>953</v>
      </c>
      <c r="C433" s="832" t="s">
        <v>281</v>
      </c>
      <c r="D433" s="901" t="s">
        <v>881</v>
      </c>
      <c r="E433" s="898" t="e">
        <f>NC_DKDD!H842</f>
        <v>#VALUE!</v>
      </c>
      <c r="F433" s="914"/>
      <c r="G433" s="391"/>
      <c r="H433" s="914"/>
      <c r="I433" s="914"/>
      <c r="J433" s="914"/>
      <c r="K433" s="914"/>
      <c r="L433" s="914"/>
      <c r="M433" s="914"/>
      <c r="N433" s="914"/>
      <c r="O433" s="914"/>
      <c r="P433" s="383">
        <f t="shared" si="65"/>
        <v>1598.5</v>
      </c>
      <c r="Q433" s="835">
        <f t="shared" si="66"/>
        <v>1390</v>
      </c>
      <c r="R433" s="835">
        <f t="shared" si="67"/>
        <v>208.5</v>
      </c>
      <c r="S433" s="1011">
        <f>NC_DKDD!G842</f>
        <v>0.26</v>
      </c>
      <c r="T433" s="946">
        <f>'[1]2,DG-capdoi'!N425</f>
        <v>0</v>
      </c>
      <c r="U433" s="946">
        <f t="shared" si="62"/>
        <v>0</v>
      </c>
      <c r="V433" s="367"/>
      <c r="W433" s="367"/>
      <c r="X433" s="367"/>
      <c r="Y433" s="367"/>
      <c r="Z433" s="367"/>
      <c r="AA433" s="367"/>
      <c r="AB433" s="367"/>
      <c r="AC433" s="367"/>
      <c r="AD433" s="367"/>
      <c r="AE433" s="367"/>
      <c r="AF433" s="367"/>
      <c r="AG433" s="367"/>
      <c r="AH433" s="367"/>
      <c r="AI433" s="367"/>
      <c r="AJ433" s="367"/>
      <c r="AK433" s="367"/>
    </row>
    <row r="434" spans="1:37" s="917" customFormat="1" ht="35.25" customHeight="1">
      <c r="A434" s="832">
        <v>3</v>
      </c>
      <c r="B434" s="827" t="s">
        <v>517</v>
      </c>
      <c r="C434" s="832" t="s">
        <v>523</v>
      </c>
      <c r="D434" s="901" t="s">
        <v>881</v>
      </c>
      <c r="E434" s="898" t="e">
        <f>NC_DKDD!H843</f>
        <v>#VALUE!</v>
      </c>
      <c r="F434" s="914"/>
      <c r="G434" s="391"/>
      <c r="H434" s="914"/>
      <c r="I434" s="914"/>
      <c r="J434" s="914"/>
      <c r="K434" s="914"/>
      <c r="L434" s="914"/>
      <c r="M434" s="914"/>
      <c r="N434" s="914"/>
      <c r="O434" s="914"/>
      <c r="P434" s="383">
        <f t="shared" si="65"/>
        <v>1026.728846153846</v>
      </c>
      <c r="Q434" s="835">
        <f t="shared" si="66"/>
        <v>892.80769230769226</v>
      </c>
      <c r="R434" s="835">
        <f t="shared" si="67"/>
        <v>133.92115384615386</v>
      </c>
      <c r="S434" s="1011">
        <f>NC_DKDD!G843</f>
        <v>0.16700000000000001</v>
      </c>
      <c r="T434" s="946">
        <f>'[1]2,DG-capdoi'!N426</f>
        <v>0</v>
      </c>
      <c r="U434" s="946">
        <f t="shared" si="62"/>
        <v>0</v>
      </c>
      <c r="V434" s="367"/>
      <c r="W434" s="367"/>
      <c r="X434" s="367"/>
      <c r="Y434" s="367"/>
      <c r="Z434" s="367"/>
      <c r="AA434" s="367"/>
      <c r="AB434" s="367"/>
      <c r="AC434" s="367"/>
      <c r="AD434" s="367"/>
      <c r="AE434" s="367"/>
      <c r="AF434" s="367"/>
      <c r="AG434" s="367"/>
      <c r="AH434" s="367"/>
      <c r="AI434" s="367"/>
      <c r="AJ434" s="367"/>
      <c r="AK434" s="367"/>
    </row>
    <row r="435" spans="1:37" s="917" customFormat="1" ht="47.25" customHeight="1">
      <c r="A435" s="832">
        <v>4</v>
      </c>
      <c r="B435" s="827" t="s">
        <v>518</v>
      </c>
      <c r="C435" s="832" t="s">
        <v>281</v>
      </c>
      <c r="D435" s="901" t="s">
        <v>881</v>
      </c>
      <c r="E435" s="898" t="e">
        <f>NC_DKDD!H844</f>
        <v>#VALUE!</v>
      </c>
      <c r="F435" s="914"/>
      <c r="G435" s="391"/>
      <c r="H435" s="914"/>
      <c r="I435" s="914"/>
      <c r="J435" s="914"/>
      <c r="K435" s="914"/>
      <c r="L435" s="914"/>
      <c r="M435" s="914"/>
      <c r="N435" s="914"/>
      <c r="O435" s="914"/>
      <c r="P435" s="383">
        <f t="shared" si="65"/>
        <v>7992.5</v>
      </c>
      <c r="Q435" s="835">
        <f t="shared" si="66"/>
        <v>6950</v>
      </c>
      <c r="R435" s="835">
        <f t="shared" si="67"/>
        <v>1042.5</v>
      </c>
      <c r="S435" s="1011">
        <f>NC_DKDD!G844</f>
        <v>1.3</v>
      </c>
      <c r="T435" s="946">
        <f>'[1]2,DG-capdoi'!N427</f>
        <v>0</v>
      </c>
      <c r="U435" s="946">
        <f t="shared" si="62"/>
        <v>0</v>
      </c>
      <c r="V435" s="367"/>
      <c r="W435" s="367"/>
      <c r="X435" s="367"/>
      <c r="Y435" s="367"/>
      <c r="Z435" s="367"/>
      <c r="AA435" s="367"/>
      <c r="AB435" s="367"/>
      <c r="AC435" s="367"/>
      <c r="AD435" s="367"/>
      <c r="AE435" s="367"/>
      <c r="AF435" s="367"/>
      <c r="AG435" s="367"/>
      <c r="AH435" s="367"/>
      <c r="AI435" s="367"/>
      <c r="AJ435" s="367"/>
      <c r="AK435" s="367"/>
    </row>
    <row r="436" spans="1:37" s="917" customFormat="1" ht="36" customHeight="1">
      <c r="A436" s="832">
        <v>5</v>
      </c>
      <c r="B436" s="827" t="s">
        <v>519</v>
      </c>
      <c r="C436" s="832" t="s">
        <v>523</v>
      </c>
      <c r="D436" s="901" t="s">
        <v>881</v>
      </c>
      <c r="E436" s="898" t="e">
        <f>NC_DKDD!H845</f>
        <v>#VALUE!</v>
      </c>
      <c r="F436" s="914"/>
      <c r="G436" s="391"/>
      <c r="H436" s="914"/>
      <c r="I436" s="914"/>
      <c r="J436" s="914"/>
      <c r="K436" s="914"/>
      <c r="L436" s="914"/>
      <c r="M436" s="914"/>
      <c r="N436" s="914"/>
      <c r="O436" s="914"/>
      <c r="P436" s="383">
        <f t="shared" si="65"/>
        <v>36.888461538461534</v>
      </c>
      <c r="Q436" s="835">
        <f t="shared" si="66"/>
        <v>32.076923076923073</v>
      </c>
      <c r="R436" s="835">
        <f t="shared" si="67"/>
        <v>4.8115384615384613</v>
      </c>
      <c r="S436" s="1011">
        <f>NC_DKDD!G845</f>
        <v>6.0000000000000001E-3</v>
      </c>
      <c r="T436" s="946">
        <f>'[1]2,DG-capdoi'!N428</f>
        <v>0</v>
      </c>
      <c r="U436" s="946">
        <f t="shared" si="62"/>
        <v>0</v>
      </c>
      <c r="V436" s="367"/>
      <c r="W436" s="367"/>
      <c r="X436" s="367"/>
      <c r="Y436" s="367"/>
      <c r="Z436" s="367"/>
      <c r="AA436" s="367"/>
      <c r="AB436" s="367"/>
      <c r="AC436" s="367"/>
      <c r="AD436" s="367"/>
      <c r="AE436" s="367"/>
      <c r="AF436" s="367"/>
      <c r="AG436" s="367"/>
      <c r="AH436" s="367"/>
      <c r="AI436" s="367"/>
      <c r="AJ436" s="367"/>
      <c r="AK436" s="367"/>
    </row>
    <row r="437" spans="1:37" s="917" customFormat="1" ht="53.25" customHeight="1">
      <c r="A437" s="832">
        <v>6</v>
      </c>
      <c r="B437" s="827" t="s">
        <v>958</v>
      </c>
      <c r="C437" s="832"/>
      <c r="D437" s="832"/>
      <c r="E437" s="898">
        <f>NC_DKDD!H846</f>
        <v>0</v>
      </c>
      <c r="F437" s="914"/>
      <c r="G437" s="391"/>
      <c r="H437" s="914"/>
      <c r="I437" s="914"/>
      <c r="J437" s="914"/>
      <c r="K437" s="914"/>
      <c r="L437" s="914"/>
      <c r="M437" s="914"/>
      <c r="N437" s="914"/>
      <c r="O437" s="914"/>
      <c r="P437" s="383">
        <f t="shared" si="65"/>
        <v>0</v>
      </c>
      <c r="Q437" s="835">
        <f t="shared" si="66"/>
        <v>0</v>
      </c>
      <c r="R437" s="835">
        <f t="shared" si="67"/>
        <v>0</v>
      </c>
      <c r="S437" s="1011">
        <f>NC_DKDD!G846</f>
        <v>0</v>
      </c>
      <c r="T437" s="946">
        <f>'[1]2,DG-capdoi'!N429</f>
        <v>0</v>
      </c>
      <c r="U437" s="946">
        <f t="shared" si="62"/>
        <v>0</v>
      </c>
      <c r="V437" s="367"/>
      <c r="W437" s="367"/>
      <c r="X437" s="367"/>
      <c r="Y437" s="367"/>
      <c r="Z437" s="367"/>
      <c r="AA437" s="367"/>
      <c r="AB437" s="367"/>
      <c r="AC437" s="367"/>
      <c r="AD437" s="367"/>
      <c r="AE437" s="367"/>
      <c r="AF437" s="367"/>
      <c r="AG437" s="367"/>
      <c r="AH437" s="367"/>
      <c r="AI437" s="367"/>
      <c r="AJ437" s="367"/>
      <c r="AK437" s="367"/>
    </row>
    <row r="438" spans="1:37" s="917" customFormat="1" ht="22.5" customHeight="1">
      <c r="A438" s="832" t="s">
        <v>444</v>
      </c>
      <c r="B438" s="827" t="s">
        <v>770</v>
      </c>
      <c r="C438" s="832" t="s">
        <v>281</v>
      </c>
      <c r="D438" s="901" t="s">
        <v>881</v>
      </c>
      <c r="E438" s="898" t="e">
        <f>NC_DKDD!H847</f>
        <v>#VALUE!</v>
      </c>
      <c r="F438" s="914"/>
      <c r="G438" s="391"/>
      <c r="H438" s="914"/>
      <c r="I438" s="914"/>
      <c r="J438" s="914"/>
      <c r="K438" s="914"/>
      <c r="L438" s="914"/>
      <c r="M438" s="914"/>
      <c r="N438" s="914"/>
      <c r="O438" s="914"/>
      <c r="P438" s="383">
        <f t="shared" si="65"/>
        <v>307.40384615384619</v>
      </c>
      <c r="Q438" s="835">
        <f t="shared" si="66"/>
        <v>267.30769230769232</v>
      </c>
      <c r="R438" s="835">
        <f t="shared" si="67"/>
        <v>40.096153846153847</v>
      </c>
      <c r="S438" s="1011">
        <f>NC_DKDD!G847</f>
        <v>0.05</v>
      </c>
      <c r="T438" s="946">
        <f>'[1]2,DG-capdoi'!N430</f>
        <v>0</v>
      </c>
      <c r="U438" s="946">
        <f t="shared" si="62"/>
        <v>0</v>
      </c>
      <c r="V438" s="367"/>
      <c r="W438" s="367"/>
      <c r="X438" s="367"/>
      <c r="Y438" s="367"/>
      <c r="Z438" s="367"/>
      <c r="AA438" s="367"/>
      <c r="AB438" s="367"/>
      <c r="AC438" s="367"/>
      <c r="AD438" s="367"/>
      <c r="AE438" s="367"/>
      <c r="AF438" s="367"/>
      <c r="AG438" s="367"/>
      <c r="AH438" s="367"/>
      <c r="AI438" s="367"/>
      <c r="AJ438" s="367"/>
      <c r="AK438" s="367"/>
    </row>
    <row r="439" spans="1:37" s="917" customFormat="1" ht="22.5" customHeight="1">
      <c r="A439" s="832" t="s">
        <v>445</v>
      </c>
      <c r="B439" s="827" t="s">
        <v>771</v>
      </c>
      <c r="C439" s="832" t="s">
        <v>281</v>
      </c>
      <c r="D439" s="901" t="s">
        <v>881</v>
      </c>
      <c r="E439" s="898" t="e">
        <f>NC_DKDD!H848</f>
        <v>#VALUE!</v>
      </c>
      <c r="F439" s="914"/>
      <c r="G439" s="391"/>
      <c r="H439" s="914"/>
      <c r="I439" s="914"/>
      <c r="J439" s="914"/>
      <c r="K439" s="914"/>
      <c r="L439" s="914"/>
      <c r="M439" s="914"/>
      <c r="N439" s="914"/>
      <c r="O439" s="914"/>
      <c r="P439" s="383">
        <f t="shared" si="65"/>
        <v>614.80769230769238</v>
      </c>
      <c r="Q439" s="835">
        <f t="shared" si="66"/>
        <v>534.61538461538464</v>
      </c>
      <c r="R439" s="835">
        <f t="shared" si="67"/>
        <v>80.192307692307693</v>
      </c>
      <c r="S439" s="1011">
        <f>NC_DKDD!G848</f>
        <v>0.1</v>
      </c>
      <c r="T439" s="946">
        <f>'[1]2,DG-capdoi'!N431</f>
        <v>0</v>
      </c>
      <c r="U439" s="946">
        <f t="shared" si="62"/>
        <v>0</v>
      </c>
      <c r="V439" s="367"/>
      <c r="W439" s="367"/>
      <c r="X439" s="367"/>
      <c r="Y439" s="367"/>
      <c r="Z439" s="367"/>
      <c r="AA439" s="367"/>
      <c r="AB439" s="367"/>
      <c r="AC439" s="367"/>
      <c r="AD439" s="367"/>
      <c r="AE439" s="367"/>
      <c r="AF439" s="367"/>
      <c r="AG439" s="367"/>
      <c r="AH439" s="367"/>
      <c r="AI439" s="367"/>
      <c r="AJ439" s="367"/>
      <c r="AK439" s="367"/>
    </row>
    <row r="440" spans="1:37" s="917" customFormat="1" ht="48" customHeight="1">
      <c r="A440" s="832">
        <v>7</v>
      </c>
      <c r="B440" s="827" t="s">
        <v>510</v>
      </c>
      <c r="C440" s="832" t="s">
        <v>523</v>
      </c>
      <c r="D440" s="901" t="s">
        <v>881</v>
      </c>
      <c r="E440" s="898" t="e">
        <f>NC_DKDD!H849</f>
        <v>#VALUE!</v>
      </c>
      <c r="F440" s="914"/>
      <c r="G440" s="391"/>
      <c r="H440" s="914"/>
      <c r="I440" s="914"/>
      <c r="J440" s="914"/>
      <c r="K440" s="914"/>
      <c r="L440" s="914"/>
      <c r="M440" s="914"/>
      <c r="N440" s="914"/>
      <c r="O440" s="914"/>
      <c r="P440" s="383">
        <f t="shared" si="65"/>
        <v>1026.728846153846</v>
      </c>
      <c r="Q440" s="835">
        <f t="shared" si="66"/>
        <v>892.80769230769226</v>
      </c>
      <c r="R440" s="835">
        <f t="shared" si="67"/>
        <v>133.92115384615386</v>
      </c>
      <c r="S440" s="1011">
        <f>NC_DKDD!G849</f>
        <v>0.16700000000000001</v>
      </c>
      <c r="T440" s="946">
        <f>'[1]2,DG-capdoi'!N432</f>
        <v>0</v>
      </c>
      <c r="U440" s="946">
        <f t="shared" si="62"/>
        <v>0</v>
      </c>
      <c r="V440" s="367"/>
      <c r="W440" s="367"/>
      <c r="X440" s="367"/>
      <c r="Y440" s="367"/>
      <c r="Z440" s="367"/>
      <c r="AA440" s="367"/>
      <c r="AB440" s="367"/>
      <c r="AC440" s="367"/>
      <c r="AD440" s="367"/>
      <c r="AE440" s="367"/>
      <c r="AF440" s="367"/>
      <c r="AG440" s="367"/>
      <c r="AH440" s="367"/>
      <c r="AI440" s="367"/>
      <c r="AJ440" s="367"/>
      <c r="AK440" s="367"/>
    </row>
    <row r="441" spans="1:37" s="917" customFormat="1" ht="19.5" customHeight="1">
      <c r="A441" s="832">
        <v>8</v>
      </c>
      <c r="B441" s="827" t="s">
        <v>213</v>
      </c>
      <c r="C441" s="832"/>
      <c r="D441" s="832"/>
      <c r="E441" s="898">
        <f>NC_DKDD!H850</f>
        <v>0</v>
      </c>
      <c r="F441" s="914"/>
      <c r="G441" s="391"/>
      <c r="H441" s="914"/>
      <c r="I441" s="914"/>
      <c r="J441" s="914"/>
      <c r="K441" s="914"/>
      <c r="L441" s="914"/>
      <c r="M441" s="914"/>
      <c r="N441" s="914"/>
      <c r="O441" s="914"/>
      <c r="P441" s="383">
        <f t="shared" si="65"/>
        <v>0</v>
      </c>
      <c r="Q441" s="835">
        <f t="shared" si="66"/>
        <v>0</v>
      </c>
      <c r="R441" s="835">
        <f t="shared" si="67"/>
        <v>0</v>
      </c>
      <c r="S441" s="1011">
        <f>NC_DKDD!G850</f>
        <v>0</v>
      </c>
      <c r="T441" s="946">
        <f>'[1]2,DG-capdoi'!N433</f>
        <v>0</v>
      </c>
      <c r="U441" s="946">
        <f t="shared" si="62"/>
        <v>0</v>
      </c>
      <c r="V441" s="367"/>
      <c r="W441" s="367"/>
      <c r="X441" s="367"/>
      <c r="Y441" s="367"/>
      <c r="Z441" s="367"/>
      <c r="AA441" s="367"/>
      <c r="AB441" s="367"/>
      <c r="AC441" s="367"/>
      <c r="AD441" s="367"/>
      <c r="AE441" s="367"/>
      <c r="AF441" s="367"/>
      <c r="AG441" s="367"/>
      <c r="AH441" s="367"/>
      <c r="AI441" s="367"/>
      <c r="AJ441" s="367"/>
      <c r="AK441" s="367"/>
    </row>
    <row r="442" spans="1:37" s="917" customFormat="1" ht="28.5" customHeight="1">
      <c r="A442" s="832" t="s">
        <v>374</v>
      </c>
      <c r="B442" s="827" t="s">
        <v>215</v>
      </c>
      <c r="C442" s="832" t="s">
        <v>320</v>
      </c>
      <c r="D442" s="901" t="s">
        <v>881</v>
      </c>
      <c r="E442" s="898" t="e">
        <f>NC_DKDD!H851</f>
        <v>#VALUE!</v>
      </c>
      <c r="F442" s="914"/>
      <c r="G442" s="391"/>
      <c r="H442" s="914"/>
      <c r="I442" s="914"/>
      <c r="J442" s="914"/>
      <c r="K442" s="914"/>
      <c r="L442" s="914"/>
      <c r="M442" s="914"/>
      <c r="N442" s="914"/>
      <c r="O442" s="914"/>
      <c r="P442" s="383">
        <f t="shared" si="65"/>
        <v>614.80769230769238</v>
      </c>
      <c r="Q442" s="835">
        <f t="shared" si="66"/>
        <v>534.61538461538464</v>
      </c>
      <c r="R442" s="835">
        <f t="shared" si="67"/>
        <v>80.192307692307693</v>
      </c>
      <c r="S442" s="1011">
        <f>NC_DKDD!G851</f>
        <v>0.1</v>
      </c>
      <c r="T442" s="946">
        <f>'[1]2,DG-capdoi'!N434</f>
        <v>0</v>
      </c>
      <c r="U442" s="946">
        <f t="shared" si="62"/>
        <v>0</v>
      </c>
      <c r="V442" s="367"/>
      <c r="W442" s="367"/>
      <c r="X442" s="367"/>
      <c r="Y442" s="367"/>
      <c r="Z442" s="367"/>
      <c r="AA442" s="367"/>
      <c r="AB442" s="367"/>
      <c r="AC442" s="367"/>
      <c r="AD442" s="367"/>
      <c r="AE442" s="367"/>
      <c r="AF442" s="367"/>
      <c r="AG442" s="367"/>
      <c r="AH442" s="367"/>
      <c r="AI442" s="367"/>
      <c r="AJ442" s="367"/>
      <c r="AK442" s="367"/>
    </row>
    <row r="443" spans="1:37" s="917" customFormat="1" ht="24.75" customHeight="1">
      <c r="A443" s="832" t="s">
        <v>375</v>
      </c>
      <c r="B443" s="827" t="s">
        <v>217</v>
      </c>
      <c r="C443" s="832" t="s">
        <v>320</v>
      </c>
      <c r="D443" s="901" t="s">
        <v>881</v>
      </c>
      <c r="E443" s="898" t="e">
        <f>NC_DKDD!H852</f>
        <v>#VALUE!</v>
      </c>
      <c r="F443" s="914"/>
      <c r="G443" s="391"/>
      <c r="H443" s="914"/>
      <c r="I443" s="914"/>
      <c r="J443" s="914"/>
      <c r="K443" s="914"/>
      <c r="L443" s="914"/>
      <c r="M443" s="914"/>
      <c r="N443" s="914"/>
      <c r="O443" s="914"/>
      <c r="P443" s="383">
        <f t="shared" si="65"/>
        <v>1229.6153846153848</v>
      </c>
      <c r="Q443" s="835">
        <f t="shared" si="66"/>
        <v>1069.2307692307693</v>
      </c>
      <c r="R443" s="835">
        <f t="shared" si="67"/>
        <v>160.38461538461539</v>
      </c>
      <c r="S443" s="1011">
        <f>NC_DKDD!G852</f>
        <v>0.2</v>
      </c>
      <c r="T443" s="946">
        <f>'[1]2,DG-capdoi'!N435</f>
        <v>0</v>
      </c>
      <c r="U443" s="946">
        <f t="shared" si="62"/>
        <v>0</v>
      </c>
      <c r="V443" s="367"/>
      <c r="W443" s="367"/>
      <c r="X443" s="367"/>
      <c r="Y443" s="367"/>
      <c r="Z443" s="367"/>
      <c r="AA443" s="367"/>
      <c r="AB443" s="367"/>
      <c r="AC443" s="367"/>
      <c r="AD443" s="367"/>
      <c r="AE443" s="367"/>
      <c r="AF443" s="367"/>
      <c r="AG443" s="367"/>
      <c r="AH443" s="367"/>
      <c r="AI443" s="367"/>
      <c r="AJ443" s="367"/>
      <c r="AK443" s="367"/>
    </row>
    <row r="444" spans="1:37" s="917" customFormat="1" ht="51.75" customHeight="1">
      <c r="A444" s="832">
        <v>9</v>
      </c>
      <c r="B444" s="827" t="s">
        <v>520</v>
      </c>
      <c r="C444" s="832" t="s">
        <v>281</v>
      </c>
      <c r="D444" s="901" t="s">
        <v>881</v>
      </c>
      <c r="E444" s="898" t="e">
        <f>NC_DKDD!H853</f>
        <v>#VALUE!</v>
      </c>
      <c r="F444" s="914"/>
      <c r="G444" s="391"/>
      <c r="H444" s="914"/>
      <c r="I444" s="914"/>
      <c r="J444" s="914"/>
      <c r="K444" s="914"/>
      <c r="L444" s="914"/>
      <c r="M444" s="914"/>
      <c r="N444" s="914"/>
      <c r="O444" s="914"/>
      <c r="P444" s="383">
        <f t="shared" si="65"/>
        <v>3996.25</v>
      </c>
      <c r="Q444" s="835">
        <f t="shared" si="66"/>
        <v>3475</v>
      </c>
      <c r="R444" s="835">
        <f t="shared" si="67"/>
        <v>521.25</v>
      </c>
      <c r="S444" s="1011">
        <f>NC_DKDD!G853</f>
        <v>0.65</v>
      </c>
      <c r="T444" s="946">
        <f>'[1]2,DG-capdoi'!N436</f>
        <v>0</v>
      </c>
      <c r="U444" s="946">
        <f t="shared" si="62"/>
        <v>0</v>
      </c>
      <c r="V444" s="367"/>
      <c r="W444" s="367"/>
      <c r="X444" s="367"/>
      <c r="Y444" s="367"/>
      <c r="Z444" s="367"/>
      <c r="AA444" s="367"/>
      <c r="AB444" s="367"/>
      <c r="AC444" s="367"/>
      <c r="AD444" s="367"/>
      <c r="AE444" s="367"/>
      <c r="AF444" s="367"/>
      <c r="AG444" s="367"/>
      <c r="AH444" s="367"/>
      <c r="AI444" s="367"/>
      <c r="AJ444" s="367"/>
      <c r="AK444" s="367"/>
    </row>
    <row r="445" spans="1:37" s="917" customFormat="1" ht="54.75" customHeight="1">
      <c r="A445" s="832">
        <v>10</v>
      </c>
      <c r="B445" s="827" t="s">
        <v>480</v>
      </c>
      <c r="C445" s="832" t="s">
        <v>281</v>
      </c>
      <c r="D445" s="901" t="s">
        <v>881</v>
      </c>
      <c r="E445" s="898" t="e">
        <f>NC_DKDD!H854</f>
        <v>#VALUE!</v>
      </c>
      <c r="F445" s="914"/>
      <c r="G445" s="391"/>
      <c r="H445" s="914"/>
      <c r="I445" s="914"/>
      <c r="J445" s="914"/>
      <c r="K445" s="914"/>
      <c r="L445" s="914"/>
      <c r="M445" s="914"/>
      <c r="N445" s="914"/>
      <c r="O445" s="914"/>
      <c r="P445" s="383">
        <f t="shared" si="65"/>
        <v>3756.4749999999995</v>
      </c>
      <c r="Q445" s="835">
        <f t="shared" si="66"/>
        <v>3266.4999999999995</v>
      </c>
      <c r="R445" s="835">
        <f t="shared" si="67"/>
        <v>489.97499999999997</v>
      </c>
      <c r="S445" s="1011">
        <f>NC_DKDD!G854</f>
        <v>0.61099999999999999</v>
      </c>
      <c r="T445" s="946">
        <f>'[1]2,DG-capdoi'!N437</f>
        <v>0</v>
      </c>
      <c r="U445" s="946">
        <f t="shared" si="62"/>
        <v>0</v>
      </c>
      <c r="V445" s="367"/>
      <c r="W445" s="367"/>
      <c r="X445" s="367"/>
      <c r="Y445" s="367"/>
      <c r="Z445" s="367"/>
      <c r="AA445" s="367"/>
      <c r="AB445" s="367"/>
      <c r="AC445" s="367"/>
      <c r="AD445" s="367"/>
      <c r="AE445" s="367"/>
      <c r="AF445" s="367"/>
      <c r="AG445" s="367"/>
      <c r="AH445" s="367"/>
      <c r="AI445" s="367"/>
      <c r="AJ445" s="367"/>
      <c r="AK445" s="367"/>
    </row>
    <row r="446" spans="1:37" s="917" customFormat="1" ht="23.25" customHeight="1">
      <c r="A446" s="832">
        <v>11</v>
      </c>
      <c r="B446" s="827" t="s">
        <v>221</v>
      </c>
      <c r="C446" s="832"/>
      <c r="D446" s="832"/>
      <c r="E446" s="898">
        <f>NC_DKDD!H855</f>
        <v>0</v>
      </c>
      <c r="F446" s="914"/>
      <c r="G446" s="391"/>
      <c r="H446" s="914"/>
      <c r="I446" s="914"/>
      <c r="J446" s="914"/>
      <c r="K446" s="914"/>
      <c r="L446" s="914"/>
      <c r="M446" s="914"/>
      <c r="N446" s="914"/>
      <c r="O446" s="914"/>
      <c r="P446" s="383">
        <f t="shared" si="65"/>
        <v>0</v>
      </c>
      <c r="Q446" s="835">
        <f t="shared" si="66"/>
        <v>0</v>
      </c>
      <c r="R446" s="835">
        <f t="shared" si="67"/>
        <v>0</v>
      </c>
      <c r="S446" s="1011">
        <f>NC_DKDD!G855</f>
        <v>0</v>
      </c>
      <c r="T446" s="946">
        <f>'[1]2,DG-capdoi'!N438</f>
        <v>0</v>
      </c>
      <c r="U446" s="946">
        <f t="shared" si="62"/>
        <v>0</v>
      </c>
      <c r="V446" s="367"/>
      <c r="W446" s="367"/>
      <c r="X446" s="367"/>
      <c r="Y446" s="367"/>
      <c r="Z446" s="367"/>
      <c r="AA446" s="367"/>
      <c r="AB446" s="367"/>
      <c r="AC446" s="367"/>
      <c r="AD446" s="367"/>
      <c r="AE446" s="367"/>
      <c r="AF446" s="367"/>
      <c r="AG446" s="367"/>
      <c r="AH446" s="367"/>
      <c r="AI446" s="367"/>
      <c r="AJ446" s="367"/>
      <c r="AK446" s="367"/>
    </row>
    <row r="447" spans="1:37" s="917" customFormat="1" ht="34.5" customHeight="1">
      <c r="A447" s="832" t="s">
        <v>877</v>
      </c>
      <c r="B447" s="827" t="s">
        <v>931</v>
      </c>
      <c r="C447" s="832"/>
      <c r="D447" s="832"/>
      <c r="E447" s="898">
        <f>NC_DKDD!H856</f>
        <v>0</v>
      </c>
      <c r="F447" s="914"/>
      <c r="G447" s="391"/>
      <c r="H447" s="914"/>
      <c r="I447" s="914"/>
      <c r="J447" s="914"/>
      <c r="K447" s="914"/>
      <c r="L447" s="914"/>
      <c r="M447" s="914"/>
      <c r="N447" s="914"/>
      <c r="O447" s="914"/>
      <c r="P447" s="383">
        <f t="shared" si="65"/>
        <v>0</v>
      </c>
      <c r="Q447" s="835">
        <f t="shared" si="66"/>
        <v>0</v>
      </c>
      <c r="R447" s="835">
        <f t="shared" si="67"/>
        <v>0</v>
      </c>
      <c r="S447" s="1011">
        <f>NC_DKDD!G856</f>
        <v>0</v>
      </c>
      <c r="T447" s="946">
        <f>'[1]2,DG-capdoi'!N439</f>
        <v>0</v>
      </c>
      <c r="U447" s="946">
        <f t="shared" si="62"/>
        <v>0</v>
      </c>
      <c r="V447" s="367"/>
      <c r="W447" s="367"/>
      <c r="X447" s="367"/>
      <c r="Y447" s="367"/>
      <c r="Z447" s="367"/>
      <c r="AA447" s="367"/>
      <c r="AB447" s="367"/>
      <c r="AC447" s="367"/>
      <c r="AD447" s="367"/>
      <c r="AE447" s="367"/>
      <c r="AF447" s="367"/>
      <c r="AG447" s="367"/>
      <c r="AH447" s="367"/>
      <c r="AI447" s="367"/>
      <c r="AJ447" s="367"/>
      <c r="AK447" s="367"/>
    </row>
    <row r="448" spans="1:37" s="917" customFormat="1" ht="19.5" customHeight="1">
      <c r="A448" s="832" t="s">
        <v>513</v>
      </c>
      <c r="B448" s="827" t="s">
        <v>933</v>
      </c>
      <c r="C448" s="832" t="s">
        <v>525</v>
      </c>
      <c r="D448" s="901" t="s">
        <v>881</v>
      </c>
      <c r="E448" s="898" t="e">
        <f>NC_DKDD!H857</f>
        <v>#VALUE!</v>
      </c>
      <c r="F448" s="914"/>
      <c r="G448" s="391"/>
      <c r="H448" s="914"/>
      <c r="I448" s="914"/>
      <c r="J448" s="914"/>
      <c r="K448" s="914"/>
      <c r="L448" s="914"/>
      <c r="M448" s="914"/>
      <c r="N448" s="914"/>
      <c r="O448" s="914"/>
      <c r="P448" s="383">
        <f t="shared" si="65"/>
        <v>98.369230769230768</v>
      </c>
      <c r="Q448" s="835">
        <f t="shared" si="66"/>
        <v>85.538461538461533</v>
      </c>
      <c r="R448" s="835">
        <f t="shared" si="67"/>
        <v>12.830769230769231</v>
      </c>
      <c r="S448" s="1011">
        <f>NC_DKDD!G857</f>
        <v>1.6E-2</v>
      </c>
      <c r="T448" s="946">
        <f>'[1]2,DG-capdoi'!N440</f>
        <v>0</v>
      </c>
      <c r="U448" s="946">
        <f t="shared" si="62"/>
        <v>0</v>
      </c>
      <c r="V448" s="367"/>
      <c r="W448" s="367"/>
      <c r="X448" s="367"/>
      <c r="Y448" s="367"/>
      <c r="Z448" s="367"/>
      <c r="AA448" s="367"/>
      <c r="AB448" s="367"/>
      <c r="AC448" s="367"/>
      <c r="AD448" s="367"/>
      <c r="AE448" s="367"/>
      <c r="AF448" s="367"/>
      <c r="AG448" s="367"/>
      <c r="AH448" s="367"/>
      <c r="AI448" s="367"/>
      <c r="AJ448" s="367"/>
      <c r="AK448" s="367"/>
    </row>
    <row r="449" spans="1:37" s="917" customFormat="1" ht="19.5" customHeight="1">
      <c r="A449" s="832" t="s">
        <v>514</v>
      </c>
      <c r="B449" s="827" t="s">
        <v>937</v>
      </c>
      <c r="C449" s="832" t="s">
        <v>525</v>
      </c>
      <c r="D449" s="901" t="s">
        <v>881</v>
      </c>
      <c r="E449" s="898" t="e">
        <f>NC_DKDD!H858</f>
        <v>#VALUE!</v>
      </c>
      <c r="F449" s="914"/>
      <c r="G449" s="391"/>
      <c r="H449" s="914"/>
      <c r="I449" s="914"/>
      <c r="J449" s="914"/>
      <c r="K449" s="914"/>
      <c r="L449" s="914"/>
      <c r="M449" s="914"/>
      <c r="N449" s="914"/>
      <c r="O449" s="914"/>
      <c r="P449" s="383">
        <f t="shared" si="65"/>
        <v>49.184615384615384</v>
      </c>
      <c r="Q449" s="835">
        <f t="shared" si="66"/>
        <v>42.769230769230766</v>
      </c>
      <c r="R449" s="835">
        <f t="shared" si="67"/>
        <v>6.4153846153846157</v>
      </c>
      <c r="S449" s="1011">
        <f>NC_DKDD!G858</f>
        <v>8.0000000000000002E-3</v>
      </c>
      <c r="T449" s="946">
        <f>'[1]2,DG-capdoi'!N441</f>
        <v>0</v>
      </c>
      <c r="U449" s="946">
        <f t="shared" si="62"/>
        <v>0</v>
      </c>
      <c r="V449" s="367"/>
      <c r="W449" s="367"/>
      <c r="X449" s="367"/>
      <c r="Y449" s="367"/>
      <c r="Z449" s="367"/>
      <c r="AA449" s="367"/>
      <c r="AB449" s="367"/>
      <c r="AC449" s="367"/>
      <c r="AD449" s="367"/>
      <c r="AE449" s="367"/>
      <c r="AF449" s="367"/>
      <c r="AG449" s="367"/>
      <c r="AH449" s="367"/>
      <c r="AI449" s="367"/>
      <c r="AJ449" s="367"/>
      <c r="AK449" s="367"/>
    </row>
    <row r="450" spans="1:37" s="917" customFormat="1" ht="39" customHeight="1">
      <c r="A450" s="832" t="s">
        <v>878</v>
      </c>
      <c r="B450" s="827" t="s">
        <v>48</v>
      </c>
      <c r="C450" s="832" t="s">
        <v>525</v>
      </c>
      <c r="D450" s="901" t="s">
        <v>881</v>
      </c>
      <c r="E450" s="898" t="e">
        <f>NC_DKDD!H859</f>
        <v>#VALUE!</v>
      </c>
      <c r="F450" s="914"/>
      <c r="G450" s="391"/>
      <c r="H450" s="914"/>
      <c r="I450" s="914"/>
      <c r="J450" s="914"/>
      <c r="K450" s="914"/>
      <c r="L450" s="914"/>
      <c r="M450" s="914"/>
      <c r="N450" s="914"/>
      <c r="O450" s="914"/>
      <c r="P450" s="383">
        <f t="shared" si="65"/>
        <v>24.592307692307692</v>
      </c>
      <c r="Q450" s="835">
        <f t="shared" si="66"/>
        <v>21.384615384615383</v>
      </c>
      <c r="R450" s="835">
        <f t="shared" si="67"/>
        <v>3.2076923076923078</v>
      </c>
      <c r="S450" s="1011">
        <f>NC_DKDD!G859</f>
        <v>4.0000000000000001E-3</v>
      </c>
      <c r="T450" s="946">
        <f>'[1]2,DG-capdoi'!N442</f>
        <v>0</v>
      </c>
      <c r="U450" s="946">
        <f t="shared" si="62"/>
        <v>0</v>
      </c>
      <c r="V450" s="367"/>
      <c r="W450" s="367"/>
      <c r="X450" s="367"/>
      <c r="Y450" s="367"/>
      <c r="Z450" s="367"/>
      <c r="AA450" s="367"/>
      <c r="AB450" s="367"/>
      <c r="AC450" s="367"/>
      <c r="AD450" s="367"/>
      <c r="AE450" s="367"/>
      <c r="AF450" s="367"/>
      <c r="AG450" s="367"/>
      <c r="AH450" s="367"/>
      <c r="AI450" s="367"/>
      <c r="AJ450" s="367"/>
      <c r="AK450" s="367"/>
    </row>
    <row r="451" spans="1:37" s="917" customFormat="1" ht="28.5" customHeight="1">
      <c r="A451" s="832" t="s">
        <v>879</v>
      </c>
      <c r="B451" s="827" t="s">
        <v>50</v>
      </c>
      <c r="C451" s="832" t="s">
        <v>523</v>
      </c>
      <c r="D451" s="901" t="s">
        <v>881</v>
      </c>
      <c r="E451" s="898" t="e">
        <f>NC_DKDD!H860</f>
        <v>#VALUE!</v>
      </c>
      <c r="F451" s="914"/>
      <c r="G451" s="391"/>
      <c r="H451" s="914"/>
      <c r="I451" s="914"/>
      <c r="J451" s="914"/>
      <c r="K451" s="914"/>
      <c r="L451" s="914"/>
      <c r="M451" s="914"/>
      <c r="N451" s="914"/>
      <c r="O451" s="914"/>
      <c r="P451" s="383">
        <f t="shared" si="65"/>
        <v>61.480769230769226</v>
      </c>
      <c r="Q451" s="835">
        <f t="shared" si="66"/>
        <v>53.46153846153846</v>
      </c>
      <c r="R451" s="835">
        <f t="shared" si="67"/>
        <v>8.0192307692307701</v>
      </c>
      <c r="S451" s="1011">
        <f>NC_DKDD!G860</f>
        <v>0.01</v>
      </c>
      <c r="T451" s="946">
        <f>'[1]2,DG-capdoi'!N443</f>
        <v>0</v>
      </c>
      <c r="U451" s="946">
        <f t="shared" si="62"/>
        <v>0</v>
      </c>
      <c r="V451" s="367"/>
      <c r="W451" s="367"/>
      <c r="X451" s="367"/>
      <c r="Y451" s="367"/>
      <c r="Z451" s="367"/>
      <c r="AA451" s="367"/>
      <c r="AB451" s="367"/>
      <c r="AC451" s="367"/>
      <c r="AD451" s="367"/>
      <c r="AE451" s="367"/>
      <c r="AF451" s="367"/>
      <c r="AG451" s="367"/>
      <c r="AH451" s="367"/>
      <c r="AI451" s="367"/>
      <c r="AJ451" s="367"/>
      <c r="AK451" s="367"/>
    </row>
    <row r="452" spans="1:37" s="917" customFormat="1" ht="66" customHeight="1">
      <c r="A452" s="832">
        <v>12</v>
      </c>
      <c r="B452" s="827" t="s">
        <v>235</v>
      </c>
      <c r="C452" s="832" t="s">
        <v>281</v>
      </c>
      <c r="D452" s="901" t="s">
        <v>881</v>
      </c>
      <c r="E452" s="898" t="e">
        <f>NC_DKDD!H861</f>
        <v>#VALUE!</v>
      </c>
      <c r="F452" s="914"/>
      <c r="G452" s="391"/>
      <c r="H452" s="914"/>
      <c r="I452" s="914"/>
      <c r="J452" s="914"/>
      <c r="K452" s="914"/>
      <c r="L452" s="914"/>
      <c r="M452" s="914"/>
      <c r="N452" s="914"/>
      <c r="O452" s="914"/>
      <c r="P452" s="383">
        <f t="shared" si="65"/>
        <v>399.625</v>
      </c>
      <c r="Q452" s="835">
        <f t="shared" si="66"/>
        <v>347.5</v>
      </c>
      <c r="R452" s="835">
        <f t="shared" si="67"/>
        <v>52.125</v>
      </c>
      <c r="S452" s="1011">
        <f>NC_DKDD!G861</f>
        <v>6.5000000000000002E-2</v>
      </c>
      <c r="T452" s="946">
        <f>'[1]2,DG-capdoi'!N444</f>
        <v>0</v>
      </c>
      <c r="U452" s="946">
        <f t="shared" si="62"/>
        <v>0</v>
      </c>
      <c r="V452" s="367"/>
      <c r="W452" s="367"/>
      <c r="X452" s="367"/>
      <c r="Y452" s="367"/>
      <c r="Z452" s="367"/>
      <c r="AA452" s="367"/>
      <c r="AB452" s="367"/>
      <c r="AC452" s="367"/>
      <c r="AD452" s="367"/>
      <c r="AE452" s="367"/>
      <c r="AF452" s="367"/>
      <c r="AG452" s="367"/>
      <c r="AH452" s="367"/>
      <c r="AI452" s="367"/>
      <c r="AJ452" s="367"/>
      <c r="AK452" s="367"/>
    </row>
    <row r="453" spans="1:37" s="917" customFormat="1" ht="42" customHeight="1">
      <c r="A453" s="832">
        <v>13</v>
      </c>
      <c r="B453" s="827" t="s">
        <v>236</v>
      </c>
      <c r="C453" s="832" t="s">
        <v>281</v>
      </c>
      <c r="D453" s="901" t="s">
        <v>881</v>
      </c>
      <c r="E453" s="898" t="e">
        <f>NC_DKDD!H862</f>
        <v>#VALUE!</v>
      </c>
      <c r="F453" s="914"/>
      <c r="G453" s="391"/>
      <c r="H453" s="914"/>
      <c r="I453" s="914"/>
      <c r="J453" s="914"/>
      <c r="K453" s="914"/>
      <c r="L453" s="914"/>
      <c r="M453" s="914"/>
      <c r="N453" s="914"/>
      <c r="O453" s="914"/>
      <c r="P453" s="383">
        <f t="shared" si="65"/>
        <v>399.625</v>
      </c>
      <c r="Q453" s="835">
        <f t="shared" si="66"/>
        <v>347.5</v>
      </c>
      <c r="R453" s="835">
        <f t="shared" si="67"/>
        <v>52.125</v>
      </c>
      <c r="S453" s="1011">
        <f>NC_DKDD!G862</f>
        <v>6.5000000000000002E-2</v>
      </c>
      <c r="T453" s="946">
        <f>'[1]2,DG-capdoi'!N445</f>
        <v>0</v>
      </c>
      <c r="U453" s="946">
        <f t="shared" si="62"/>
        <v>0</v>
      </c>
      <c r="V453" s="367"/>
      <c r="W453" s="367"/>
      <c r="X453" s="367"/>
      <c r="Y453" s="367"/>
      <c r="Z453" s="367"/>
      <c r="AA453" s="367"/>
      <c r="AB453" s="367"/>
      <c r="AC453" s="367"/>
      <c r="AD453" s="367"/>
      <c r="AE453" s="367"/>
      <c r="AF453" s="367"/>
      <c r="AG453" s="367"/>
      <c r="AH453" s="367"/>
      <c r="AI453" s="367"/>
      <c r="AJ453" s="367"/>
      <c r="AK453" s="367"/>
    </row>
    <row r="454" spans="1:37" s="917" customFormat="1" ht="19.5" customHeight="1">
      <c r="A454" s="869" t="s">
        <v>184</v>
      </c>
      <c r="B454" s="868" t="s">
        <v>765</v>
      </c>
      <c r="C454" s="832"/>
      <c r="D454" s="832"/>
      <c r="E454" s="919" t="e">
        <f>E455</f>
        <v>#VALUE!</v>
      </c>
      <c r="F454" s="914"/>
      <c r="G454" s="391"/>
      <c r="H454" s="914"/>
      <c r="I454" s="914"/>
      <c r="J454" s="914"/>
      <c r="K454" s="914"/>
      <c r="L454" s="893" t="e">
        <f>SUM(E454:K454)</f>
        <v>#VALUE!</v>
      </c>
      <c r="M454" s="893" t="e">
        <f>L454*'He so chung'!$D$17/100</f>
        <v>#VALUE!</v>
      </c>
      <c r="N454" s="893" t="e">
        <f>L454+M454</f>
        <v>#VALUE!</v>
      </c>
      <c r="O454" s="914"/>
      <c r="P454" s="383">
        <f>P455</f>
        <v>159.84999999999997</v>
      </c>
      <c r="Q454" s="835">
        <f t="shared" si="66"/>
        <v>0</v>
      </c>
      <c r="R454" s="835">
        <f t="shared" si="67"/>
        <v>0</v>
      </c>
      <c r="S454" s="1011">
        <f>NC_DKDD!G863</f>
        <v>0</v>
      </c>
      <c r="T454" s="946">
        <f>'[1]2,DG-capdoi'!N446</f>
        <v>5334.9138249999996</v>
      </c>
      <c r="U454" s="946" t="e">
        <f t="shared" si="62"/>
        <v>#VALUE!</v>
      </c>
      <c r="V454" s="367"/>
      <c r="W454" s="367"/>
      <c r="X454" s="367"/>
      <c r="Y454" s="367"/>
      <c r="Z454" s="367"/>
      <c r="AA454" s="367"/>
      <c r="AB454" s="367"/>
      <c r="AC454" s="367"/>
      <c r="AD454" s="367"/>
      <c r="AE454" s="367"/>
      <c r="AF454" s="367"/>
      <c r="AG454" s="367"/>
      <c r="AH454" s="367"/>
      <c r="AI454" s="367"/>
      <c r="AJ454" s="367"/>
      <c r="AK454" s="367"/>
    </row>
    <row r="455" spans="1:37" s="917" customFormat="1" ht="24" customHeight="1">
      <c r="A455" s="832">
        <v>1</v>
      </c>
      <c r="B455" s="827" t="s">
        <v>809</v>
      </c>
      <c r="C455" s="832" t="s">
        <v>281</v>
      </c>
      <c r="D455" s="901" t="s">
        <v>881</v>
      </c>
      <c r="E455" s="898" t="e">
        <f>NC_DKDD!H864</f>
        <v>#VALUE!</v>
      </c>
      <c r="F455" s="914"/>
      <c r="G455" s="391"/>
      <c r="H455" s="914"/>
      <c r="I455" s="914"/>
      <c r="J455" s="914"/>
      <c r="K455" s="914"/>
      <c r="L455" s="914"/>
      <c r="M455" s="914"/>
      <c r="N455" s="914"/>
      <c r="O455" s="914"/>
      <c r="P455" s="383">
        <f t="shared" si="65"/>
        <v>159.84999999999997</v>
      </c>
      <c r="Q455" s="835">
        <f t="shared" si="66"/>
        <v>138.99999999999997</v>
      </c>
      <c r="R455" s="835">
        <f t="shared" si="67"/>
        <v>20.849999999999998</v>
      </c>
      <c r="S455" s="1011">
        <f>NC_DKDD!G864</f>
        <v>2.5999999999999999E-2</v>
      </c>
      <c r="T455" s="946">
        <f>'[1]2,DG-capdoi'!N447</f>
        <v>0</v>
      </c>
      <c r="U455" s="946">
        <f t="shared" si="62"/>
        <v>0</v>
      </c>
      <c r="V455" s="367"/>
      <c r="W455" s="367"/>
      <c r="X455" s="367"/>
      <c r="Y455" s="367"/>
      <c r="Z455" s="367"/>
      <c r="AA455" s="367"/>
      <c r="AB455" s="367"/>
      <c r="AC455" s="367"/>
      <c r="AD455" s="367"/>
      <c r="AE455" s="367"/>
      <c r="AF455" s="367"/>
      <c r="AG455" s="367"/>
      <c r="AH455" s="367"/>
      <c r="AI455" s="367"/>
      <c r="AJ455" s="367"/>
      <c r="AK455" s="367"/>
    </row>
    <row r="456" spans="1:37" s="917" customFormat="1" ht="19.5" customHeight="1">
      <c r="A456" s="869" t="s">
        <v>913</v>
      </c>
      <c r="B456" s="868" t="s">
        <v>606</v>
      </c>
      <c r="C456" s="832"/>
      <c r="D456" s="1080"/>
      <c r="E456" s="919" t="e">
        <f>E457</f>
        <v>#VALUE!</v>
      </c>
      <c r="F456" s="914"/>
      <c r="G456" s="391"/>
      <c r="H456" s="1081">
        <f>'Dcu-DKDD'!$H$280*1.3</f>
        <v>121.86422499999999</v>
      </c>
      <c r="I456" s="1081">
        <f>'VL-DKDD'!$F$283</f>
        <v>885.6</v>
      </c>
      <c r="J456" s="914"/>
      <c r="K456" s="914"/>
      <c r="L456" s="893" t="e">
        <f>SUM(E456:K456)</f>
        <v>#VALUE!</v>
      </c>
      <c r="M456" s="893" t="e">
        <f>L456*'He so chung'!$D$17/100</f>
        <v>#VALUE!</v>
      </c>
      <c r="N456" s="893" t="e">
        <f>L456+M456</f>
        <v>#VALUE!</v>
      </c>
      <c r="O456" s="914"/>
      <c r="P456" s="383">
        <f>P457</f>
        <v>159.84999999999997</v>
      </c>
      <c r="Q456" s="835">
        <f t="shared" si="66"/>
        <v>0</v>
      </c>
      <c r="R456" s="835">
        <f t="shared" si="67"/>
        <v>0</v>
      </c>
      <c r="S456" s="1011">
        <f>NC_DKDD!G865</f>
        <v>0</v>
      </c>
      <c r="T456" s="946">
        <f>'[1]2,DG-capdoi'!N448</f>
        <v>6493.4976837499999</v>
      </c>
      <c r="U456" s="946" t="e">
        <f t="shared" si="62"/>
        <v>#VALUE!</v>
      </c>
      <c r="V456" s="367"/>
      <c r="W456" s="367"/>
      <c r="X456" s="367"/>
      <c r="Y456" s="367"/>
      <c r="Z456" s="367"/>
      <c r="AA456" s="367"/>
      <c r="AB456" s="367"/>
      <c r="AC456" s="367"/>
      <c r="AD456" s="367"/>
      <c r="AE456" s="367"/>
      <c r="AF456" s="367"/>
      <c r="AG456" s="367"/>
      <c r="AH456" s="367"/>
      <c r="AI456" s="367"/>
      <c r="AJ456" s="367"/>
      <c r="AK456" s="367"/>
    </row>
    <row r="457" spans="1:37" s="917" customFormat="1" ht="41.25" customHeight="1">
      <c r="A457" s="832">
        <v>1</v>
      </c>
      <c r="B457" s="827" t="s">
        <v>810</v>
      </c>
      <c r="C457" s="832" t="s">
        <v>281</v>
      </c>
      <c r="D457" s="901" t="s">
        <v>881</v>
      </c>
      <c r="E457" s="898" t="e">
        <f>NC_DKDD!H866</f>
        <v>#VALUE!</v>
      </c>
      <c r="F457" s="914"/>
      <c r="G457" s="391"/>
      <c r="H457" s="914"/>
      <c r="I457" s="914"/>
      <c r="J457" s="914"/>
      <c r="K457" s="914"/>
      <c r="L457" s="914"/>
      <c r="M457" s="914"/>
      <c r="N457" s="914"/>
      <c r="O457" s="914"/>
      <c r="P457" s="383">
        <f t="shared" si="65"/>
        <v>159.84999999999997</v>
      </c>
      <c r="Q457" s="835">
        <f t="shared" si="66"/>
        <v>138.99999999999997</v>
      </c>
      <c r="R457" s="835">
        <f t="shared" si="67"/>
        <v>20.849999999999998</v>
      </c>
      <c r="S457" s="1011">
        <f>NC_DKDD!G866</f>
        <v>2.5999999999999999E-2</v>
      </c>
      <c r="T457" s="946">
        <f>'[1]2,DG-capdoi'!N449</f>
        <v>0</v>
      </c>
      <c r="U457" s="946">
        <f t="shared" si="62"/>
        <v>0</v>
      </c>
      <c r="V457" s="367"/>
      <c r="W457" s="367"/>
      <c r="X457" s="367"/>
      <c r="Y457" s="367"/>
      <c r="Z457" s="367"/>
      <c r="AA457" s="367"/>
      <c r="AB457" s="367"/>
      <c r="AC457" s="367"/>
      <c r="AD457" s="367"/>
      <c r="AE457" s="367"/>
      <c r="AF457" s="367"/>
      <c r="AG457" s="367"/>
      <c r="AH457" s="367"/>
      <c r="AI457" s="367"/>
      <c r="AJ457" s="367"/>
      <c r="AK457" s="367"/>
    </row>
    <row r="458" spans="1:37" s="917" customFormat="1" ht="14.25">
      <c r="A458" s="1082"/>
      <c r="B458" s="1083"/>
      <c r="C458" s="1084"/>
      <c r="D458" s="361"/>
      <c r="E458" s="1060"/>
      <c r="F458" s="1060"/>
      <c r="G458" s="1085"/>
      <c r="H458" s="1060"/>
      <c r="I458" s="1060"/>
      <c r="J458" s="1060"/>
      <c r="K458" s="1060"/>
      <c r="L458" s="1060"/>
      <c r="M458" s="1060"/>
      <c r="N458" s="1060"/>
      <c r="O458" s="1060"/>
      <c r="P458" s="1060"/>
      <c r="Q458" s="367"/>
      <c r="R458" s="367"/>
      <c r="S458" s="367"/>
      <c r="T458" s="367"/>
      <c r="U458" s="367"/>
      <c r="V458" s="367"/>
      <c r="W458" s="367"/>
      <c r="X458" s="367"/>
      <c r="Y458" s="367"/>
      <c r="Z458" s="367"/>
      <c r="AA458" s="367"/>
      <c r="AB458" s="367"/>
      <c r="AC458" s="367"/>
      <c r="AD458" s="367"/>
      <c r="AE458" s="367"/>
      <c r="AF458" s="367"/>
      <c r="AG458" s="367"/>
      <c r="AH458" s="367"/>
      <c r="AI458" s="367"/>
      <c r="AJ458" s="367"/>
      <c r="AK458" s="367"/>
    </row>
    <row r="459" spans="1:37" s="917" customFormat="1" ht="23.25" customHeight="1">
      <c r="A459" s="1082"/>
      <c r="B459" s="1129" t="s">
        <v>20</v>
      </c>
      <c r="C459" s="1129"/>
      <c r="D459" s="1129"/>
      <c r="E459" s="1129"/>
      <c r="F459" s="1129"/>
      <c r="G459" s="1129"/>
      <c r="H459" s="1129"/>
      <c r="I459" s="1129"/>
      <c r="J459" s="1129"/>
      <c r="K459" s="1129"/>
      <c r="L459" s="1129"/>
      <c r="M459" s="1129"/>
      <c r="N459" s="1129"/>
      <c r="O459" s="1129"/>
      <c r="P459" s="1129"/>
      <c r="Q459" s="367"/>
      <c r="R459" s="367"/>
      <c r="S459" s="367"/>
      <c r="T459" s="367"/>
      <c r="U459" s="367"/>
      <c r="V459" s="367"/>
      <c r="W459" s="367"/>
      <c r="X459" s="367"/>
      <c r="Y459" s="367"/>
      <c r="Z459" s="367"/>
      <c r="AA459" s="367"/>
      <c r="AB459" s="367"/>
      <c r="AC459" s="367"/>
      <c r="AD459" s="367"/>
      <c r="AE459" s="367"/>
      <c r="AF459" s="367"/>
      <c r="AG459" s="367"/>
      <c r="AH459" s="367"/>
      <c r="AI459" s="367"/>
      <c r="AJ459" s="367"/>
      <c r="AK459" s="367"/>
    </row>
    <row r="460" spans="1:37" s="917" customFormat="1" ht="23.25" customHeight="1">
      <c r="A460" s="1082"/>
      <c r="B460" s="1129" t="s">
        <v>262</v>
      </c>
      <c r="C460" s="1129"/>
      <c r="D460" s="1129"/>
      <c r="E460" s="1129"/>
      <c r="F460" s="1129"/>
      <c r="G460" s="1129"/>
      <c r="H460" s="1129"/>
      <c r="I460" s="1129"/>
      <c r="J460" s="1129"/>
      <c r="K460" s="1129"/>
      <c r="L460" s="1129"/>
      <c r="M460" s="1129"/>
      <c r="N460" s="1129"/>
      <c r="O460" s="1129"/>
      <c r="P460" s="1129"/>
      <c r="Q460" s="367"/>
      <c r="R460" s="367"/>
      <c r="S460" s="367"/>
      <c r="T460" s="367"/>
      <c r="U460" s="367"/>
      <c r="V460" s="367"/>
      <c r="W460" s="367"/>
      <c r="X460" s="367"/>
      <c r="Y460" s="367"/>
      <c r="Z460" s="367"/>
      <c r="AA460" s="367"/>
      <c r="AB460" s="367"/>
      <c r="AC460" s="367"/>
      <c r="AD460" s="367"/>
      <c r="AE460" s="367"/>
      <c r="AF460" s="367"/>
      <c r="AG460" s="367"/>
      <c r="AH460" s="367"/>
      <c r="AI460" s="367"/>
      <c r="AJ460" s="367"/>
      <c r="AK460" s="367"/>
    </row>
  </sheetData>
  <mergeCells count="153">
    <mergeCell ref="B459:P459"/>
    <mergeCell ref="B460:P460"/>
    <mergeCell ref="B372:P372"/>
    <mergeCell ref="B373:P373"/>
    <mergeCell ref="B416:P416"/>
    <mergeCell ref="B417:P417"/>
    <mergeCell ref="O421:O422"/>
    <mergeCell ref="P421:P422"/>
    <mergeCell ref="E421:L421"/>
    <mergeCell ref="M421:M422"/>
    <mergeCell ref="U6:U7"/>
    <mergeCell ref="B115:B118"/>
    <mergeCell ref="A119:A122"/>
    <mergeCell ref="A109:A112"/>
    <mergeCell ref="B119:B122"/>
    <mergeCell ref="C119:C122"/>
    <mergeCell ref="C109:C112"/>
    <mergeCell ref="B109:B112"/>
    <mergeCell ref="A105:A108"/>
    <mergeCell ref="N102:N103"/>
    <mergeCell ref="N421:N422"/>
    <mergeCell ref="A421:A422"/>
    <mergeCell ref="B421:B422"/>
    <mergeCell ref="C421:C422"/>
    <mergeCell ref="D421:D422"/>
    <mergeCell ref="T6:T7"/>
    <mergeCell ref="A418:P418"/>
    <mergeCell ref="O378:O379"/>
    <mergeCell ref="P378:P379"/>
    <mergeCell ref="A378:A379"/>
    <mergeCell ref="B378:B379"/>
    <mergeCell ref="C378:C379"/>
    <mergeCell ref="D378:D379"/>
    <mergeCell ref="B335:B336"/>
    <mergeCell ref="E378:L378"/>
    <mergeCell ref="M378:M379"/>
    <mergeCell ref="E335:L335"/>
    <mergeCell ref="M335:M336"/>
    <mergeCell ref="N378:N379"/>
    <mergeCell ref="P335:P336"/>
    <mergeCell ref="B286:P286"/>
    <mergeCell ref="B287:P287"/>
    <mergeCell ref="D292:D293"/>
    <mergeCell ref="B331:P331"/>
    <mergeCell ref="B328:P328"/>
    <mergeCell ref="B329:P329"/>
    <mergeCell ref="B330:P330"/>
    <mergeCell ref="A289:P289"/>
    <mergeCell ref="A335:A336"/>
    <mergeCell ref="B284:P284"/>
    <mergeCell ref="B285:P285"/>
    <mergeCell ref="A288:P288"/>
    <mergeCell ref="O292:O293"/>
    <mergeCell ref="E292:L292"/>
    <mergeCell ref="M292:M293"/>
    <mergeCell ref="A292:A293"/>
    <mergeCell ref="B292:B293"/>
    <mergeCell ref="C292:C293"/>
    <mergeCell ref="N292:N293"/>
    <mergeCell ref="A249:A250"/>
    <mergeCell ref="C249:C250"/>
    <mergeCell ref="N249:N250"/>
    <mergeCell ref="O249:O250"/>
    <mergeCell ref="M249:M250"/>
    <mergeCell ref="D249:D250"/>
    <mergeCell ref="E249:L249"/>
    <mergeCell ref="B249:B250"/>
    <mergeCell ref="A245:P245"/>
    <mergeCell ref="P249:P250"/>
    <mergeCell ref="C205:C206"/>
    <mergeCell ref="D205:D206"/>
    <mergeCell ref="B243:P243"/>
    <mergeCell ref="B242:P242"/>
    <mergeCell ref="B205:B206"/>
    <mergeCell ref="N205:N206"/>
    <mergeCell ref="B241:P241"/>
    <mergeCell ref="P205:P206"/>
    <mergeCell ref="B105:B108"/>
    <mergeCell ref="C105:C108"/>
    <mergeCell ref="M205:M206"/>
    <mergeCell ref="B240:P240"/>
    <mergeCell ref="B199:P199"/>
    <mergeCell ref="A201:P201"/>
    <mergeCell ref="A115:A118"/>
    <mergeCell ref="C115:C118"/>
    <mergeCell ref="B197:P197"/>
    <mergeCell ref="E205:L205"/>
    <mergeCell ref="O6:O7"/>
    <mergeCell ref="B31:B33"/>
    <mergeCell ref="C31:C33"/>
    <mergeCell ref="B90:P90"/>
    <mergeCell ref="A98:P98"/>
    <mergeCell ref="A102:A103"/>
    <mergeCell ref="B102:B103"/>
    <mergeCell ref="C102:C103"/>
    <mergeCell ref="P102:P103"/>
    <mergeCell ref="D102:D103"/>
    <mergeCell ref="A9:A11"/>
    <mergeCell ref="B9:B11"/>
    <mergeCell ref="C9:C11"/>
    <mergeCell ref="A16:A18"/>
    <mergeCell ref="B16:B18"/>
    <mergeCell ref="C16:C18"/>
    <mergeCell ref="B12:B14"/>
    <mergeCell ref="C12:C14"/>
    <mergeCell ref="A12:A14"/>
    <mergeCell ref="A1:P1"/>
    <mergeCell ref="A2:P2"/>
    <mergeCell ref="A6:A7"/>
    <mergeCell ref="B6:B7"/>
    <mergeCell ref="C6:C7"/>
    <mergeCell ref="D6:D7"/>
    <mergeCell ref="E6:L6"/>
    <mergeCell ref="M6:M7"/>
    <mergeCell ref="N6:N7"/>
    <mergeCell ref="P6:P7"/>
    <mergeCell ref="C132:C135"/>
    <mergeCell ref="O205:O206"/>
    <mergeCell ref="B194:P194"/>
    <mergeCell ref="B195:P195"/>
    <mergeCell ref="A205:A206"/>
    <mergeCell ref="B196:P196"/>
    <mergeCell ref="B198:P198"/>
    <mergeCell ref="B92:P92"/>
    <mergeCell ref="A31:A33"/>
    <mergeCell ref="B94:P94"/>
    <mergeCell ref="B95:P95"/>
    <mergeCell ref="B193:P193"/>
    <mergeCell ref="A132:A135"/>
    <mergeCell ref="B132:B135"/>
    <mergeCell ref="E102:L102"/>
    <mergeCell ref="O102:O103"/>
    <mergeCell ref="M102:M103"/>
    <mergeCell ref="A3:P3"/>
    <mergeCell ref="A202:P202"/>
    <mergeCell ref="A99:P99"/>
    <mergeCell ref="A246:P246"/>
    <mergeCell ref="A19:A21"/>
    <mergeCell ref="B19:B21"/>
    <mergeCell ref="C19:C21"/>
    <mergeCell ref="B96:P96"/>
    <mergeCell ref="B91:P91"/>
    <mergeCell ref="B93:P93"/>
    <mergeCell ref="A333:P333"/>
    <mergeCell ref="A376:P376"/>
    <mergeCell ref="A419:P419"/>
    <mergeCell ref="P292:P293"/>
    <mergeCell ref="N335:N336"/>
    <mergeCell ref="A332:P332"/>
    <mergeCell ref="A375:P375"/>
    <mergeCell ref="C335:C336"/>
    <mergeCell ref="D335:D336"/>
    <mergeCell ref="O335:O336"/>
  </mergeCells>
  <phoneticPr fontId="45" type="noConversion"/>
  <printOptions horizontalCentered="1"/>
  <pageMargins left="0.51" right="0.24" top="0.78740157480314998" bottom="0.41" header="0.26" footer="0.24"/>
  <pageSetup paperSize="9" scale="70" firstPageNumber="163" fitToHeight="0" orientation="landscape" useFirstPageNumber="1" r:id="rId1"/>
  <headerFooter alignWithMargins="0">
    <oddFooter>&amp;C&amp;P</oddFooter>
  </headerFooter>
  <rowBreaks count="7" manualBreakCount="7">
    <brk id="97" max="16383" man="1"/>
    <brk id="200" max="16383" man="1"/>
    <brk id="243" max="16383" man="1"/>
    <brk id="287" max="16383" man="1"/>
    <brk id="331" max="16383" man="1"/>
    <brk id="374" max="16383" man="1"/>
    <brk id="417"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S391"/>
  <sheetViews>
    <sheetView showZeros="0" topLeftCell="A341" zoomScale="75" zoomScaleNormal="85" workbookViewId="0">
      <selection activeCell="A349" sqref="A349:O349"/>
    </sheetView>
  </sheetViews>
  <sheetFormatPr defaultRowHeight="16.5"/>
  <cols>
    <col min="1" max="1" width="7.88671875" style="359" customWidth="1"/>
    <col min="2" max="2" width="56.6640625" style="368" customWidth="1"/>
    <col min="3" max="3" width="7.6640625" style="360" customWidth="1"/>
    <col min="4" max="4" width="5.5546875" style="361" customWidth="1"/>
    <col min="5" max="5" width="8.109375" style="336" customWidth="1"/>
    <col min="6" max="6" width="7.33203125" style="336" customWidth="1"/>
    <col min="7" max="7" width="7.109375" style="362" hidden="1" customWidth="1"/>
    <col min="8" max="8" width="6.21875" style="336" customWidth="1"/>
    <col min="9" max="9" width="7.109375" style="336" customWidth="1"/>
    <col min="10" max="10" width="5.5546875" style="336" customWidth="1"/>
    <col min="11" max="11" width="8.21875" style="336" customWidth="1"/>
    <col min="12" max="12" width="8.77734375" style="336" customWidth="1"/>
    <col min="13" max="13" width="7.44140625" style="336" customWidth="1"/>
    <col min="14" max="14" width="8.44140625" style="336" customWidth="1"/>
    <col min="15" max="15" width="7.88671875" style="336" customWidth="1"/>
    <col min="16" max="19" width="8.88671875" style="67" hidden="1" customWidth="1"/>
    <col min="20" max="20" width="0" style="15" hidden="1" customWidth="1"/>
    <col min="21" max="16384" width="8.88671875" style="15"/>
  </cols>
  <sheetData>
    <row r="1" spans="1:19" ht="18" customHeight="1">
      <c r="A1" s="1114" t="s">
        <v>263</v>
      </c>
      <c r="B1" s="1114"/>
      <c r="C1" s="1114"/>
      <c r="D1" s="1114"/>
      <c r="E1" s="1114"/>
      <c r="F1" s="1114"/>
      <c r="G1" s="1114"/>
      <c r="H1" s="1114"/>
      <c r="I1" s="1114"/>
      <c r="J1" s="1114"/>
      <c r="K1" s="1114"/>
      <c r="L1" s="1114"/>
      <c r="M1" s="1114"/>
      <c r="N1" s="1114"/>
      <c r="O1" s="1114"/>
      <c r="P1" s="334" t="s">
        <v>790</v>
      </c>
      <c r="Q1" s="335">
        <v>0</v>
      </c>
    </row>
    <row r="2" spans="1:19" ht="18" customHeight="1">
      <c r="A2" s="1113" t="s">
        <v>960</v>
      </c>
      <c r="B2" s="1113"/>
      <c r="C2" s="1113"/>
      <c r="D2" s="1113"/>
      <c r="E2" s="1113"/>
      <c r="F2" s="1113"/>
      <c r="G2" s="1113"/>
      <c r="H2" s="1113"/>
      <c r="I2" s="1113"/>
      <c r="J2" s="1113"/>
      <c r="K2" s="1113"/>
      <c r="L2" s="1113"/>
      <c r="M2" s="1113"/>
      <c r="N2" s="1113"/>
      <c r="O2" s="1113"/>
      <c r="P2" s="1113"/>
      <c r="Q2" s="335"/>
    </row>
    <row r="3" spans="1:19" ht="31.9" hidden="1" customHeight="1">
      <c r="A3" s="1182" t="s">
        <v>263</v>
      </c>
      <c r="B3" s="1182"/>
      <c r="C3" s="1182"/>
      <c r="D3" s="1182"/>
      <c r="E3" s="1182"/>
      <c r="F3" s="1182"/>
      <c r="G3" s="1182"/>
      <c r="H3" s="1182"/>
      <c r="I3" s="1182"/>
      <c r="J3" s="1182"/>
      <c r="K3" s="1182"/>
      <c r="L3" s="1182"/>
      <c r="M3" s="1182"/>
      <c r="N3" s="1182"/>
      <c r="O3" s="1182"/>
    </row>
    <row r="4" spans="1:19" s="345" customFormat="1" ht="13.5" customHeight="1">
      <c r="A4" s="337"/>
      <c r="B4" s="363"/>
      <c r="C4" s="338"/>
      <c r="D4" s="339" t="s">
        <v>576</v>
      </c>
      <c r="E4" s="340"/>
      <c r="F4" s="341"/>
      <c r="G4" s="342"/>
      <c r="H4" s="341"/>
      <c r="I4" s="343"/>
      <c r="J4" s="341"/>
      <c r="K4" s="341"/>
      <c r="L4" s="344" t="s">
        <v>980</v>
      </c>
      <c r="M4" s="341"/>
      <c r="N4" s="343"/>
      <c r="O4" s="340"/>
      <c r="P4" s="332"/>
      <c r="Q4" s="332"/>
      <c r="R4" s="332"/>
      <c r="S4" s="332"/>
    </row>
    <row r="5" spans="1:19" s="345" customFormat="1" ht="29.45" customHeight="1">
      <c r="A5" s="1112" t="s">
        <v>876</v>
      </c>
      <c r="B5" s="1112" t="s">
        <v>381</v>
      </c>
      <c r="C5" s="1124" t="s">
        <v>981</v>
      </c>
      <c r="D5" s="1124" t="s">
        <v>982</v>
      </c>
      <c r="E5" s="1124" t="s">
        <v>466</v>
      </c>
      <c r="F5" s="1124"/>
      <c r="G5" s="1124"/>
      <c r="H5" s="1124"/>
      <c r="I5" s="1124"/>
      <c r="J5" s="1124"/>
      <c r="K5" s="1124"/>
      <c r="L5" s="1124"/>
      <c r="M5" s="1124" t="s">
        <v>581</v>
      </c>
      <c r="N5" s="1124" t="s">
        <v>201</v>
      </c>
      <c r="O5" s="1124" t="s">
        <v>200</v>
      </c>
      <c r="P5" s="348"/>
      <c r="Q5" s="348"/>
      <c r="R5" s="332"/>
      <c r="S5" s="332"/>
    </row>
    <row r="6" spans="1:19" s="345" customFormat="1" ht="36" customHeight="1">
      <c r="A6" s="1112"/>
      <c r="B6" s="1112"/>
      <c r="C6" s="1124"/>
      <c r="D6" s="1124"/>
      <c r="E6" s="382" t="s">
        <v>469</v>
      </c>
      <c r="F6" s="382" t="s">
        <v>470</v>
      </c>
      <c r="G6" s="837" t="s">
        <v>1003</v>
      </c>
      <c r="H6" s="382" t="s">
        <v>59</v>
      </c>
      <c r="I6" s="382" t="s">
        <v>527</v>
      </c>
      <c r="J6" s="382" t="s">
        <v>280</v>
      </c>
      <c r="K6" s="382" t="s">
        <v>472</v>
      </c>
      <c r="L6" s="382" t="s">
        <v>473</v>
      </c>
      <c r="M6" s="1124"/>
      <c r="N6" s="1124"/>
      <c r="O6" s="1124"/>
      <c r="P6" s="348"/>
      <c r="Q6" s="348"/>
      <c r="R6" s="332"/>
      <c r="S6" s="332"/>
    </row>
    <row r="7" spans="1:19" s="345" customFormat="1" ht="48.75" customHeight="1">
      <c r="A7" s="831"/>
      <c r="B7" s="830" t="s">
        <v>264</v>
      </c>
      <c r="C7" s="382"/>
      <c r="D7" s="382"/>
      <c r="E7" s="382"/>
      <c r="F7" s="382"/>
      <c r="G7" s="837"/>
      <c r="H7" s="382"/>
      <c r="I7" s="382"/>
      <c r="J7" s="382"/>
      <c r="K7" s="382"/>
      <c r="L7" s="382"/>
      <c r="M7" s="382"/>
      <c r="N7" s="382"/>
      <c r="O7" s="382"/>
      <c r="P7" s="348"/>
      <c r="Q7" s="348"/>
      <c r="R7" s="332"/>
      <c r="S7" s="332"/>
    </row>
    <row r="8" spans="1:19" s="345" customFormat="1" ht="23.25" customHeight="1">
      <c r="A8" s="831"/>
      <c r="B8" s="868" t="s">
        <v>451</v>
      </c>
      <c r="C8" s="382" t="s">
        <v>281</v>
      </c>
      <c r="D8" s="831" t="s">
        <v>881</v>
      </c>
      <c r="E8" s="383" t="e">
        <f>E12+E39+E41</f>
        <v>#VALUE!</v>
      </c>
      <c r="F8" s="383">
        <f t="shared" ref="F8:N8" si="0">F12+F39+F41</f>
        <v>0</v>
      </c>
      <c r="G8" s="383">
        <f t="shared" si="0"/>
        <v>0</v>
      </c>
      <c r="H8" s="383">
        <f t="shared" si="0"/>
        <v>11608.515759615384</v>
      </c>
      <c r="I8" s="383">
        <f t="shared" si="0"/>
        <v>27022.14</v>
      </c>
      <c r="J8" s="383">
        <f t="shared" si="0"/>
        <v>6565.7200000000012</v>
      </c>
      <c r="K8" s="383">
        <f t="shared" si="0"/>
        <v>12941.712</v>
      </c>
      <c r="L8" s="383" t="e">
        <f t="shared" si="0"/>
        <v>#VALUE!</v>
      </c>
      <c r="M8" s="383" t="e">
        <f t="shared" si="0"/>
        <v>#VALUE!</v>
      </c>
      <c r="N8" s="383" t="e">
        <f t="shared" si="0"/>
        <v>#VALUE!</v>
      </c>
      <c r="O8" s="383">
        <f>O12+O39+O41</f>
        <v>22034.707692307689</v>
      </c>
      <c r="P8" s="348"/>
      <c r="Q8" s="348"/>
      <c r="R8" s="332"/>
      <c r="S8" s="332"/>
    </row>
    <row r="9" spans="1:19" s="345" customFormat="1" ht="23.25" customHeight="1">
      <c r="A9" s="831"/>
      <c r="B9" s="868" t="s">
        <v>452</v>
      </c>
      <c r="C9" s="382" t="s">
        <v>281</v>
      </c>
      <c r="D9" s="831" t="s">
        <v>881</v>
      </c>
      <c r="E9" s="383" t="e">
        <f>E13+E39+E41</f>
        <v>#VALUE!</v>
      </c>
      <c r="F9" s="383">
        <f t="shared" ref="F9:O9" si="1">F13+F39+F41</f>
        <v>0</v>
      </c>
      <c r="G9" s="383">
        <f t="shared" si="1"/>
        <v>0</v>
      </c>
      <c r="H9" s="383">
        <f t="shared" si="1"/>
        <v>11608.515759615384</v>
      </c>
      <c r="I9" s="383">
        <f t="shared" si="1"/>
        <v>27022.14</v>
      </c>
      <c r="J9" s="383">
        <f t="shared" si="1"/>
        <v>6565.7200000000012</v>
      </c>
      <c r="K9" s="383">
        <f t="shared" si="1"/>
        <v>12941.712</v>
      </c>
      <c r="L9" s="383" t="e">
        <f t="shared" si="1"/>
        <v>#VALUE!</v>
      </c>
      <c r="M9" s="383" t="e">
        <f t="shared" si="1"/>
        <v>#VALUE!</v>
      </c>
      <c r="N9" s="383" t="e">
        <f t="shared" si="1"/>
        <v>#VALUE!</v>
      </c>
      <c r="O9" s="383">
        <f t="shared" si="1"/>
        <v>21727.303846153842</v>
      </c>
      <c r="P9" s="348"/>
      <c r="Q9" s="348"/>
      <c r="R9" s="332"/>
      <c r="S9" s="332"/>
    </row>
    <row r="10" spans="1:19" s="345" customFormat="1" ht="22.5" customHeight="1">
      <c r="A10" s="831"/>
      <c r="B10" s="888"/>
      <c r="C10" s="382"/>
      <c r="D10" s="382"/>
      <c r="E10" s="382"/>
      <c r="F10" s="382"/>
      <c r="G10" s="837"/>
      <c r="H10" s="382"/>
      <c r="I10" s="382"/>
      <c r="J10" s="382"/>
      <c r="K10" s="382"/>
      <c r="L10" s="382"/>
      <c r="M10" s="382"/>
      <c r="N10" s="382"/>
      <c r="O10" s="382"/>
      <c r="P10" s="351">
        <f>'He so chung'!D$22</f>
        <v>5346.1538461538457</v>
      </c>
      <c r="Q10" s="351">
        <f>'He so chung'!D$23</f>
        <v>801.92307692307691</v>
      </c>
      <c r="R10" s="352"/>
      <c r="S10" s="332"/>
    </row>
    <row r="11" spans="1:19" s="345" customFormat="1" ht="26.25" customHeight="1">
      <c r="A11" s="831" t="s">
        <v>179</v>
      </c>
      <c r="B11" s="888" t="s">
        <v>765</v>
      </c>
      <c r="C11" s="382"/>
      <c r="D11" s="382"/>
      <c r="E11" s="382"/>
      <c r="F11" s="382"/>
      <c r="G11" s="837"/>
      <c r="H11" s="382"/>
      <c r="I11" s="382"/>
      <c r="J11" s="382"/>
      <c r="K11" s="382"/>
      <c r="L11" s="382"/>
      <c r="M11" s="382"/>
      <c r="N11" s="382"/>
      <c r="O11" s="382"/>
      <c r="P11" s="351"/>
      <c r="Q11" s="351"/>
      <c r="R11" s="352"/>
      <c r="S11" s="332"/>
    </row>
    <row r="12" spans="1:19" s="1009" customFormat="1" ht="23.25" customHeight="1">
      <c r="A12" s="869" t="s">
        <v>665</v>
      </c>
      <c r="B12" s="868" t="s">
        <v>451</v>
      </c>
      <c r="C12" s="382" t="s">
        <v>281</v>
      </c>
      <c r="D12" s="901" t="s">
        <v>881</v>
      </c>
      <c r="E12" s="919" t="e">
        <f>E15+E17+E18+E19+E20+E22+E24+E25+E27+E29+E30+E31+E32+E35+E36+E37+E38</f>
        <v>#VALUE!</v>
      </c>
      <c r="F12" s="898"/>
      <c r="G12" s="391"/>
      <c r="H12" s="898">
        <f>'Dcu-DKDD'!$J$309</f>
        <v>9785.5934615384613</v>
      </c>
      <c r="I12" s="898">
        <f>'VL-DKDD'!$H$312</f>
        <v>23921.46</v>
      </c>
      <c r="J12" s="898">
        <f>'TB-DKDD'!$K$176</f>
        <v>6431.0400000000009</v>
      </c>
      <c r="K12" s="898">
        <f>'NL-DKDD'!$H$120</f>
        <v>12648.005999999999</v>
      </c>
      <c r="L12" s="893" t="e">
        <f>SUM(E12:K12)</f>
        <v>#VALUE!</v>
      </c>
      <c r="M12" s="893" t="e">
        <f>L12*'He so chung'!$D$17/100</f>
        <v>#VALUE!</v>
      </c>
      <c r="N12" s="893" t="e">
        <f>L12+M12</f>
        <v>#VALUE!</v>
      </c>
      <c r="O12" s="919">
        <f>O15+O17+O18+O19+O20+O22+O24+O25+O27+O29+O30+O31+O32+O35+O36+O37+O38</f>
        <v>18960.669230769228</v>
      </c>
      <c r="P12" s="348"/>
      <c r="Q12" s="348"/>
      <c r="R12" s="332"/>
      <c r="S12" s="352"/>
    </row>
    <row r="13" spans="1:19" s="1009" customFormat="1" ht="23.25" customHeight="1">
      <c r="A13" s="869" t="s">
        <v>666</v>
      </c>
      <c r="B13" s="868" t="s">
        <v>452</v>
      </c>
      <c r="C13" s="382" t="s">
        <v>281</v>
      </c>
      <c r="D13" s="901" t="s">
        <v>881</v>
      </c>
      <c r="E13" s="919" t="e">
        <f>E16+E17+E18+E19+E20+E22+E24+E25+E27+E29+E30+E31+E32+E35+E36+E37+E38</f>
        <v>#VALUE!</v>
      </c>
      <c r="F13" s="898"/>
      <c r="G13" s="391"/>
      <c r="H13" s="898">
        <f>'Dcu-DKDD'!$J$309</f>
        <v>9785.5934615384613</v>
      </c>
      <c r="I13" s="898">
        <f>'VL-DKDD'!$H$312</f>
        <v>23921.46</v>
      </c>
      <c r="J13" s="898">
        <f>'TB-DKDD'!$K$176</f>
        <v>6431.0400000000009</v>
      </c>
      <c r="K13" s="898">
        <f>'NL-DKDD'!$H$120</f>
        <v>12648.005999999999</v>
      </c>
      <c r="L13" s="893" t="e">
        <f>SUM(E13:K13)</f>
        <v>#VALUE!</v>
      </c>
      <c r="M13" s="893" t="e">
        <f>L13*'He so chung'!$D$17/100</f>
        <v>#VALUE!</v>
      </c>
      <c r="N13" s="893" t="e">
        <f>L13+M13</f>
        <v>#VALUE!</v>
      </c>
      <c r="O13" s="919">
        <f>O16+O17+O18+O19+O20+O22+O24+O25+O27+O29+O30+O31+O32+O35+O36+O37+O38</f>
        <v>18653.265384615381</v>
      </c>
      <c r="P13" s="348"/>
      <c r="Q13" s="348"/>
      <c r="R13" s="332"/>
      <c r="S13" s="352"/>
    </row>
    <row r="14" spans="1:19" s="1009" customFormat="1" ht="29.25" customHeight="1">
      <c r="A14" s="832">
        <v>1</v>
      </c>
      <c r="B14" s="827" t="s">
        <v>4</v>
      </c>
      <c r="C14" s="898"/>
      <c r="D14" s="1010"/>
      <c r="E14" s="898"/>
      <c r="F14" s="898"/>
      <c r="G14" s="391"/>
      <c r="H14" s="898"/>
      <c r="I14" s="898"/>
      <c r="J14" s="898"/>
      <c r="K14" s="898"/>
      <c r="L14" s="898"/>
      <c r="M14" s="898"/>
      <c r="N14" s="898"/>
      <c r="O14" s="898">
        <f t="shared" ref="O14:O22" si="2">P14+Q14</f>
        <v>0</v>
      </c>
      <c r="P14" s="348"/>
      <c r="Q14" s="348"/>
      <c r="R14" s="332"/>
      <c r="S14" s="352"/>
    </row>
    <row r="15" spans="1:19" s="1009" customFormat="1" ht="25.5" customHeight="1">
      <c r="A15" s="832" t="s">
        <v>891</v>
      </c>
      <c r="B15" s="827" t="s">
        <v>33</v>
      </c>
      <c r="C15" s="832" t="s">
        <v>281</v>
      </c>
      <c r="D15" s="901" t="s">
        <v>881</v>
      </c>
      <c r="E15" s="898" t="e">
        <f>NC_DKDD!H873</f>
        <v>#VALUE!</v>
      </c>
      <c r="F15" s="898"/>
      <c r="G15" s="391"/>
      <c r="H15" s="898"/>
      <c r="I15" s="898"/>
      <c r="J15" s="898"/>
      <c r="K15" s="898"/>
      <c r="L15" s="898"/>
      <c r="M15" s="898"/>
      <c r="N15" s="898"/>
      <c r="O15" s="898">
        <f t="shared" si="2"/>
        <v>1229.6153846153848</v>
      </c>
      <c r="P15" s="348">
        <f t="shared" ref="P15:P22" si="3">R15*P$10</f>
        <v>1069.2307692307693</v>
      </c>
      <c r="Q15" s="348">
        <f t="shared" ref="Q15:Q42" si="4">R15*Q$10</f>
        <v>160.38461538461539</v>
      </c>
      <c r="R15" s="1011">
        <f>NC_DKDD!G873</f>
        <v>0.2</v>
      </c>
      <c r="S15" s="352"/>
    </row>
    <row r="16" spans="1:19" s="1009" customFormat="1" ht="25.5" customHeight="1">
      <c r="A16" s="832" t="s">
        <v>899</v>
      </c>
      <c r="B16" s="827" t="s">
        <v>36</v>
      </c>
      <c r="C16" s="832" t="s">
        <v>281</v>
      </c>
      <c r="D16" s="901" t="s">
        <v>881</v>
      </c>
      <c r="E16" s="898" t="e">
        <f>NC_DKDD!H874</f>
        <v>#VALUE!</v>
      </c>
      <c r="F16" s="898"/>
      <c r="G16" s="391"/>
      <c r="H16" s="898"/>
      <c r="I16" s="898"/>
      <c r="J16" s="898"/>
      <c r="K16" s="898"/>
      <c r="L16" s="898"/>
      <c r="M16" s="898"/>
      <c r="N16" s="898"/>
      <c r="O16" s="898">
        <f t="shared" si="2"/>
        <v>922.21153846153834</v>
      </c>
      <c r="P16" s="348">
        <f t="shared" si="3"/>
        <v>801.92307692307679</v>
      </c>
      <c r="Q16" s="348">
        <f t="shared" si="4"/>
        <v>120.28846153846153</v>
      </c>
      <c r="R16" s="1011">
        <f>NC_DKDD!G874</f>
        <v>0.15</v>
      </c>
      <c r="S16" s="352"/>
    </row>
    <row r="17" spans="1:19" s="1009" customFormat="1" ht="45" customHeight="1">
      <c r="A17" s="832">
        <v>2</v>
      </c>
      <c r="B17" s="827" t="s">
        <v>953</v>
      </c>
      <c r="C17" s="832" t="s">
        <v>281</v>
      </c>
      <c r="D17" s="901" t="s">
        <v>881</v>
      </c>
      <c r="E17" s="898" t="e">
        <f>NC_DKDD!H875</f>
        <v>#VALUE!</v>
      </c>
      <c r="F17" s="898"/>
      <c r="G17" s="391"/>
      <c r="H17" s="898"/>
      <c r="I17" s="898"/>
      <c r="J17" s="898"/>
      <c r="K17" s="898"/>
      <c r="L17" s="898"/>
      <c r="M17" s="898"/>
      <c r="N17" s="898"/>
      <c r="O17" s="898">
        <f t="shared" si="2"/>
        <v>1537.0192307692307</v>
      </c>
      <c r="P17" s="348">
        <f t="shared" si="3"/>
        <v>1336.5384615384614</v>
      </c>
      <c r="Q17" s="348">
        <f t="shared" si="4"/>
        <v>200.48076923076923</v>
      </c>
      <c r="R17" s="1011">
        <f>NC_DKDD!G875</f>
        <v>0.25</v>
      </c>
      <c r="S17" s="352"/>
    </row>
    <row r="18" spans="1:19" s="1009" customFormat="1" ht="34.5" customHeight="1">
      <c r="A18" s="832">
        <v>3</v>
      </c>
      <c r="B18" s="827" t="s">
        <v>38</v>
      </c>
      <c r="C18" s="832" t="s">
        <v>523</v>
      </c>
      <c r="D18" s="901" t="s">
        <v>881</v>
      </c>
      <c r="E18" s="898" t="e">
        <f>NC_DKDD!H876</f>
        <v>#VALUE!</v>
      </c>
      <c r="F18" s="898"/>
      <c r="G18" s="391"/>
      <c r="H18" s="898"/>
      <c r="I18" s="898"/>
      <c r="J18" s="898"/>
      <c r="K18" s="898"/>
      <c r="L18" s="898"/>
      <c r="M18" s="898"/>
      <c r="N18" s="898"/>
      <c r="O18" s="898">
        <f t="shared" si="2"/>
        <v>657.84423076923065</v>
      </c>
      <c r="P18" s="348">
        <f t="shared" si="3"/>
        <v>572.03846153846143</v>
      </c>
      <c r="Q18" s="348">
        <f t="shared" si="4"/>
        <v>85.805769230769229</v>
      </c>
      <c r="R18" s="1011">
        <f>NC_DKDD!G876</f>
        <v>0.107</v>
      </c>
      <c r="S18" s="352"/>
    </row>
    <row r="19" spans="1:19" s="1009" customFormat="1" ht="88.5" customHeight="1">
      <c r="A19" s="832">
        <v>4</v>
      </c>
      <c r="B19" s="827" t="s">
        <v>481</v>
      </c>
      <c r="C19" s="832" t="s">
        <v>281</v>
      </c>
      <c r="D19" s="901" t="s">
        <v>881</v>
      </c>
      <c r="E19" s="898" t="e">
        <f>NC_DKDD!H877</f>
        <v>#VALUE!</v>
      </c>
      <c r="F19" s="898"/>
      <c r="G19" s="391"/>
      <c r="H19" s="898"/>
      <c r="I19" s="898"/>
      <c r="J19" s="898"/>
      <c r="K19" s="898"/>
      <c r="L19" s="898"/>
      <c r="M19" s="898"/>
      <c r="N19" s="898"/>
      <c r="O19" s="898">
        <f t="shared" si="2"/>
        <v>7377.6923076923067</v>
      </c>
      <c r="P19" s="348">
        <f t="shared" si="3"/>
        <v>6415.3846153846143</v>
      </c>
      <c r="Q19" s="348">
        <f t="shared" si="4"/>
        <v>962.30769230769226</v>
      </c>
      <c r="R19" s="1011">
        <f>NC_DKDD!G877</f>
        <v>1.2</v>
      </c>
      <c r="S19" s="352"/>
    </row>
    <row r="20" spans="1:19" s="1009" customFormat="1" ht="34.5" customHeight="1">
      <c r="A20" s="832">
        <v>5</v>
      </c>
      <c r="B20" s="827" t="s">
        <v>69</v>
      </c>
      <c r="C20" s="832" t="s">
        <v>523</v>
      </c>
      <c r="D20" s="901" t="s">
        <v>881</v>
      </c>
      <c r="E20" s="898" t="e">
        <f>NC_DKDD!H878</f>
        <v>#VALUE!</v>
      </c>
      <c r="F20" s="898"/>
      <c r="G20" s="391"/>
      <c r="H20" s="898"/>
      <c r="I20" s="898"/>
      <c r="J20" s="898"/>
      <c r="K20" s="898"/>
      <c r="L20" s="898"/>
      <c r="M20" s="898"/>
      <c r="N20" s="898"/>
      <c r="O20" s="898">
        <f t="shared" si="2"/>
        <v>36.888461538461534</v>
      </c>
      <c r="P20" s="348">
        <f t="shared" si="3"/>
        <v>32.076923076923073</v>
      </c>
      <c r="Q20" s="348">
        <f t="shared" si="4"/>
        <v>4.8115384615384613</v>
      </c>
      <c r="R20" s="1011">
        <f>NC_DKDD!G878</f>
        <v>6.0000000000000001E-3</v>
      </c>
      <c r="S20" s="352"/>
    </row>
    <row r="21" spans="1:19" s="1009" customFormat="1" ht="45.75" customHeight="1">
      <c r="A21" s="832">
        <v>6</v>
      </c>
      <c r="B21" s="827" t="s">
        <v>483</v>
      </c>
      <c r="C21" s="832"/>
      <c r="D21" s="832"/>
      <c r="E21" s="898">
        <f>NC_DKDD!H879</f>
        <v>0</v>
      </c>
      <c r="F21" s="898"/>
      <c r="G21" s="391"/>
      <c r="H21" s="898"/>
      <c r="I21" s="898"/>
      <c r="J21" s="898"/>
      <c r="K21" s="898"/>
      <c r="L21" s="898"/>
      <c r="M21" s="898"/>
      <c r="N21" s="898"/>
      <c r="O21" s="898">
        <f t="shared" si="2"/>
        <v>0</v>
      </c>
      <c r="P21" s="348">
        <f t="shared" si="3"/>
        <v>0</v>
      </c>
      <c r="Q21" s="348">
        <f t="shared" si="4"/>
        <v>0</v>
      </c>
      <c r="R21" s="1011">
        <f>NC_DKDD!G879</f>
        <v>0</v>
      </c>
      <c r="S21" s="352"/>
    </row>
    <row r="22" spans="1:19" s="1009" customFormat="1" ht="25.5" customHeight="1">
      <c r="A22" s="832" t="s">
        <v>444</v>
      </c>
      <c r="B22" s="827" t="s">
        <v>770</v>
      </c>
      <c r="C22" s="832" t="s">
        <v>281</v>
      </c>
      <c r="D22" s="901" t="s">
        <v>881</v>
      </c>
      <c r="E22" s="898" t="e">
        <f>NC_DKDD!H880</f>
        <v>#VALUE!</v>
      </c>
      <c r="F22" s="898"/>
      <c r="G22" s="391"/>
      <c r="H22" s="898"/>
      <c r="I22" s="898"/>
      <c r="J22" s="898"/>
      <c r="K22" s="898"/>
      <c r="L22" s="898"/>
      <c r="M22" s="898"/>
      <c r="N22" s="898"/>
      <c r="O22" s="898">
        <f t="shared" si="2"/>
        <v>307.40384615384619</v>
      </c>
      <c r="P22" s="348">
        <f t="shared" si="3"/>
        <v>267.30769230769232</v>
      </c>
      <c r="Q22" s="348">
        <f t="shared" si="4"/>
        <v>40.096153846153847</v>
      </c>
      <c r="R22" s="1011">
        <f>NC_DKDD!G880</f>
        <v>0.05</v>
      </c>
      <c r="S22" s="352"/>
    </row>
    <row r="23" spans="1:19" s="1009" customFormat="1" ht="25.5" customHeight="1">
      <c r="A23" s="832" t="s">
        <v>445</v>
      </c>
      <c r="B23" s="827" t="s">
        <v>771</v>
      </c>
      <c r="C23" s="832" t="s">
        <v>281</v>
      </c>
      <c r="D23" s="901" t="s">
        <v>881</v>
      </c>
      <c r="E23" s="898" t="e">
        <f>NC_DKDD!H881</f>
        <v>#VALUE!</v>
      </c>
      <c r="F23" s="898"/>
      <c r="G23" s="391"/>
      <c r="H23" s="898"/>
      <c r="I23" s="898"/>
      <c r="J23" s="898"/>
      <c r="K23" s="898"/>
      <c r="L23" s="898"/>
      <c r="M23" s="898"/>
      <c r="N23" s="898"/>
      <c r="O23" s="898">
        <f t="shared" ref="O23:O42" si="5">P23+Q23</f>
        <v>614.80769230769238</v>
      </c>
      <c r="P23" s="348">
        <f t="shared" ref="P23:P42" si="6">R23*P$10</f>
        <v>534.61538461538464</v>
      </c>
      <c r="Q23" s="348">
        <f t="shared" si="4"/>
        <v>80.192307692307693</v>
      </c>
      <c r="R23" s="1011">
        <f>NC_DKDD!G881</f>
        <v>0.1</v>
      </c>
      <c r="S23" s="352"/>
    </row>
    <row r="24" spans="1:19" s="1009" customFormat="1" ht="31.5" customHeight="1">
      <c r="A24" s="832">
        <v>7</v>
      </c>
      <c r="B24" s="827" t="s">
        <v>554</v>
      </c>
      <c r="C24" s="832" t="s">
        <v>281</v>
      </c>
      <c r="D24" s="901" t="s">
        <v>881</v>
      </c>
      <c r="E24" s="898" t="e">
        <f>NC_DKDD!H882</f>
        <v>#VALUE!</v>
      </c>
      <c r="F24" s="898"/>
      <c r="G24" s="391"/>
      <c r="H24" s="898"/>
      <c r="I24" s="898"/>
      <c r="J24" s="898"/>
      <c r="K24" s="898"/>
      <c r="L24" s="898"/>
      <c r="M24" s="898"/>
      <c r="N24" s="898"/>
      <c r="O24" s="898">
        <f t="shared" si="5"/>
        <v>1229.6153846153848</v>
      </c>
      <c r="P24" s="348">
        <f t="shared" si="6"/>
        <v>1069.2307692307693</v>
      </c>
      <c r="Q24" s="348">
        <f t="shared" si="4"/>
        <v>160.38461538461539</v>
      </c>
      <c r="R24" s="1011">
        <f>NC_DKDD!G882</f>
        <v>0.2</v>
      </c>
      <c r="S24" s="352"/>
    </row>
    <row r="25" spans="1:19" s="1009" customFormat="1" ht="24" customHeight="1">
      <c r="A25" s="832">
        <v>8</v>
      </c>
      <c r="B25" s="827" t="s">
        <v>211</v>
      </c>
      <c r="C25" s="832" t="s">
        <v>523</v>
      </c>
      <c r="D25" s="901" t="s">
        <v>881</v>
      </c>
      <c r="E25" s="898" t="e">
        <f>NC_DKDD!H883</f>
        <v>#VALUE!</v>
      </c>
      <c r="F25" s="898"/>
      <c r="G25" s="391"/>
      <c r="H25" s="898"/>
      <c r="I25" s="898"/>
      <c r="J25" s="898"/>
      <c r="K25" s="898"/>
      <c r="L25" s="898"/>
      <c r="M25" s="898"/>
      <c r="N25" s="898"/>
      <c r="O25" s="898">
        <f t="shared" si="5"/>
        <v>184.44230769230768</v>
      </c>
      <c r="P25" s="348">
        <f t="shared" si="6"/>
        <v>160.38461538461536</v>
      </c>
      <c r="Q25" s="348">
        <f t="shared" si="4"/>
        <v>24.057692307692307</v>
      </c>
      <c r="R25" s="1011">
        <f>NC_DKDD!G883</f>
        <v>0.03</v>
      </c>
      <c r="S25" s="352"/>
    </row>
    <row r="26" spans="1:19" s="1009" customFormat="1" ht="24" customHeight="1">
      <c r="A26" s="832">
        <v>9</v>
      </c>
      <c r="B26" s="827" t="s">
        <v>213</v>
      </c>
      <c r="C26" s="832"/>
      <c r="D26" s="832"/>
      <c r="E26" s="898">
        <f>NC_DKDD!H884</f>
        <v>0</v>
      </c>
      <c r="F26" s="898"/>
      <c r="G26" s="391"/>
      <c r="H26" s="898"/>
      <c r="I26" s="898"/>
      <c r="J26" s="898"/>
      <c r="K26" s="898"/>
      <c r="L26" s="898"/>
      <c r="M26" s="898"/>
      <c r="N26" s="898"/>
      <c r="O26" s="898">
        <f t="shared" si="5"/>
        <v>0</v>
      </c>
      <c r="P26" s="348">
        <f t="shared" si="6"/>
        <v>0</v>
      </c>
      <c r="Q26" s="348">
        <f t="shared" si="4"/>
        <v>0</v>
      </c>
      <c r="R26" s="1011">
        <f>NC_DKDD!G884</f>
        <v>0</v>
      </c>
      <c r="S26" s="352"/>
    </row>
    <row r="27" spans="1:19" s="1009" customFormat="1" ht="24" customHeight="1">
      <c r="A27" s="832" t="s">
        <v>446</v>
      </c>
      <c r="B27" s="827" t="s">
        <v>215</v>
      </c>
      <c r="C27" s="832" t="s">
        <v>320</v>
      </c>
      <c r="D27" s="901" t="s">
        <v>881</v>
      </c>
      <c r="E27" s="898" t="e">
        <f>NC_DKDD!H885</f>
        <v>#VALUE!</v>
      </c>
      <c r="F27" s="898"/>
      <c r="G27" s="391"/>
      <c r="H27" s="898"/>
      <c r="I27" s="898"/>
      <c r="J27" s="898"/>
      <c r="K27" s="898"/>
      <c r="L27" s="898"/>
      <c r="M27" s="898"/>
      <c r="N27" s="898"/>
      <c r="O27" s="898">
        <f t="shared" si="5"/>
        <v>614.80769230769238</v>
      </c>
      <c r="P27" s="348">
        <f t="shared" si="6"/>
        <v>534.61538461538464</v>
      </c>
      <c r="Q27" s="348">
        <f t="shared" si="4"/>
        <v>80.192307692307693</v>
      </c>
      <c r="R27" s="1011">
        <f>NC_DKDD!G885</f>
        <v>0.1</v>
      </c>
      <c r="S27" s="352"/>
    </row>
    <row r="28" spans="1:19" s="1009" customFormat="1" ht="25.5" customHeight="1">
      <c r="A28" s="832" t="s">
        <v>447</v>
      </c>
      <c r="B28" s="827" t="s">
        <v>217</v>
      </c>
      <c r="C28" s="832" t="s">
        <v>320</v>
      </c>
      <c r="D28" s="901" t="s">
        <v>881</v>
      </c>
      <c r="E28" s="898" t="e">
        <f>NC_DKDD!H886</f>
        <v>#VALUE!</v>
      </c>
      <c r="F28" s="898"/>
      <c r="G28" s="391"/>
      <c r="H28" s="898"/>
      <c r="I28" s="898"/>
      <c r="J28" s="898"/>
      <c r="K28" s="898"/>
      <c r="L28" s="898"/>
      <c r="M28" s="898"/>
      <c r="N28" s="898"/>
      <c r="O28" s="898">
        <f t="shared" si="5"/>
        <v>922.21153846153834</v>
      </c>
      <c r="P28" s="348">
        <f t="shared" si="6"/>
        <v>801.92307692307679</v>
      </c>
      <c r="Q28" s="348">
        <f t="shared" si="4"/>
        <v>120.28846153846153</v>
      </c>
      <c r="R28" s="1011">
        <f>NC_DKDD!G886</f>
        <v>0.15</v>
      </c>
      <c r="S28" s="352"/>
    </row>
    <row r="29" spans="1:19" s="1009" customFormat="1" ht="32.25" customHeight="1">
      <c r="A29" s="832" t="s">
        <v>555</v>
      </c>
      <c r="B29" s="827" t="s">
        <v>556</v>
      </c>
      <c r="C29" s="832" t="s">
        <v>320</v>
      </c>
      <c r="D29" s="901" t="s">
        <v>881</v>
      </c>
      <c r="E29" s="898" t="e">
        <f>NC_DKDD!H887</f>
        <v>#VALUE!</v>
      </c>
      <c r="F29" s="898"/>
      <c r="G29" s="391"/>
      <c r="H29" s="898"/>
      <c r="I29" s="898"/>
      <c r="J29" s="898"/>
      <c r="K29" s="898"/>
      <c r="L29" s="898"/>
      <c r="M29" s="898"/>
      <c r="N29" s="898"/>
      <c r="O29" s="898">
        <f t="shared" si="5"/>
        <v>614.80769230769238</v>
      </c>
      <c r="P29" s="348">
        <f t="shared" si="6"/>
        <v>534.61538461538464</v>
      </c>
      <c r="Q29" s="348">
        <f t="shared" si="4"/>
        <v>80.192307692307693</v>
      </c>
      <c r="R29" s="1011">
        <f>NC_DKDD!G887</f>
        <v>0.1</v>
      </c>
      <c r="S29" s="352"/>
    </row>
    <row r="30" spans="1:19" s="1009" customFormat="1" ht="39" customHeight="1">
      <c r="A30" s="832">
        <v>10</v>
      </c>
      <c r="B30" s="827" t="s">
        <v>557</v>
      </c>
      <c r="C30" s="832" t="s">
        <v>281</v>
      </c>
      <c r="D30" s="901" t="s">
        <v>881</v>
      </c>
      <c r="E30" s="898" t="e">
        <f>NC_DKDD!H888</f>
        <v>#VALUE!</v>
      </c>
      <c r="F30" s="898"/>
      <c r="G30" s="391"/>
      <c r="H30" s="898"/>
      <c r="I30" s="898"/>
      <c r="J30" s="898"/>
      <c r="K30" s="898"/>
      <c r="L30" s="898"/>
      <c r="M30" s="898"/>
      <c r="N30" s="898"/>
      <c r="O30" s="898">
        <f t="shared" si="5"/>
        <v>2459.2307692307695</v>
      </c>
      <c r="P30" s="348">
        <f t="shared" si="6"/>
        <v>2138.4615384615386</v>
      </c>
      <c r="Q30" s="348">
        <f t="shared" si="4"/>
        <v>320.76923076923077</v>
      </c>
      <c r="R30" s="1011">
        <f>NC_DKDD!G888</f>
        <v>0.4</v>
      </c>
      <c r="S30" s="352"/>
    </row>
    <row r="31" spans="1:19" s="1009" customFormat="1" ht="60" customHeight="1">
      <c r="A31" s="832">
        <v>11</v>
      </c>
      <c r="B31" s="827" t="s">
        <v>1</v>
      </c>
      <c r="C31" s="832" t="s">
        <v>281</v>
      </c>
      <c r="D31" s="901" t="s">
        <v>881</v>
      </c>
      <c r="E31" s="898" t="e">
        <f>NC_DKDD!H889</f>
        <v>#VALUE!</v>
      </c>
      <c r="F31" s="898"/>
      <c r="G31" s="391"/>
      <c r="H31" s="898"/>
      <c r="I31" s="898"/>
      <c r="J31" s="898"/>
      <c r="K31" s="898"/>
      <c r="L31" s="898"/>
      <c r="M31" s="898"/>
      <c r="N31" s="898"/>
      <c r="O31" s="898">
        <f t="shared" si="5"/>
        <v>2274.7884615384614</v>
      </c>
      <c r="P31" s="348">
        <f t="shared" si="6"/>
        <v>1978.0769230769229</v>
      </c>
      <c r="Q31" s="348">
        <f t="shared" si="4"/>
        <v>296.71153846153845</v>
      </c>
      <c r="R31" s="1011">
        <f>NC_DKDD!G889</f>
        <v>0.37</v>
      </c>
      <c r="S31" s="352"/>
    </row>
    <row r="32" spans="1:19" s="1009" customFormat="1" ht="23.25" customHeight="1">
      <c r="A32" s="832">
        <v>12</v>
      </c>
      <c r="B32" s="827" t="s">
        <v>220</v>
      </c>
      <c r="C32" s="832" t="s">
        <v>523</v>
      </c>
      <c r="D32" s="901" t="s">
        <v>881</v>
      </c>
      <c r="E32" s="898" t="e">
        <f>NC_DKDD!H890</f>
        <v>#VALUE!</v>
      </c>
      <c r="F32" s="898"/>
      <c r="G32" s="391"/>
      <c r="H32" s="898"/>
      <c r="I32" s="898"/>
      <c r="J32" s="898"/>
      <c r="K32" s="898"/>
      <c r="L32" s="898"/>
      <c r="M32" s="898"/>
      <c r="N32" s="898"/>
      <c r="O32" s="898">
        <f t="shared" si="5"/>
        <v>202.88653846153844</v>
      </c>
      <c r="P32" s="348">
        <f t="shared" si="6"/>
        <v>176.42307692307691</v>
      </c>
      <c r="Q32" s="348">
        <f t="shared" si="4"/>
        <v>26.463461538461541</v>
      </c>
      <c r="R32" s="1011">
        <f>NC_DKDD!G890</f>
        <v>3.3000000000000002E-2</v>
      </c>
      <c r="S32" s="352"/>
    </row>
    <row r="33" spans="1:19" s="1009" customFormat="1" ht="23.25" customHeight="1">
      <c r="A33" s="832">
        <v>13</v>
      </c>
      <c r="B33" s="827" t="s">
        <v>221</v>
      </c>
      <c r="C33" s="832"/>
      <c r="D33" s="832"/>
      <c r="E33" s="898">
        <f>NC_DKDD!H891</f>
        <v>0</v>
      </c>
      <c r="F33" s="898"/>
      <c r="G33" s="391"/>
      <c r="H33" s="898"/>
      <c r="I33" s="898"/>
      <c r="J33" s="898"/>
      <c r="K33" s="898"/>
      <c r="L33" s="898"/>
      <c r="M33" s="898"/>
      <c r="N33" s="898"/>
      <c r="O33" s="898">
        <f t="shared" si="5"/>
        <v>0</v>
      </c>
      <c r="P33" s="348">
        <f t="shared" si="6"/>
        <v>0</v>
      </c>
      <c r="Q33" s="348">
        <f t="shared" si="4"/>
        <v>0</v>
      </c>
      <c r="R33" s="1011">
        <f>NC_DKDD!G891</f>
        <v>0</v>
      </c>
      <c r="S33" s="352"/>
    </row>
    <row r="34" spans="1:19" s="1009" customFormat="1" ht="32.450000000000003" customHeight="1">
      <c r="A34" s="832" t="s">
        <v>237</v>
      </c>
      <c r="B34" s="827" t="s">
        <v>931</v>
      </c>
      <c r="C34" s="832"/>
      <c r="D34" s="832"/>
      <c r="E34" s="898">
        <f>NC_DKDD!H892</f>
        <v>0</v>
      </c>
      <c r="F34" s="898"/>
      <c r="G34" s="391"/>
      <c r="H34" s="898"/>
      <c r="I34" s="898"/>
      <c r="J34" s="898"/>
      <c r="K34" s="898"/>
      <c r="L34" s="898"/>
      <c r="M34" s="898"/>
      <c r="N34" s="898"/>
      <c r="O34" s="898">
        <f t="shared" si="5"/>
        <v>0</v>
      </c>
      <c r="P34" s="348">
        <f t="shared" si="6"/>
        <v>0</v>
      </c>
      <c r="Q34" s="348">
        <f t="shared" si="4"/>
        <v>0</v>
      </c>
      <c r="R34" s="1011">
        <f>NC_DKDD!G892</f>
        <v>0</v>
      </c>
      <c r="S34" s="352"/>
    </row>
    <row r="35" spans="1:19" s="1009" customFormat="1" ht="20.25" customHeight="1">
      <c r="A35" s="832" t="s">
        <v>238</v>
      </c>
      <c r="B35" s="827" t="s">
        <v>933</v>
      </c>
      <c r="C35" s="832" t="s">
        <v>525</v>
      </c>
      <c r="D35" s="901" t="s">
        <v>881</v>
      </c>
      <c r="E35" s="898" t="e">
        <f>NC_DKDD!H893</f>
        <v>#VALUE!</v>
      </c>
      <c r="F35" s="898"/>
      <c r="G35" s="391"/>
      <c r="H35" s="898"/>
      <c r="I35" s="898"/>
      <c r="J35" s="898"/>
      <c r="K35" s="898"/>
      <c r="L35" s="898"/>
      <c r="M35" s="898"/>
      <c r="N35" s="898"/>
      <c r="O35" s="898">
        <f t="shared" si="5"/>
        <v>98.369230769230768</v>
      </c>
      <c r="P35" s="348">
        <f t="shared" si="6"/>
        <v>85.538461538461533</v>
      </c>
      <c r="Q35" s="348">
        <f t="shared" si="4"/>
        <v>12.830769230769231</v>
      </c>
      <c r="R35" s="1011">
        <f>NC_DKDD!G893</f>
        <v>1.6E-2</v>
      </c>
      <c r="S35" s="352"/>
    </row>
    <row r="36" spans="1:19" s="1009" customFormat="1" ht="20.25" customHeight="1">
      <c r="A36" s="832" t="s">
        <v>239</v>
      </c>
      <c r="B36" s="827" t="s">
        <v>937</v>
      </c>
      <c r="C36" s="832" t="s">
        <v>525</v>
      </c>
      <c r="D36" s="901" t="s">
        <v>881</v>
      </c>
      <c r="E36" s="898" t="e">
        <f>NC_DKDD!H894</f>
        <v>#VALUE!</v>
      </c>
      <c r="F36" s="898"/>
      <c r="G36" s="391"/>
      <c r="H36" s="898"/>
      <c r="I36" s="898"/>
      <c r="J36" s="898"/>
      <c r="K36" s="898"/>
      <c r="L36" s="898"/>
      <c r="M36" s="898"/>
      <c r="N36" s="898"/>
      <c r="O36" s="898">
        <f t="shared" si="5"/>
        <v>49.184615384615384</v>
      </c>
      <c r="P36" s="348">
        <f t="shared" si="6"/>
        <v>42.769230769230766</v>
      </c>
      <c r="Q36" s="348">
        <f t="shared" si="4"/>
        <v>6.4153846153846157</v>
      </c>
      <c r="R36" s="1011">
        <f>NC_DKDD!G894</f>
        <v>8.0000000000000002E-3</v>
      </c>
      <c r="S36" s="352"/>
    </row>
    <row r="37" spans="1:19" s="1009" customFormat="1" ht="32.450000000000003" customHeight="1">
      <c r="A37" s="832" t="s">
        <v>240</v>
      </c>
      <c r="B37" s="827" t="s">
        <v>48</v>
      </c>
      <c r="C37" s="832" t="s">
        <v>525</v>
      </c>
      <c r="D37" s="901" t="s">
        <v>881</v>
      </c>
      <c r="E37" s="898" t="e">
        <f>NC_DKDD!H895</f>
        <v>#VALUE!</v>
      </c>
      <c r="F37" s="898"/>
      <c r="G37" s="391"/>
      <c r="H37" s="898"/>
      <c r="I37" s="898"/>
      <c r="J37" s="898"/>
      <c r="K37" s="898"/>
      <c r="L37" s="898"/>
      <c r="M37" s="898"/>
      <c r="N37" s="898"/>
      <c r="O37" s="898">
        <f t="shared" si="5"/>
        <v>24.592307692307692</v>
      </c>
      <c r="P37" s="348">
        <f t="shared" si="6"/>
        <v>21.384615384615383</v>
      </c>
      <c r="Q37" s="348">
        <f t="shared" si="4"/>
        <v>3.2076923076923078</v>
      </c>
      <c r="R37" s="1011">
        <f>NC_DKDD!G895</f>
        <v>4.0000000000000001E-3</v>
      </c>
      <c r="S37" s="352"/>
    </row>
    <row r="38" spans="1:19" s="1009" customFormat="1" ht="26.25" customHeight="1">
      <c r="A38" s="832" t="s">
        <v>241</v>
      </c>
      <c r="B38" s="827" t="s">
        <v>50</v>
      </c>
      <c r="C38" s="832" t="s">
        <v>523</v>
      </c>
      <c r="D38" s="901" t="s">
        <v>881</v>
      </c>
      <c r="E38" s="898" t="e">
        <f>NC_DKDD!H896</f>
        <v>#VALUE!</v>
      </c>
      <c r="F38" s="898"/>
      <c r="G38" s="391"/>
      <c r="H38" s="898"/>
      <c r="I38" s="898"/>
      <c r="J38" s="898"/>
      <c r="K38" s="898"/>
      <c r="L38" s="898"/>
      <c r="M38" s="898"/>
      <c r="N38" s="898"/>
      <c r="O38" s="898">
        <f t="shared" si="5"/>
        <v>61.480769230769226</v>
      </c>
      <c r="P38" s="348">
        <f t="shared" si="6"/>
        <v>53.46153846153846</v>
      </c>
      <c r="Q38" s="348">
        <f t="shared" si="4"/>
        <v>8.0192307692307701</v>
      </c>
      <c r="R38" s="1011">
        <f>NC_DKDD!G896</f>
        <v>0.01</v>
      </c>
      <c r="S38" s="352"/>
    </row>
    <row r="39" spans="1:19" s="1009" customFormat="1" ht="32.25" customHeight="1">
      <c r="A39" s="869" t="s">
        <v>184</v>
      </c>
      <c r="B39" s="868" t="s">
        <v>526</v>
      </c>
      <c r="C39" s="832"/>
      <c r="D39" s="832"/>
      <c r="E39" s="919" t="e">
        <f>E40</f>
        <v>#VALUE!</v>
      </c>
      <c r="F39" s="898"/>
      <c r="G39" s="391"/>
      <c r="H39" s="898">
        <f>'Dcu-DKDD'!$L$309</f>
        <v>0</v>
      </c>
      <c r="I39" s="898">
        <f>'VL-DKDD'!$J$312</f>
        <v>0</v>
      </c>
      <c r="J39" s="898">
        <f>'TB-DKDD'!$M$176</f>
        <v>0</v>
      </c>
      <c r="K39" s="898"/>
      <c r="L39" s="893" t="e">
        <f>SUM(E39:K39)</f>
        <v>#VALUE!</v>
      </c>
      <c r="M39" s="893" t="e">
        <f>L39*'He so chung'!$D$17/100</f>
        <v>#VALUE!</v>
      </c>
      <c r="N39" s="893" t="e">
        <f>L39+M39</f>
        <v>#VALUE!</v>
      </c>
      <c r="O39" s="919">
        <f>O40</f>
        <v>2459.2307692307695</v>
      </c>
      <c r="P39" s="348">
        <f t="shared" si="6"/>
        <v>0</v>
      </c>
      <c r="Q39" s="348">
        <f t="shared" si="4"/>
        <v>0</v>
      </c>
      <c r="R39" s="1011">
        <f>NC_DKDD!G897</f>
        <v>0</v>
      </c>
      <c r="S39" s="352"/>
    </row>
    <row r="40" spans="1:19" s="1009" customFormat="1" ht="25.5" customHeight="1">
      <c r="A40" s="832">
        <v>1</v>
      </c>
      <c r="B40" s="827" t="s">
        <v>2</v>
      </c>
      <c r="C40" s="832" t="s">
        <v>281</v>
      </c>
      <c r="D40" s="901" t="s">
        <v>881</v>
      </c>
      <c r="E40" s="898" t="e">
        <f>NC_DKDD!H898</f>
        <v>#VALUE!</v>
      </c>
      <c r="F40" s="898"/>
      <c r="G40" s="391"/>
      <c r="H40" s="898"/>
      <c r="I40" s="898"/>
      <c r="J40" s="898"/>
      <c r="K40" s="898"/>
      <c r="L40" s="898"/>
      <c r="M40" s="898"/>
      <c r="N40" s="898"/>
      <c r="O40" s="898">
        <f t="shared" si="5"/>
        <v>2459.2307692307695</v>
      </c>
      <c r="P40" s="348">
        <f t="shared" si="6"/>
        <v>2138.4615384615386</v>
      </c>
      <c r="Q40" s="348">
        <f t="shared" si="4"/>
        <v>320.76923076923077</v>
      </c>
      <c r="R40" s="1011">
        <f>NC_DKDD!G898</f>
        <v>0.4</v>
      </c>
      <c r="S40" s="352"/>
    </row>
    <row r="41" spans="1:19" s="1009" customFormat="1" ht="25.5" customHeight="1">
      <c r="A41" s="869" t="s">
        <v>913</v>
      </c>
      <c r="B41" s="868" t="s">
        <v>88</v>
      </c>
      <c r="C41" s="832"/>
      <c r="D41" s="832"/>
      <c r="E41" s="919" t="e">
        <f>E42</f>
        <v>#VALUE!</v>
      </c>
      <c r="F41" s="898"/>
      <c r="G41" s="391"/>
      <c r="H41" s="898">
        <f>'Dcu-DKDD'!$H$309</f>
        <v>1822.922298076923</v>
      </c>
      <c r="I41" s="898">
        <f>'VL-DKDD'!$F$312</f>
        <v>3100.68</v>
      </c>
      <c r="J41" s="898">
        <f>'TB-DKDD'!$I$176</f>
        <v>134.67999999999998</v>
      </c>
      <c r="K41" s="898">
        <f>'NL-DKDD'!$F$120</f>
        <v>293.70600000000002</v>
      </c>
      <c r="L41" s="893" t="e">
        <f>SUM(E41:K41)</f>
        <v>#VALUE!</v>
      </c>
      <c r="M41" s="893" t="e">
        <f>L41*'He so chung'!$D$17/100</f>
        <v>#VALUE!</v>
      </c>
      <c r="N41" s="893" t="e">
        <f>L41+M41</f>
        <v>#VALUE!</v>
      </c>
      <c r="O41" s="919">
        <f>O42</f>
        <v>614.80769230769238</v>
      </c>
      <c r="P41" s="348">
        <f t="shared" si="6"/>
        <v>0</v>
      </c>
      <c r="Q41" s="348">
        <f t="shared" si="4"/>
        <v>0</v>
      </c>
      <c r="R41" s="1011">
        <f>NC_DKDD!G899</f>
        <v>0</v>
      </c>
      <c r="S41" s="352"/>
    </row>
    <row r="42" spans="1:19" s="1009" customFormat="1" ht="25.5" customHeight="1">
      <c r="A42" s="832">
        <v>1</v>
      </c>
      <c r="B42" s="827" t="s">
        <v>3</v>
      </c>
      <c r="C42" s="832" t="s">
        <v>281</v>
      </c>
      <c r="D42" s="901" t="s">
        <v>881</v>
      </c>
      <c r="E42" s="898" t="e">
        <f>NC_DKDD!H900</f>
        <v>#VALUE!</v>
      </c>
      <c r="F42" s="898"/>
      <c r="G42" s="391"/>
      <c r="H42" s="898"/>
      <c r="I42" s="898"/>
      <c r="J42" s="898"/>
      <c r="K42" s="898"/>
      <c r="L42" s="898"/>
      <c r="M42" s="898"/>
      <c r="N42" s="898"/>
      <c r="O42" s="898">
        <f t="shared" si="5"/>
        <v>614.80769230769238</v>
      </c>
      <c r="P42" s="348">
        <f t="shared" si="6"/>
        <v>534.61538461538464</v>
      </c>
      <c r="Q42" s="348">
        <f t="shared" si="4"/>
        <v>80.192307692307693</v>
      </c>
      <c r="R42" s="1011">
        <f>NC_DKDD!G900</f>
        <v>0.1</v>
      </c>
      <c r="S42" s="352"/>
    </row>
    <row r="43" spans="1:19" s="67" customFormat="1" ht="21" customHeight="1">
      <c r="A43" s="353"/>
      <c r="B43" s="366" t="s">
        <v>282</v>
      </c>
      <c r="C43" s="354"/>
      <c r="D43" s="353"/>
      <c r="E43" s="355"/>
      <c r="F43" s="355"/>
      <c r="G43" s="356"/>
      <c r="H43" s="355"/>
      <c r="I43" s="355"/>
      <c r="J43" s="357"/>
      <c r="K43" s="357"/>
      <c r="L43" s="357"/>
      <c r="M43" s="340"/>
      <c r="N43" s="340"/>
      <c r="O43" s="365"/>
      <c r="P43" s="332"/>
      <c r="Q43" s="332"/>
      <c r="R43" s="1012"/>
    </row>
    <row r="44" spans="1:19" s="67" customFormat="1" ht="18.75" customHeight="1">
      <c r="A44" s="358"/>
      <c r="B44" s="1129" t="s">
        <v>20</v>
      </c>
      <c r="C44" s="1129"/>
      <c r="D44" s="1129"/>
      <c r="E44" s="1129"/>
      <c r="F44" s="1129"/>
      <c r="G44" s="1129"/>
      <c r="H44" s="1129"/>
      <c r="I44" s="1129"/>
      <c r="J44" s="1129"/>
      <c r="K44" s="1129"/>
      <c r="L44" s="1129"/>
      <c r="M44" s="1129"/>
      <c r="N44" s="1129"/>
      <c r="O44" s="1129"/>
      <c r="P44" s="332"/>
      <c r="Q44" s="332"/>
      <c r="R44" s="1012"/>
    </row>
    <row r="45" spans="1:19" s="67" customFormat="1" ht="24" customHeight="1">
      <c r="A45" s="358"/>
      <c r="B45" s="1118"/>
      <c r="C45" s="1118"/>
      <c r="D45" s="1118"/>
      <c r="E45" s="1118"/>
      <c r="F45" s="1118"/>
      <c r="G45" s="1118"/>
      <c r="H45" s="1118"/>
      <c r="I45" s="1118"/>
      <c r="J45" s="1118"/>
      <c r="K45" s="1118"/>
      <c r="L45" s="1118"/>
      <c r="M45" s="1118"/>
      <c r="N45" s="1118"/>
      <c r="O45" s="1118"/>
      <c r="P45" s="332"/>
      <c r="Q45" s="332"/>
      <c r="R45" s="1012"/>
    </row>
    <row r="46" spans="1:19" ht="24" customHeight="1">
      <c r="A46" s="1151" t="s">
        <v>1014</v>
      </c>
      <c r="B46" s="1151"/>
      <c r="C46" s="1151"/>
      <c r="D46" s="1151"/>
      <c r="E46" s="1151"/>
      <c r="F46" s="1151"/>
      <c r="G46" s="1151"/>
      <c r="H46" s="1151"/>
      <c r="I46" s="1151"/>
      <c r="J46" s="1151"/>
      <c r="K46" s="1151"/>
      <c r="L46" s="1151"/>
      <c r="M46" s="1151"/>
      <c r="N46" s="1151"/>
      <c r="O46" s="1151"/>
      <c r="Q46" s="67" t="s">
        <v>1046</v>
      </c>
      <c r="R46" s="1012"/>
    </row>
    <row r="47" spans="1:19">
      <c r="A47" s="1113" t="s">
        <v>960</v>
      </c>
      <c r="B47" s="1113"/>
      <c r="C47" s="1113"/>
      <c r="D47" s="1113"/>
      <c r="E47" s="1113"/>
      <c r="F47" s="1113"/>
      <c r="G47" s="1113"/>
      <c r="H47" s="1113"/>
      <c r="I47" s="1113"/>
      <c r="J47" s="1113"/>
      <c r="K47" s="1113"/>
      <c r="L47" s="1113"/>
      <c r="M47" s="1113"/>
      <c r="N47" s="1113"/>
      <c r="O47" s="1113"/>
      <c r="P47" s="1113"/>
      <c r="R47" s="1012"/>
    </row>
    <row r="48" spans="1:19" ht="30.75" customHeight="1">
      <c r="A48" s="826"/>
      <c r="B48" s="826"/>
      <c r="C48" s="826"/>
      <c r="D48" s="826"/>
      <c r="E48" s="826"/>
      <c r="F48" s="826"/>
      <c r="G48" s="826"/>
      <c r="H48" s="826"/>
      <c r="I48" s="826"/>
      <c r="J48" s="826"/>
      <c r="K48" s="826"/>
      <c r="L48" s="991" t="s">
        <v>980</v>
      </c>
      <c r="M48" s="826"/>
      <c r="N48" s="826"/>
      <c r="O48" s="826"/>
      <c r="R48" s="1012"/>
    </row>
    <row r="49" spans="1:18" ht="25.5" customHeight="1">
      <c r="A49" s="1112" t="s">
        <v>876</v>
      </c>
      <c r="B49" s="1112" t="s">
        <v>381</v>
      </c>
      <c r="C49" s="1124" t="s">
        <v>981</v>
      </c>
      <c r="D49" s="1124" t="s">
        <v>982</v>
      </c>
      <c r="E49" s="1124" t="s">
        <v>466</v>
      </c>
      <c r="F49" s="1124"/>
      <c r="G49" s="1124"/>
      <c r="H49" s="1124"/>
      <c r="I49" s="1124"/>
      <c r="J49" s="1124"/>
      <c r="K49" s="1124"/>
      <c r="L49" s="1124"/>
      <c r="M49" s="1124" t="s">
        <v>581</v>
      </c>
      <c r="N49" s="1124" t="s">
        <v>201</v>
      </c>
      <c r="O49" s="1124" t="s">
        <v>200</v>
      </c>
      <c r="P49" s="348"/>
      <c r="Q49" s="348"/>
      <c r="R49" s="332"/>
    </row>
    <row r="50" spans="1:18" ht="31.5" customHeight="1">
      <c r="A50" s="1112"/>
      <c r="B50" s="1112"/>
      <c r="C50" s="1124"/>
      <c r="D50" s="1124"/>
      <c r="E50" s="382" t="s">
        <v>469</v>
      </c>
      <c r="F50" s="382" t="s">
        <v>470</v>
      </c>
      <c r="G50" s="837" t="s">
        <v>1003</v>
      </c>
      <c r="H50" s="382" t="s">
        <v>59</v>
      </c>
      <c r="I50" s="382" t="s">
        <v>471</v>
      </c>
      <c r="J50" s="382" t="s">
        <v>280</v>
      </c>
      <c r="K50" s="382" t="s">
        <v>472</v>
      </c>
      <c r="L50" s="382" t="s">
        <v>473</v>
      </c>
      <c r="M50" s="1124"/>
      <c r="N50" s="1124"/>
      <c r="O50" s="1124"/>
      <c r="P50" s="348"/>
      <c r="Q50" s="348"/>
      <c r="R50" s="332"/>
    </row>
    <row r="51" spans="1:18" ht="49.5" customHeight="1">
      <c r="A51" s="831"/>
      <c r="B51" s="830" t="s">
        <v>265</v>
      </c>
      <c r="C51" s="382"/>
      <c r="D51" s="382"/>
      <c r="E51" s="382"/>
      <c r="F51" s="382"/>
      <c r="G51" s="837"/>
      <c r="H51" s="382"/>
      <c r="I51" s="382"/>
      <c r="J51" s="382"/>
      <c r="K51" s="382"/>
      <c r="L51" s="382"/>
      <c r="M51" s="382"/>
      <c r="N51" s="382"/>
      <c r="O51" s="382"/>
      <c r="P51" s="348"/>
      <c r="Q51" s="348"/>
      <c r="R51" s="332"/>
    </row>
    <row r="52" spans="1:18" ht="25.5" customHeight="1">
      <c r="A52" s="831"/>
      <c r="B52" s="868" t="s">
        <v>451</v>
      </c>
      <c r="C52" s="382" t="s">
        <v>281</v>
      </c>
      <c r="D52" s="831" t="s">
        <v>881</v>
      </c>
      <c r="E52" s="383" t="e">
        <f>E56+E83+E85</f>
        <v>#VALUE!</v>
      </c>
      <c r="F52" s="383">
        <f t="shared" ref="F52:O52" si="7">F56+F83+F85</f>
        <v>0</v>
      </c>
      <c r="G52" s="383">
        <f t="shared" si="7"/>
        <v>0</v>
      </c>
      <c r="H52" s="383">
        <f t="shared" si="7"/>
        <v>11608.608307692308</v>
      </c>
      <c r="I52" s="383">
        <f>I56+I83+I85</f>
        <v>26923.86</v>
      </c>
      <c r="J52" s="383">
        <f t="shared" si="7"/>
        <v>6568.0400000000009</v>
      </c>
      <c r="K52" s="383">
        <f t="shared" si="7"/>
        <v>12958.806</v>
      </c>
      <c r="L52" s="383" t="e">
        <f t="shared" si="7"/>
        <v>#VALUE!</v>
      </c>
      <c r="M52" s="383" t="e">
        <f t="shared" si="7"/>
        <v>#VALUE!</v>
      </c>
      <c r="N52" s="383" t="e">
        <f t="shared" si="7"/>
        <v>#VALUE!</v>
      </c>
      <c r="O52" s="383">
        <f t="shared" si="7"/>
        <v>22034.707692307689</v>
      </c>
      <c r="P52" s="348"/>
      <c r="Q52" s="348"/>
      <c r="R52" s="332"/>
    </row>
    <row r="53" spans="1:18" ht="25.5" customHeight="1">
      <c r="A53" s="831"/>
      <c r="B53" s="868" t="s">
        <v>452</v>
      </c>
      <c r="C53" s="382" t="s">
        <v>281</v>
      </c>
      <c r="D53" s="831" t="s">
        <v>881</v>
      </c>
      <c r="E53" s="383" t="e">
        <f>E57+E83+E85</f>
        <v>#VALUE!</v>
      </c>
      <c r="F53" s="383">
        <f t="shared" ref="F53:O53" si="8">F57+F83+F85</f>
        <v>0</v>
      </c>
      <c r="G53" s="383">
        <f t="shared" si="8"/>
        <v>0</v>
      </c>
      <c r="H53" s="383">
        <f t="shared" si="8"/>
        <v>11608.608307692308</v>
      </c>
      <c r="I53" s="383">
        <f t="shared" si="8"/>
        <v>26923.86</v>
      </c>
      <c r="J53" s="383">
        <f t="shared" si="8"/>
        <v>6568.0400000000009</v>
      </c>
      <c r="K53" s="383">
        <f t="shared" si="8"/>
        <v>12958.806</v>
      </c>
      <c r="L53" s="383" t="e">
        <f t="shared" si="8"/>
        <v>#VALUE!</v>
      </c>
      <c r="M53" s="383" t="e">
        <f t="shared" si="8"/>
        <v>#VALUE!</v>
      </c>
      <c r="N53" s="383" t="e">
        <f t="shared" si="8"/>
        <v>#VALUE!</v>
      </c>
      <c r="O53" s="383">
        <f t="shared" si="8"/>
        <v>21727.303846153842</v>
      </c>
      <c r="P53" s="348"/>
      <c r="Q53" s="348"/>
      <c r="R53" s="332"/>
    </row>
    <row r="54" spans="1:18" ht="25.5" customHeight="1">
      <c r="A54" s="831"/>
      <c r="B54" s="888"/>
      <c r="C54" s="382"/>
      <c r="D54" s="382"/>
      <c r="E54" s="382"/>
      <c r="F54" s="382"/>
      <c r="G54" s="837"/>
      <c r="H54" s="382"/>
      <c r="I54" s="382"/>
      <c r="J54" s="382"/>
      <c r="K54" s="382"/>
      <c r="L54" s="382"/>
      <c r="M54" s="382"/>
      <c r="N54" s="382"/>
      <c r="O54" s="382"/>
      <c r="P54" s="351">
        <f>'He so chung'!D$22</f>
        <v>5346.1538461538457</v>
      </c>
      <c r="Q54" s="351">
        <f>'He so chung'!D$23</f>
        <v>801.92307692307691</v>
      </c>
      <c r="R54" s="352"/>
    </row>
    <row r="55" spans="1:18" ht="25.5" customHeight="1">
      <c r="A55" s="831" t="s">
        <v>179</v>
      </c>
      <c r="B55" s="888" t="s">
        <v>765</v>
      </c>
      <c r="C55" s="382"/>
      <c r="D55" s="382"/>
      <c r="E55" s="382"/>
      <c r="F55" s="382"/>
      <c r="G55" s="837"/>
      <c r="H55" s="382"/>
      <c r="I55" s="382"/>
      <c r="J55" s="382"/>
      <c r="K55" s="382"/>
      <c r="L55" s="382"/>
      <c r="M55" s="382"/>
      <c r="N55" s="382"/>
      <c r="O55" s="382"/>
      <c r="P55" s="351"/>
      <c r="Q55" s="351"/>
      <c r="R55" s="352"/>
    </row>
    <row r="56" spans="1:18" ht="25.5" customHeight="1">
      <c r="A56" s="869" t="s">
        <v>665</v>
      </c>
      <c r="B56" s="868" t="s">
        <v>451</v>
      </c>
      <c r="C56" s="382" t="s">
        <v>281</v>
      </c>
      <c r="D56" s="901" t="s">
        <v>881</v>
      </c>
      <c r="E56" s="920" t="e">
        <f>E59+E61+E62+E63+E64+E66+E68+E69+E71+E73+E74+E75+E76+E79+E80+E81+E82</f>
        <v>#VALUE!</v>
      </c>
      <c r="F56" s="389"/>
      <c r="G56" s="391"/>
      <c r="H56" s="389">
        <f>'Dcu-DKDD'!$J$338</f>
        <v>10841.787653846153</v>
      </c>
      <c r="I56" s="389">
        <f>'VL-DKDD'!$H$342</f>
        <v>25312.5</v>
      </c>
      <c r="J56" s="389">
        <f>'TB-DKDD'!$K$194</f>
        <v>6503.02</v>
      </c>
      <c r="K56" s="389">
        <f>'NL-DKDD'!$H$133</f>
        <v>12820.5</v>
      </c>
      <c r="L56" s="387" t="e">
        <f>SUM(E56:K56)</f>
        <v>#VALUE!</v>
      </c>
      <c r="M56" s="387" t="e">
        <f>L56*'He so chung'!$D$17/100</f>
        <v>#VALUE!</v>
      </c>
      <c r="N56" s="387" t="e">
        <f>L56+M56</f>
        <v>#VALUE!</v>
      </c>
      <c r="O56" s="920">
        <f>O59+O61+O62+O63+O64+O66+O68+O69+O71+O73+O74+O75+O76+O79+O80+O81+O82</f>
        <v>18960.669230769228</v>
      </c>
      <c r="P56" s="348"/>
      <c r="Q56" s="348"/>
      <c r="R56" s="332"/>
    </row>
    <row r="57" spans="1:18" ht="25.5" customHeight="1">
      <c r="A57" s="869" t="s">
        <v>666</v>
      </c>
      <c r="B57" s="868" t="s">
        <v>452</v>
      </c>
      <c r="C57" s="382" t="s">
        <v>281</v>
      </c>
      <c r="D57" s="901" t="s">
        <v>881</v>
      </c>
      <c r="E57" s="920" t="e">
        <f>E60+E61+E62+E63+E64+E66+E68+E69+E71+E73+E74+E75+E76+E79+E80+E81+E82</f>
        <v>#VALUE!</v>
      </c>
      <c r="F57" s="389"/>
      <c r="G57" s="391"/>
      <c r="H57" s="389">
        <f>'Dcu-DKDD'!$J$338</f>
        <v>10841.787653846153</v>
      </c>
      <c r="I57" s="389">
        <f>'VL-DKDD'!$H$342</f>
        <v>25312.5</v>
      </c>
      <c r="J57" s="389">
        <f>'TB-DKDD'!$K$194</f>
        <v>6503.02</v>
      </c>
      <c r="K57" s="389">
        <f>'NL-DKDD'!$H$133</f>
        <v>12820.5</v>
      </c>
      <c r="L57" s="387" t="e">
        <f>SUM(E57:K57)</f>
        <v>#VALUE!</v>
      </c>
      <c r="M57" s="387" t="e">
        <f>L57*'He so chung'!$D$17/100</f>
        <v>#VALUE!</v>
      </c>
      <c r="N57" s="387" t="e">
        <f>L57+M57</f>
        <v>#VALUE!</v>
      </c>
      <c r="O57" s="920">
        <f>O60+O61+O62+O63+O64+O66+O68+O69+O71+O73+O74+O75+O76+O79+O80+O81+O82</f>
        <v>18653.265384615381</v>
      </c>
      <c r="P57" s="348"/>
      <c r="Q57" s="348"/>
      <c r="R57" s="332"/>
    </row>
    <row r="58" spans="1:18" ht="25.5" customHeight="1">
      <c r="A58" s="832">
        <v>1</v>
      </c>
      <c r="B58" s="827" t="s">
        <v>4</v>
      </c>
      <c r="C58" s="389"/>
      <c r="D58" s="1013"/>
      <c r="E58" s="389"/>
      <c r="F58" s="389"/>
      <c r="G58" s="391"/>
      <c r="H58" s="389"/>
      <c r="I58" s="389"/>
      <c r="J58" s="389"/>
      <c r="K58" s="389"/>
      <c r="L58" s="389"/>
      <c r="M58" s="389"/>
      <c r="N58" s="389"/>
      <c r="O58" s="389">
        <f t="shared" ref="O58:O82" si="9">P58+Q58</f>
        <v>0</v>
      </c>
      <c r="P58" s="348"/>
      <c r="Q58" s="348"/>
      <c r="R58" s="332"/>
    </row>
    <row r="59" spans="1:18" ht="25.5" customHeight="1">
      <c r="A59" s="832" t="s">
        <v>891</v>
      </c>
      <c r="B59" s="827" t="s">
        <v>33</v>
      </c>
      <c r="C59" s="832" t="s">
        <v>281</v>
      </c>
      <c r="D59" s="901" t="s">
        <v>881</v>
      </c>
      <c r="E59" s="389" t="e">
        <f>NC_DKDD!H873</f>
        <v>#VALUE!</v>
      </c>
      <c r="F59" s="389"/>
      <c r="G59" s="391"/>
      <c r="H59" s="389"/>
      <c r="I59" s="389"/>
      <c r="J59" s="389"/>
      <c r="K59" s="389"/>
      <c r="L59" s="389"/>
      <c r="M59" s="389"/>
      <c r="N59" s="389"/>
      <c r="O59" s="389">
        <f t="shared" si="9"/>
        <v>1229.6153846153848</v>
      </c>
      <c r="P59" s="348">
        <f t="shared" ref="P59:P86" si="10">R59*P$10</f>
        <v>1069.2307692307693</v>
      </c>
      <c r="Q59" s="348">
        <f t="shared" ref="Q59:Q86" si="11">R59*Q$10</f>
        <v>160.38461538461539</v>
      </c>
      <c r="R59" s="902">
        <f>NC_DKDD!G873</f>
        <v>0.2</v>
      </c>
    </row>
    <row r="60" spans="1:18" ht="25.5" customHeight="1">
      <c r="A60" s="832" t="s">
        <v>899</v>
      </c>
      <c r="B60" s="827" t="s">
        <v>36</v>
      </c>
      <c r="C60" s="832" t="s">
        <v>281</v>
      </c>
      <c r="D60" s="901" t="s">
        <v>881</v>
      </c>
      <c r="E60" s="389" t="e">
        <f>NC_DKDD!H874</f>
        <v>#VALUE!</v>
      </c>
      <c r="F60" s="389"/>
      <c r="G60" s="391"/>
      <c r="H60" s="389"/>
      <c r="I60" s="389"/>
      <c r="J60" s="389"/>
      <c r="K60" s="389"/>
      <c r="L60" s="389"/>
      <c r="M60" s="389"/>
      <c r="N60" s="389"/>
      <c r="O60" s="389">
        <f t="shared" si="9"/>
        <v>922.21153846153834</v>
      </c>
      <c r="P60" s="348">
        <f t="shared" si="10"/>
        <v>801.92307692307679</v>
      </c>
      <c r="Q60" s="348">
        <f t="shared" si="11"/>
        <v>120.28846153846153</v>
      </c>
      <c r="R60" s="902">
        <f>NC_DKDD!G874</f>
        <v>0.15</v>
      </c>
    </row>
    <row r="61" spans="1:18" ht="48.75" customHeight="1">
      <c r="A61" s="832">
        <v>2</v>
      </c>
      <c r="B61" s="827" t="s">
        <v>953</v>
      </c>
      <c r="C61" s="832" t="s">
        <v>281</v>
      </c>
      <c r="D61" s="901" t="s">
        <v>881</v>
      </c>
      <c r="E61" s="389" t="e">
        <f>NC_DKDD!H875</f>
        <v>#VALUE!</v>
      </c>
      <c r="F61" s="389"/>
      <c r="G61" s="391"/>
      <c r="H61" s="389"/>
      <c r="I61" s="389"/>
      <c r="J61" s="389"/>
      <c r="K61" s="389"/>
      <c r="L61" s="389"/>
      <c r="M61" s="389"/>
      <c r="N61" s="389"/>
      <c r="O61" s="389">
        <f t="shared" si="9"/>
        <v>1537.0192307692307</v>
      </c>
      <c r="P61" s="348">
        <f t="shared" si="10"/>
        <v>1336.5384615384614</v>
      </c>
      <c r="Q61" s="348">
        <f t="shared" si="11"/>
        <v>200.48076923076923</v>
      </c>
      <c r="R61" s="902">
        <f>NC_DKDD!G875</f>
        <v>0.25</v>
      </c>
    </row>
    <row r="62" spans="1:18" ht="42.75" customHeight="1">
      <c r="A62" s="832">
        <v>3</v>
      </c>
      <c r="B62" s="827" t="s">
        <v>38</v>
      </c>
      <c r="C62" s="832" t="s">
        <v>523</v>
      </c>
      <c r="D62" s="901" t="s">
        <v>881</v>
      </c>
      <c r="E62" s="389" t="e">
        <f>NC_DKDD!H876</f>
        <v>#VALUE!</v>
      </c>
      <c r="F62" s="389"/>
      <c r="G62" s="391"/>
      <c r="H62" s="389"/>
      <c r="I62" s="389"/>
      <c r="J62" s="389"/>
      <c r="K62" s="389"/>
      <c r="L62" s="389"/>
      <c r="M62" s="389"/>
      <c r="N62" s="389"/>
      <c r="O62" s="389">
        <f t="shared" si="9"/>
        <v>657.84423076923065</v>
      </c>
      <c r="P62" s="348">
        <f t="shared" si="10"/>
        <v>572.03846153846143</v>
      </c>
      <c r="Q62" s="348">
        <f t="shared" si="11"/>
        <v>85.805769230769229</v>
      </c>
      <c r="R62" s="902">
        <f>NC_DKDD!G876</f>
        <v>0.107</v>
      </c>
    </row>
    <row r="63" spans="1:18" ht="82.5" customHeight="1">
      <c r="A63" s="832">
        <v>4</v>
      </c>
      <c r="B63" s="827" t="s">
        <v>481</v>
      </c>
      <c r="C63" s="832" t="s">
        <v>281</v>
      </c>
      <c r="D63" s="901" t="s">
        <v>881</v>
      </c>
      <c r="E63" s="389" t="e">
        <f>NC_DKDD!H877</f>
        <v>#VALUE!</v>
      </c>
      <c r="F63" s="389"/>
      <c r="G63" s="391"/>
      <c r="H63" s="389"/>
      <c r="I63" s="389"/>
      <c r="J63" s="389"/>
      <c r="K63" s="389"/>
      <c r="L63" s="389"/>
      <c r="M63" s="389"/>
      <c r="N63" s="389"/>
      <c r="O63" s="389">
        <f t="shared" si="9"/>
        <v>7377.6923076923067</v>
      </c>
      <c r="P63" s="348">
        <f t="shared" si="10"/>
        <v>6415.3846153846143</v>
      </c>
      <c r="Q63" s="348">
        <f t="shared" si="11"/>
        <v>962.30769230769226</v>
      </c>
      <c r="R63" s="902">
        <f>NC_DKDD!G877</f>
        <v>1.2</v>
      </c>
    </row>
    <row r="64" spans="1:18" ht="33.75" customHeight="1">
      <c r="A64" s="832">
        <v>5</v>
      </c>
      <c r="B64" s="827" t="s">
        <v>69</v>
      </c>
      <c r="C64" s="832" t="s">
        <v>523</v>
      </c>
      <c r="D64" s="901" t="s">
        <v>881</v>
      </c>
      <c r="E64" s="389" t="e">
        <f>NC_DKDD!H878</f>
        <v>#VALUE!</v>
      </c>
      <c r="F64" s="389"/>
      <c r="G64" s="391"/>
      <c r="H64" s="389"/>
      <c r="I64" s="389"/>
      <c r="J64" s="389"/>
      <c r="K64" s="389"/>
      <c r="L64" s="389"/>
      <c r="M64" s="389"/>
      <c r="N64" s="389"/>
      <c r="O64" s="389">
        <f t="shared" si="9"/>
        <v>36.888461538461534</v>
      </c>
      <c r="P64" s="348">
        <f t="shared" si="10"/>
        <v>32.076923076923073</v>
      </c>
      <c r="Q64" s="348">
        <f t="shared" si="11"/>
        <v>4.8115384615384613</v>
      </c>
      <c r="R64" s="902">
        <f>NC_DKDD!G878</f>
        <v>6.0000000000000001E-3</v>
      </c>
    </row>
    <row r="65" spans="1:18" ht="48" customHeight="1">
      <c r="A65" s="832">
        <v>6</v>
      </c>
      <c r="B65" s="827" t="s">
        <v>483</v>
      </c>
      <c r="C65" s="832"/>
      <c r="D65" s="832"/>
      <c r="E65" s="389">
        <f>NC_DKDD!H879</f>
        <v>0</v>
      </c>
      <c r="F65" s="389"/>
      <c r="G65" s="391"/>
      <c r="H65" s="389"/>
      <c r="I65" s="389"/>
      <c r="J65" s="389"/>
      <c r="K65" s="389"/>
      <c r="L65" s="389"/>
      <c r="M65" s="389"/>
      <c r="N65" s="389"/>
      <c r="O65" s="389">
        <f t="shared" si="9"/>
        <v>0</v>
      </c>
      <c r="P65" s="348">
        <f t="shared" si="10"/>
        <v>0</v>
      </c>
      <c r="Q65" s="348">
        <f t="shared" si="11"/>
        <v>0</v>
      </c>
      <c r="R65" s="902">
        <f>NC_DKDD!G879</f>
        <v>0</v>
      </c>
    </row>
    <row r="66" spans="1:18" ht="25.5" customHeight="1">
      <c r="A66" s="832" t="s">
        <v>444</v>
      </c>
      <c r="B66" s="827" t="s">
        <v>770</v>
      </c>
      <c r="C66" s="832" t="s">
        <v>281</v>
      </c>
      <c r="D66" s="901" t="s">
        <v>881</v>
      </c>
      <c r="E66" s="389" t="e">
        <f>NC_DKDD!H880</f>
        <v>#VALUE!</v>
      </c>
      <c r="F66" s="389"/>
      <c r="G66" s="391"/>
      <c r="H66" s="389"/>
      <c r="I66" s="389"/>
      <c r="J66" s="389"/>
      <c r="K66" s="389"/>
      <c r="L66" s="389"/>
      <c r="M66" s="389"/>
      <c r="N66" s="389"/>
      <c r="O66" s="389">
        <f t="shared" si="9"/>
        <v>307.40384615384619</v>
      </c>
      <c r="P66" s="348">
        <f t="shared" si="10"/>
        <v>267.30769230769232</v>
      </c>
      <c r="Q66" s="348">
        <f t="shared" si="11"/>
        <v>40.096153846153847</v>
      </c>
      <c r="R66" s="902">
        <f>NC_DKDD!G880</f>
        <v>0.05</v>
      </c>
    </row>
    <row r="67" spans="1:18" ht="25.5" customHeight="1">
      <c r="A67" s="832" t="s">
        <v>445</v>
      </c>
      <c r="B67" s="827" t="s">
        <v>771</v>
      </c>
      <c r="C67" s="832" t="s">
        <v>281</v>
      </c>
      <c r="D67" s="901" t="s">
        <v>881</v>
      </c>
      <c r="E67" s="389" t="e">
        <f>NC_DKDD!H881</f>
        <v>#VALUE!</v>
      </c>
      <c r="F67" s="389"/>
      <c r="G67" s="391"/>
      <c r="H67" s="389"/>
      <c r="I67" s="389"/>
      <c r="J67" s="389"/>
      <c r="K67" s="389"/>
      <c r="L67" s="389"/>
      <c r="M67" s="389"/>
      <c r="N67" s="389"/>
      <c r="O67" s="389">
        <f t="shared" si="9"/>
        <v>614.80769230769238</v>
      </c>
      <c r="P67" s="348">
        <f t="shared" si="10"/>
        <v>534.61538461538464</v>
      </c>
      <c r="Q67" s="348">
        <f t="shared" si="11"/>
        <v>80.192307692307693</v>
      </c>
      <c r="R67" s="902">
        <f>NC_DKDD!G881</f>
        <v>0.1</v>
      </c>
    </row>
    <row r="68" spans="1:18" ht="28.5">
      <c r="A68" s="832">
        <v>7</v>
      </c>
      <c r="B68" s="827" t="s">
        <v>554</v>
      </c>
      <c r="C68" s="832" t="s">
        <v>281</v>
      </c>
      <c r="D68" s="901" t="s">
        <v>881</v>
      </c>
      <c r="E68" s="389" t="e">
        <f>NC_DKDD!H882</f>
        <v>#VALUE!</v>
      </c>
      <c r="F68" s="389"/>
      <c r="G68" s="391"/>
      <c r="H68" s="389"/>
      <c r="I68" s="389"/>
      <c r="J68" s="389"/>
      <c r="K68" s="389"/>
      <c r="L68" s="389"/>
      <c r="M68" s="389"/>
      <c r="N68" s="389"/>
      <c r="O68" s="389">
        <f t="shared" si="9"/>
        <v>1229.6153846153848</v>
      </c>
      <c r="P68" s="348">
        <f t="shared" si="10"/>
        <v>1069.2307692307693</v>
      </c>
      <c r="Q68" s="348">
        <f t="shared" si="11"/>
        <v>160.38461538461539</v>
      </c>
      <c r="R68" s="902">
        <f>NC_DKDD!G882</f>
        <v>0.2</v>
      </c>
    </row>
    <row r="69" spans="1:18" ht="25.5" customHeight="1">
      <c r="A69" s="832">
        <v>8</v>
      </c>
      <c r="B69" s="827" t="s">
        <v>211</v>
      </c>
      <c r="C69" s="832" t="s">
        <v>523</v>
      </c>
      <c r="D69" s="901" t="s">
        <v>881</v>
      </c>
      <c r="E69" s="389" t="e">
        <f>NC_DKDD!H883</f>
        <v>#VALUE!</v>
      </c>
      <c r="F69" s="389"/>
      <c r="G69" s="391"/>
      <c r="H69" s="389"/>
      <c r="I69" s="389"/>
      <c r="J69" s="389"/>
      <c r="K69" s="389"/>
      <c r="L69" s="389"/>
      <c r="M69" s="389"/>
      <c r="N69" s="389"/>
      <c r="O69" s="389">
        <f t="shared" si="9"/>
        <v>184.44230769230768</v>
      </c>
      <c r="P69" s="348">
        <f t="shared" si="10"/>
        <v>160.38461538461536</v>
      </c>
      <c r="Q69" s="348">
        <f t="shared" si="11"/>
        <v>24.057692307692307</v>
      </c>
      <c r="R69" s="902">
        <f>NC_DKDD!G883</f>
        <v>0.03</v>
      </c>
    </row>
    <row r="70" spans="1:18" ht="25.5" customHeight="1">
      <c r="A70" s="832">
        <v>9</v>
      </c>
      <c r="B70" s="827" t="s">
        <v>213</v>
      </c>
      <c r="C70" s="832"/>
      <c r="D70" s="832"/>
      <c r="E70" s="389">
        <f>NC_DKDD!H884</f>
        <v>0</v>
      </c>
      <c r="F70" s="389"/>
      <c r="G70" s="391"/>
      <c r="H70" s="389"/>
      <c r="I70" s="389"/>
      <c r="J70" s="389"/>
      <c r="K70" s="389"/>
      <c r="L70" s="389"/>
      <c r="M70" s="389"/>
      <c r="N70" s="389"/>
      <c r="O70" s="389">
        <f t="shared" si="9"/>
        <v>0</v>
      </c>
      <c r="P70" s="348">
        <f t="shared" si="10"/>
        <v>0</v>
      </c>
      <c r="Q70" s="348">
        <f t="shared" si="11"/>
        <v>0</v>
      </c>
      <c r="R70" s="902">
        <f>NC_DKDD!G884</f>
        <v>0</v>
      </c>
    </row>
    <row r="71" spans="1:18" ht="25.5" customHeight="1">
      <c r="A71" s="832" t="s">
        <v>446</v>
      </c>
      <c r="B71" s="827" t="s">
        <v>215</v>
      </c>
      <c r="C71" s="832" t="s">
        <v>320</v>
      </c>
      <c r="D71" s="901" t="s">
        <v>881</v>
      </c>
      <c r="E71" s="389" t="e">
        <f>NC_DKDD!H885</f>
        <v>#VALUE!</v>
      </c>
      <c r="F71" s="389"/>
      <c r="G71" s="391"/>
      <c r="H71" s="389"/>
      <c r="I71" s="389"/>
      <c r="J71" s="389"/>
      <c r="K71" s="389"/>
      <c r="L71" s="389"/>
      <c r="M71" s="389"/>
      <c r="N71" s="389"/>
      <c r="O71" s="389">
        <f t="shared" si="9"/>
        <v>614.80769230769238</v>
      </c>
      <c r="P71" s="348">
        <f t="shared" si="10"/>
        <v>534.61538461538464</v>
      </c>
      <c r="Q71" s="348">
        <f t="shared" si="11"/>
        <v>80.192307692307693</v>
      </c>
      <c r="R71" s="902">
        <f>NC_DKDD!G885</f>
        <v>0.1</v>
      </c>
    </row>
    <row r="72" spans="1:18" ht="25.5" customHeight="1">
      <c r="A72" s="832" t="s">
        <v>447</v>
      </c>
      <c r="B72" s="827" t="s">
        <v>217</v>
      </c>
      <c r="C72" s="832" t="s">
        <v>320</v>
      </c>
      <c r="D72" s="901" t="s">
        <v>881</v>
      </c>
      <c r="E72" s="389" t="e">
        <f>NC_DKDD!H886</f>
        <v>#VALUE!</v>
      </c>
      <c r="F72" s="389"/>
      <c r="G72" s="391"/>
      <c r="H72" s="389"/>
      <c r="I72" s="389"/>
      <c r="J72" s="389"/>
      <c r="K72" s="389"/>
      <c r="L72" s="389"/>
      <c r="M72" s="389"/>
      <c r="N72" s="389"/>
      <c r="O72" s="389">
        <f t="shared" si="9"/>
        <v>922.21153846153834</v>
      </c>
      <c r="P72" s="348">
        <f t="shared" si="10"/>
        <v>801.92307692307679</v>
      </c>
      <c r="Q72" s="348">
        <f t="shared" si="11"/>
        <v>120.28846153846153</v>
      </c>
      <c r="R72" s="902">
        <f>NC_DKDD!G886</f>
        <v>0.15</v>
      </c>
    </row>
    <row r="73" spans="1:18" ht="33" customHeight="1">
      <c r="A73" s="832" t="s">
        <v>555</v>
      </c>
      <c r="B73" s="827" t="s">
        <v>556</v>
      </c>
      <c r="C73" s="832" t="s">
        <v>320</v>
      </c>
      <c r="D73" s="901" t="s">
        <v>881</v>
      </c>
      <c r="E73" s="389" t="e">
        <f>NC_DKDD!H887</f>
        <v>#VALUE!</v>
      </c>
      <c r="F73" s="389"/>
      <c r="G73" s="391"/>
      <c r="H73" s="389"/>
      <c r="I73" s="389"/>
      <c r="J73" s="389"/>
      <c r="K73" s="389"/>
      <c r="L73" s="389"/>
      <c r="M73" s="389"/>
      <c r="N73" s="389"/>
      <c r="O73" s="389">
        <f t="shared" si="9"/>
        <v>614.80769230769238</v>
      </c>
      <c r="P73" s="348">
        <f t="shared" si="10"/>
        <v>534.61538461538464</v>
      </c>
      <c r="Q73" s="348">
        <f t="shared" si="11"/>
        <v>80.192307692307693</v>
      </c>
      <c r="R73" s="902">
        <f>NC_DKDD!G887</f>
        <v>0.1</v>
      </c>
    </row>
    <row r="74" spans="1:18" ht="42" customHeight="1">
      <c r="A74" s="832">
        <v>10</v>
      </c>
      <c r="B74" s="827" t="s">
        <v>557</v>
      </c>
      <c r="C74" s="832" t="s">
        <v>281</v>
      </c>
      <c r="D74" s="901" t="s">
        <v>881</v>
      </c>
      <c r="E74" s="389" t="e">
        <f>NC_DKDD!H888</f>
        <v>#VALUE!</v>
      </c>
      <c r="F74" s="389"/>
      <c r="G74" s="391"/>
      <c r="H74" s="389"/>
      <c r="I74" s="389"/>
      <c r="J74" s="389"/>
      <c r="K74" s="389"/>
      <c r="L74" s="389"/>
      <c r="M74" s="389"/>
      <c r="N74" s="389"/>
      <c r="O74" s="389">
        <f t="shared" si="9"/>
        <v>2459.2307692307695</v>
      </c>
      <c r="P74" s="348">
        <f t="shared" si="10"/>
        <v>2138.4615384615386</v>
      </c>
      <c r="Q74" s="348">
        <f t="shared" si="11"/>
        <v>320.76923076923077</v>
      </c>
      <c r="R74" s="902">
        <f>NC_DKDD!G888</f>
        <v>0.4</v>
      </c>
    </row>
    <row r="75" spans="1:18" ht="65.25" customHeight="1">
      <c r="A75" s="832">
        <v>11</v>
      </c>
      <c r="B75" s="827" t="s">
        <v>1</v>
      </c>
      <c r="C75" s="832" t="s">
        <v>281</v>
      </c>
      <c r="D75" s="901" t="s">
        <v>881</v>
      </c>
      <c r="E75" s="389" t="e">
        <f>NC_DKDD!H889</f>
        <v>#VALUE!</v>
      </c>
      <c r="F75" s="389"/>
      <c r="G75" s="391"/>
      <c r="H75" s="389"/>
      <c r="I75" s="389"/>
      <c r="J75" s="389"/>
      <c r="K75" s="389"/>
      <c r="L75" s="389"/>
      <c r="M75" s="389"/>
      <c r="N75" s="389"/>
      <c r="O75" s="389">
        <f t="shared" si="9"/>
        <v>2274.7884615384614</v>
      </c>
      <c r="P75" s="348">
        <f t="shared" si="10"/>
        <v>1978.0769230769229</v>
      </c>
      <c r="Q75" s="348">
        <f t="shared" si="11"/>
        <v>296.71153846153845</v>
      </c>
      <c r="R75" s="902">
        <f>NC_DKDD!G889</f>
        <v>0.37</v>
      </c>
    </row>
    <row r="76" spans="1:18" ht="25.5" customHeight="1">
      <c r="A76" s="832">
        <v>12</v>
      </c>
      <c r="B76" s="827" t="s">
        <v>220</v>
      </c>
      <c r="C76" s="832" t="s">
        <v>523</v>
      </c>
      <c r="D76" s="901" t="s">
        <v>881</v>
      </c>
      <c r="E76" s="389" t="e">
        <f>NC_DKDD!H890</f>
        <v>#VALUE!</v>
      </c>
      <c r="F76" s="389"/>
      <c r="G76" s="391"/>
      <c r="H76" s="389"/>
      <c r="I76" s="389"/>
      <c r="J76" s="389"/>
      <c r="K76" s="389"/>
      <c r="L76" s="389"/>
      <c r="M76" s="389"/>
      <c r="N76" s="389"/>
      <c r="O76" s="389">
        <f t="shared" si="9"/>
        <v>202.88653846153844</v>
      </c>
      <c r="P76" s="348">
        <f t="shared" si="10"/>
        <v>176.42307692307691</v>
      </c>
      <c r="Q76" s="348">
        <f t="shared" si="11"/>
        <v>26.463461538461541</v>
      </c>
      <c r="R76" s="902">
        <f>NC_DKDD!G890</f>
        <v>3.3000000000000002E-2</v>
      </c>
    </row>
    <row r="77" spans="1:18" ht="25.5" customHeight="1">
      <c r="A77" s="832">
        <v>13</v>
      </c>
      <c r="B77" s="827" t="s">
        <v>221</v>
      </c>
      <c r="C77" s="832"/>
      <c r="D77" s="832"/>
      <c r="E77" s="389">
        <f>NC_DKDD!H891</f>
        <v>0</v>
      </c>
      <c r="F77" s="389"/>
      <c r="G77" s="391"/>
      <c r="H77" s="389"/>
      <c r="I77" s="389"/>
      <c r="J77" s="389"/>
      <c r="K77" s="389"/>
      <c r="L77" s="389"/>
      <c r="M77" s="389"/>
      <c r="N77" s="389"/>
      <c r="O77" s="389">
        <f t="shared" si="9"/>
        <v>0</v>
      </c>
      <c r="P77" s="348">
        <f t="shared" si="10"/>
        <v>0</v>
      </c>
      <c r="Q77" s="348">
        <f t="shared" si="11"/>
        <v>0</v>
      </c>
      <c r="R77" s="902">
        <f>NC_DKDD!G891</f>
        <v>0</v>
      </c>
    </row>
    <row r="78" spans="1:18" ht="28.5">
      <c r="A78" s="832" t="s">
        <v>237</v>
      </c>
      <c r="B78" s="827" t="s">
        <v>931</v>
      </c>
      <c r="C78" s="832"/>
      <c r="D78" s="832"/>
      <c r="E78" s="389">
        <f>NC_DKDD!H892</f>
        <v>0</v>
      </c>
      <c r="F78" s="389"/>
      <c r="G78" s="391"/>
      <c r="H78" s="389"/>
      <c r="I78" s="389"/>
      <c r="J78" s="389"/>
      <c r="K78" s="389"/>
      <c r="L78" s="389"/>
      <c r="M78" s="389"/>
      <c r="N78" s="389"/>
      <c r="O78" s="389">
        <f t="shared" si="9"/>
        <v>0</v>
      </c>
      <c r="P78" s="348">
        <f t="shared" si="10"/>
        <v>0</v>
      </c>
      <c r="Q78" s="348">
        <f t="shared" si="11"/>
        <v>0</v>
      </c>
      <c r="R78" s="902">
        <f>NC_DKDD!G892</f>
        <v>0</v>
      </c>
    </row>
    <row r="79" spans="1:18" ht="25.5" customHeight="1">
      <c r="A79" s="832" t="s">
        <v>238</v>
      </c>
      <c r="B79" s="827" t="s">
        <v>933</v>
      </c>
      <c r="C79" s="832" t="s">
        <v>525</v>
      </c>
      <c r="D79" s="901" t="s">
        <v>881</v>
      </c>
      <c r="E79" s="389" t="e">
        <f>NC_DKDD!H893</f>
        <v>#VALUE!</v>
      </c>
      <c r="F79" s="389"/>
      <c r="G79" s="391"/>
      <c r="H79" s="389"/>
      <c r="I79" s="389"/>
      <c r="J79" s="389"/>
      <c r="K79" s="389"/>
      <c r="L79" s="389"/>
      <c r="M79" s="389"/>
      <c r="N79" s="389"/>
      <c r="O79" s="389">
        <f t="shared" si="9"/>
        <v>98.369230769230768</v>
      </c>
      <c r="P79" s="348">
        <f t="shared" si="10"/>
        <v>85.538461538461533</v>
      </c>
      <c r="Q79" s="348">
        <f t="shared" si="11"/>
        <v>12.830769230769231</v>
      </c>
      <c r="R79" s="902">
        <f>NC_DKDD!G893</f>
        <v>1.6E-2</v>
      </c>
    </row>
    <row r="80" spans="1:18" ht="25.5" customHeight="1">
      <c r="A80" s="832" t="s">
        <v>239</v>
      </c>
      <c r="B80" s="827" t="s">
        <v>937</v>
      </c>
      <c r="C80" s="832" t="s">
        <v>525</v>
      </c>
      <c r="D80" s="901" t="s">
        <v>881</v>
      </c>
      <c r="E80" s="389" t="e">
        <f>NC_DKDD!H894</f>
        <v>#VALUE!</v>
      </c>
      <c r="F80" s="389"/>
      <c r="G80" s="391"/>
      <c r="H80" s="389"/>
      <c r="I80" s="389"/>
      <c r="J80" s="389"/>
      <c r="K80" s="389"/>
      <c r="L80" s="389"/>
      <c r="M80" s="389"/>
      <c r="N80" s="389"/>
      <c r="O80" s="389">
        <f t="shared" si="9"/>
        <v>49.184615384615384</v>
      </c>
      <c r="P80" s="348">
        <f t="shared" si="10"/>
        <v>42.769230769230766</v>
      </c>
      <c r="Q80" s="348">
        <f t="shared" si="11"/>
        <v>6.4153846153846157</v>
      </c>
      <c r="R80" s="902">
        <f>NC_DKDD!G894</f>
        <v>8.0000000000000002E-3</v>
      </c>
    </row>
    <row r="81" spans="1:18" ht="30" customHeight="1">
      <c r="A81" s="832" t="s">
        <v>240</v>
      </c>
      <c r="B81" s="827" t="s">
        <v>48</v>
      </c>
      <c r="C81" s="832" t="s">
        <v>525</v>
      </c>
      <c r="D81" s="901" t="s">
        <v>881</v>
      </c>
      <c r="E81" s="389" t="e">
        <f>NC_DKDD!H895</f>
        <v>#VALUE!</v>
      </c>
      <c r="F81" s="389"/>
      <c r="G81" s="391"/>
      <c r="H81" s="389"/>
      <c r="I81" s="389"/>
      <c r="J81" s="389"/>
      <c r="K81" s="389"/>
      <c r="L81" s="389"/>
      <c r="M81" s="389"/>
      <c r="N81" s="389"/>
      <c r="O81" s="389">
        <f t="shared" si="9"/>
        <v>24.592307692307692</v>
      </c>
      <c r="P81" s="348">
        <f t="shared" si="10"/>
        <v>21.384615384615383</v>
      </c>
      <c r="Q81" s="348">
        <f t="shared" si="11"/>
        <v>3.2076923076923078</v>
      </c>
      <c r="R81" s="902">
        <f>NC_DKDD!G895</f>
        <v>4.0000000000000001E-3</v>
      </c>
    </row>
    <row r="82" spans="1:18" ht="25.5" customHeight="1">
      <c r="A82" s="832" t="s">
        <v>241</v>
      </c>
      <c r="B82" s="827" t="s">
        <v>50</v>
      </c>
      <c r="C82" s="832" t="s">
        <v>523</v>
      </c>
      <c r="D82" s="901" t="s">
        <v>881</v>
      </c>
      <c r="E82" s="389" t="e">
        <f>NC_DKDD!H896</f>
        <v>#VALUE!</v>
      </c>
      <c r="F82" s="389"/>
      <c r="G82" s="391"/>
      <c r="H82" s="389"/>
      <c r="I82" s="389"/>
      <c r="J82" s="389"/>
      <c r="K82" s="389"/>
      <c r="L82" s="389"/>
      <c r="M82" s="389"/>
      <c r="N82" s="389"/>
      <c r="O82" s="389">
        <f t="shared" si="9"/>
        <v>61.480769230769226</v>
      </c>
      <c r="P82" s="348">
        <f t="shared" si="10"/>
        <v>53.46153846153846</v>
      </c>
      <c r="Q82" s="348">
        <f t="shared" si="11"/>
        <v>8.0192307692307701</v>
      </c>
      <c r="R82" s="902">
        <f>NC_DKDD!G896</f>
        <v>0.01</v>
      </c>
    </row>
    <row r="83" spans="1:18" ht="25.5" customHeight="1">
      <c r="A83" s="869" t="s">
        <v>184</v>
      </c>
      <c r="B83" s="868" t="s">
        <v>526</v>
      </c>
      <c r="C83" s="832"/>
      <c r="D83" s="832"/>
      <c r="E83" s="920" t="e">
        <f>E84</f>
        <v>#VALUE!</v>
      </c>
      <c r="F83" s="389"/>
      <c r="G83" s="391"/>
      <c r="H83" s="389">
        <f>'Dcu-DKDD'!$L$338</f>
        <v>0</v>
      </c>
      <c r="I83" s="389">
        <f>'VL-DKDD'!$J$342</f>
        <v>0</v>
      </c>
      <c r="J83" s="389">
        <f>'TB-DKDD'!$M$194</f>
        <v>0</v>
      </c>
      <c r="K83" s="389"/>
      <c r="L83" s="387" t="e">
        <f>SUM(E83:K83)</f>
        <v>#VALUE!</v>
      </c>
      <c r="M83" s="387" t="e">
        <f>L83*'He so chung'!$D$17/100</f>
        <v>#VALUE!</v>
      </c>
      <c r="N83" s="387" t="e">
        <f>L83+M83</f>
        <v>#VALUE!</v>
      </c>
      <c r="O83" s="920">
        <f>O84</f>
        <v>2459.2307692307695</v>
      </c>
      <c r="P83" s="348">
        <f t="shared" si="10"/>
        <v>0</v>
      </c>
      <c r="Q83" s="348">
        <f t="shared" si="11"/>
        <v>0</v>
      </c>
      <c r="R83" s="902">
        <f>NC_DKDD!G897</f>
        <v>0</v>
      </c>
    </row>
    <row r="84" spans="1:18" ht="25.5" customHeight="1">
      <c r="A84" s="832">
        <v>1</v>
      </c>
      <c r="B84" s="827" t="s">
        <v>2</v>
      </c>
      <c r="C84" s="832" t="s">
        <v>281</v>
      </c>
      <c r="D84" s="901" t="s">
        <v>881</v>
      </c>
      <c r="E84" s="389" t="e">
        <f>NC_DKDD!H898</f>
        <v>#VALUE!</v>
      </c>
      <c r="F84" s="389"/>
      <c r="G84" s="391"/>
      <c r="H84" s="389"/>
      <c r="I84" s="389"/>
      <c r="J84" s="389"/>
      <c r="K84" s="389"/>
      <c r="L84" s="389"/>
      <c r="M84" s="389"/>
      <c r="N84" s="389"/>
      <c r="O84" s="389">
        <f>P84+Q84</f>
        <v>2459.2307692307695</v>
      </c>
      <c r="P84" s="348">
        <f t="shared" si="10"/>
        <v>2138.4615384615386</v>
      </c>
      <c r="Q84" s="348">
        <f t="shared" si="11"/>
        <v>320.76923076923077</v>
      </c>
      <c r="R84" s="902">
        <f>NC_DKDD!G898</f>
        <v>0.4</v>
      </c>
    </row>
    <row r="85" spans="1:18" ht="25.5" customHeight="1">
      <c r="A85" s="869" t="s">
        <v>913</v>
      </c>
      <c r="B85" s="868" t="s">
        <v>88</v>
      </c>
      <c r="C85" s="832"/>
      <c r="D85" s="832"/>
      <c r="E85" s="920" t="e">
        <f>E86</f>
        <v>#VALUE!</v>
      </c>
      <c r="F85" s="389"/>
      <c r="G85" s="391"/>
      <c r="H85" s="389">
        <f>'Dcu-DKDD'!$H$338</f>
        <v>766.82065384615373</v>
      </c>
      <c r="I85" s="389">
        <f>'VL-DKDD'!$F$342</f>
        <v>1611.36</v>
      </c>
      <c r="J85" s="389">
        <f>'TB-DKDD'!$I$194</f>
        <v>65.02</v>
      </c>
      <c r="K85" s="389">
        <f>'NL-DKDD'!$F$133</f>
        <v>138.30599999999998</v>
      </c>
      <c r="L85" s="387" t="e">
        <f>SUM(E85:K85)</f>
        <v>#VALUE!</v>
      </c>
      <c r="M85" s="387" t="e">
        <f>L85*'He so chung'!$D$17/100</f>
        <v>#VALUE!</v>
      </c>
      <c r="N85" s="387" t="e">
        <f>L85+M85</f>
        <v>#VALUE!</v>
      </c>
      <c r="O85" s="920">
        <f>O86</f>
        <v>614.80769230769238</v>
      </c>
      <c r="P85" s="348">
        <f t="shared" si="10"/>
        <v>0</v>
      </c>
      <c r="Q85" s="348">
        <f t="shared" si="11"/>
        <v>0</v>
      </c>
      <c r="R85" s="902">
        <f>NC_DKDD!G899</f>
        <v>0</v>
      </c>
    </row>
    <row r="86" spans="1:18" ht="25.5" customHeight="1">
      <c r="A86" s="832">
        <v>1</v>
      </c>
      <c r="B86" s="827" t="s">
        <v>3</v>
      </c>
      <c r="C86" s="832" t="s">
        <v>281</v>
      </c>
      <c r="D86" s="901" t="s">
        <v>881</v>
      </c>
      <c r="E86" s="389" t="e">
        <f>NC_DKDD!H900</f>
        <v>#VALUE!</v>
      </c>
      <c r="F86" s="389"/>
      <c r="G86" s="391"/>
      <c r="H86" s="389"/>
      <c r="I86" s="389"/>
      <c r="J86" s="389"/>
      <c r="K86" s="389"/>
      <c r="L86" s="389"/>
      <c r="M86" s="389"/>
      <c r="N86" s="389"/>
      <c r="O86" s="389">
        <f>P86+Q86</f>
        <v>614.80769230769238</v>
      </c>
      <c r="P86" s="348">
        <f t="shared" si="10"/>
        <v>534.61538461538464</v>
      </c>
      <c r="Q86" s="348">
        <f t="shared" si="11"/>
        <v>80.192307692307693</v>
      </c>
      <c r="R86" s="902">
        <f>NC_DKDD!G900</f>
        <v>0.1</v>
      </c>
    </row>
    <row r="87" spans="1:18" ht="33" customHeight="1">
      <c r="A87" s="358"/>
      <c r="B87" s="1129" t="s">
        <v>41</v>
      </c>
      <c r="C87" s="1129"/>
      <c r="D87" s="1129"/>
      <c r="E87" s="1129"/>
      <c r="F87" s="1129"/>
      <c r="G87" s="1129"/>
      <c r="H87" s="1129"/>
      <c r="I87" s="1129"/>
      <c r="J87" s="1129"/>
      <c r="K87" s="1129"/>
      <c r="L87" s="1129"/>
      <c r="M87" s="1129"/>
      <c r="N87" s="1129"/>
      <c r="O87" s="1129"/>
      <c r="P87" s="332"/>
      <c r="Q87" s="332"/>
      <c r="R87" s="1012"/>
    </row>
    <row r="88" spans="1:18" ht="21.75" customHeight="1">
      <c r="A88" s="358"/>
      <c r="B88" s="333"/>
      <c r="C88" s="333"/>
      <c r="D88" s="333"/>
      <c r="E88" s="333"/>
      <c r="F88" s="333"/>
      <c r="G88" s="333"/>
      <c r="H88" s="333"/>
      <c r="I88" s="333"/>
      <c r="J88" s="333"/>
      <c r="K88" s="333"/>
      <c r="L88" s="333"/>
      <c r="M88" s="333"/>
      <c r="N88" s="333"/>
      <c r="O88" s="333"/>
      <c r="P88" s="332"/>
      <c r="Q88" s="332"/>
      <c r="R88" s="1012"/>
    </row>
    <row r="89" spans="1:18" ht="24.75" customHeight="1">
      <c r="A89" s="1114" t="s">
        <v>266</v>
      </c>
      <c r="B89" s="1114"/>
      <c r="C89" s="1114"/>
      <c r="D89" s="1114"/>
      <c r="E89" s="1114"/>
      <c r="F89" s="1114"/>
      <c r="G89" s="1114"/>
      <c r="H89" s="1114"/>
      <c r="I89" s="1114"/>
      <c r="J89" s="1114"/>
      <c r="K89" s="1114"/>
      <c r="L89" s="1114"/>
      <c r="M89" s="1114"/>
      <c r="N89" s="1114"/>
      <c r="O89" s="1114"/>
      <c r="R89" s="1012"/>
    </row>
    <row r="90" spans="1:18">
      <c r="A90" s="1113" t="s">
        <v>960</v>
      </c>
      <c r="B90" s="1113"/>
      <c r="C90" s="1113"/>
      <c r="D90" s="1113"/>
      <c r="E90" s="1113"/>
      <c r="F90" s="1113"/>
      <c r="G90" s="1113"/>
      <c r="H90" s="1113"/>
      <c r="I90" s="1113"/>
      <c r="J90" s="1113"/>
      <c r="K90" s="1113"/>
      <c r="L90" s="1113"/>
      <c r="M90" s="1113"/>
      <c r="N90" s="1113"/>
      <c r="O90" s="1113"/>
      <c r="P90" s="1113"/>
      <c r="R90" s="1012"/>
    </row>
    <row r="91" spans="1:18" ht="22.5" customHeight="1">
      <c r="A91" s="337"/>
      <c r="B91" s="363"/>
      <c r="C91" s="338"/>
      <c r="D91" s="339" t="s">
        <v>576</v>
      </c>
      <c r="E91" s="340"/>
      <c r="F91" s="341"/>
      <c r="G91" s="342"/>
      <c r="H91" s="341"/>
      <c r="I91" s="343"/>
      <c r="J91" s="341"/>
      <c r="K91" s="341"/>
      <c r="L91" s="344" t="s">
        <v>980</v>
      </c>
      <c r="M91" s="341"/>
      <c r="N91" s="343"/>
      <c r="O91" s="340"/>
      <c r="P91" s="332"/>
      <c r="Q91" s="332"/>
      <c r="R91" s="332"/>
    </row>
    <row r="92" spans="1:18" ht="34.15" customHeight="1">
      <c r="A92" s="1112" t="s">
        <v>876</v>
      </c>
      <c r="B92" s="1112" t="s">
        <v>381</v>
      </c>
      <c r="C92" s="1124" t="s">
        <v>981</v>
      </c>
      <c r="D92" s="1124" t="s">
        <v>982</v>
      </c>
      <c r="E92" s="1124" t="s">
        <v>466</v>
      </c>
      <c r="F92" s="1124"/>
      <c r="G92" s="1124"/>
      <c r="H92" s="1124"/>
      <c r="I92" s="1124"/>
      <c r="J92" s="1124"/>
      <c r="K92" s="1124"/>
      <c r="L92" s="1124"/>
      <c r="M92" s="1124" t="s">
        <v>581</v>
      </c>
      <c r="N92" s="1124" t="s">
        <v>201</v>
      </c>
      <c r="O92" s="1124" t="s">
        <v>200</v>
      </c>
      <c r="P92" s="348"/>
      <c r="Q92" s="348"/>
      <c r="R92" s="332"/>
    </row>
    <row r="93" spans="1:18" ht="34.15" customHeight="1">
      <c r="A93" s="1112"/>
      <c r="B93" s="1112"/>
      <c r="C93" s="1124"/>
      <c r="D93" s="1124"/>
      <c r="E93" s="382" t="s">
        <v>469</v>
      </c>
      <c r="F93" s="382" t="s">
        <v>470</v>
      </c>
      <c r="G93" s="837" t="s">
        <v>1003</v>
      </c>
      <c r="H93" s="382" t="s">
        <v>59</v>
      </c>
      <c r="I93" s="382" t="s">
        <v>471</v>
      </c>
      <c r="J93" s="382" t="s">
        <v>280</v>
      </c>
      <c r="K93" s="382" t="s">
        <v>472</v>
      </c>
      <c r="L93" s="382" t="s">
        <v>473</v>
      </c>
      <c r="M93" s="1124"/>
      <c r="N93" s="1124"/>
      <c r="O93" s="1124"/>
      <c r="P93" s="348"/>
      <c r="Q93" s="348"/>
      <c r="R93" s="332"/>
    </row>
    <row r="94" spans="1:18" ht="54" customHeight="1">
      <c r="A94" s="831"/>
      <c r="B94" s="830" t="s">
        <v>267</v>
      </c>
      <c r="C94" s="382"/>
      <c r="D94" s="382"/>
      <c r="E94" s="382"/>
      <c r="F94" s="382"/>
      <c r="G94" s="837"/>
      <c r="H94" s="382"/>
      <c r="I94" s="382"/>
      <c r="J94" s="382"/>
      <c r="K94" s="382"/>
      <c r="L94" s="382"/>
      <c r="M94" s="382"/>
      <c r="N94" s="382"/>
      <c r="O94" s="382"/>
      <c r="P94" s="348"/>
      <c r="Q94" s="348"/>
      <c r="R94" s="332"/>
    </row>
    <row r="95" spans="1:18" ht="24.75" customHeight="1">
      <c r="A95" s="831"/>
      <c r="B95" s="868" t="s">
        <v>451</v>
      </c>
      <c r="C95" s="382" t="s">
        <v>281</v>
      </c>
      <c r="D95" s="831" t="s">
        <v>881</v>
      </c>
      <c r="E95" s="383" t="e">
        <f>E99+E126+E128</f>
        <v>#VALUE!</v>
      </c>
      <c r="F95" s="383">
        <f t="shared" ref="F95:O95" si="12">F99+F126+F128</f>
        <v>0</v>
      </c>
      <c r="G95" s="383">
        <f t="shared" si="12"/>
        <v>0</v>
      </c>
      <c r="H95" s="383">
        <f t="shared" si="12"/>
        <v>11608.515759615384</v>
      </c>
      <c r="I95" s="383">
        <f t="shared" si="12"/>
        <v>27022.14</v>
      </c>
      <c r="J95" s="383">
        <f t="shared" si="12"/>
        <v>6565.7200000000012</v>
      </c>
      <c r="K95" s="383">
        <f t="shared" si="12"/>
        <v>12941.712</v>
      </c>
      <c r="L95" s="383" t="e">
        <f t="shared" si="12"/>
        <v>#VALUE!</v>
      </c>
      <c r="M95" s="383" t="e">
        <f t="shared" si="12"/>
        <v>#VALUE!</v>
      </c>
      <c r="N95" s="383" t="e">
        <f t="shared" si="12"/>
        <v>#VALUE!</v>
      </c>
      <c r="O95" s="383">
        <f t="shared" si="12"/>
        <v>25828.071153846151</v>
      </c>
      <c r="P95" s="348"/>
      <c r="Q95" s="348"/>
      <c r="R95" s="332"/>
    </row>
    <row r="96" spans="1:18" ht="24.75" customHeight="1">
      <c r="A96" s="831"/>
      <c r="B96" s="868" t="s">
        <v>452</v>
      </c>
      <c r="C96" s="382" t="s">
        <v>281</v>
      </c>
      <c r="D96" s="831" t="s">
        <v>881</v>
      </c>
      <c r="E96" s="383" t="e">
        <f>E100+E126+E128</f>
        <v>#VALUE!</v>
      </c>
      <c r="F96" s="383">
        <f t="shared" ref="F96:O96" si="13">F100+F126+F128</f>
        <v>0</v>
      </c>
      <c r="G96" s="383">
        <f t="shared" si="13"/>
        <v>0</v>
      </c>
      <c r="H96" s="383">
        <f t="shared" si="13"/>
        <v>11608.515759615384</v>
      </c>
      <c r="I96" s="383">
        <f t="shared" si="13"/>
        <v>27022.14</v>
      </c>
      <c r="J96" s="383">
        <f t="shared" si="13"/>
        <v>6565.7200000000012</v>
      </c>
      <c r="K96" s="383">
        <f t="shared" si="13"/>
        <v>12941.712</v>
      </c>
      <c r="L96" s="383" t="e">
        <f t="shared" si="13"/>
        <v>#VALUE!</v>
      </c>
      <c r="M96" s="383" t="e">
        <f t="shared" si="13"/>
        <v>#VALUE!</v>
      </c>
      <c r="N96" s="383" t="e">
        <f t="shared" si="13"/>
        <v>#VALUE!</v>
      </c>
      <c r="O96" s="383">
        <f t="shared" si="13"/>
        <v>25520.667307692303</v>
      </c>
      <c r="P96" s="348"/>
      <c r="Q96" s="348"/>
      <c r="R96" s="332"/>
    </row>
    <row r="97" spans="1:18" ht="18" customHeight="1">
      <c r="A97" s="831"/>
      <c r="B97" s="888"/>
      <c r="C97" s="382"/>
      <c r="D97" s="382"/>
      <c r="E97" s="382"/>
      <c r="F97" s="382"/>
      <c r="G97" s="837"/>
      <c r="H97" s="382"/>
      <c r="I97" s="382"/>
      <c r="J97" s="382"/>
      <c r="K97" s="382"/>
      <c r="L97" s="382"/>
      <c r="M97" s="382"/>
      <c r="N97" s="382"/>
      <c r="O97" s="382"/>
      <c r="P97" s="351">
        <f>'He so chung'!D$22</f>
        <v>5346.1538461538457</v>
      </c>
      <c r="Q97" s="351">
        <f>'He so chung'!D$23</f>
        <v>801.92307692307691</v>
      </c>
      <c r="R97" s="352"/>
    </row>
    <row r="98" spans="1:18" ht="24.75" customHeight="1">
      <c r="A98" s="831" t="s">
        <v>179</v>
      </c>
      <c r="B98" s="888" t="s">
        <v>765</v>
      </c>
      <c r="C98" s="382"/>
      <c r="D98" s="382"/>
      <c r="E98" s="382"/>
      <c r="F98" s="382"/>
      <c r="G98" s="837"/>
      <c r="H98" s="382"/>
      <c r="I98" s="382"/>
      <c r="J98" s="382"/>
      <c r="K98" s="382"/>
      <c r="L98" s="382"/>
      <c r="M98" s="382"/>
      <c r="N98" s="382"/>
      <c r="O98" s="382"/>
      <c r="P98" s="351"/>
      <c r="Q98" s="351"/>
      <c r="R98" s="352"/>
    </row>
    <row r="99" spans="1:18" ht="24.75" customHeight="1">
      <c r="A99" s="869" t="s">
        <v>665</v>
      </c>
      <c r="B99" s="868" t="s">
        <v>451</v>
      </c>
      <c r="C99" s="382" t="s">
        <v>281</v>
      </c>
      <c r="D99" s="901" t="s">
        <v>881</v>
      </c>
      <c r="E99" s="919" t="e">
        <f>E102+E104+E105+E106+E107+E109+E111+E112+E114+E116+E117+E118+E119+E122+E123+E124+E125</f>
        <v>#VALUE!</v>
      </c>
      <c r="F99" s="898"/>
      <c r="G99" s="391"/>
      <c r="H99" s="898">
        <f>'Dcu-DKDD'!$J$309</f>
        <v>9785.5934615384613</v>
      </c>
      <c r="I99" s="898">
        <f>'VL-DKDD'!$H$312</f>
        <v>23921.46</v>
      </c>
      <c r="J99" s="898">
        <f>'TB-DKDD'!$K$176</f>
        <v>6431.0400000000009</v>
      </c>
      <c r="K99" s="898">
        <f>'NL-DKDD'!$H$120</f>
        <v>12648.005999999999</v>
      </c>
      <c r="L99" s="893" t="e">
        <f>SUM(E99:K99)</f>
        <v>#VALUE!</v>
      </c>
      <c r="M99" s="893" t="e">
        <f>L99*'He so chung'!$D$17/100</f>
        <v>#VALUE!</v>
      </c>
      <c r="N99" s="893" t="e">
        <f>L99+M99</f>
        <v>#VALUE!</v>
      </c>
      <c r="O99" s="919">
        <f>O102+O104+O105+O106+O107+O109+O111+O112+O114+O116+O117+O118+O119+O122+O123+O124+O125</f>
        <v>22754.03269230769</v>
      </c>
      <c r="P99" s="348"/>
      <c r="Q99" s="348"/>
      <c r="R99" s="332"/>
    </row>
    <row r="100" spans="1:18" ht="24.75" customHeight="1">
      <c r="A100" s="869" t="s">
        <v>666</v>
      </c>
      <c r="B100" s="868" t="s">
        <v>452</v>
      </c>
      <c r="C100" s="382" t="s">
        <v>281</v>
      </c>
      <c r="D100" s="901" t="s">
        <v>881</v>
      </c>
      <c r="E100" s="919" t="e">
        <f>E103+E104+E105+E106+E107+E109+E111+E112+E114+E116+E117+E118+E119+E122+E123+E124+E125</f>
        <v>#VALUE!</v>
      </c>
      <c r="F100" s="898"/>
      <c r="G100" s="391"/>
      <c r="H100" s="898">
        <f>'Dcu-DKDD'!$J$309</f>
        <v>9785.5934615384613</v>
      </c>
      <c r="I100" s="898">
        <f>'VL-DKDD'!$H$312</f>
        <v>23921.46</v>
      </c>
      <c r="J100" s="898">
        <f>'TB-DKDD'!$K$176</f>
        <v>6431.0400000000009</v>
      </c>
      <c r="K100" s="898">
        <f>'NL-DKDD'!$H$120</f>
        <v>12648.005999999999</v>
      </c>
      <c r="L100" s="893" t="e">
        <f>SUM(E100:K100)</f>
        <v>#VALUE!</v>
      </c>
      <c r="M100" s="893" t="e">
        <f>L100*'He so chung'!$D$17/100</f>
        <v>#VALUE!</v>
      </c>
      <c r="N100" s="893" t="e">
        <f>L100+M100</f>
        <v>#VALUE!</v>
      </c>
      <c r="O100" s="919">
        <f>O103+O104+O105+O106+O107+O109+O111+O112+O114+O116+O117+O118+O119+O122+O123+O124+O125</f>
        <v>22446.628846153842</v>
      </c>
      <c r="P100" s="348"/>
      <c r="Q100" s="348"/>
      <c r="R100" s="332"/>
    </row>
    <row r="101" spans="1:18" ht="23.25" customHeight="1">
      <c r="A101" s="832">
        <v>1</v>
      </c>
      <c r="B101" s="827" t="s">
        <v>4</v>
      </c>
      <c r="C101" s="898"/>
      <c r="D101" s="1010"/>
      <c r="E101" s="898"/>
      <c r="F101" s="898"/>
      <c r="G101" s="391"/>
      <c r="H101" s="898"/>
      <c r="I101" s="898"/>
      <c r="J101" s="898"/>
      <c r="K101" s="898"/>
      <c r="L101" s="898"/>
      <c r="M101" s="898"/>
      <c r="N101" s="898"/>
      <c r="O101" s="898">
        <f t="shared" ref="O101:O125" si="14">P101+Q101</f>
        <v>0</v>
      </c>
      <c r="P101" s="348"/>
      <c r="Q101" s="348"/>
      <c r="R101" s="332"/>
    </row>
    <row r="102" spans="1:18" ht="23.25" customHeight="1">
      <c r="A102" s="832" t="s">
        <v>891</v>
      </c>
      <c r="B102" s="827" t="s">
        <v>33</v>
      </c>
      <c r="C102" s="832" t="s">
        <v>281</v>
      </c>
      <c r="D102" s="901" t="s">
        <v>881</v>
      </c>
      <c r="E102" s="898" t="e">
        <f>NC_DKDD!H907</f>
        <v>#VALUE!</v>
      </c>
      <c r="F102" s="898"/>
      <c r="G102" s="391"/>
      <c r="H102" s="898"/>
      <c r="I102" s="898"/>
      <c r="J102" s="898"/>
      <c r="K102" s="898"/>
      <c r="L102" s="898"/>
      <c r="M102" s="898"/>
      <c r="N102" s="898"/>
      <c r="O102" s="898">
        <f t="shared" si="14"/>
        <v>1229.6153846153848</v>
      </c>
      <c r="P102" s="348">
        <f t="shared" ref="P102:P129" si="15">R102*P$10</f>
        <v>1069.2307692307693</v>
      </c>
      <c r="Q102" s="348">
        <f t="shared" ref="Q102:Q129" si="16">R102*Q$10</f>
        <v>160.38461538461539</v>
      </c>
      <c r="R102" s="1014">
        <f>NC_DKDD!G907</f>
        <v>0.2</v>
      </c>
    </row>
    <row r="103" spans="1:18" ht="23.25" customHeight="1">
      <c r="A103" s="832" t="s">
        <v>899</v>
      </c>
      <c r="B103" s="827" t="s">
        <v>36</v>
      </c>
      <c r="C103" s="832" t="s">
        <v>281</v>
      </c>
      <c r="D103" s="901" t="s">
        <v>881</v>
      </c>
      <c r="E103" s="898" t="e">
        <f>NC_DKDD!H908</f>
        <v>#VALUE!</v>
      </c>
      <c r="F103" s="898"/>
      <c r="G103" s="391"/>
      <c r="H103" s="898"/>
      <c r="I103" s="898"/>
      <c r="J103" s="898"/>
      <c r="K103" s="898"/>
      <c r="L103" s="898"/>
      <c r="M103" s="898"/>
      <c r="N103" s="898"/>
      <c r="O103" s="898">
        <f t="shared" si="14"/>
        <v>922.21153846153834</v>
      </c>
      <c r="P103" s="348">
        <f t="shared" si="15"/>
        <v>801.92307692307679</v>
      </c>
      <c r="Q103" s="348">
        <f t="shared" si="16"/>
        <v>120.28846153846153</v>
      </c>
      <c r="R103" s="1014">
        <f>NC_DKDD!G908</f>
        <v>0.15</v>
      </c>
    </row>
    <row r="104" spans="1:18" ht="49.5" customHeight="1">
      <c r="A104" s="832">
        <v>2</v>
      </c>
      <c r="B104" s="827" t="s">
        <v>953</v>
      </c>
      <c r="C104" s="832" t="s">
        <v>281</v>
      </c>
      <c r="D104" s="901" t="s">
        <v>881</v>
      </c>
      <c r="E104" s="898" t="e">
        <f>NC_DKDD!H909</f>
        <v>#VALUE!</v>
      </c>
      <c r="F104" s="898"/>
      <c r="G104" s="391"/>
      <c r="H104" s="898"/>
      <c r="I104" s="898"/>
      <c r="J104" s="898"/>
      <c r="K104" s="898"/>
      <c r="L104" s="898"/>
      <c r="M104" s="898"/>
      <c r="N104" s="898"/>
      <c r="O104" s="898">
        <f t="shared" si="14"/>
        <v>1537.0192307692307</v>
      </c>
      <c r="P104" s="348">
        <f t="shared" si="15"/>
        <v>1336.5384615384614</v>
      </c>
      <c r="Q104" s="348">
        <f t="shared" si="16"/>
        <v>200.48076923076923</v>
      </c>
      <c r="R104" s="1014">
        <f>NC_DKDD!G909</f>
        <v>0.25</v>
      </c>
    </row>
    <row r="105" spans="1:18" ht="44.25" customHeight="1">
      <c r="A105" s="832">
        <v>3</v>
      </c>
      <c r="B105" s="827" t="s">
        <v>38</v>
      </c>
      <c r="C105" s="832" t="s">
        <v>523</v>
      </c>
      <c r="D105" s="901" t="s">
        <v>881</v>
      </c>
      <c r="E105" s="898" t="e">
        <f>NC_DKDD!H910</f>
        <v>#VALUE!</v>
      </c>
      <c r="F105" s="898"/>
      <c r="G105" s="391"/>
      <c r="H105" s="898"/>
      <c r="I105" s="898"/>
      <c r="J105" s="898"/>
      <c r="K105" s="898"/>
      <c r="L105" s="898"/>
      <c r="M105" s="898"/>
      <c r="N105" s="898"/>
      <c r="O105" s="898">
        <f t="shared" si="14"/>
        <v>202.88653846153844</v>
      </c>
      <c r="P105" s="348">
        <f t="shared" si="15"/>
        <v>176.42307692307691</v>
      </c>
      <c r="Q105" s="348">
        <f t="shared" si="16"/>
        <v>26.463461538461541</v>
      </c>
      <c r="R105" s="1014">
        <f>NC_DKDD!G910</f>
        <v>3.3000000000000002E-2</v>
      </c>
    </row>
    <row r="106" spans="1:18" ht="77.25" customHeight="1">
      <c r="A106" s="832">
        <v>4</v>
      </c>
      <c r="B106" s="827" t="s">
        <v>481</v>
      </c>
      <c r="C106" s="832" t="s">
        <v>281</v>
      </c>
      <c r="D106" s="901" t="s">
        <v>881</v>
      </c>
      <c r="E106" s="898" t="e">
        <f>NC_DKDD!H911</f>
        <v>#VALUE!</v>
      </c>
      <c r="F106" s="898"/>
      <c r="G106" s="391"/>
      <c r="H106" s="898"/>
      <c r="I106" s="898"/>
      <c r="J106" s="898"/>
      <c r="K106" s="898"/>
      <c r="L106" s="898"/>
      <c r="M106" s="898"/>
      <c r="N106" s="898"/>
      <c r="O106" s="898">
        <f t="shared" si="14"/>
        <v>11066.538461538461</v>
      </c>
      <c r="P106" s="348">
        <f t="shared" si="15"/>
        <v>9623.076923076922</v>
      </c>
      <c r="Q106" s="348">
        <f t="shared" si="16"/>
        <v>1443.4615384615386</v>
      </c>
      <c r="R106" s="1014">
        <f>NC_DKDD!G911</f>
        <v>1.8</v>
      </c>
    </row>
    <row r="107" spans="1:18" ht="39" customHeight="1">
      <c r="A107" s="832">
        <v>5</v>
      </c>
      <c r="B107" s="827" t="s">
        <v>69</v>
      </c>
      <c r="C107" s="832" t="s">
        <v>523</v>
      </c>
      <c r="D107" s="901" t="s">
        <v>881</v>
      </c>
      <c r="E107" s="898" t="e">
        <f>NC_DKDD!H912</f>
        <v>#VALUE!</v>
      </c>
      <c r="F107" s="898"/>
      <c r="G107" s="391"/>
      <c r="H107" s="898"/>
      <c r="I107" s="898"/>
      <c r="J107" s="898"/>
      <c r="K107" s="898"/>
      <c r="L107" s="898"/>
      <c r="M107" s="898"/>
      <c r="N107" s="898"/>
      <c r="O107" s="898">
        <f t="shared" si="14"/>
        <v>36.888461538461534</v>
      </c>
      <c r="P107" s="348">
        <f t="shared" si="15"/>
        <v>32.076923076923073</v>
      </c>
      <c r="Q107" s="348">
        <f t="shared" si="16"/>
        <v>4.8115384615384613</v>
      </c>
      <c r="R107" s="1014">
        <f>NC_DKDD!G912</f>
        <v>6.0000000000000001E-3</v>
      </c>
    </row>
    <row r="108" spans="1:18" ht="42.75">
      <c r="A108" s="832">
        <v>6</v>
      </c>
      <c r="B108" s="827" t="s">
        <v>483</v>
      </c>
      <c r="C108" s="832"/>
      <c r="D108" s="832"/>
      <c r="E108" s="898">
        <f>NC_DKDD!H913</f>
        <v>0</v>
      </c>
      <c r="F108" s="898"/>
      <c r="G108" s="391"/>
      <c r="H108" s="898"/>
      <c r="I108" s="898"/>
      <c r="J108" s="898"/>
      <c r="K108" s="898"/>
      <c r="L108" s="898"/>
      <c r="M108" s="898"/>
      <c r="N108" s="898"/>
      <c r="O108" s="898">
        <f t="shared" si="14"/>
        <v>0</v>
      </c>
      <c r="P108" s="348">
        <f t="shared" si="15"/>
        <v>0</v>
      </c>
      <c r="Q108" s="348">
        <f t="shared" si="16"/>
        <v>0</v>
      </c>
      <c r="R108" s="1014">
        <f>NC_DKDD!G913</f>
        <v>0</v>
      </c>
    </row>
    <row r="109" spans="1:18" ht="25.5" customHeight="1">
      <c r="A109" s="832" t="s">
        <v>444</v>
      </c>
      <c r="B109" s="827" t="s">
        <v>770</v>
      </c>
      <c r="C109" s="832" t="s">
        <v>281</v>
      </c>
      <c r="D109" s="901" t="s">
        <v>881</v>
      </c>
      <c r="E109" s="898" t="e">
        <f>NC_DKDD!H914</f>
        <v>#VALUE!</v>
      </c>
      <c r="F109" s="898"/>
      <c r="G109" s="391"/>
      <c r="H109" s="898"/>
      <c r="I109" s="898"/>
      <c r="J109" s="898"/>
      <c r="K109" s="898"/>
      <c r="L109" s="898"/>
      <c r="M109" s="898"/>
      <c r="N109" s="898"/>
      <c r="O109" s="898">
        <f t="shared" si="14"/>
        <v>0</v>
      </c>
      <c r="P109" s="348">
        <f t="shared" si="15"/>
        <v>0</v>
      </c>
      <c r="Q109" s="348">
        <f t="shared" si="16"/>
        <v>0</v>
      </c>
      <c r="R109" s="1014">
        <f>NC_DKDD!G914</f>
        <v>0</v>
      </c>
    </row>
    <row r="110" spans="1:18" ht="25.5" customHeight="1">
      <c r="A110" s="832" t="s">
        <v>445</v>
      </c>
      <c r="B110" s="827" t="s">
        <v>771</v>
      </c>
      <c r="C110" s="832" t="s">
        <v>281</v>
      </c>
      <c r="D110" s="901" t="s">
        <v>881</v>
      </c>
      <c r="E110" s="898" t="e">
        <f>NC_DKDD!H915</f>
        <v>#VALUE!</v>
      </c>
      <c r="F110" s="898"/>
      <c r="G110" s="391"/>
      <c r="H110" s="898"/>
      <c r="I110" s="898"/>
      <c r="J110" s="898"/>
      <c r="K110" s="898"/>
      <c r="L110" s="898"/>
      <c r="M110" s="898"/>
      <c r="N110" s="898"/>
      <c r="O110" s="898">
        <f t="shared" si="14"/>
        <v>0</v>
      </c>
      <c r="P110" s="348">
        <f t="shared" si="15"/>
        <v>0</v>
      </c>
      <c r="Q110" s="348">
        <f t="shared" si="16"/>
        <v>0</v>
      </c>
      <c r="R110" s="1014">
        <f>NC_DKDD!G915</f>
        <v>0</v>
      </c>
    </row>
    <row r="111" spans="1:18" ht="33.75" customHeight="1">
      <c r="A111" s="832">
        <v>7</v>
      </c>
      <c r="B111" s="827" t="s">
        <v>554</v>
      </c>
      <c r="C111" s="832" t="s">
        <v>281</v>
      </c>
      <c r="D111" s="901" t="s">
        <v>881</v>
      </c>
      <c r="E111" s="898" t="e">
        <f>NC_DKDD!H916</f>
        <v>#VALUE!</v>
      </c>
      <c r="F111" s="898"/>
      <c r="G111" s="391"/>
      <c r="H111" s="898"/>
      <c r="I111" s="898"/>
      <c r="J111" s="898"/>
      <c r="K111" s="898"/>
      <c r="L111" s="898"/>
      <c r="M111" s="898"/>
      <c r="N111" s="898"/>
      <c r="O111" s="898">
        <f t="shared" si="14"/>
        <v>1229.6153846153848</v>
      </c>
      <c r="P111" s="348">
        <f t="shared" si="15"/>
        <v>1069.2307692307693</v>
      </c>
      <c r="Q111" s="348">
        <f t="shared" si="16"/>
        <v>160.38461538461539</v>
      </c>
      <c r="R111" s="1014">
        <f>NC_DKDD!G916</f>
        <v>0.2</v>
      </c>
    </row>
    <row r="112" spans="1:18" ht="27.75" customHeight="1">
      <c r="A112" s="832">
        <v>8</v>
      </c>
      <c r="B112" s="827" t="s">
        <v>211</v>
      </c>
      <c r="C112" s="832" t="s">
        <v>523</v>
      </c>
      <c r="D112" s="901" t="s">
        <v>881</v>
      </c>
      <c r="E112" s="898" t="e">
        <f>NC_DKDD!H917</f>
        <v>#VALUE!</v>
      </c>
      <c r="F112" s="898"/>
      <c r="G112" s="391"/>
      <c r="H112" s="898"/>
      <c r="I112" s="898"/>
      <c r="J112" s="898"/>
      <c r="K112" s="898"/>
      <c r="L112" s="898"/>
      <c r="M112" s="898"/>
      <c r="N112" s="898"/>
      <c r="O112" s="898">
        <f t="shared" si="14"/>
        <v>1051.3211538461539</v>
      </c>
      <c r="P112" s="348">
        <f t="shared" si="15"/>
        <v>914.19230769230774</v>
      </c>
      <c r="Q112" s="348">
        <f t="shared" si="16"/>
        <v>137.12884615384615</v>
      </c>
      <c r="R112" s="1014">
        <f>NC_DKDD!G917</f>
        <v>0.17100000000000001</v>
      </c>
    </row>
    <row r="113" spans="1:18" ht="27.75" customHeight="1">
      <c r="A113" s="832">
        <v>9</v>
      </c>
      <c r="B113" s="827" t="s">
        <v>213</v>
      </c>
      <c r="C113" s="832"/>
      <c r="D113" s="832"/>
      <c r="E113" s="898">
        <f>NC_DKDD!H918</f>
        <v>0</v>
      </c>
      <c r="F113" s="898"/>
      <c r="G113" s="391"/>
      <c r="H113" s="898"/>
      <c r="I113" s="898"/>
      <c r="J113" s="898"/>
      <c r="K113" s="898"/>
      <c r="L113" s="898"/>
      <c r="M113" s="898"/>
      <c r="N113" s="898"/>
      <c r="O113" s="898">
        <f t="shared" si="14"/>
        <v>0</v>
      </c>
      <c r="P113" s="348">
        <f t="shared" si="15"/>
        <v>0</v>
      </c>
      <c r="Q113" s="348">
        <f t="shared" si="16"/>
        <v>0</v>
      </c>
      <c r="R113" s="1014">
        <f>NC_DKDD!G918</f>
        <v>0</v>
      </c>
    </row>
    <row r="114" spans="1:18" ht="27.75" customHeight="1">
      <c r="A114" s="832" t="s">
        <v>446</v>
      </c>
      <c r="B114" s="827" t="s">
        <v>215</v>
      </c>
      <c r="C114" s="832" t="s">
        <v>320</v>
      </c>
      <c r="D114" s="901" t="s">
        <v>881</v>
      </c>
      <c r="E114" s="898" t="e">
        <f>NC_DKDD!H919</f>
        <v>#VALUE!</v>
      </c>
      <c r="F114" s="898"/>
      <c r="G114" s="391"/>
      <c r="H114" s="898"/>
      <c r="I114" s="898"/>
      <c r="J114" s="898"/>
      <c r="K114" s="898"/>
      <c r="L114" s="898"/>
      <c r="M114" s="898"/>
      <c r="N114" s="898"/>
      <c r="O114" s="898">
        <f t="shared" si="14"/>
        <v>614.80769230769238</v>
      </c>
      <c r="P114" s="348">
        <f t="shared" si="15"/>
        <v>534.61538461538464</v>
      </c>
      <c r="Q114" s="348">
        <f t="shared" si="16"/>
        <v>80.192307692307693</v>
      </c>
      <c r="R114" s="1014">
        <f>NC_DKDD!G919</f>
        <v>0.1</v>
      </c>
    </row>
    <row r="115" spans="1:18" ht="34.15" customHeight="1">
      <c r="A115" s="832" t="s">
        <v>447</v>
      </c>
      <c r="B115" s="827" t="s">
        <v>217</v>
      </c>
      <c r="C115" s="832" t="s">
        <v>320</v>
      </c>
      <c r="D115" s="901" t="s">
        <v>881</v>
      </c>
      <c r="E115" s="898" t="e">
        <f>NC_DKDD!H920</f>
        <v>#VALUE!</v>
      </c>
      <c r="F115" s="898"/>
      <c r="G115" s="391"/>
      <c r="H115" s="898"/>
      <c r="I115" s="898"/>
      <c r="J115" s="898"/>
      <c r="K115" s="898"/>
      <c r="L115" s="898"/>
      <c r="M115" s="898"/>
      <c r="N115" s="898"/>
      <c r="O115" s="898">
        <f t="shared" si="14"/>
        <v>1229.6153846153848</v>
      </c>
      <c r="P115" s="348">
        <f t="shared" si="15"/>
        <v>1069.2307692307693</v>
      </c>
      <c r="Q115" s="348">
        <f t="shared" si="16"/>
        <v>160.38461538461539</v>
      </c>
      <c r="R115" s="1014">
        <f>NC_DKDD!G920</f>
        <v>0.2</v>
      </c>
    </row>
    <row r="116" spans="1:18" ht="34.15" customHeight="1">
      <c r="A116" s="832" t="s">
        <v>555</v>
      </c>
      <c r="B116" s="827" t="s">
        <v>556</v>
      </c>
      <c r="C116" s="832" t="s">
        <v>320</v>
      </c>
      <c r="D116" s="901" t="s">
        <v>881</v>
      </c>
      <c r="E116" s="898" t="e">
        <f>NC_DKDD!H921</f>
        <v>#VALUE!</v>
      </c>
      <c r="F116" s="898"/>
      <c r="G116" s="391"/>
      <c r="H116" s="898"/>
      <c r="I116" s="898"/>
      <c r="J116" s="898"/>
      <c r="K116" s="898"/>
      <c r="L116" s="898"/>
      <c r="M116" s="898"/>
      <c r="N116" s="898"/>
      <c r="O116" s="898">
        <f t="shared" si="14"/>
        <v>614.80769230769238</v>
      </c>
      <c r="P116" s="348">
        <f t="shared" si="15"/>
        <v>534.61538461538464</v>
      </c>
      <c r="Q116" s="348">
        <f t="shared" si="16"/>
        <v>80.192307692307693</v>
      </c>
      <c r="R116" s="1014">
        <f>NC_DKDD!G921</f>
        <v>0.1</v>
      </c>
    </row>
    <row r="117" spans="1:18" ht="40.5" customHeight="1">
      <c r="A117" s="832">
        <v>10</v>
      </c>
      <c r="B117" s="827" t="s">
        <v>557</v>
      </c>
      <c r="C117" s="832" t="s">
        <v>281</v>
      </c>
      <c r="D117" s="901" t="s">
        <v>881</v>
      </c>
      <c r="E117" s="898" t="e">
        <f>NC_DKDD!H922</f>
        <v>#VALUE!</v>
      </c>
      <c r="F117" s="898"/>
      <c r="G117" s="391"/>
      <c r="H117" s="898"/>
      <c r="I117" s="898"/>
      <c r="J117" s="898"/>
      <c r="K117" s="898"/>
      <c r="L117" s="898"/>
      <c r="M117" s="898"/>
      <c r="N117" s="898"/>
      <c r="O117" s="898">
        <f t="shared" si="14"/>
        <v>2459.2307692307695</v>
      </c>
      <c r="P117" s="348">
        <f t="shared" si="15"/>
        <v>2138.4615384615386</v>
      </c>
      <c r="Q117" s="348">
        <f t="shared" si="16"/>
        <v>320.76923076923077</v>
      </c>
      <c r="R117" s="1014">
        <f>NC_DKDD!G922</f>
        <v>0.4</v>
      </c>
    </row>
    <row r="118" spans="1:18" ht="66" customHeight="1">
      <c r="A118" s="832">
        <v>11</v>
      </c>
      <c r="B118" s="827" t="s">
        <v>1</v>
      </c>
      <c r="C118" s="832" t="s">
        <v>281</v>
      </c>
      <c r="D118" s="901" t="s">
        <v>881</v>
      </c>
      <c r="E118" s="898" t="e">
        <f>NC_DKDD!H923</f>
        <v>#VALUE!</v>
      </c>
      <c r="F118" s="898"/>
      <c r="G118" s="391"/>
      <c r="H118" s="898"/>
      <c r="I118" s="898"/>
      <c r="J118" s="898"/>
      <c r="K118" s="898"/>
      <c r="L118" s="898"/>
      <c r="M118" s="898"/>
      <c r="N118" s="898"/>
      <c r="O118" s="898">
        <f t="shared" si="14"/>
        <v>2274.7884615384614</v>
      </c>
      <c r="P118" s="348">
        <f t="shared" si="15"/>
        <v>1978.0769230769229</v>
      </c>
      <c r="Q118" s="348">
        <f t="shared" si="16"/>
        <v>296.71153846153845</v>
      </c>
      <c r="R118" s="1014">
        <f>NC_DKDD!G923</f>
        <v>0.37</v>
      </c>
    </row>
    <row r="119" spans="1:18" ht="29.25" customHeight="1">
      <c r="A119" s="832">
        <v>12</v>
      </c>
      <c r="B119" s="827" t="s">
        <v>220</v>
      </c>
      <c r="C119" s="832" t="s">
        <v>523</v>
      </c>
      <c r="D119" s="901" t="s">
        <v>881</v>
      </c>
      <c r="E119" s="898" t="e">
        <f>NC_DKDD!H924</f>
        <v>#VALUE!</v>
      </c>
      <c r="F119" s="898"/>
      <c r="G119" s="391"/>
      <c r="H119" s="898"/>
      <c r="I119" s="898"/>
      <c r="J119" s="898"/>
      <c r="K119" s="898"/>
      <c r="L119" s="898"/>
      <c r="M119" s="898"/>
      <c r="N119" s="898"/>
      <c r="O119" s="898">
        <f t="shared" si="14"/>
        <v>202.88653846153844</v>
      </c>
      <c r="P119" s="348">
        <f t="shared" si="15"/>
        <v>176.42307692307691</v>
      </c>
      <c r="Q119" s="348">
        <f t="shared" si="16"/>
        <v>26.463461538461541</v>
      </c>
      <c r="R119" s="1014">
        <f>NC_DKDD!G924</f>
        <v>3.3000000000000002E-2</v>
      </c>
    </row>
    <row r="120" spans="1:18" ht="29.25" customHeight="1">
      <c r="A120" s="832">
        <v>13</v>
      </c>
      <c r="B120" s="827" t="s">
        <v>221</v>
      </c>
      <c r="C120" s="832"/>
      <c r="D120" s="832"/>
      <c r="E120" s="898">
        <f>NC_DKDD!H925</f>
        <v>0</v>
      </c>
      <c r="F120" s="898"/>
      <c r="G120" s="391"/>
      <c r="H120" s="898"/>
      <c r="I120" s="898"/>
      <c r="J120" s="898"/>
      <c r="K120" s="898"/>
      <c r="L120" s="898"/>
      <c r="M120" s="898"/>
      <c r="N120" s="898"/>
      <c r="O120" s="898">
        <f t="shared" si="14"/>
        <v>0</v>
      </c>
      <c r="P120" s="348">
        <f t="shared" si="15"/>
        <v>0</v>
      </c>
      <c r="Q120" s="348">
        <f t="shared" si="16"/>
        <v>0</v>
      </c>
      <c r="R120" s="1014">
        <f>NC_DKDD!G925</f>
        <v>0</v>
      </c>
    </row>
    <row r="121" spans="1:18" ht="29.25" customHeight="1">
      <c r="A121" s="832" t="s">
        <v>237</v>
      </c>
      <c r="B121" s="827" t="s">
        <v>931</v>
      </c>
      <c r="C121" s="832"/>
      <c r="D121" s="832"/>
      <c r="E121" s="898">
        <f>NC_DKDD!H926</f>
        <v>0</v>
      </c>
      <c r="F121" s="898"/>
      <c r="G121" s="391"/>
      <c r="H121" s="898"/>
      <c r="I121" s="898"/>
      <c r="J121" s="898"/>
      <c r="K121" s="898"/>
      <c r="L121" s="898"/>
      <c r="M121" s="898"/>
      <c r="N121" s="898"/>
      <c r="O121" s="898">
        <f t="shared" si="14"/>
        <v>0</v>
      </c>
      <c r="P121" s="348">
        <f t="shared" si="15"/>
        <v>0</v>
      </c>
      <c r="Q121" s="348">
        <f t="shared" si="16"/>
        <v>0</v>
      </c>
      <c r="R121" s="1014">
        <f>NC_DKDD!G926</f>
        <v>0</v>
      </c>
    </row>
    <row r="122" spans="1:18" ht="25.5" customHeight="1">
      <c r="A122" s="832" t="s">
        <v>238</v>
      </c>
      <c r="B122" s="827" t="s">
        <v>933</v>
      </c>
      <c r="C122" s="832" t="s">
        <v>525</v>
      </c>
      <c r="D122" s="901" t="s">
        <v>881</v>
      </c>
      <c r="E122" s="898" t="e">
        <f>NC_DKDD!H927</f>
        <v>#VALUE!</v>
      </c>
      <c r="F122" s="898"/>
      <c r="G122" s="391"/>
      <c r="H122" s="898"/>
      <c r="I122" s="898"/>
      <c r="J122" s="898"/>
      <c r="K122" s="898"/>
      <c r="L122" s="898"/>
      <c r="M122" s="898"/>
      <c r="N122" s="898"/>
      <c r="O122" s="898">
        <f t="shared" si="14"/>
        <v>98.369230769230768</v>
      </c>
      <c r="P122" s="348">
        <f t="shared" si="15"/>
        <v>85.538461538461533</v>
      </c>
      <c r="Q122" s="348">
        <f t="shared" si="16"/>
        <v>12.830769230769231</v>
      </c>
      <c r="R122" s="1014">
        <f>NC_DKDD!G927</f>
        <v>1.6E-2</v>
      </c>
    </row>
    <row r="123" spans="1:18" ht="25.5" customHeight="1">
      <c r="A123" s="832" t="s">
        <v>239</v>
      </c>
      <c r="B123" s="827" t="s">
        <v>937</v>
      </c>
      <c r="C123" s="832" t="s">
        <v>525</v>
      </c>
      <c r="D123" s="901" t="s">
        <v>881</v>
      </c>
      <c r="E123" s="898" t="e">
        <f>NC_DKDD!H928</f>
        <v>#VALUE!</v>
      </c>
      <c r="F123" s="898"/>
      <c r="G123" s="391"/>
      <c r="H123" s="898"/>
      <c r="I123" s="898"/>
      <c r="J123" s="898"/>
      <c r="K123" s="898"/>
      <c r="L123" s="898"/>
      <c r="M123" s="898"/>
      <c r="N123" s="898"/>
      <c r="O123" s="898">
        <f t="shared" si="14"/>
        <v>49.184615384615384</v>
      </c>
      <c r="P123" s="348">
        <f t="shared" si="15"/>
        <v>42.769230769230766</v>
      </c>
      <c r="Q123" s="348">
        <f t="shared" si="16"/>
        <v>6.4153846153846157</v>
      </c>
      <c r="R123" s="1014">
        <f>NC_DKDD!G928</f>
        <v>8.0000000000000002E-3</v>
      </c>
    </row>
    <row r="124" spans="1:18" ht="29.25" customHeight="1">
      <c r="A124" s="832" t="s">
        <v>240</v>
      </c>
      <c r="B124" s="827" t="s">
        <v>48</v>
      </c>
      <c r="C124" s="832" t="s">
        <v>525</v>
      </c>
      <c r="D124" s="901" t="s">
        <v>881</v>
      </c>
      <c r="E124" s="898" t="e">
        <f>NC_DKDD!H929</f>
        <v>#VALUE!</v>
      </c>
      <c r="F124" s="898"/>
      <c r="G124" s="391"/>
      <c r="H124" s="898"/>
      <c r="I124" s="898"/>
      <c r="J124" s="898"/>
      <c r="K124" s="898"/>
      <c r="L124" s="898"/>
      <c r="M124" s="898"/>
      <c r="N124" s="898"/>
      <c r="O124" s="898">
        <f t="shared" si="14"/>
        <v>24.592307692307692</v>
      </c>
      <c r="P124" s="348">
        <f t="shared" si="15"/>
        <v>21.384615384615383</v>
      </c>
      <c r="Q124" s="348">
        <f t="shared" si="16"/>
        <v>3.2076923076923078</v>
      </c>
      <c r="R124" s="1014">
        <f>NC_DKDD!G929</f>
        <v>4.0000000000000001E-3</v>
      </c>
    </row>
    <row r="125" spans="1:18" ht="29.25" customHeight="1">
      <c r="A125" s="832" t="s">
        <v>241</v>
      </c>
      <c r="B125" s="827" t="s">
        <v>50</v>
      </c>
      <c r="C125" s="832" t="s">
        <v>523</v>
      </c>
      <c r="D125" s="901" t="s">
        <v>881</v>
      </c>
      <c r="E125" s="898" t="e">
        <f>NC_DKDD!H930</f>
        <v>#VALUE!</v>
      </c>
      <c r="F125" s="898"/>
      <c r="G125" s="391"/>
      <c r="H125" s="898"/>
      <c r="I125" s="898"/>
      <c r="J125" s="898"/>
      <c r="K125" s="898"/>
      <c r="L125" s="898"/>
      <c r="M125" s="898"/>
      <c r="N125" s="898"/>
      <c r="O125" s="898">
        <f t="shared" si="14"/>
        <v>61.480769230769226</v>
      </c>
      <c r="P125" s="348">
        <f t="shared" si="15"/>
        <v>53.46153846153846</v>
      </c>
      <c r="Q125" s="348">
        <f t="shared" si="16"/>
        <v>8.0192307692307701</v>
      </c>
      <c r="R125" s="1014">
        <f>NC_DKDD!G930</f>
        <v>0.01</v>
      </c>
    </row>
    <row r="126" spans="1:18" ht="25.5" customHeight="1">
      <c r="A126" s="869" t="s">
        <v>184</v>
      </c>
      <c r="B126" s="868" t="s">
        <v>526</v>
      </c>
      <c r="C126" s="832"/>
      <c r="D126" s="832"/>
      <c r="E126" s="919" t="e">
        <f>E127</f>
        <v>#VALUE!</v>
      </c>
      <c r="F126" s="898"/>
      <c r="G126" s="391"/>
      <c r="H126" s="898">
        <f>'Dcu-DKDD'!$L$309</f>
        <v>0</v>
      </c>
      <c r="I126" s="898">
        <f>'VL-DKDD'!$J$312</f>
        <v>0</v>
      </c>
      <c r="J126" s="898">
        <f>'TB-DKDD'!$M$176</f>
        <v>0</v>
      </c>
      <c r="K126" s="898"/>
      <c r="L126" s="893" t="e">
        <f>SUM(E126:K126)</f>
        <v>#VALUE!</v>
      </c>
      <c r="M126" s="893" t="e">
        <f>L126*'He so chung'!$D$17/100</f>
        <v>#VALUE!</v>
      </c>
      <c r="N126" s="893" t="e">
        <f>L126+M126</f>
        <v>#VALUE!</v>
      </c>
      <c r="O126" s="919">
        <f>O127</f>
        <v>2459.2307692307695</v>
      </c>
      <c r="P126" s="348">
        <f t="shared" si="15"/>
        <v>2138.4615384615386</v>
      </c>
      <c r="Q126" s="348">
        <f t="shared" si="16"/>
        <v>320.76923076923077</v>
      </c>
      <c r="R126" s="1014">
        <f>R127</f>
        <v>0.4</v>
      </c>
    </row>
    <row r="127" spans="1:18" ht="25.5" customHeight="1">
      <c r="A127" s="832">
        <v>1</v>
      </c>
      <c r="B127" s="827" t="s">
        <v>2</v>
      </c>
      <c r="C127" s="832" t="s">
        <v>281</v>
      </c>
      <c r="D127" s="901" t="s">
        <v>881</v>
      </c>
      <c r="E127" s="898" t="e">
        <f>NC_DKDD!H932</f>
        <v>#VALUE!</v>
      </c>
      <c r="F127" s="898"/>
      <c r="G127" s="391"/>
      <c r="H127" s="898"/>
      <c r="I127" s="898"/>
      <c r="J127" s="898"/>
      <c r="K127" s="898"/>
      <c r="L127" s="898"/>
      <c r="M127" s="898"/>
      <c r="N127" s="898"/>
      <c r="O127" s="898">
        <f>P127+Q127</f>
        <v>2459.2307692307695</v>
      </c>
      <c r="P127" s="348">
        <f t="shared" si="15"/>
        <v>2138.4615384615386</v>
      </c>
      <c r="Q127" s="348">
        <f t="shared" si="16"/>
        <v>320.76923076923077</v>
      </c>
      <c r="R127" s="1014">
        <f>NC_DKDD!G932</f>
        <v>0.4</v>
      </c>
    </row>
    <row r="128" spans="1:18" ht="25.5" customHeight="1">
      <c r="A128" s="869" t="s">
        <v>913</v>
      </c>
      <c r="B128" s="868" t="s">
        <v>88</v>
      </c>
      <c r="C128" s="832"/>
      <c r="D128" s="832"/>
      <c r="E128" s="919" t="e">
        <f>E129</f>
        <v>#VALUE!</v>
      </c>
      <c r="F128" s="898"/>
      <c r="G128" s="391"/>
      <c r="H128" s="898">
        <f>'Dcu-DKDD'!$H$309</f>
        <v>1822.922298076923</v>
      </c>
      <c r="I128" s="898">
        <f>'VL-DKDD'!$F$312</f>
        <v>3100.68</v>
      </c>
      <c r="J128" s="898">
        <f>'TB-DKDD'!$I$176</f>
        <v>134.67999999999998</v>
      </c>
      <c r="K128" s="898">
        <f>'NL-DKDD'!$F$120</f>
        <v>293.70600000000002</v>
      </c>
      <c r="L128" s="893" t="e">
        <f>SUM(E128:K128)</f>
        <v>#VALUE!</v>
      </c>
      <c r="M128" s="893" t="e">
        <f>L128*'He so chung'!$D$17/100</f>
        <v>#VALUE!</v>
      </c>
      <c r="N128" s="893" t="e">
        <f>L128+M128</f>
        <v>#VALUE!</v>
      </c>
      <c r="O128" s="919">
        <f>O129</f>
        <v>614.80769230769238</v>
      </c>
      <c r="P128" s="348">
        <f t="shared" si="15"/>
        <v>534.61538461538464</v>
      </c>
      <c r="Q128" s="348">
        <f t="shared" si="16"/>
        <v>80.192307692307693</v>
      </c>
      <c r="R128" s="1014">
        <f>R129</f>
        <v>0.1</v>
      </c>
    </row>
    <row r="129" spans="1:19" ht="25.5" customHeight="1">
      <c r="A129" s="832">
        <v>1</v>
      </c>
      <c r="B129" s="827" t="s">
        <v>3</v>
      </c>
      <c r="C129" s="832" t="s">
        <v>281</v>
      </c>
      <c r="D129" s="901" t="s">
        <v>881</v>
      </c>
      <c r="E129" s="898" t="e">
        <f>NC_DKDD!H934</f>
        <v>#VALUE!</v>
      </c>
      <c r="F129" s="898"/>
      <c r="G129" s="391"/>
      <c r="H129" s="898"/>
      <c r="I129" s="898"/>
      <c r="J129" s="898"/>
      <c r="K129" s="898"/>
      <c r="L129" s="898"/>
      <c r="M129" s="898"/>
      <c r="N129" s="898"/>
      <c r="O129" s="898">
        <f>P129+Q129</f>
        <v>614.80769230769238</v>
      </c>
      <c r="P129" s="348">
        <f t="shared" si="15"/>
        <v>534.61538461538464</v>
      </c>
      <c r="Q129" s="348">
        <f t="shared" si="16"/>
        <v>80.192307692307693</v>
      </c>
      <c r="R129" s="1014">
        <f>NC_DKDD!G934</f>
        <v>0.1</v>
      </c>
    </row>
    <row r="130" spans="1:19" ht="25.5" customHeight="1">
      <c r="A130" s="921"/>
      <c r="B130" s="366" t="s">
        <v>282</v>
      </c>
      <c r="C130" s="354"/>
      <c r="D130" s="353"/>
      <c r="E130" s="355"/>
      <c r="F130" s="355"/>
      <c r="G130" s="356"/>
      <c r="H130" s="355"/>
      <c r="I130" s="355"/>
      <c r="J130" s="357"/>
      <c r="K130" s="357"/>
      <c r="L130" s="357"/>
      <c r="M130" s="340"/>
      <c r="N130" s="340"/>
      <c r="O130" s="365"/>
      <c r="P130" s="348"/>
      <c r="Q130" s="348"/>
      <c r="R130" s="1015"/>
    </row>
    <row r="131" spans="1:19" ht="25.5" customHeight="1">
      <c r="A131" s="921"/>
      <c r="B131" s="1129" t="s">
        <v>20</v>
      </c>
      <c r="C131" s="1129"/>
      <c r="D131" s="1129"/>
      <c r="E131" s="1129"/>
      <c r="F131" s="1129"/>
      <c r="G131" s="1129"/>
      <c r="H131" s="1129"/>
      <c r="I131" s="1129"/>
      <c r="J131" s="1129"/>
      <c r="K131" s="1129"/>
      <c r="L131" s="1129"/>
      <c r="M131" s="1129"/>
      <c r="N131" s="1129"/>
      <c r="O131" s="1129"/>
      <c r="P131" s="348"/>
      <c r="Q131" s="348"/>
      <c r="R131" s="1015"/>
    </row>
    <row r="132" spans="1:19" ht="25.5" customHeight="1">
      <c r="A132" s="921"/>
      <c r="B132" s="333"/>
      <c r="C132" s="333"/>
      <c r="D132" s="333"/>
      <c r="E132" s="333"/>
      <c r="F132" s="333"/>
      <c r="G132" s="333"/>
      <c r="H132" s="333"/>
      <c r="I132" s="333"/>
      <c r="J132" s="333"/>
      <c r="K132" s="333"/>
      <c r="L132" s="333"/>
      <c r="M132" s="333"/>
      <c r="N132" s="333"/>
      <c r="O132" s="333"/>
      <c r="P132" s="348"/>
      <c r="Q132" s="348"/>
      <c r="R132" s="1015"/>
    </row>
    <row r="133" spans="1:19" ht="25.5" customHeight="1">
      <c r="A133" s="1160" t="s">
        <v>268</v>
      </c>
      <c r="B133" s="1160"/>
      <c r="C133" s="1160"/>
      <c r="D133" s="1160"/>
      <c r="E133" s="1160"/>
      <c r="F133" s="1160"/>
      <c r="G133" s="1160"/>
      <c r="H133" s="1160"/>
      <c r="I133" s="1160"/>
      <c r="J133" s="1160"/>
      <c r="K133" s="1160"/>
      <c r="L133" s="1160"/>
      <c r="M133" s="1160"/>
      <c r="N133" s="1160"/>
      <c r="O133" s="1160"/>
      <c r="Q133" s="67" t="s">
        <v>272</v>
      </c>
      <c r="R133" s="1012"/>
    </row>
    <row r="134" spans="1:19">
      <c r="A134" s="1113" t="s">
        <v>960</v>
      </c>
      <c r="B134" s="1113"/>
      <c r="C134" s="1113"/>
      <c r="D134" s="1113"/>
      <c r="E134" s="1113"/>
      <c r="F134" s="1113"/>
      <c r="G134" s="1113"/>
      <c r="H134" s="1113"/>
      <c r="I134" s="1113"/>
      <c r="J134" s="1113"/>
      <c r="K134" s="1113"/>
      <c r="L134" s="1113"/>
      <c r="M134" s="1113"/>
      <c r="N134" s="1113"/>
      <c r="O134" s="1113"/>
      <c r="P134" s="1113"/>
      <c r="R134" s="1012"/>
    </row>
    <row r="135" spans="1:19" ht="25.5" customHeight="1">
      <c r="A135" s="826"/>
      <c r="B135" s="826"/>
      <c r="C135" s="826"/>
      <c r="D135" s="826"/>
      <c r="E135" s="826"/>
      <c r="F135" s="826"/>
      <c r="G135" s="826"/>
      <c r="H135" s="826"/>
      <c r="I135" s="826"/>
      <c r="J135" s="826"/>
      <c r="K135" s="826"/>
      <c r="L135" s="991" t="s">
        <v>980</v>
      </c>
      <c r="M135" s="826"/>
      <c r="N135" s="826"/>
      <c r="O135" s="826"/>
      <c r="R135" s="1012"/>
    </row>
    <row r="136" spans="1:19" s="917" customFormat="1" ht="25.5" customHeight="1">
      <c r="A136" s="1112" t="s">
        <v>876</v>
      </c>
      <c r="B136" s="1112" t="s">
        <v>381</v>
      </c>
      <c r="C136" s="1124" t="s">
        <v>981</v>
      </c>
      <c r="D136" s="1124" t="s">
        <v>982</v>
      </c>
      <c r="E136" s="1124" t="s">
        <v>466</v>
      </c>
      <c r="F136" s="1124"/>
      <c r="G136" s="1124"/>
      <c r="H136" s="1124"/>
      <c r="I136" s="1124"/>
      <c r="J136" s="1124"/>
      <c r="K136" s="1124"/>
      <c r="L136" s="1124"/>
      <c r="M136" s="1124" t="s">
        <v>581</v>
      </c>
      <c r="N136" s="1124" t="s">
        <v>201</v>
      </c>
      <c r="O136" s="1124" t="s">
        <v>200</v>
      </c>
      <c r="P136" s="835"/>
      <c r="Q136" s="835"/>
      <c r="R136" s="367"/>
      <c r="S136" s="367"/>
    </row>
    <row r="137" spans="1:19" s="917" customFormat="1" ht="25.5" customHeight="1">
      <c r="A137" s="1112"/>
      <c r="B137" s="1112"/>
      <c r="C137" s="1124"/>
      <c r="D137" s="1124"/>
      <c r="E137" s="382" t="s">
        <v>469</v>
      </c>
      <c r="F137" s="382" t="s">
        <v>470</v>
      </c>
      <c r="G137" s="837" t="s">
        <v>1003</v>
      </c>
      <c r="H137" s="382" t="s">
        <v>59</v>
      </c>
      <c r="I137" s="382" t="s">
        <v>471</v>
      </c>
      <c r="J137" s="382" t="s">
        <v>280</v>
      </c>
      <c r="K137" s="382" t="s">
        <v>472</v>
      </c>
      <c r="L137" s="382" t="s">
        <v>473</v>
      </c>
      <c r="M137" s="1124"/>
      <c r="N137" s="1124"/>
      <c r="O137" s="1124"/>
      <c r="P137" s="835"/>
      <c r="Q137" s="835"/>
      <c r="R137" s="367"/>
      <c r="S137" s="367"/>
    </row>
    <row r="138" spans="1:19" s="917" customFormat="1" ht="55.5" customHeight="1">
      <c r="A138" s="831"/>
      <c r="B138" s="830" t="s">
        <v>269</v>
      </c>
      <c r="C138" s="382"/>
      <c r="D138" s="382"/>
      <c r="E138" s="382"/>
      <c r="F138" s="382"/>
      <c r="G138" s="837"/>
      <c r="H138" s="382"/>
      <c r="I138" s="382"/>
      <c r="J138" s="382"/>
      <c r="K138" s="382"/>
      <c r="L138" s="382"/>
      <c r="M138" s="382"/>
      <c r="N138" s="382"/>
      <c r="O138" s="382"/>
      <c r="P138" s="835"/>
      <c r="Q138" s="835"/>
      <c r="R138" s="367"/>
      <c r="S138" s="367"/>
    </row>
    <row r="139" spans="1:19" s="917" customFormat="1" ht="25.5" customHeight="1">
      <c r="A139" s="831"/>
      <c r="B139" s="868" t="s">
        <v>451</v>
      </c>
      <c r="C139" s="382" t="s">
        <v>281</v>
      </c>
      <c r="D139" s="831" t="s">
        <v>881</v>
      </c>
      <c r="E139" s="383" t="e">
        <f>E143+E170+E172</f>
        <v>#VALUE!</v>
      </c>
      <c r="F139" s="383">
        <f t="shared" ref="F139:O139" si="17">F143+F170+F172</f>
        <v>0</v>
      </c>
      <c r="G139" s="383">
        <f t="shared" si="17"/>
        <v>0</v>
      </c>
      <c r="H139" s="383">
        <f t="shared" si="17"/>
        <v>11608.608307692308</v>
      </c>
      <c r="I139" s="383">
        <f t="shared" si="17"/>
        <v>26923.86</v>
      </c>
      <c r="J139" s="383">
        <f t="shared" si="17"/>
        <v>6568.0400000000009</v>
      </c>
      <c r="K139" s="383">
        <f t="shared" si="17"/>
        <v>12958.806</v>
      </c>
      <c r="L139" s="383" t="e">
        <f t="shared" si="17"/>
        <v>#VALUE!</v>
      </c>
      <c r="M139" s="383" t="e">
        <f t="shared" si="17"/>
        <v>#VALUE!</v>
      </c>
      <c r="N139" s="383" t="e">
        <f t="shared" si="17"/>
        <v>#VALUE!</v>
      </c>
      <c r="O139" s="383">
        <f t="shared" si="17"/>
        <v>25828.071153846151</v>
      </c>
      <c r="P139" s="835"/>
      <c r="Q139" s="835"/>
      <c r="R139" s="367"/>
      <c r="S139" s="367"/>
    </row>
    <row r="140" spans="1:19" s="917" customFormat="1" ht="25.5" customHeight="1">
      <c r="A140" s="831"/>
      <c r="B140" s="868" t="s">
        <v>452</v>
      </c>
      <c r="C140" s="382" t="s">
        <v>281</v>
      </c>
      <c r="D140" s="831" t="s">
        <v>881</v>
      </c>
      <c r="E140" s="383" t="e">
        <f>E144+E170+E172</f>
        <v>#VALUE!</v>
      </c>
      <c r="F140" s="383">
        <f t="shared" ref="F140:O140" si="18">F144+F170+F172</f>
        <v>0</v>
      </c>
      <c r="G140" s="383">
        <f t="shared" si="18"/>
        <v>0</v>
      </c>
      <c r="H140" s="383">
        <f t="shared" si="18"/>
        <v>11608.608307692308</v>
      </c>
      <c r="I140" s="383">
        <f t="shared" si="18"/>
        <v>26923.86</v>
      </c>
      <c r="J140" s="383">
        <f t="shared" si="18"/>
        <v>6568.0400000000009</v>
      </c>
      <c r="K140" s="383">
        <f t="shared" si="18"/>
        <v>12958.806</v>
      </c>
      <c r="L140" s="383" t="e">
        <f t="shared" si="18"/>
        <v>#VALUE!</v>
      </c>
      <c r="M140" s="383" t="e">
        <f t="shared" si="18"/>
        <v>#VALUE!</v>
      </c>
      <c r="N140" s="383" t="e">
        <f t="shared" si="18"/>
        <v>#VALUE!</v>
      </c>
      <c r="O140" s="383">
        <f t="shared" si="18"/>
        <v>25520.667307692303</v>
      </c>
      <c r="P140" s="835"/>
      <c r="Q140" s="835"/>
      <c r="R140" s="367"/>
      <c r="S140" s="367"/>
    </row>
    <row r="141" spans="1:19" s="917" customFormat="1" ht="19.5" customHeight="1">
      <c r="A141" s="831"/>
      <c r="B141" s="888"/>
      <c r="C141" s="382"/>
      <c r="D141" s="382"/>
      <c r="E141" s="382"/>
      <c r="F141" s="382"/>
      <c r="G141" s="837"/>
      <c r="H141" s="382"/>
      <c r="I141" s="382"/>
      <c r="J141" s="382"/>
      <c r="K141" s="382"/>
      <c r="L141" s="382"/>
      <c r="M141" s="382"/>
      <c r="N141" s="382"/>
      <c r="O141" s="382"/>
      <c r="P141" s="890">
        <f>'He so chung'!D$22</f>
        <v>5346.1538461538457</v>
      </c>
      <c r="Q141" s="890">
        <f>'He so chung'!D$23</f>
        <v>801.92307692307691</v>
      </c>
      <c r="R141" s="891"/>
      <c r="S141" s="367"/>
    </row>
    <row r="142" spans="1:19" s="917" customFormat="1" ht="25.5" customHeight="1">
      <c r="A142" s="831" t="s">
        <v>179</v>
      </c>
      <c r="B142" s="888" t="s">
        <v>765</v>
      </c>
      <c r="C142" s="382"/>
      <c r="D142" s="382"/>
      <c r="E142" s="382"/>
      <c r="F142" s="382"/>
      <c r="G142" s="837"/>
      <c r="H142" s="382"/>
      <c r="I142" s="382"/>
      <c r="J142" s="382"/>
      <c r="K142" s="382"/>
      <c r="L142" s="382"/>
      <c r="M142" s="382"/>
      <c r="N142" s="382"/>
      <c r="O142" s="382"/>
      <c r="P142" s="890"/>
      <c r="Q142" s="890"/>
      <c r="R142" s="891"/>
      <c r="S142" s="367"/>
    </row>
    <row r="143" spans="1:19" s="917" customFormat="1" ht="34.15" customHeight="1">
      <c r="A143" s="869" t="s">
        <v>665</v>
      </c>
      <c r="B143" s="868" t="s">
        <v>451</v>
      </c>
      <c r="C143" s="382" t="s">
        <v>281</v>
      </c>
      <c r="D143" s="901" t="s">
        <v>881</v>
      </c>
      <c r="E143" s="920" t="e">
        <f>E146+E148+E149+E150+E151+E153+E155+E156+E158+E160+E161+E162+E163+E166+E167+E168+E169</f>
        <v>#VALUE!</v>
      </c>
      <c r="F143" s="389"/>
      <c r="G143" s="391"/>
      <c r="H143" s="389">
        <f>'Dcu-DKDD'!$J$338</f>
        <v>10841.787653846153</v>
      </c>
      <c r="I143" s="389">
        <f>'VL-DKDD'!$H$342</f>
        <v>25312.5</v>
      </c>
      <c r="J143" s="389">
        <f>'TB-DKDD'!$K$194</f>
        <v>6503.02</v>
      </c>
      <c r="K143" s="389">
        <f>'NL-DKDD'!$H$133</f>
        <v>12820.5</v>
      </c>
      <c r="L143" s="387" t="e">
        <f>SUM(E143:K143)</f>
        <v>#VALUE!</v>
      </c>
      <c r="M143" s="387" t="e">
        <f>L143*'He so chung'!$D$17/100</f>
        <v>#VALUE!</v>
      </c>
      <c r="N143" s="387" t="e">
        <f>L143+M143</f>
        <v>#VALUE!</v>
      </c>
      <c r="O143" s="920">
        <f>O146+O148+O149+O150+O151+O153+O155+O156+O158+O160+O161+O162+O163+O166+O167+O168+O169</f>
        <v>22754.03269230769</v>
      </c>
      <c r="P143" s="835"/>
      <c r="Q143" s="835"/>
      <c r="R143" s="367"/>
      <c r="S143" s="367"/>
    </row>
    <row r="144" spans="1:19" s="917" customFormat="1" ht="34.15" customHeight="1">
      <c r="A144" s="869" t="s">
        <v>666</v>
      </c>
      <c r="B144" s="868" t="s">
        <v>452</v>
      </c>
      <c r="C144" s="382" t="s">
        <v>281</v>
      </c>
      <c r="D144" s="901" t="s">
        <v>881</v>
      </c>
      <c r="E144" s="920" t="e">
        <f>E147+E148+E149+E150+E151+E153+E155+E156+E158+E160+E161+E162+E163+E166+E167+E168+E169</f>
        <v>#VALUE!</v>
      </c>
      <c r="F144" s="389"/>
      <c r="G144" s="391"/>
      <c r="H144" s="389">
        <f>'Dcu-DKDD'!$J$338</f>
        <v>10841.787653846153</v>
      </c>
      <c r="I144" s="389">
        <f>'VL-DKDD'!$H$342</f>
        <v>25312.5</v>
      </c>
      <c r="J144" s="389">
        <f>'TB-DKDD'!$K$194</f>
        <v>6503.02</v>
      </c>
      <c r="K144" s="389">
        <f>'NL-DKDD'!$H$133</f>
        <v>12820.5</v>
      </c>
      <c r="L144" s="387" t="e">
        <f>SUM(E144:K144)</f>
        <v>#VALUE!</v>
      </c>
      <c r="M144" s="387" t="e">
        <f>L144*'He so chung'!$D$17/100</f>
        <v>#VALUE!</v>
      </c>
      <c r="N144" s="387" t="e">
        <f>L144+M144</f>
        <v>#VALUE!</v>
      </c>
      <c r="O144" s="920">
        <f>O147+O148+O149+O150+O151+O153+O155+O156+O158+O160+O161+O162+O163+O166+O167+O168+O169</f>
        <v>22446.628846153842</v>
      </c>
      <c r="P144" s="835"/>
      <c r="Q144" s="835"/>
      <c r="R144" s="367"/>
      <c r="S144" s="367"/>
    </row>
    <row r="145" spans="1:19" s="917" customFormat="1" ht="30" customHeight="1">
      <c r="A145" s="832">
        <v>1</v>
      </c>
      <c r="B145" s="827" t="s">
        <v>4</v>
      </c>
      <c r="C145" s="389"/>
      <c r="D145" s="1013"/>
      <c r="E145" s="389"/>
      <c r="F145" s="389"/>
      <c r="G145" s="391"/>
      <c r="H145" s="389"/>
      <c r="I145" s="389"/>
      <c r="J145" s="389"/>
      <c r="K145" s="389"/>
      <c r="L145" s="389"/>
      <c r="M145" s="389"/>
      <c r="N145" s="389"/>
      <c r="O145" s="389">
        <f t="shared" ref="O145:O169" si="19">P145+Q145</f>
        <v>0</v>
      </c>
      <c r="P145" s="835"/>
      <c r="Q145" s="835"/>
      <c r="R145" s="367"/>
      <c r="S145" s="367"/>
    </row>
    <row r="146" spans="1:19" s="917" customFormat="1" ht="30" customHeight="1">
      <c r="A146" s="832" t="s">
        <v>891</v>
      </c>
      <c r="B146" s="827" t="s">
        <v>33</v>
      </c>
      <c r="C146" s="832" t="s">
        <v>281</v>
      </c>
      <c r="D146" s="901" t="s">
        <v>881</v>
      </c>
      <c r="E146" s="389" t="e">
        <f>NC_DKDD!H907</f>
        <v>#VALUE!</v>
      </c>
      <c r="F146" s="389"/>
      <c r="G146" s="391"/>
      <c r="H146" s="389"/>
      <c r="I146" s="389"/>
      <c r="J146" s="389"/>
      <c r="K146" s="389"/>
      <c r="L146" s="389"/>
      <c r="M146" s="389"/>
      <c r="N146" s="389"/>
      <c r="O146" s="389">
        <f t="shared" si="19"/>
        <v>1229.6153846153848</v>
      </c>
      <c r="P146" s="835">
        <f t="shared" ref="P146:P173" si="20">R146*P$10</f>
        <v>1069.2307692307693</v>
      </c>
      <c r="Q146" s="835">
        <f t="shared" ref="Q146:Q173" si="21">R146*Q$10</f>
        <v>160.38461538461539</v>
      </c>
      <c r="R146" s="1014">
        <f>NC_DKDD!G907</f>
        <v>0.2</v>
      </c>
      <c r="S146" s="367"/>
    </row>
    <row r="147" spans="1:19" s="917" customFormat="1" ht="30" customHeight="1">
      <c r="A147" s="832" t="s">
        <v>899</v>
      </c>
      <c r="B147" s="827" t="s">
        <v>36</v>
      </c>
      <c r="C147" s="832" t="s">
        <v>281</v>
      </c>
      <c r="D147" s="901" t="s">
        <v>881</v>
      </c>
      <c r="E147" s="389" t="e">
        <f>NC_DKDD!H908</f>
        <v>#VALUE!</v>
      </c>
      <c r="F147" s="389"/>
      <c r="G147" s="391"/>
      <c r="H147" s="389"/>
      <c r="I147" s="389"/>
      <c r="J147" s="389"/>
      <c r="K147" s="389"/>
      <c r="L147" s="389"/>
      <c r="M147" s="389"/>
      <c r="N147" s="389"/>
      <c r="O147" s="389">
        <f t="shared" si="19"/>
        <v>922.21153846153834</v>
      </c>
      <c r="P147" s="835">
        <f t="shared" si="20"/>
        <v>801.92307692307679</v>
      </c>
      <c r="Q147" s="835">
        <f t="shared" si="21"/>
        <v>120.28846153846153</v>
      </c>
      <c r="R147" s="1014">
        <f>NC_DKDD!G908</f>
        <v>0.15</v>
      </c>
      <c r="S147" s="367"/>
    </row>
    <row r="148" spans="1:19" s="917" customFormat="1" ht="46.5" customHeight="1">
      <c r="A148" s="832">
        <v>2</v>
      </c>
      <c r="B148" s="827" t="s">
        <v>953</v>
      </c>
      <c r="C148" s="832" t="s">
        <v>281</v>
      </c>
      <c r="D148" s="901" t="s">
        <v>881</v>
      </c>
      <c r="E148" s="389" t="e">
        <f>NC_DKDD!H909</f>
        <v>#VALUE!</v>
      </c>
      <c r="F148" s="389"/>
      <c r="G148" s="391"/>
      <c r="H148" s="389"/>
      <c r="I148" s="389"/>
      <c r="J148" s="389"/>
      <c r="K148" s="389"/>
      <c r="L148" s="389"/>
      <c r="M148" s="389"/>
      <c r="N148" s="389"/>
      <c r="O148" s="389">
        <f t="shared" si="19"/>
        <v>1537.0192307692307</v>
      </c>
      <c r="P148" s="835">
        <f t="shared" si="20"/>
        <v>1336.5384615384614</v>
      </c>
      <c r="Q148" s="835">
        <f t="shared" si="21"/>
        <v>200.48076923076923</v>
      </c>
      <c r="R148" s="1014">
        <f>NC_DKDD!G909</f>
        <v>0.25</v>
      </c>
      <c r="S148" s="367"/>
    </row>
    <row r="149" spans="1:19" s="917" customFormat="1" ht="39" customHeight="1">
      <c r="A149" s="832">
        <v>3</v>
      </c>
      <c r="B149" s="827" t="s">
        <v>38</v>
      </c>
      <c r="C149" s="832" t="s">
        <v>523</v>
      </c>
      <c r="D149" s="901" t="s">
        <v>881</v>
      </c>
      <c r="E149" s="389" t="e">
        <f>NC_DKDD!H910</f>
        <v>#VALUE!</v>
      </c>
      <c r="F149" s="389"/>
      <c r="G149" s="391"/>
      <c r="H149" s="389"/>
      <c r="I149" s="389"/>
      <c r="J149" s="389"/>
      <c r="K149" s="389"/>
      <c r="L149" s="389"/>
      <c r="M149" s="389"/>
      <c r="N149" s="389"/>
      <c r="O149" s="389">
        <f t="shared" si="19"/>
        <v>202.88653846153844</v>
      </c>
      <c r="P149" s="835">
        <f t="shared" si="20"/>
        <v>176.42307692307691</v>
      </c>
      <c r="Q149" s="835">
        <f t="shared" si="21"/>
        <v>26.463461538461541</v>
      </c>
      <c r="R149" s="1014">
        <f>NC_DKDD!G910</f>
        <v>3.3000000000000002E-2</v>
      </c>
      <c r="S149" s="367"/>
    </row>
    <row r="150" spans="1:19" s="917" customFormat="1" ht="78" customHeight="1">
      <c r="A150" s="832">
        <v>4</v>
      </c>
      <c r="B150" s="827" t="s">
        <v>481</v>
      </c>
      <c r="C150" s="832" t="s">
        <v>281</v>
      </c>
      <c r="D150" s="901" t="s">
        <v>881</v>
      </c>
      <c r="E150" s="389" t="e">
        <f>NC_DKDD!H911</f>
        <v>#VALUE!</v>
      </c>
      <c r="F150" s="389"/>
      <c r="G150" s="391"/>
      <c r="H150" s="389"/>
      <c r="I150" s="389"/>
      <c r="J150" s="389"/>
      <c r="K150" s="389"/>
      <c r="L150" s="389"/>
      <c r="M150" s="389"/>
      <c r="N150" s="389"/>
      <c r="O150" s="389">
        <f t="shared" si="19"/>
        <v>11066.538461538461</v>
      </c>
      <c r="P150" s="835">
        <f t="shared" si="20"/>
        <v>9623.076923076922</v>
      </c>
      <c r="Q150" s="835">
        <f t="shared" si="21"/>
        <v>1443.4615384615386</v>
      </c>
      <c r="R150" s="1014">
        <f>NC_DKDD!G911</f>
        <v>1.8</v>
      </c>
      <c r="S150" s="367"/>
    </row>
    <row r="151" spans="1:19" s="917" customFormat="1" ht="39" customHeight="1">
      <c r="A151" s="832">
        <v>5</v>
      </c>
      <c r="B151" s="827" t="s">
        <v>69</v>
      </c>
      <c r="C151" s="832" t="s">
        <v>523</v>
      </c>
      <c r="D151" s="901" t="s">
        <v>881</v>
      </c>
      <c r="E151" s="389" t="e">
        <f>NC_DKDD!H912</f>
        <v>#VALUE!</v>
      </c>
      <c r="F151" s="389"/>
      <c r="G151" s="391"/>
      <c r="H151" s="389"/>
      <c r="I151" s="389"/>
      <c r="J151" s="389"/>
      <c r="K151" s="389"/>
      <c r="L151" s="389"/>
      <c r="M151" s="389"/>
      <c r="N151" s="389"/>
      <c r="O151" s="389">
        <f t="shared" si="19"/>
        <v>36.888461538461534</v>
      </c>
      <c r="P151" s="835">
        <f t="shared" si="20"/>
        <v>32.076923076923073</v>
      </c>
      <c r="Q151" s="835">
        <f t="shared" si="21"/>
        <v>4.8115384615384613</v>
      </c>
      <c r="R151" s="1014">
        <f>NC_DKDD!G912</f>
        <v>6.0000000000000001E-3</v>
      </c>
      <c r="S151" s="367"/>
    </row>
    <row r="152" spans="1:19" s="917" customFormat="1" ht="51" customHeight="1">
      <c r="A152" s="832">
        <v>6</v>
      </c>
      <c r="B152" s="827" t="s">
        <v>483</v>
      </c>
      <c r="C152" s="832"/>
      <c r="D152" s="832"/>
      <c r="E152" s="389">
        <f>NC_DKDD!H913</f>
        <v>0</v>
      </c>
      <c r="F152" s="389"/>
      <c r="G152" s="391"/>
      <c r="H152" s="389"/>
      <c r="I152" s="389"/>
      <c r="J152" s="389"/>
      <c r="K152" s="389"/>
      <c r="L152" s="389"/>
      <c r="M152" s="389"/>
      <c r="N152" s="389"/>
      <c r="O152" s="389">
        <f t="shared" si="19"/>
        <v>0</v>
      </c>
      <c r="P152" s="835">
        <f t="shared" si="20"/>
        <v>0</v>
      </c>
      <c r="Q152" s="835">
        <f t="shared" si="21"/>
        <v>0</v>
      </c>
      <c r="R152" s="1014">
        <f>NC_DKDD!G913</f>
        <v>0</v>
      </c>
      <c r="S152" s="367"/>
    </row>
    <row r="153" spans="1:19" s="917" customFormat="1" ht="30" customHeight="1">
      <c r="A153" s="832" t="s">
        <v>444</v>
      </c>
      <c r="B153" s="827" t="s">
        <v>770</v>
      </c>
      <c r="C153" s="832" t="s">
        <v>281</v>
      </c>
      <c r="D153" s="901" t="s">
        <v>881</v>
      </c>
      <c r="E153" s="389" t="e">
        <f>NC_DKDD!H914</f>
        <v>#VALUE!</v>
      </c>
      <c r="F153" s="389"/>
      <c r="G153" s="391"/>
      <c r="H153" s="389"/>
      <c r="I153" s="389"/>
      <c r="J153" s="389"/>
      <c r="K153" s="389"/>
      <c r="L153" s="389"/>
      <c r="M153" s="389"/>
      <c r="N153" s="389"/>
      <c r="O153" s="389">
        <f t="shared" si="19"/>
        <v>0</v>
      </c>
      <c r="P153" s="835">
        <f t="shared" si="20"/>
        <v>0</v>
      </c>
      <c r="Q153" s="835">
        <f t="shared" si="21"/>
        <v>0</v>
      </c>
      <c r="R153" s="1014">
        <f>NC_DKDD!G914</f>
        <v>0</v>
      </c>
      <c r="S153" s="367"/>
    </row>
    <row r="154" spans="1:19" s="917" customFormat="1" ht="30" customHeight="1">
      <c r="A154" s="832" t="s">
        <v>445</v>
      </c>
      <c r="B154" s="827" t="s">
        <v>771</v>
      </c>
      <c r="C154" s="832" t="s">
        <v>281</v>
      </c>
      <c r="D154" s="901" t="s">
        <v>881</v>
      </c>
      <c r="E154" s="389" t="e">
        <f>NC_DKDD!H915</f>
        <v>#VALUE!</v>
      </c>
      <c r="F154" s="389"/>
      <c r="G154" s="391"/>
      <c r="H154" s="389"/>
      <c r="I154" s="389"/>
      <c r="J154" s="389"/>
      <c r="K154" s="389"/>
      <c r="L154" s="389"/>
      <c r="M154" s="389"/>
      <c r="N154" s="389"/>
      <c r="O154" s="389">
        <f t="shared" si="19"/>
        <v>0</v>
      </c>
      <c r="P154" s="835">
        <f t="shared" si="20"/>
        <v>0</v>
      </c>
      <c r="Q154" s="835">
        <f t="shared" si="21"/>
        <v>0</v>
      </c>
      <c r="R154" s="1014">
        <f>NC_DKDD!G915</f>
        <v>0</v>
      </c>
      <c r="S154" s="367"/>
    </row>
    <row r="155" spans="1:19" s="917" customFormat="1" ht="34.15" customHeight="1">
      <c r="A155" s="832">
        <v>7</v>
      </c>
      <c r="B155" s="827" t="s">
        <v>554</v>
      </c>
      <c r="C155" s="832" t="s">
        <v>281</v>
      </c>
      <c r="D155" s="901" t="s">
        <v>881</v>
      </c>
      <c r="E155" s="389" t="e">
        <f>NC_DKDD!H916</f>
        <v>#VALUE!</v>
      </c>
      <c r="F155" s="389"/>
      <c r="G155" s="391"/>
      <c r="H155" s="389"/>
      <c r="I155" s="389"/>
      <c r="J155" s="389"/>
      <c r="K155" s="389"/>
      <c r="L155" s="389"/>
      <c r="M155" s="389"/>
      <c r="N155" s="389"/>
      <c r="O155" s="389">
        <f t="shared" si="19"/>
        <v>1229.6153846153848</v>
      </c>
      <c r="P155" s="835">
        <f t="shared" si="20"/>
        <v>1069.2307692307693</v>
      </c>
      <c r="Q155" s="835">
        <f t="shared" si="21"/>
        <v>160.38461538461539</v>
      </c>
      <c r="R155" s="1014">
        <f>NC_DKDD!G916</f>
        <v>0.2</v>
      </c>
      <c r="S155" s="367"/>
    </row>
    <row r="156" spans="1:19" s="917" customFormat="1" ht="34.15" customHeight="1">
      <c r="A156" s="832">
        <v>8</v>
      </c>
      <c r="B156" s="827" t="s">
        <v>211</v>
      </c>
      <c r="C156" s="832" t="s">
        <v>523</v>
      </c>
      <c r="D156" s="901" t="s">
        <v>881</v>
      </c>
      <c r="E156" s="389" t="e">
        <f>NC_DKDD!H917</f>
        <v>#VALUE!</v>
      </c>
      <c r="F156" s="389"/>
      <c r="G156" s="391"/>
      <c r="H156" s="389"/>
      <c r="I156" s="389"/>
      <c r="J156" s="389"/>
      <c r="K156" s="389"/>
      <c r="L156" s="389"/>
      <c r="M156" s="389"/>
      <c r="N156" s="389"/>
      <c r="O156" s="389">
        <f t="shared" si="19"/>
        <v>1051.3211538461539</v>
      </c>
      <c r="P156" s="835">
        <f t="shared" si="20"/>
        <v>914.19230769230774</v>
      </c>
      <c r="Q156" s="835">
        <f t="shared" si="21"/>
        <v>137.12884615384615</v>
      </c>
      <c r="R156" s="1014">
        <f>NC_DKDD!G917</f>
        <v>0.17100000000000001</v>
      </c>
      <c r="S156" s="367"/>
    </row>
    <row r="157" spans="1:19" s="917" customFormat="1" ht="34.15" customHeight="1">
      <c r="A157" s="832">
        <v>9</v>
      </c>
      <c r="B157" s="827" t="s">
        <v>213</v>
      </c>
      <c r="C157" s="832"/>
      <c r="D157" s="832"/>
      <c r="E157" s="389">
        <f>NC_DKDD!H918</f>
        <v>0</v>
      </c>
      <c r="F157" s="389"/>
      <c r="G157" s="391"/>
      <c r="H157" s="389"/>
      <c r="I157" s="389"/>
      <c r="J157" s="389"/>
      <c r="K157" s="389"/>
      <c r="L157" s="389"/>
      <c r="M157" s="389"/>
      <c r="N157" s="389"/>
      <c r="O157" s="389">
        <f t="shared" si="19"/>
        <v>0</v>
      </c>
      <c r="P157" s="835">
        <f t="shared" si="20"/>
        <v>0</v>
      </c>
      <c r="Q157" s="835">
        <f t="shared" si="21"/>
        <v>0</v>
      </c>
      <c r="R157" s="1014">
        <f>NC_DKDD!G918</f>
        <v>0</v>
      </c>
      <c r="S157" s="367"/>
    </row>
    <row r="158" spans="1:19" s="917" customFormat="1" ht="34.15" customHeight="1">
      <c r="A158" s="832" t="s">
        <v>446</v>
      </c>
      <c r="B158" s="827" t="s">
        <v>215</v>
      </c>
      <c r="C158" s="832" t="s">
        <v>320</v>
      </c>
      <c r="D158" s="901" t="s">
        <v>881</v>
      </c>
      <c r="E158" s="389" t="e">
        <f>NC_DKDD!H919</f>
        <v>#VALUE!</v>
      </c>
      <c r="F158" s="389"/>
      <c r="G158" s="391"/>
      <c r="H158" s="389"/>
      <c r="I158" s="389"/>
      <c r="J158" s="389"/>
      <c r="K158" s="389"/>
      <c r="L158" s="389"/>
      <c r="M158" s="389"/>
      <c r="N158" s="389"/>
      <c r="O158" s="389">
        <f t="shared" si="19"/>
        <v>614.80769230769238</v>
      </c>
      <c r="P158" s="835">
        <f t="shared" si="20"/>
        <v>534.61538461538464</v>
      </c>
      <c r="Q158" s="835">
        <f t="shared" si="21"/>
        <v>80.192307692307693</v>
      </c>
      <c r="R158" s="1014">
        <f>NC_DKDD!G919</f>
        <v>0.1</v>
      </c>
      <c r="S158" s="367"/>
    </row>
    <row r="159" spans="1:19" s="917" customFormat="1" ht="34.15" customHeight="1">
      <c r="A159" s="832" t="s">
        <v>447</v>
      </c>
      <c r="B159" s="827" t="s">
        <v>217</v>
      </c>
      <c r="C159" s="832" t="s">
        <v>320</v>
      </c>
      <c r="D159" s="901" t="s">
        <v>881</v>
      </c>
      <c r="E159" s="389" t="e">
        <f>NC_DKDD!H920</f>
        <v>#VALUE!</v>
      </c>
      <c r="F159" s="389"/>
      <c r="G159" s="391"/>
      <c r="H159" s="389"/>
      <c r="I159" s="389"/>
      <c r="J159" s="389"/>
      <c r="K159" s="389"/>
      <c r="L159" s="389"/>
      <c r="M159" s="389"/>
      <c r="N159" s="389"/>
      <c r="O159" s="389">
        <f t="shared" si="19"/>
        <v>1229.6153846153848</v>
      </c>
      <c r="P159" s="835">
        <f t="shared" si="20"/>
        <v>1069.2307692307693</v>
      </c>
      <c r="Q159" s="835">
        <f t="shared" si="21"/>
        <v>160.38461538461539</v>
      </c>
      <c r="R159" s="1014">
        <f>NC_DKDD!G920</f>
        <v>0.2</v>
      </c>
      <c r="S159" s="367"/>
    </row>
    <row r="160" spans="1:19" s="917" customFormat="1" ht="34.15" customHeight="1">
      <c r="A160" s="832" t="s">
        <v>555</v>
      </c>
      <c r="B160" s="827" t="s">
        <v>556</v>
      </c>
      <c r="C160" s="832" t="s">
        <v>320</v>
      </c>
      <c r="D160" s="901" t="s">
        <v>881</v>
      </c>
      <c r="E160" s="389" t="e">
        <f>NC_DKDD!H921</f>
        <v>#VALUE!</v>
      </c>
      <c r="F160" s="389"/>
      <c r="G160" s="391"/>
      <c r="H160" s="389"/>
      <c r="I160" s="389"/>
      <c r="J160" s="389"/>
      <c r="K160" s="389"/>
      <c r="L160" s="389"/>
      <c r="M160" s="389"/>
      <c r="N160" s="389"/>
      <c r="O160" s="389">
        <f t="shared" si="19"/>
        <v>614.80769230769238</v>
      </c>
      <c r="P160" s="835">
        <f t="shared" si="20"/>
        <v>534.61538461538464</v>
      </c>
      <c r="Q160" s="835">
        <f t="shared" si="21"/>
        <v>80.192307692307693</v>
      </c>
      <c r="R160" s="1014">
        <f>NC_DKDD!G921</f>
        <v>0.1</v>
      </c>
      <c r="S160" s="367"/>
    </row>
    <row r="161" spans="1:19" s="917" customFormat="1" ht="34.15" customHeight="1">
      <c r="A161" s="832">
        <v>10</v>
      </c>
      <c r="B161" s="827" t="s">
        <v>557</v>
      </c>
      <c r="C161" s="832" t="s">
        <v>281</v>
      </c>
      <c r="D161" s="901" t="s">
        <v>881</v>
      </c>
      <c r="E161" s="389" t="e">
        <f>NC_DKDD!H922</f>
        <v>#VALUE!</v>
      </c>
      <c r="F161" s="389"/>
      <c r="G161" s="391"/>
      <c r="H161" s="389"/>
      <c r="I161" s="389"/>
      <c r="J161" s="389"/>
      <c r="K161" s="389"/>
      <c r="L161" s="389"/>
      <c r="M161" s="389"/>
      <c r="N161" s="389"/>
      <c r="O161" s="389">
        <f t="shared" si="19"/>
        <v>2459.2307692307695</v>
      </c>
      <c r="P161" s="835">
        <f t="shared" si="20"/>
        <v>2138.4615384615386</v>
      </c>
      <c r="Q161" s="835">
        <f t="shared" si="21"/>
        <v>320.76923076923077</v>
      </c>
      <c r="R161" s="1014">
        <f>NC_DKDD!G922</f>
        <v>0.4</v>
      </c>
      <c r="S161" s="367"/>
    </row>
    <row r="162" spans="1:19" s="917" customFormat="1" ht="62.25" customHeight="1">
      <c r="A162" s="832">
        <v>11</v>
      </c>
      <c r="B162" s="827" t="s">
        <v>1</v>
      </c>
      <c r="C162" s="832" t="s">
        <v>281</v>
      </c>
      <c r="D162" s="901" t="s">
        <v>881</v>
      </c>
      <c r="E162" s="389" t="e">
        <f>NC_DKDD!H923</f>
        <v>#VALUE!</v>
      </c>
      <c r="F162" s="389"/>
      <c r="G162" s="391"/>
      <c r="H162" s="389"/>
      <c r="I162" s="389"/>
      <c r="J162" s="389"/>
      <c r="K162" s="389"/>
      <c r="L162" s="389"/>
      <c r="M162" s="389"/>
      <c r="N162" s="389"/>
      <c r="O162" s="389">
        <f t="shared" si="19"/>
        <v>2274.7884615384614</v>
      </c>
      <c r="P162" s="835">
        <f t="shared" si="20"/>
        <v>1978.0769230769229</v>
      </c>
      <c r="Q162" s="835">
        <f t="shared" si="21"/>
        <v>296.71153846153845</v>
      </c>
      <c r="R162" s="1014">
        <f>NC_DKDD!G923</f>
        <v>0.37</v>
      </c>
      <c r="S162" s="367"/>
    </row>
    <row r="163" spans="1:19" s="917" customFormat="1" ht="28.5" customHeight="1">
      <c r="A163" s="832">
        <v>12</v>
      </c>
      <c r="B163" s="827" t="s">
        <v>220</v>
      </c>
      <c r="C163" s="832" t="s">
        <v>523</v>
      </c>
      <c r="D163" s="901" t="s">
        <v>881</v>
      </c>
      <c r="E163" s="389" t="e">
        <f>NC_DKDD!H924</f>
        <v>#VALUE!</v>
      </c>
      <c r="F163" s="389"/>
      <c r="G163" s="391"/>
      <c r="H163" s="389"/>
      <c r="I163" s="389"/>
      <c r="J163" s="389"/>
      <c r="K163" s="389"/>
      <c r="L163" s="389"/>
      <c r="M163" s="389"/>
      <c r="N163" s="389"/>
      <c r="O163" s="389">
        <f t="shared" si="19"/>
        <v>202.88653846153844</v>
      </c>
      <c r="P163" s="835">
        <f t="shared" si="20"/>
        <v>176.42307692307691</v>
      </c>
      <c r="Q163" s="835">
        <f t="shared" si="21"/>
        <v>26.463461538461541</v>
      </c>
      <c r="R163" s="1014">
        <f>NC_DKDD!G924</f>
        <v>3.3000000000000002E-2</v>
      </c>
      <c r="S163" s="367"/>
    </row>
    <row r="164" spans="1:19" s="917" customFormat="1" ht="28.5" customHeight="1">
      <c r="A164" s="832">
        <v>13</v>
      </c>
      <c r="B164" s="827" t="s">
        <v>221</v>
      </c>
      <c r="C164" s="832"/>
      <c r="D164" s="832"/>
      <c r="E164" s="389">
        <f>NC_DKDD!H925</f>
        <v>0</v>
      </c>
      <c r="F164" s="389"/>
      <c r="G164" s="391"/>
      <c r="H164" s="389"/>
      <c r="I164" s="389"/>
      <c r="J164" s="389"/>
      <c r="K164" s="389"/>
      <c r="L164" s="389"/>
      <c r="M164" s="389"/>
      <c r="N164" s="389"/>
      <c r="O164" s="389">
        <f t="shared" si="19"/>
        <v>0</v>
      </c>
      <c r="P164" s="835">
        <f t="shared" si="20"/>
        <v>0</v>
      </c>
      <c r="Q164" s="835">
        <f t="shared" si="21"/>
        <v>0</v>
      </c>
      <c r="R164" s="1014">
        <f>NC_DKDD!G925</f>
        <v>0</v>
      </c>
      <c r="S164" s="367"/>
    </row>
    <row r="165" spans="1:19" s="917" customFormat="1" ht="34.15" customHeight="1">
      <c r="A165" s="832" t="s">
        <v>237</v>
      </c>
      <c r="B165" s="827" t="s">
        <v>931</v>
      </c>
      <c r="C165" s="832"/>
      <c r="D165" s="832"/>
      <c r="E165" s="389">
        <f>NC_DKDD!H926</f>
        <v>0</v>
      </c>
      <c r="F165" s="389"/>
      <c r="G165" s="391"/>
      <c r="H165" s="389"/>
      <c r="I165" s="389"/>
      <c r="J165" s="389"/>
      <c r="K165" s="389"/>
      <c r="L165" s="389"/>
      <c r="M165" s="389"/>
      <c r="N165" s="389"/>
      <c r="O165" s="389">
        <f t="shared" si="19"/>
        <v>0</v>
      </c>
      <c r="P165" s="835">
        <f t="shared" si="20"/>
        <v>0</v>
      </c>
      <c r="Q165" s="835">
        <f t="shared" si="21"/>
        <v>0</v>
      </c>
      <c r="R165" s="1014">
        <f>NC_DKDD!G926</f>
        <v>0</v>
      </c>
      <c r="S165" s="367"/>
    </row>
    <row r="166" spans="1:19" s="917" customFormat="1" ht="29.25" customHeight="1">
      <c r="A166" s="832" t="s">
        <v>238</v>
      </c>
      <c r="B166" s="827" t="s">
        <v>933</v>
      </c>
      <c r="C166" s="832" t="s">
        <v>525</v>
      </c>
      <c r="D166" s="901" t="s">
        <v>881</v>
      </c>
      <c r="E166" s="389" t="e">
        <f>NC_DKDD!H927</f>
        <v>#VALUE!</v>
      </c>
      <c r="F166" s="389"/>
      <c r="G166" s="391"/>
      <c r="H166" s="389"/>
      <c r="I166" s="389"/>
      <c r="J166" s="389"/>
      <c r="K166" s="389"/>
      <c r="L166" s="389"/>
      <c r="M166" s="389"/>
      <c r="N166" s="389"/>
      <c r="O166" s="389">
        <f t="shared" si="19"/>
        <v>98.369230769230768</v>
      </c>
      <c r="P166" s="835">
        <f t="shared" si="20"/>
        <v>85.538461538461533</v>
      </c>
      <c r="Q166" s="835">
        <f t="shared" si="21"/>
        <v>12.830769230769231</v>
      </c>
      <c r="R166" s="1014">
        <f>NC_DKDD!G927</f>
        <v>1.6E-2</v>
      </c>
      <c r="S166" s="367"/>
    </row>
    <row r="167" spans="1:19" s="917" customFormat="1" ht="29.25" customHeight="1">
      <c r="A167" s="832" t="s">
        <v>239</v>
      </c>
      <c r="B167" s="827" t="s">
        <v>937</v>
      </c>
      <c r="C167" s="832" t="s">
        <v>525</v>
      </c>
      <c r="D167" s="901" t="s">
        <v>881</v>
      </c>
      <c r="E167" s="389" t="e">
        <f>NC_DKDD!H928</f>
        <v>#VALUE!</v>
      </c>
      <c r="F167" s="389"/>
      <c r="G167" s="391"/>
      <c r="H167" s="389"/>
      <c r="I167" s="389"/>
      <c r="J167" s="389"/>
      <c r="K167" s="389"/>
      <c r="L167" s="389"/>
      <c r="M167" s="389"/>
      <c r="N167" s="389"/>
      <c r="O167" s="389">
        <f t="shared" si="19"/>
        <v>49.184615384615384</v>
      </c>
      <c r="P167" s="835">
        <f t="shared" si="20"/>
        <v>42.769230769230766</v>
      </c>
      <c r="Q167" s="835">
        <f t="shared" si="21"/>
        <v>6.4153846153846157</v>
      </c>
      <c r="R167" s="1014">
        <f>NC_DKDD!G928</f>
        <v>8.0000000000000002E-3</v>
      </c>
      <c r="S167" s="367"/>
    </row>
    <row r="168" spans="1:19" s="917" customFormat="1" ht="34.15" customHeight="1">
      <c r="A168" s="832" t="s">
        <v>240</v>
      </c>
      <c r="B168" s="827" t="s">
        <v>48</v>
      </c>
      <c r="C168" s="832" t="s">
        <v>525</v>
      </c>
      <c r="D168" s="901" t="s">
        <v>881</v>
      </c>
      <c r="E168" s="389" t="e">
        <f>NC_DKDD!H929</f>
        <v>#VALUE!</v>
      </c>
      <c r="F168" s="389"/>
      <c r="G168" s="391"/>
      <c r="H168" s="389"/>
      <c r="I168" s="389"/>
      <c r="J168" s="389"/>
      <c r="K168" s="389"/>
      <c r="L168" s="389"/>
      <c r="M168" s="389"/>
      <c r="N168" s="389"/>
      <c r="O168" s="389">
        <f t="shared" si="19"/>
        <v>24.592307692307692</v>
      </c>
      <c r="P168" s="835">
        <f t="shared" si="20"/>
        <v>21.384615384615383</v>
      </c>
      <c r="Q168" s="835">
        <f t="shared" si="21"/>
        <v>3.2076923076923078</v>
      </c>
      <c r="R168" s="1014">
        <f>NC_DKDD!G929</f>
        <v>4.0000000000000001E-3</v>
      </c>
      <c r="S168" s="367"/>
    </row>
    <row r="169" spans="1:19" s="917" customFormat="1" ht="34.15" customHeight="1">
      <c r="A169" s="832" t="s">
        <v>241</v>
      </c>
      <c r="B169" s="827" t="s">
        <v>50</v>
      </c>
      <c r="C169" s="832" t="s">
        <v>523</v>
      </c>
      <c r="D169" s="901" t="s">
        <v>881</v>
      </c>
      <c r="E169" s="389" t="e">
        <f>NC_DKDD!H930</f>
        <v>#VALUE!</v>
      </c>
      <c r="F169" s="389"/>
      <c r="G169" s="391"/>
      <c r="H169" s="389"/>
      <c r="I169" s="389"/>
      <c r="J169" s="389"/>
      <c r="K169" s="389"/>
      <c r="L169" s="389"/>
      <c r="M169" s="389"/>
      <c r="N169" s="389"/>
      <c r="O169" s="389">
        <f t="shared" si="19"/>
        <v>61.480769230769226</v>
      </c>
      <c r="P169" s="835">
        <f t="shared" si="20"/>
        <v>53.46153846153846</v>
      </c>
      <c r="Q169" s="835">
        <f t="shared" si="21"/>
        <v>8.0192307692307701</v>
      </c>
      <c r="R169" s="1014">
        <f>NC_DKDD!G930</f>
        <v>0.01</v>
      </c>
      <c r="S169" s="367"/>
    </row>
    <row r="170" spans="1:19" s="917" customFormat="1" ht="24.75" customHeight="1">
      <c r="A170" s="869" t="s">
        <v>184</v>
      </c>
      <c r="B170" s="868" t="s">
        <v>526</v>
      </c>
      <c r="C170" s="832"/>
      <c r="D170" s="832"/>
      <c r="E170" s="920" t="e">
        <f>E171</f>
        <v>#VALUE!</v>
      </c>
      <c r="F170" s="389"/>
      <c r="G170" s="391"/>
      <c r="H170" s="389">
        <f>'Dcu-DKDD'!$L$338</f>
        <v>0</v>
      </c>
      <c r="I170" s="389">
        <f>'VL-DKDD'!$J$342</f>
        <v>0</v>
      </c>
      <c r="J170" s="389">
        <f>'TB-DKDD'!$M$194</f>
        <v>0</v>
      </c>
      <c r="K170" s="389"/>
      <c r="L170" s="387" t="e">
        <f>SUM(E170:K170)</f>
        <v>#VALUE!</v>
      </c>
      <c r="M170" s="387" t="e">
        <f>L170*'He so chung'!$D$17/100</f>
        <v>#VALUE!</v>
      </c>
      <c r="N170" s="387" t="e">
        <f>L170+M170</f>
        <v>#VALUE!</v>
      </c>
      <c r="O170" s="920">
        <f>O171</f>
        <v>2459.2307692307695</v>
      </c>
      <c r="P170" s="835">
        <f t="shared" si="20"/>
        <v>2138.4615384615386</v>
      </c>
      <c r="Q170" s="835">
        <f t="shared" si="21"/>
        <v>320.76923076923077</v>
      </c>
      <c r="R170" s="1014">
        <f>R171</f>
        <v>0.4</v>
      </c>
      <c r="S170" s="367"/>
    </row>
    <row r="171" spans="1:19" s="917" customFormat="1" ht="34.15" customHeight="1">
      <c r="A171" s="832">
        <v>1</v>
      </c>
      <c r="B171" s="827" t="s">
        <v>2</v>
      </c>
      <c r="C171" s="832" t="s">
        <v>281</v>
      </c>
      <c r="D171" s="901" t="s">
        <v>881</v>
      </c>
      <c r="E171" s="389" t="e">
        <f>NC_DKDD!H932</f>
        <v>#VALUE!</v>
      </c>
      <c r="F171" s="389"/>
      <c r="G171" s="391"/>
      <c r="H171" s="389"/>
      <c r="I171" s="389"/>
      <c r="J171" s="389"/>
      <c r="K171" s="389"/>
      <c r="L171" s="389"/>
      <c r="M171" s="389"/>
      <c r="N171" s="389"/>
      <c r="O171" s="389">
        <f>P171+Q171</f>
        <v>2459.2307692307695</v>
      </c>
      <c r="P171" s="835">
        <f t="shared" si="20"/>
        <v>2138.4615384615386</v>
      </c>
      <c r="Q171" s="835">
        <f t="shared" si="21"/>
        <v>320.76923076923077</v>
      </c>
      <c r="R171" s="1014">
        <f>NC_DKDD!G932</f>
        <v>0.4</v>
      </c>
      <c r="S171" s="367"/>
    </row>
    <row r="172" spans="1:19" s="917" customFormat="1" ht="34.15" customHeight="1">
      <c r="A172" s="869" t="s">
        <v>913</v>
      </c>
      <c r="B172" s="868" t="s">
        <v>88</v>
      </c>
      <c r="C172" s="832"/>
      <c r="D172" s="832"/>
      <c r="E172" s="920" t="e">
        <f>E173</f>
        <v>#VALUE!</v>
      </c>
      <c r="F172" s="389"/>
      <c r="G172" s="391"/>
      <c r="H172" s="389">
        <f>'Dcu-DKDD'!$H$338</f>
        <v>766.82065384615373</v>
      </c>
      <c r="I172" s="389">
        <f>'VL-DKDD'!$F$342</f>
        <v>1611.36</v>
      </c>
      <c r="J172" s="389">
        <f>'TB-DKDD'!$I$194</f>
        <v>65.02</v>
      </c>
      <c r="K172" s="389">
        <f>'NL-DKDD'!$F$133</f>
        <v>138.30599999999998</v>
      </c>
      <c r="L172" s="387" t="e">
        <f>SUM(E172:K172)</f>
        <v>#VALUE!</v>
      </c>
      <c r="M172" s="387" t="e">
        <f>L172*'He so chung'!$D$17/100</f>
        <v>#VALUE!</v>
      </c>
      <c r="N172" s="387" t="e">
        <f>L172+M172</f>
        <v>#VALUE!</v>
      </c>
      <c r="O172" s="920">
        <f>O173</f>
        <v>614.80769230769238</v>
      </c>
      <c r="P172" s="835">
        <f t="shared" si="20"/>
        <v>534.61538461538464</v>
      </c>
      <c r="Q172" s="835">
        <f t="shared" si="21"/>
        <v>80.192307692307693</v>
      </c>
      <c r="R172" s="1014">
        <f>R173</f>
        <v>0.1</v>
      </c>
      <c r="S172" s="367"/>
    </row>
    <row r="173" spans="1:19" s="917" customFormat="1" ht="34.15" customHeight="1">
      <c r="A173" s="832">
        <v>1</v>
      </c>
      <c r="B173" s="827" t="s">
        <v>3</v>
      </c>
      <c r="C173" s="832" t="s">
        <v>281</v>
      </c>
      <c r="D173" s="901" t="s">
        <v>881</v>
      </c>
      <c r="E173" s="389" t="e">
        <f>NC_DKDD!H934</f>
        <v>#VALUE!</v>
      </c>
      <c r="F173" s="389"/>
      <c r="G173" s="391"/>
      <c r="H173" s="389"/>
      <c r="I173" s="389"/>
      <c r="J173" s="389"/>
      <c r="K173" s="389"/>
      <c r="L173" s="389"/>
      <c r="M173" s="389"/>
      <c r="N173" s="389"/>
      <c r="O173" s="389">
        <f>P173+Q173</f>
        <v>614.80769230769238</v>
      </c>
      <c r="P173" s="835">
        <f t="shared" si="20"/>
        <v>534.61538461538464</v>
      </c>
      <c r="Q173" s="835">
        <f t="shared" si="21"/>
        <v>80.192307692307693</v>
      </c>
      <c r="R173" s="1014">
        <f>NC_DKDD!G934</f>
        <v>0.1</v>
      </c>
      <c r="S173" s="367"/>
    </row>
    <row r="174" spans="1:19" ht="34.15" customHeight="1">
      <c r="A174" s="358"/>
      <c r="B174" s="1129" t="s">
        <v>41</v>
      </c>
      <c r="C174" s="1129"/>
      <c r="D174" s="1129"/>
      <c r="E174" s="1129"/>
      <c r="F174" s="1129"/>
      <c r="G174" s="1129"/>
      <c r="H174" s="1129"/>
      <c r="I174" s="1129"/>
      <c r="J174" s="1129"/>
      <c r="K174" s="1129"/>
      <c r="L174" s="1129"/>
      <c r="M174" s="1129"/>
      <c r="N174" s="1129"/>
      <c r="O174" s="1129"/>
      <c r="P174" s="332"/>
      <c r="Q174" s="332"/>
      <c r="R174" s="1012"/>
    </row>
    <row r="175" spans="1:19" ht="16.5" customHeight="1">
      <c r="A175" s="826"/>
      <c r="B175" s="826"/>
      <c r="C175" s="826"/>
      <c r="D175" s="826"/>
      <c r="E175" s="826"/>
      <c r="F175" s="826"/>
      <c r="G175" s="826"/>
      <c r="H175" s="826"/>
      <c r="I175" s="826"/>
      <c r="J175" s="826"/>
      <c r="K175" s="826"/>
      <c r="L175" s="826"/>
      <c r="M175" s="826"/>
      <c r="N175" s="826"/>
      <c r="O175" s="826"/>
      <c r="R175" s="1012"/>
    </row>
    <row r="176" spans="1:19" ht="25.5" customHeight="1">
      <c r="A176" s="1151" t="s">
        <v>270</v>
      </c>
      <c r="B176" s="1151"/>
      <c r="C176" s="1151"/>
      <c r="D176" s="1151"/>
      <c r="E176" s="1151"/>
      <c r="F176" s="1151"/>
      <c r="G176" s="1151"/>
      <c r="H176" s="1151"/>
      <c r="I176" s="1151"/>
      <c r="J176" s="1151"/>
      <c r="K176" s="1151"/>
      <c r="L176" s="1151"/>
      <c r="M176" s="1151"/>
      <c r="N176" s="1151"/>
      <c r="O176" s="1151"/>
      <c r="R176" s="1012"/>
    </row>
    <row r="177" spans="1:19" ht="19.5" customHeight="1">
      <c r="A177" s="1113" t="s">
        <v>960</v>
      </c>
      <c r="B177" s="1113"/>
      <c r="C177" s="1113"/>
      <c r="D177" s="1113"/>
      <c r="E177" s="1113"/>
      <c r="F177" s="1113"/>
      <c r="G177" s="1113"/>
      <c r="H177" s="1113"/>
      <c r="I177" s="1113"/>
      <c r="J177" s="1113"/>
      <c r="K177" s="1113"/>
      <c r="L177" s="1113"/>
      <c r="M177" s="1113"/>
      <c r="N177" s="1113"/>
      <c r="O177" s="1113"/>
      <c r="P177" s="1113"/>
      <c r="R177" s="1012"/>
    </row>
    <row r="178" spans="1:19" s="345" customFormat="1" ht="19.5" customHeight="1">
      <c r="A178" s="337"/>
      <c r="B178" s="363"/>
      <c r="C178" s="338"/>
      <c r="D178" s="339" t="s">
        <v>576</v>
      </c>
      <c r="E178" s="340"/>
      <c r="F178" s="341"/>
      <c r="G178" s="342"/>
      <c r="H178" s="341"/>
      <c r="I178" s="343"/>
      <c r="J178" s="341"/>
      <c r="K178" s="341"/>
      <c r="L178" s="991" t="s">
        <v>980</v>
      </c>
      <c r="M178" s="341"/>
      <c r="N178" s="343"/>
      <c r="O178" s="340"/>
      <c r="P178" s="332"/>
      <c r="Q178" s="332"/>
      <c r="R178" s="332"/>
      <c r="S178" s="332"/>
    </row>
    <row r="179" spans="1:19" s="345" customFormat="1" ht="19.5" customHeight="1">
      <c r="A179" s="1112" t="s">
        <v>876</v>
      </c>
      <c r="B179" s="1112" t="s">
        <v>381</v>
      </c>
      <c r="C179" s="1124" t="s">
        <v>981</v>
      </c>
      <c r="D179" s="1124" t="s">
        <v>982</v>
      </c>
      <c r="E179" s="1124" t="s">
        <v>466</v>
      </c>
      <c r="F179" s="1124"/>
      <c r="G179" s="1124"/>
      <c r="H179" s="1124"/>
      <c r="I179" s="1124"/>
      <c r="J179" s="1124"/>
      <c r="K179" s="1124"/>
      <c r="L179" s="1124"/>
      <c r="M179" s="1124" t="s">
        <v>581</v>
      </c>
      <c r="N179" s="1124" t="s">
        <v>201</v>
      </c>
      <c r="O179" s="1124" t="s">
        <v>202</v>
      </c>
      <c r="P179" s="348"/>
      <c r="Q179" s="348"/>
      <c r="R179" s="332"/>
      <c r="S179" s="332"/>
    </row>
    <row r="180" spans="1:19" s="345" customFormat="1" ht="29.25" customHeight="1">
      <c r="A180" s="1112"/>
      <c r="B180" s="1112"/>
      <c r="C180" s="1124"/>
      <c r="D180" s="1124"/>
      <c r="E180" s="382" t="s">
        <v>469</v>
      </c>
      <c r="F180" s="382" t="s">
        <v>470</v>
      </c>
      <c r="G180" s="837" t="s">
        <v>1003</v>
      </c>
      <c r="H180" s="382" t="s">
        <v>59</v>
      </c>
      <c r="I180" s="382" t="s">
        <v>471</v>
      </c>
      <c r="J180" s="382" t="s">
        <v>280</v>
      </c>
      <c r="K180" s="382" t="s">
        <v>472</v>
      </c>
      <c r="L180" s="382" t="s">
        <v>473</v>
      </c>
      <c r="M180" s="1124"/>
      <c r="N180" s="1124"/>
      <c r="O180" s="1124"/>
      <c r="P180" s="348"/>
      <c r="Q180" s="348"/>
      <c r="R180" s="332"/>
      <c r="S180" s="332"/>
    </row>
    <row r="181" spans="1:19" s="345" customFormat="1" ht="54.75" customHeight="1">
      <c r="A181" s="831"/>
      <c r="B181" s="830" t="s">
        <v>271</v>
      </c>
      <c r="C181" s="382"/>
      <c r="D181" s="382"/>
      <c r="E181" s="382"/>
      <c r="F181" s="382"/>
      <c r="G181" s="837"/>
      <c r="H181" s="382"/>
      <c r="I181" s="382"/>
      <c r="J181" s="382"/>
      <c r="K181" s="382"/>
      <c r="L181" s="382"/>
      <c r="M181" s="382"/>
      <c r="N181" s="382"/>
      <c r="O181" s="382"/>
      <c r="P181" s="348"/>
      <c r="Q181" s="348"/>
      <c r="R181" s="332"/>
      <c r="S181" s="332"/>
    </row>
    <row r="182" spans="1:19" s="345" customFormat="1" ht="19.5" customHeight="1">
      <c r="A182" s="831"/>
      <c r="B182" s="868" t="s">
        <v>451</v>
      </c>
      <c r="C182" s="382" t="s">
        <v>281</v>
      </c>
      <c r="D182" s="831" t="s">
        <v>881</v>
      </c>
      <c r="E182" s="383" t="e">
        <f>E186+E213+E215</f>
        <v>#VALUE!</v>
      </c>
      <c r="F182" s="383">
        <f t="shared" ref="F182:O182" si="22">F186+F213+F215</f>
        <v>0</v>
      </c>
      <c r="G182" s="383">
        <f t="shared" si="22"/>
        <v>0</v>
      </c>
      <c r="H182" s="383">
        <f t="shared" si="22"/>
        <v>15091.070487500001</v>
      </c>
      <c r="I182" s="383">
        <f t="shared" si="22"/>
        <v>27022.14</v>
      </c>
      <c r="J182" s="383">
        <f t="shared" si="22"/>
        <v>8535.4360000000015</v>
      </c>
      <c r="K182" s="383">
        <f t="shared" si="22"/>
        <v>16824.225600000002</v>
      </c>
      <c r="L182" s="383" t="e">
        <f t="shared" si="22"/>
        <v>#VALUE!</v>
      </c>
      <c r="M182" s="383" t="e">
        <f t="shared" si="22"/>
        <v>#VALUE!</v>
      </c>
      <c r="N182" s="383" t="e">
        <f t="shared" si="22"/>
        <v>#VALUE!</v>
      </c>
      <c r="O182" s="383">
        <f t="shared" si="22"/>
        <v>32922.951923076922</v>
      </c>
      <c r="P182" s="348"/>
      <c r="Q182" s="348"/>
      <c r="R182" s="332"/>
      <c r="S182" s="332"/>
    </row>
    <row r="183" spans="1:19" s="345" customFormat="1" ht="19.5" customHeight="1">
      <c r="A183" s="831"/>
      <c r="B183" s="868" t="s">
        <v>452</v>
      </c>
      <c r="C183" s="382" t="s">
        <v>281</v>
      </c>
      <c r="D183" s="831" t="s">
        <v>881</v>
      </c>
      <c r="E183" s="383" t="e">
        <f>E187+E213+E215</f>
        <v>#VALUE!</v>
      </c>
      <c r="F183" s="383">
        <f t="shared" ref="F183:O183" si="23">F187+F213+F215</f>
        <v>0</v>
      </c>
      <c r="G183" s="383">
        <f t="shared" si="23"/>
        <v>0</v>
      </c>
      <c r="H183" s="383">
        <f t="shared" si="23"/>
        <v>15091.070487500001</v>
      </c>
      <c r="I183" s="383">
        <f t="shared" si="23"/>
        <v>27022.14</v>
      </c>
      <c r="J183" s="383">
        <f t="shared" si="23"/>
        <v>8535.4360000000015</v>
      </c>
      <c r="K183" s="383">
        <f t="shared" si="23"/>
        <v>16824.225600000002</v>
      </c>
      <c r="L183" s="383" t="e">
        <f t="shared" si="23"/>
        <v>#VALUE!</v>
      </c>
      <c r="M183" s="383" t="e">
        <f t="shared" si="23"/>
        <v>#VALUE!</v>
      </c>
      <c r="N183" s="383" t="e">
        <f t="shared" si="23"/>
        <v>#VALUE!</v>
      </c>
      <c r="O183" s="383">
        <f t="shared" si="23"/>
        <v>32523.326923076922</v>
      </c>
      <c r="P183" s="348"/>
      <c r="Q183" s="348"/>
      <c r="R183" s="332"/>
      <c r="S183" s="332"/>
    </row>
    <row r="184" spans="1:19" s="345" customFormat="1" ht="19.5" customHeight="1">
      <c r="A184" s="831"/>
      <c r="B184" s="888"/>
      <c r="C184" s="382"/>
      <c r="D184" s="382"/>
      <c r="E184" s="382"/>
      <c r="F184" s="382"/>
      <c r="G184" s="837"/>
      <c r="H184" s="382"/>
      <c r="I184" s="382"/>
      <c r="J184" s="382"/>
      <c r="K184" s="382"/>
      <c r="L184" s="382"/>
      <c r="M184" s="382"/>
      <c r="N184" s="382"/>
      <c r="O184" s="382"/>
      <c r="P184" s="351">
        <f>'He so chung'!D$22</f>
        <v>5346.1538461538457</v>
      </c>
      <c r="Q184" s="351">
        <f>'He so chung'!D$23</f>
        <v>801.92307692307691</v>
      </c>
      <c r="R184" s="352"/>
      <c r="S184" s="332"/>
    </row>
    <row r="185" spans="1:19" s="345" customFormat="1" ht="19.5" customHeight="1">
      <c r="A185" s="831" t="s">
        <v>179</v>
      </c>
      <c r="B185" s="888" t="s">
        <v>765</v>
      </c>
      <c r="C185" s="382"/>
      <c r="D185" s="382"/>
      <c r="E185" s="382"/>
      <c r="F185" s="382"/>
      <c r="G185" s="837"/>
      <c r="H185" s="382"/>
      <c r="I185" s="382"/>
      <c r="J185" s="382"/>
      <c r="K185" s="382"/>
      <c r="L185" s="382"/>
      <c r="M185" s="382"/>
      <c r="N185" s="382"/>
      <c r="O185" s="382"/>
      <c r="P185" s="351"/>
      <c r="Q185" s="351"/>
      <c r="R185" s="352"/>
      <c r="S185" s="332"/>
    </row>
    <row r="186" spans="1:19" s="345" customFormat="1" ht="19.5" customHeight="1">
      <c r="A186" s="869" t="s">
        <v>665</v>
      </c>
      <c r="B186" s="868" t="s">
        <v>451</v>
      </c>
      <c r="C186" s="382" t="s">
        <v>281</v>
      </c>
      <c r="D186" s="901" t="s">
        <v>881</v>
      </c>
      <c r="E186" s="919" t="e">
        <f>E189+E191+E192+E193+E194+E196+E198+E199+E201+E203+E204+E205+E206+E209+E210+E211+E212</f>
        <v>#VALUE!</v>
      </c>
      <c r="F186" s="898"/>
      <c r="G186" s="391"/>
      <c r="H186" s="898">
        <f>'Dcu-DKDD'!$J$309*1.3</f>
        <v>12721.271500000001</v>
      </c>
      <c r="I186" s="898">
        <f>'VL-DKDD'!$H$312</f>
        <v>23921.46</v>
      </c>
      <c r="J186" s="898">
        <f>'TB-DKDD'!$K$176*1.3</f>
        <v>8360.3520000000008</v>
      </c>
      <c r="K186" s="898">
        <f>'NL-DKDD'!$H$120*1.3</f>
        <v>16442.407800000001</v>
      </c>
      <c r="L186" s="893" t="e">
        <f>SUM(E186:K186)</f>
        <v>#VALUE!</v>
      </c>
      <c r="M186" s="893" t="e">
        <f>L186*'He so chung'!$D$17/100</f>
        <v>#VALUE!</v>
      </c>
      <c r="N186" s="893" t="e">
        <f>L186+M186</f>
        <v>#VALUE!</v>
      </c>
      <c r="O186" s="919">
        <f>O189+O191+O192+O193+O194+O196+O198+O199+O201+O203+O204+O205+O206+O209+O210+O211+O212</f>
        <v>28926.701923076922</v>
      </c>
      <c r="P186" s="348"/>
      <c r="Q186" s="348"/>
      <c r="R186" s="332"/>
      <c r="S186" s="332"/>
    </row>
    <row r="187" spans="1:19" s="345" customFormat="1" ht="19.5" customHeight="1">
      <c r="A187" s="869" t="s">
        <v>666</v>
      </c>
      <c r="B187" s="868" t="s">
        <v>452</v>
      </c>
      <c r="C187" s="382" t="s">
        <v>281</v>
      </c>
      <c r="D187" s="901" t="s">
        <v>881</v>
      </c>
      <c r="E187" s="919" t="e">
        <f>E190+E191+E192+E193+E194+E196+E198+E199+E201+E203+E204+E205+E206+E209+E210+E211+E212</f>
        <v>#VALUE!</v>
      </c>
      <c r="F187" s="898"/>
      <c r="G187" s="391"/>
      <c r="H187" s="898">
        <f>'Dcu-DKDD'!$J$309*1.3</f>
        <v>12721.271500000001</v>
      </c>
      <c r="I187" s="898">
        <f>'VL-DKDD'!$H$312</f>
        <v>23921.46</v>
      </c>
      <c r="J187" s="898">
        <f>'TB-DKDD'!$K$176*1.3</f>
        <v>8360.3520000000008</v>
      </c>
      <c r="K187" s="898">
        <f>'NL-DKDD'!$H$120*1.3</f>
        <v>16442.407800000001</v>
      </c>
      <c r="L187" s="893" t="e">
        <f>SUM(E187:K187)</f>
        <v>#VALUE!</v>
      </c>
      <c r="M187" s="893" t="e">
        <f>L187*'He so chung'!$D$17/100</f>
        <v>#VALUE!</v>
      </c>
      <c r="N187" s="893" t="e">
        <f>L187+M187</f>
        <v>#VALUE!</v>
      </c>
      <c r="O187" s="919">
        <f>O190+O191+O192+O193+O194+O196+O198+O199+O201+O203+O204+O205+O206+O209+O210+O211+O212</f>
        <v>28527.076923076922</v>
      </c>
      <c r="P187" s="348"/>
      <c r="Q187" s="348"/>
      <c r="R187" s="332"/>
      <c r="S187" s="332"/>
    </row>
    <row r="188" spans="1:19" s="345" customFormat="1" ht="29.25" customHeight="1">
      <c r="A188" s="832">
        <v>1</v>
      </c>
      <c r="B188" s="827" t="s">
        <v>4</v>
      </c>
      <c r="C188" s="898"/>
      <c r="D188" s="1010"/>
      <c r="E188" s="898"/>
      <c r="F188" s="898"/>
      <c r="G188" s="391"/>
      <c r="H188" s="898"/>
      <c r="I188" s="898"/>
      <c r="J188" s="898"/>
      <c r="K188" s="898"/>
      <c r="L188" s="898"/>
      <c r="M188" s="898"/>
      <c r="N188" s="898"/>
      <c r="O188" s="898">
        <f t="shared" ref="O188:O212" si="24">P188+Q188</f>
        <v>0</v>
      </c>
      <c r="P188" s="348"/>
      <c r="Q188" s="348"/>
      <c r="R188" s="332"/>
      <c r="S188" s="332"/>
    </row>
    <row r="189" spans="1:19" s="345" customFormat="1" ht="24.75" customHeight="1">
      <c r="A189" s="832" t="s">
        <v>891</v>
      </c>
      <c r="B189" s="827" t="s">
        <v>33</v>
      </c>
      <c r="C189" s="832" t="s">
        <v>281</v>
      </c>
      <c r="D189" s="901" t="s">
        <v>881</v>
      </c>
      <c r="E189" s="898" t="e">
        <f>NC_DKDD!H941</f>
        <v>#VALUE!</v>
      </c>
      <c r="F189" s="898"/>
      <c r="G189" s="391"/>
      <c r="H189" s="898"/>
      <c r="I189" s="898"/>
      <c r="J189" s="898"/>
      <c r="K189" s="898"/>
      <c r="L189" s="898"/>
      <c r="M189" s="898"/>
      <c r="N189" s="898"/>
      <c r="O189" s="898">
        <f t="shared" si="24"/>
        <v>1598.5</v>
      </c>
      <c r="P189" s="348">
        <f t="shared" ref="P189:P216" si="25">R189*P$10</f>
        <v>1390</v>
      </c>
      <c r="Q189" s="348">
        <f t="shared" ref="Q189:Q216" si="26">R189*Q$10</f>
        <v>208.5</v>
      </c>
      <c r="R189" s="902">
        <f>NC_DKDD!G941</f>
        <v>0.26</v>
      </c>
      <c r="S189" s="332"/>
    </row>
    <row r="190" spans="1:19" s="345" customFormat="1" ht="24.75" customHeight="1">
      <c r="A190" s="832" t="s">
        <v>899</v>
      </c>
      <c r="B190" s="827" t="s">
        <v>36</v>
      </c>
      <c r="C190" s="832" t="s">
        <v>281</v>
      </c>
      <c r="D190" s="901" t="s">
        <v>881</v>
      </c>
      <c r="E190" s="898" t="e">
        <f>NC_DKDD!H942</f>
        <v>#VALUE!</v>
      </c>
      <c r="F190" s="898"/>
      <c r="G190" s="391"/>
      <c r="H190" s="898"/>
      <c r="I190" s="898"/>
      <c r="J190" s="898"/>
      <c r="K190" s="898"/>
      <c r="L190" s="898"/>
      <c r="M190" s="898"/>
      <c r="N190" s="898"/>
      <c r="O190" s="898">
        <f t="shared" si="24"/>
        <v>1198.875</v>
      </c>
      <c r="P190" s="348">
        <f t="shared" si="25"/>
        <v>1042.5</v>
      </c>
      <c r="Q190" s="348">
        <f t="shared" si="26"/>
        <v>156.375</v>
      </c>
      <c r="R190" s="902">
        <f>NC_DKDD!G942</f>
        <v>0.19500000000000001</v>
      </c>
      <c r="S190" s="332"/>
    </row>
    <row r="191" spans="1:19" s="345" customFormat="1" ht="45.75" customHeight="1">
      <c r="A191" s="832">
        <v>2</v>
      </c>
      <c r="B191" s="827" t="s">
        <v>953</v>
      </c>
      <c r="C191" s="832" t="s">
        <v>281</v>
      </c>
      <c r="D191" s="901" t="s">
        <v>881</v>
      </c>
      <c r="E191" s="898" t="e">
        <f>NC_DKDD!H943</f>
        <v>#VALUE!</v>
      </c>
      <c r="F191" s="898"/>
      <c r="G191" s="391"/>
      <c r="H191" s="898"/>
      <c r="I191" s="898"/>
      <c r="J191" s="898"/>
      <c r="K191" s="898"/>
      <c r="L191" s="898"/>
      <c r="M191" s="898"/>
      <c r="N191" s="898"/>
      <c r="O191" s="898">
        <f t="shared" si="24"/>
        <v>1998.125</v>
      </c>
      <c r="P191" s="348">
        <f t="shared" si="25"/>
        <v>1737.5</v>
      </c>
      <c r="Q191" s="348">
        <f t="shared" si="26"/>
        <v>260.625</v>
      </c>
      <c r="R191" s="902">
        <f>NC_DKDD!G943</f>
        <v>0.32500000000000001</v>
      </c>
      <c r="S191" s="332"/>
    </row>
    <row r="192" spans="1:19" s="345" customFormat="1" ht="36" customHeight="1">
      <c r="A192" s="832">
        <v>3</v>
      </c>
      <c r="B192" s="827" t="s">
        <v>38</v>
      </c>
      <c r="C192" s="832" t="s">
        <v>523</v>
      </c>
      <c r="D192" s="901" t="s">
        <v>881</v>
      </c>
      <c r="E192" s="898" t="e">
        <f>NC_DKDD!H944</f>
        <v>#VALUE!</v>
      </c>
      <c r="F192" s="898"/>
      <c r="G192" s="391"/>
      <c r="H192" s="898"/>
      <c r="I192" s="898"/>
      <c r="J192" s="898"/>
      <c r="K192" s="898"/>
      <c r="L192" s="898"/>
      <c r="M192" s="898"/>
      <c r="N192" s="898"/>
      <c r="O192" s="898">
        <f t="shared" si="24"/>
        <v>1026.728846153846</v>
      </c>
      <c r="P192" s="348">
        <f t="shared" si="25"/>
        <v>892.80769230769226</v>
      </c>
      <c r="Q192" s="348">
        <f t="shared" si="26"/>
        <v>133.92115384615386</v>
      </c>
      <c r="R192" s="902">
        <f>NC_DKDD!G944</f>
        <v>0.16700000000000001</v>
      </c>
      <c r="S192" s="332"/>
    </row>
    <row r="193" spans="1:19" s="345" customFormat="1" ht="75" customHeight="1">
      <c r="A193" s="832">
        <v>4</v>
      </c>
      <c r="B193" s="827" t="s">
        <v>481</v>
      </c>
      <c r="C193" s="832" t="s">
        <v>281</v>
      </c>
      <c r="D193" s="901" t="s">
        <v>881</v>
      </c>
      <c r="E193" s="898" t="e">
        <f>NC_DKDD!H945</f>
        <v>#VALUE!</v>
      </c>
      <c r="F193" s="898"/>
      <c r="G193" s="391"/>
      <c r="H193" s="898"/>
      <c r="I193" s="898"/>
      <c r="J193" s="898"/>
      <c r="K193" s="898"/>
      <c r="L193" s="898"/>
      <c r="M193" s="898"/>
      <c r="N193" s="898"/>
      <c r="O193" s="898">
        <f t="shared" si="24"/>
        <v>13279.846153846152</v>
      </c>
      <c r="P193" s="348">
        <f t="shared" si="25"/>
        <v>11547.692307692307</v>
      </c>
      <c r="Q193" s="348">
        <f t="shared" si="26"/>
        <v>1732.1538461538462</v>
      </c>
      <c r="R193" s="902">
        <f>NC_DKDD!G945</f>
        <v>2.16</v>
      </c>
      <c r="S193" s="332"/>
    </row>
    <row r="194" spans="1:19" s="345" customFormat="1" ht="32.25" customHeight="1">
      <c r="A194" s="832">
        <v>5</v>
      </c>
      <c r="B194" s="827" t="s">
        <v>69</v>
      </c>
      <c r="C194" s="832" t="s">
        <v>523</v>
      </c>
      <c r="D194" s="901" t="s">
        <v>881</v>
      </c>
      <c r="E194" s="898" t="e">
        <f>NC_DKDD!H946</f>
        <v>#VALUE!</v>
      </c>
      <c r="F194" s="898"/>
      <c r="G194" s="391"/>
      <c r="H194" s="898"/>
      <c r="I194" s="898"/>
      <c r="J194" s="898"/>
      <c r="K194" s="898"/>
      <c r="L194" s="898"/>
      <c r="M194" s="898"/>
      <c r="N194" s="898"/>
      <c r="O194" s="898">
        <f t="shared" si="24"/>
        <v>36.888461538461534</v>
      </c>
      <c r="P194" s="348">
        <f t="shared" si="25"/>
        <v>32.076923076923073</v>
      </c>
      <c r="Q194" s="348">
        <f t="shared" si="26"/>
        <v>4.8115384615384613</v>
      </c>
      <c r="R194" s="902">
        <f>NC_DKDD!G946</f>
        <v>6.0000000000000001E-3</v>
      </c>
      <c r="S194" s="332"/>
    </row>
    <row r="195" spans="1:19" s="345" customFormat="1" ht="45" customHeight="1">
      <c r="A195" s="832">
        <v>6</v>
      </c>
      <c r="B195" s="827" t="s">
        <v>483</v>
      </c>
      <c r="C195" s="832"/>
      <c r="D195" s="832"/>
      <c r="E195" s="898">
        <f>NC_DKDD!H947</f>
        <v>0</v>
      </c>
      <c r="F195" s="898"/>
      <c r="G195" s="391"/>
      <c r="H195" s="898"/>
      <c r="I195" s="898"/>
      <c r="J195" s="898"/>
      <c r="K195" s="898"/>
      <c r="L195" s="898"/>
      <c r="M195" s="898"/>
      <c r="N195" s="898"/>
      <c r="O195" s="898">
        <f t="shared" si="24"/>
        <v>0</v>
      </c>
      <c r="P195" s="348">
        <f t="shared" si="25"/>
        <v>0</v>
      </c>
      <c r="Q195" s="348">
        <f t="shared" si="26"/>
        <v>0</v>
      </c>
      <c r="R195" s="902">
        <f>NC_DKDD!G947</f>
        <v>0</v>
      </c>
      <c r="S195" s="332"/>
    </row>
    <row r="196" spans="1:19" s="345" customFormat="1" ht="19.5" customHeight="1">
      <c r="A196" s="832" t="s">
        <v>444</v>
      </c>
      <c r="B196" s="827" t="s">
        <v>770</v>
      </c>
      <c r="C196" s="832" t="s">
        <v>281</v>
      </c>
      <c r="D196" s="901" t="s">
        <v>881</v>
      </c>
      <c r="E196" s="898" t="e">
        <f>NC_DKDD!H948</f>
        <v>#VALUE!</v>
      </c>
      <c r="F196" s="898"/>
      <c r="G196" s="391"/>
      <c r="H196" s="898"/>
      <c r="I196" s="898"/>
      <c r="J196" s="898"/>
      <c r="K196" s="898"/>
      <c r="L196" s="898"/>
      <c r="M196" s="898"/>
      <c r="N196" s="898"/>
      <c r="O196" s="898">
        <f t="shared" si="24"/>
        <v>307.40384615384619</v>
      </c>
      <c r="P196" s="348">
        <f t="shared" si="25"/>
        <v>267.30769230769232</v>
      </c>
      <c r="Q196" s="348">
        <f t="shared" si="26"/>
        <v>40.096153846153847</v>
      </c>
      <c r="R196" s="902">
        <f>NC_DKDD!G948</f>
        <v>0.05</v>
      </c>
      <c r="S196" s="332"/>
    </row>
    <row r="197" spans="1:19" s="345" customFormat="1" ht="19.5" customHeight="1">
      <c r="A197" s="832" t="s">
        <v>445</v>
      </c>
      <c r="B197" s="827" t="s">
        <v>771</v>
      </c>
      <c r="C197" s="832" t="s">
        <v>281</v>
      </c>
      <c r="D197" s="901" t="s">
        <v>881</v>
      </c>
      <c r="E197" s="898" t="e">
        <f>NC_DKDD!H949</f>
        <v>#VALUE!</v>
      </c>
      <c r="F197" s="898"/>
      <c r="G197" s="391"/>
      <c r="H197" s="898"/>
      <c r="I197" s="898"/>
      <c r="J197" s="898"/>
      <c r="K197" s="898"/>
      <c r="L197" s="898"/>
      <c r="M197" s="898"/>
      <c r="N197" s="898"/>
      <c r="O197" s="898">
        <f t="shared" si="24"/>
        <v>614.80769230769238</v>
      </c>
      <c r="P197" s="348">
        <f t="shared" si="25"/>
        <v>534.61538461538464</v>
      </c>
      <c r="Q197" s="348">
        <f t="shared" si="26"/>
        <v>80.192307692307693</v>
      </c>
      <c r="R197" s="902">
        <f>NC_DKDD!G949</f>
        <v>0.1</v>
      </c>
      <c r="S197" s="332"/>
    </row>
    <row r="198" spans="1:19" s="345" customFormat="1" ht="33.75" customHeight="1">
      <c r="A198" s="832">
        <v>7</v>
      </c>
      <c r="B198" s="827" t="s">
        <v>554</v>
      </c>
      <c r="C198" s="832" t="s">
        <v>281</v>
      </c>
      <c r="D198" s="901" t="s">
        <v>881</v>
      </c>
      <c r="E198" s="898" t="e">
        <f>NC_DKDD!H950</f>
        <v>#VALUE!</v>
      </c>
      <c r="F198" s="898"/>
      <c r="G198" s="391"/>
      <c r="H198" s="898"/>
      <c r="I198" s="898"/>
      <c r="J198" s="898"/>
      <c r="K198" s="898"/>
      <c r="L198" s="898"/>
      <c r="M198" s="898"/>
      <c r="N198" s="898"/>
      <c r="O198" s="898">
        <f t="shared" si="24"/>
        <v>1598.5</v>
      </c>
      <c r="P198" s="348">
        <f t="shared" si="25"/>
        <v>1390</v>
      </c>
      <c r="Q198" s="348">
        <f t="shared" si="26"/>
        <v>208.5</v>
      </c>
      <c r="R198" s="902">
        <f>NC_DKDD!G950</f>
        <v>0.26</v>
      </c>
      <c r="S198" s="332"/>
    </row>
    <row r="199" spans="1:19" s="345" customFormat="1" ht="23.25" customHeight="1">
      <c r="A199" s="832">
        <v>8</v>
      </c>
      <c r="B199" s="827" t="s">
        <v>211</v>
      </c>
      <c r="C199" s="832" t="s">
        <v>523</v>
      </c>
      <c r="D199" s="901" t="s">
        <v>881</v>
      </c>
      <c r="E199" s="898" t="e">
        <f>NC_DKDD!H951</f>
        <v>#VALUE!</v>
      </c>
      <c r="F199" s="898"/>
      <c r="G199" s="391"/>
      <c r="H199" s="898"/>
      <c r="I199" s="898"/>
      <c r="J199" s="898"/>
      <c r="K199" s="898"/>
      <c r="L199" s="898"/>
      <c r="M199" s="898"/>
      <c r="N199" s="898"/>
      <c r="O199" s="898">
        <f t="shared" si="24"/>
        <v>1444.7980769230767</v>
      </c>
      <c r="P199" s="348">
        <f t="shared" si="25"/>
        <v>1256.3461538461536</v>
      </c>
      <c r="Q199" s="348">
        <f t="shared" si="26"/>
        <v>188.45192307692307</v>
      </c>
      <c r="R199" s="902">
        <f>NC_DKDD!G951</f>
        <v>0.23499999999999999</v>
      </c>
      <c r="S199" s="332"/>
    </row>
    <row r="200" spans="1:19" s="345" customFormat="1" ht="23.25" customHeight="1">
      <c r="A200" s="832">
        <v>9</v>
      </c>
      <c r="B200" s="827" t="s">
        <v>213</v>
      </c>
      <c r="C200" s="832"/>
      <c r="D200" s="832"/>
      <c r="E200" s="898">
        <f>NC_DKDD!H952</f>
        <v>0</v>
      </c>
      <c r="F200" s="898"/>
      <c r="G200" s="391"/>
      <c r="H200" s="898"/>
      <c r="I200" s="898"/>
      <c r="J200" s="898"/>
      <c r="K200" s="898"/>
      <c r="L200" s="898"/>
      <c r="M200" s="898"/>
      <c r="N200" s="898"/>
      <c r="O200" s="898">
        <f t="shared" si="24"/>
        <v>0</v>
      </c>
      <c r="P200" s="348">
        <f t="shared" si="25"/>
        <v>0</v>
      </c>
      <c r="Q200" s="348">
        <f t="shared" si="26"/>
        <v>0</v>
      </c>
      <c r="R200" s="902">
        <f>NC_DKDD!G952</f>
        <v>0</v>
      </c>
      <c r="S200" s="332"/>
    </row>
    <row r="201" spans="1:19" s="345" customFormat="1" ht="23.25" customHeight="1">
      <c r="A201" s="832" t="s">
        <v>446</v>
      </c>
      <c r="B201" s="827" t="s">
        <v>215</v>
      </c>
      <c r="C201" s="832" t="s">
        <v>320</v>
      </c>
      <c r="D201" s="901" t="s">
        <v>881</v>
      </c>
      <c r="E201" s="898" t="e">
        <f>NC_DKDD!H953</f>
        <v>#VALUE!</v>
      </c>
      <c r="F201" s="898"/>
      <c r="G201" s="391"/>
      <c r="H201" s="898"/>
      <c r="I201" s="898"/>
      <c r="J201" s="898"/>
      <c r="K201" s="898"/>
      <c r="L201" s="898"/>
      <c r="M201" s="898"/>
      <c r="N201" s="898"/>
      <c r="O201" s="898">
        <f t="shared" si="24"/>
        <v>614.80769230769238</v>
      </c>
      <c r="P201" s="348">
        <f t="shared" si="25"/>
        <v>534.61538461538464</v>
      </c>
      <c r="Q201" s="348">
        <f t="shared" si="26"/>
        <v>80.192307692307693</v>
      </c>
      <c r="R201" s="902">
        <f>NC_DKDD!G953</f>
        <v>0.1</v>
      </c>
      <c r="S201" s="332"/>
    </row>
    <row r="202" spans="1:19" s="345" customFormat="1" ht="23.25" customHeight="1">
      <c r="A202" s="832" t="s">
        <v>447</v>
      </c>
      <c r="B202" s="827" t="s">
        <v>217</v>
      </c>
      <c r="C202" s="832" t="s">
        <v>320</v>
      </c>
      <c r="D202" s="901" t="s">
        <v>881</v>
      </c>
      <c r="E202" s="898" t="e">
        <f>NC_DKDD!H954</f>
        <v>#VALUE!</v>
      </c>
      <c r="F202" s="898"/>
      <c r="G202" s="391"/>
      <c r="H202" s="898"/>
      <c r="I202" s="898"/>
      <c r="J202" s="898"/>
      <c r="K202" s="898"/>
      <c r="L202" s="898"/>
      <c r="M202" s="898"/>
      <c r="N202" s="898"/>
      <c r="O202" s="898">
        <f t="shared" si="24"/>
        <v>1229.6153846153848</v>
      </c>
      <c r="P202" s="348">
        <f t="shared" si="25"/>
        <v>1069.2307692307693</v>
      </c>
      <c r="Q202" s="348">
        <f t="shared" si="26"/>
        <v>160.38461538461539</v>
      </c>
      <c r="R202" s="902">
        <f>NC_DKDD!G954</f>
        <v>0.2</v>
      </c>
      <c r="S202" s="332"/>
    </row>
    <row r="203" spans="1:19" s="345" customFormat="1" ht="35.25" customHeight="1">
      <c r="A203" s="832" t="s">
        <v>555</v>
      </c>
      <c r="B203" s="827" t="s">
        <v>556</v>
      </c>
      <c r="C203" s="832" t="s">
        <v>320</v>
      </c>
      <c r="D203" s="901" t="s">
        <v>881</v>
      </c>
      <c r="E203" s="898" t="e">
        <f>NC_DKDD!H955</f>
        <v>#VALUE!</v>
      </c>
      <c r="F203" s="898"/>
      <c r="G203" s="391"/>
      <c r="H203" s="898"/>
      <c r="I203" s="898"/>
      <c r="J203" s="898"/>
      <c r="K203" s="898"/>
      <c r="L203" s="898"/>
      <c r="M203" s="898"/>
      <c r="N203" s="898"/>
      <c r="O203" s="898">
        <f t="shared" si="24"/>
        <v>614.80769230769238</v>
      </c>
      <c r="P203" s="348">
        <f t="shared" si="25"/>
        <v>534.61538461538464</v>
      </c>
      <c r="Q203" s="348">
        <f t="shared" si="26"/>
        <v>80.192307692307693</v>
      </c>
      <c r="R203" s="902">
        <f>NC_DKDD!G955</f>
        <v>0.1</v>
      </c>
      <c r="S203" s="332"/>
    </row>
    <row r="204" spans="1:19" s="345" customFormat="1" ht="35.25" customHeight="1">
      <c r="A204" s="832">
        <v>10</v>
      </c>
      <c r="B204" s="827" t="s">
        <v>557</v>
      </c>
      <c r="C204" s="832" t="s">
        <v>281</v>
      </c>
      <c r="D204" s="901" t="s">
        <v>881</v>
      </c>
      <c r="E204" s="898" t="e">
        <f>NC_DKDD!H956</f>
        <v>#VALUE!</v>
      </c>
      <c r="F204" s="898"/>
      <c r="G204" s="391"/>
      <c r="H204" s="898"/>
      <c r="I204" s="898"/>
      <c r="J204" s="898"/>
      <c r="K204" s="898"/>
      <c r="L204" s="898"/>
      <c r="M204" s="898"/>
      <c r="N204" s="898"/>
      <c r="O204" s="898">
        <f t="shared" si="24"/>
        <v>3197</v>
      </c>
      <c r="P204" s="348">
        <f t="shared" si="25"/>
        <v>2780</v>
      </c>
      <c r="Q204" s="348">
        <f t="shared" si="26"/>
        <v>417</v>
      </c>
      <c r="R204" s="902">
        <f>NC_DKDD!G956</f>
        <v>0.52</v>
      </c>
      <c r="S204" s="332"/>
    </row>
    <row r="205" spans="1:19" s="345" customFormat="1" ht="57">
      <c r="A205" s="832">
        <v>11</v>
      </c>
      <c r="B205" s="827" t="s">
        <v>1</v>
      </c>
      <c r="C205" s="832" t="s">
        <v>281</v>
      </c>
      <c r="D205" s="901" t="s">
        <v>881</v>
      </c>
      <c r="E205" s="898" t="e">
        <f>NC_DKDD!H957</f>
        <v>#VALUE!</v>
      </c>
      <c r="F205" s="898"/>
      <c r="G205" s="391"/>
      <c r="H205" s="898"/>
      <c r="I205" s="898"/>
      <c r="J205" s="898"/>
      <c r="K205" s="898"/>
      <c r="L205" s="898"/>
      <c r="M205" s="898"/>
      <c r="N205" s="898"/>
      <c r="O205" s="898">
        <f t="shared" si="24"/>
        <v>2729.7461538461539</v>
      </c>
      <c r="P205" s="348">
        <f t="shared" si="25"/>
        <v>2373.6923076923076</v>
      </c>
      <c r="Q205" s="348">
        <f t="shared" si="26"/>
        <v>356.05384615384617</v>
      </c>
      <c r="R205" s="902">
        <f>NC_DKDD!G957</f>
        <v>0.44400000000000001</v>
      </c>
      <c r="S205" s="332"/>
    </row>
    <row r="206" spans="1:19" s="345" customFormat="1" ht="23.25" customHeight="1">
      <c r="A206" s="832">
        <v>12</v>
      </c>
      <c r="B206" s="827" t="s">
        <v>220</v>
      </c>
      <c r="C206" s="832" t="s">
        <v>523</v>
      </c>
      <c r="D206" s="901" t="s">
        <v>881</v>
      </c>
      <c r="E206" s="898" t="e">
        <f>NC_DKDD!H958</f>
        <v>#VALUE!</v>
      </c>
      <c r="F206" s="898"/>
      <c r="G206" s="391"/>
      <c r="H206" s="898"/>
      <c r="I206" s="898"/>
      <c r="J206" s="898"/>
      <c r="K206" s="898"/>
      <c r="L206" s="898"/>
      <c r="M206" s="898"/>
      <c r="N206" s="898"/>
      <c r="O206" s="898">
        <f t="shared" si="24"/>
        <v>202.88653846153844</v>
      </c>
      <c r="P206" s="348">
        <f t="shared" si="25"/>
        <v>176.42307692307691</v>
      </c>
      <c r="Q206" s="348">
        <f t="shared" si="26"/>
        <v>26.463461538461541</v>
      </c>
      <c r="R206" s="902">
        <f>NC_DKDD!G958</f>
        <v>3.3000000000000002E-2</v>
      </c>
      <c r="S206" s="332"/>
    </row>
    <row r="207" spans="1:19" s="345" customFormat="1" ht="19.5" customHeight="1">
      <c r="A207" s="832">
        <v>13</v>
      </c>
      <c r="B207" s="827" t="s">
        <v>221</v>
      </c>
      <c r="C207" s="832"/>
      <c r="D207" s="832"/>
      <c r="E207" s="898">
        <f>NC_DKDD!H959</f>
        <v>0</v>
      </c>
      <c r="F207" s="898"/>
      <c r="G207" s="391"/>
      <c r="H207" s="898"/>
      <c r="I207" s="898"/>
      <c r="J207" s="898"/>
      <c r="K207" s="898"/>
      <c r="L207" s="898"/>
      <c r="M207" s="898"/>
      <c r="N207" s="898"/>
      <c r="O207" s="898">
        <f t="shared" si="24"/>
        <v>0</v>
      </c>
      <c r="P207" s="348">
        <f t="shared" si="25"/>
        <v>0</v>
      </c>
      <c r="Q207" s="348">
        <f t="shared" si="26"/>
        <v>0</v>
      </c>
      <c r="R207" s="902">
        <f>NC_DKDD!G959</f>
        <v>0</v>
      </c>
      <c r="S207" s="332"/>
    </row>
    <row r="208" spans="1:19" s="345" customFormat="1" ht="31.5" customHeight="1">
      <c r="A208" s="832" t="s">
        <v>237</v>
      </c>
      <c r="B208" s="827" t="s">
        <v>931</v>
      </c>
      <c r="C208" s="832"/>
      <c r="D208" s="832"/>
      <c r="E208" s="898">
        <f>NC_DKDD!H960</f>
        <v>0</v>
      </c>
      <c r="F208" s="898"/>
      <c r="G208" s="391"/>
      <c r="H208" s="898"/>
      <c r="I208" s="898"/>
      <c r="J208" s="898"/>
      <c r="K208" s="898"/>
      <c r="L208" s="898"/>
      <c r="M208" s="898"/>
      <c r="N208" s="898"/>
      <c r="O208" s="898">
        <f t="shared" si="24"/>
        <v>0</v>
      </c>
      <c r="P208" s="348">
        <f t="shared" si="25"/>
        <v>0</v>
      </c>
      <c r="Q208" s="348">
        <f t="shared" si="26"/>
        <v>0</v>
      </c>
      <c r="R208" s="902">
        <f>NC_DKDD!G960</f>
        <v>0</v>
      </c>
      <c r="S208" s="332"/>
    </row>
    <row r="209" spans="1:19" s="345" customFormat="1" ht="22.5" customHeight="1">
      <c r="A209" s="832" t="s">
        <v>238</v>
      </c>
      <c r="B209" s="827" t="s">
        <v>933</v>
      </c>
      <c r="C209" s="832" t="s">
        <v>525</v>
      </c>
      <c r="D209" s="901" t="s">
        <v>881</v>
      </c>
      <c r="E209" s="898" t="e">
        <f>NC_DKDD!H961</f>
        <v>#VALUE!</v>
      </c>
      <c r="F209" s="898"/>
      <c r="G209" s="391"/>
      <c r="H209" s="898"/>
      <c r="I209" s="898"/>
      <c r="J209" s="898"/>
      <c r="K209" s="898"/>
      <c r="L209" s="898"/>
      <c r="M209" s="898"/>
      <c r="N209" s="898"/>
      <c r="O209" s="898">
        <f t="shared" si="24"/>
        <v>122.96153846153845</v>
      </c>
      <c r="P209" s="348">
        <f t="shared" si="25"/>
        <v>106.92307692307692</v>
      </c>
      <c r="Q209" s="348">
        <f t="shared" si="26"/>
        <v>16.03846153846154</v>
      </c>
      <c r="R209" s="902">
        <f>NC_DKDD!G961</f>
        <v>0.02</v>
      </c>
      <c r="S209" s="332"/>
    </row>
    <row r="210" spans="1:19" s="345" customFormat="1" ht="22.5" customHeight="1">
      <c r="A210" s="832" t="s">
        <v>239</v>
      </c>
      <c r="B210" s="827" t="s">
        <v>937</v>
      </c>
      <c r="C210" s="832" t="s">
        <v>525</v>
      </c>
      <c r="D210" s="901" t="s">
        <v>881</v>
      </c>
      <c r="E210" s="898" t="e">
        <f>NC_DKDD!H962</f>
        <v>#VALUE!</v>
      </c>
      <c r="F210" s="898"/>
      <c r="G210" s="391"/>
      <c r="H210" s="898"/>
      <c r="I210" s="898"/>
      <c r="J210" s="898"/>
      <c r="K210" s="898"/>
      <c r="L210" s="898"/>
      <c r="M210" s="898"/>
      <c r="N210" s="898"/>
      <c r="O210" s="898">
        <f t="shared" si="24"/>
        <v>61.480769230769226</v>
      </c>
      <c r="P210" s="348">
        <f t="shared" si="25"/>
        <v>53.46153846153846</v>
      </c>
      <c r="Q210" s="348">
        <f t="shared" si="26"/>
        <v>8.0192307692307701</v>
      </c>
      <c r="R210" s="902">
        <f>NC_DKDD!G962</f>
        <v>0.01</v>
      </c>
      <c r="S210" s="332"/>
    </row>
    <row r="211" spans="1:19" s="345" customFormat="1" ht="31.5" customHeight="1">
      <c r="A211" s="832" t="s">
        <v>240</v>
      </c>
      <c r="B211" s="827" t="s">
        <v>48</v>
      </c>
      <c r="C211" s="832" t="s">
        <v>525</v>
      </c>
      <c r="D211" s="901" t="s">
        <v>881</v>
      </c>
      <c r="E211" s="898" t="e">
        <f>NC_DKDD!H963</f>
        <v>#VALUE!</v>
      </c>
      <c r="F211" s="898"/>
      <c r="G211" s="391"/>
      <c r="H211" s="898"/>
      <c r="I211" s="898"/>
      <c r="J211" s="898"/>
      <c r="K211" s="898"/>
      <c r="L211" s="898"/>
      <c r="M211" s="898"/>
      <c r="N211" s="898"/>
      <c r="O211" s="898">
        <f t="shared" si="24"/>
        <v>30.740384615384613</v>
      </c>
      <c r="P211" s="348">
        <f t="shared" si="25"/>
        <v>26.73076923076923</v>
      </c>
      <c r="Q211" s="348">
        <f t="shared" si="26"/>
        <v>4.009615384615385</v>
      </c>
      <c r="R211" s="902">
        <f>NC_DKDD!G963</f>
        <v>5.0000000000000001E-3</v>
      </c>
      <c r="S211" s="332"/>
    </row>
    <row r="212" spans="1:19" s="345" customFormat="1" ht="24" customHeight="1">
      <c r="A212" s="832" t="s">
        <v>241</v>
      </c>
      <c r="B212" s="827" t="s">
        <v>50</v>
      </c>
      <c r="C212" s="832" t="s">
        <v>523</v>
      </c>
      <c r="D212" s="901" t="s">
        <v>881</v>
      </c>
      <c r="E212" s="898" t="e">
        <f>NC_DKDD!H964</f>
        <v>#VALUE!</v>
      </c>
      <c r="F212" s="898"/>
      <c r="G212" s="391"/>
      <c r="H212" s="898"/>
      <c r="I212" s="898"/>
      <c r="J212" s="898"/>
      <c r="K212" s="898"/>
      <c r="L212" s="898"/>
      <c r="M212" s="898"/>
      <c r="N212" s="898"/>
      <c r="O212" s="898">
        <f t="shared" si="24"/>
        <v>61.480769230769226</v>
      </c>
      <c r="P212" s="348">
        <f t="shared" si="25"/>
        <v>53.46153846153846</v>
      </c>
      <c r="Q212" s="348">
        <f t="shared" si="26"/>
        <v>8.0192307692307701</v>
      </c>
      <c r="R212" s="902">
        <f>NC_DKDD!G964</f>
        <v>0.01</v>
      </c>
      <c r="S212" s="332"/>
    </row>
    <row r="213" spans="1:19" s="345" customFormat="1" ht="24" customHeight="1">
      <c r="A213" s="869" t="s">
        <v>184</v>
      </c>
      <c r="B213" s="868" t="s">
        <v>526</v>
      </c>
      <c r="C213" s="832"/>
      <c r="D213" s="832"/>
      <c r="E213" s="919" t="e">
        <f>E214</f>
        <v>#VALUE!</v>
      </c>
      <c r="F213" s="898"/>
      <c r="G213" s="391"/>
      <c r="H213" s="898">
        <f>'Dcu-DKDD'!$L$309</f>
        <v>0</v>
      </c>
      <c r="I213" s="898">
        <f>'VL-DKDD'!$J$312</f>
        <v>0</v>
      </c>
      <c r="J213" s="898">
        <f>'TB-DKDD'!$M$176</f>
        <v>0</v>
      </c>
      <c r="K213" s="898"/>
      <c r="L213" s="893" t="e">
        <f>SUM(E213:K213)</f>
        <v>#VALUE!</v>
      </c>
      <c r="M213" s="893" t="e">
        <f>L213*'He so chung'!$D$17/100</f>
        <v>#VALUE!</v>
      </c>
      <c r="N213" s="893" t="e">
        <f>L213+M213</f>
        <v>#VALUE!</v>
      </c>
      <c r="O213" s="919">
        <f>O214</f>
        <v>3197</v>
      </c>
      <c r="P213" s="348">
        <f t="shared" si="25"/>
        <v>0</v>
      </c>
      <c r="Q213" s="348">
        <f t="shared" si="26"/>
        <v>0</v>
      </c>
      <c r="R213" s="902">
        <f>NC_DKDD!G965</f>
        <v>0</v>
      </c>
      <c r="S213" s="332"/>
    </row>
    <row r="214" spans="1:19" s="345" customFormat="1" ht="24" customHeight="1">
      <c r="A214" s="832">
        <v>1</v>
      </c>
      <c r="B214" s="827" t="s">
        <v>2</v>
      </c>
      <c r="C214" s="832" t="s">
        <v>281</v>
      </c>
      <c r="D214" s="901" t="s">
        <v>881</v>
      </c>
      <c r="E214" s="898" t="e">
        <f>NC_DKDD!H966</f>
        <v>#VALUE!</v>
      </c>
      <c r="F214" s="898"/>
      <c r="G214" s="391"/>
      <c r="H214" s="898"/>
      <c r="I214" s="898"/>
      <c r="J214" s="898"/>
      <c r="K214" s="898"/>
      <c r="L214" s="898"/>
      <c r="M214" s="898"/>
      <c r="N214" s="898"/>
      <c r="O214" s="898">
        <f>P214+Q214</f>
        <v>3197</v>
      </c>
      <c r="P214" s="348">
        <f t="shared" si="25"/>
        <v>2780</v>
      </c>
      <c r="Q214" s="348">
        <f t="shared" si="26"/>
        <v>417</v>
      </c>
      <c r="R214" s="902">
        <f>NC_DKDD!G966</f>
        <v>0.52</v>
      </c>
      <c r="S214" s="332"/>
    </row>
    <row r="215" spans="1:19" s="345" customFormat="1" ht="24" customHeight="1">
      <c r="A215" s="869" t="s">
        <v>913</v>
      </c>
      <c r="B215" s="868" t="s">
        <v>88</v>
      </c>
      <c r="C215" s="832"/>
      <c r="D215" s="832"/>
      <c r="E215" s="919" t="e">
        <f>E216</f>
        <v>#VALUE!</v>
      </c>
      <c r="F215" s="898"/>
      <c r="G215" s="391"/>
      <c r="H215" s="898">
        <f>'Dcu-DKDD'!$H$309*1.3</f>
        <v>2369.7989874999998</v>
      </c>
      <c r="I215" s="898">
        <f>'VL-DKDD'!$F$312</f>
        <v>3100.68</v>
      </c>
      <c r="J215" s="898">
        <f>'TB-DKDD'!$I$176*1.3</f>
        <v>175.08399999999997</v>
      </c>
      <c r="K215" s="898">
        <f>'NL-DKDD'!$F$120*1.3</f>
        <v>381.81780000000003</v>
      </c>
      <c r="L215" s="893" t="e">
        <f>SUM(E215:K215)</f>
        <v>#VALUE!</v>
      </c>
      <c r="M215" s="893" t="e">
        <f>L215*'He so chung'!$D$17/100</f>
        <v>#VALUE!</v>
      </c>
      <c r="N215" s="893" t="e">
        <f>L215+M215</f>
        <v>#VALUE!</v>
      </c>
      <c r="O215" s="919">
        <f>O216</f>
        <v>799.25</v>
      </c>
      <c r="P215" s="348">
        <f t="shared" si="25"/>
        <v>0</v>
      </c>
      <c r="Q215" s="348">
        <f t="shared" si="26"/>
        <v>0</v>
      </c>
      <c r="R215" s="902">
        <f>NC_DKDD!G967</f>
        <v>0</v>
      </c>
      <c r="S215" s="332"/>
    </row>
    <row r="216" spans="1:19" s="345" customFormat="1" ht="24" customHeight="1">
      <c r="A216" s="832">
        <v>1</v>
      </c>
      <c r="B216" s="827" t="s">
        <v>3</v>
      </c>
      <c r="C216" s="832" t="s">
        <v>281</v>
      </c>
      <c r="D216" s="901" t="s">
        <v>881</v>
      </c>
      <c r="E216" s="898" t="e">
        <f>NC_DKDD!H968</f>
        <v>#VALUE!</v>
      </c>
      <c r="F216" s="898"/>
      <c r="G216" s="391"/>
      <c r="H216" s="898"/>
      <c r="I216" s="898"/>
      <c r="J216" s="898"/>
      <c r="K216" s="898"/>
      <c r="L216" s="898"/>
      <c r="M216" s="898"/>
      <c r="N216" s="898"/>
      <c r="O216" s="898">
        <f>P216+Q216</f>
        <v>799.25</v>
      </c>
      <c r="P216" s="348">
        <f t="shared" si="25"/>
        <v>695</v>
      </c>
      <c r="Q216" s="348">
        <f t="shared" si="26"/>
        <v>104.25</v>
      </c>
      <c r="R216" s="902">
        <f>NC_DKDD!G968</f>
        <v>0.13</v>
      </c>
      <c r="S216" s="332"/>
    </row>
    <row r="217" spans="1:19" s="345" customFormat="1" ht="19.5" customHeight="1">
      <c r="A217" s="337"/>
      <c r="B217" s="366" t="s">
        <v>282</v>
      </c>
      <c r="C217" s="354"/>
      <c r="D217" s="353"/>
      <c r="E217" s="355"/>
      <c r="F217" s="355"/>
      <c r="G217" s="356"/>
      <c r="H217" s="355"/>
      <c r="I217" s="355"/>
      <c r="J217" s="357"/>
      <c r="K217" s="357"/>
      <c r="L217" s="357"/>
      <c r="M217" s="340"/>
      <c r="N217" s="340"/>
      <c r="O217" s="365"/>
      <c r="P217" s="332"/>
      <c r="Q217" s="332"/>
      <c r="R217" s="1016"/>
      <c r="S217" s="332"/>
    </row>
    <row r="218" spans="1:19" s="345" customFormat="1" ht="19.5" customHeight="1">
      <c r="A218" s="337"/>
      <c r="B218" s="1129" t="s">
        <v>20</v>
      </c>
      <c r="C218" s="1129"/>
      <c r="D218" s="1129"/>
      <c r="E218" s="1129"/>
      <c r="F218" s="1129"/>
      <c r="G218" s="1129"/>
      <c r="H218" s="1129"/>
      <c r="I218" s="1129"/>
      <c r="J218" s="1129"/>
      <c r="K218" s="1129"/>
      <c r="L218" s="1129"/>
      <c r="M218" s="1129"/>
      <c r="N218" s="1129"/>
      <c r="O218" s="1129"/>
      <c r="P218" s="332"/>
      <c r="Q218" s="332"/>
      <c r="R218" s="1016"/>
      <c r="S218" s="332"/>
    </row>
    <row r="219" spans="1:19" s="345" customFormat="1" ht="19.5" customHeight="1">
      <c r="A219" s="337"/>
      <c r="B219" s="333"/>
      <c r="C219" s="333"/>
      <c r="D219" s="333"/>
      <c r="E219" s="333"/>
      <c r="F219" s="333"/>
      <c r="G219" s="333"/>
      <c r="H219" s="333"/>
      <c r="I219" s="333"/>
      <c r="J219" s="333"/>
      <c r="K219" s="333"/>
      <c r="L219" s="333"/>
      <c r="M219" s="333"/>
      <c r="N219" s="333"/>
      <c r="O219" s="333"/>
      <c r="P219" s="332"/>
      <c r="Q219" s="332"/>
      <c r="R219" s="1016"/>
      <c r="S219" s="332"/>
    </row>
    <row r="220" spans="1:19" s="345" customFormat="1" ht="47.25" customHeight="1">
      <c r="A220" s="1114" t="s">
        <v>306</v>
      </c>
      <c r="B220" s="1114"/>
      <c r="C220" s="1114"/>
      <c r="D220" s="1114"/>
      <c r="E220" s="1114"/>
      <c r="F220" s="1114"/>
      <c r="G220" s="1114"/>
      <c r="H220" s="1114"/>
      <c r="I220" s="1114"/>
      <c r="J220" s="1114"/>
      <c r="K220" s="1114"/>
      <c r="L220" s="1114"/>
      <c r="M220" s="1114"/>
      <c r="N220" s="1114"/>
      <c r="O220" s="1114"/>
      <c r="P220" s="67"/>
      <c r="Q220" s="67" t="s">
        <v>1046</v>
      </c>
      <c r="R220" s="1012"/>
      <c r="S220" s="332"/>
    </row>
    <row r="221" spans="1:19" s="345" customFormat="1" ht="19.5" customHeight="1">
      <c r="A221" s="1113" t="s">
        <v>960</v>
      </c>
      <c r="B221" s="1113"/>
      <c r="C221" s="1113"/>
      <c r="D221" s="1113"/>
      <c r="E221" s="1113"/>
      <c r="F221" s="1113"/>
      <c r="G221" s="1113"/>
      <c r="H221" s="1113"/>
      <c r="I221" s="1113"/>
      <c r="J221" s="1113"/>
      <c r="K221" s="1113"/>
      <c r="L221" s="1113"/>
      <c r="M221" s="1113"/>
      <c r="N221" s="1113"/>
      <c r="O221" s="1113"/>
      <c r="P221" s="1113"/>
      <c r="Q221" s="67"/>
      <c r="R221" s="1012"/>
      <c r="S221" s="332"/>
    </row>
    <row r="222" spans="1:19" s="345" customFormat="1" ht="19.5" customHeight="1">
      <c r="A222" s="826"/>
      <c r="B222" s="826"/>
      <c r="C222" s="826"/>
      <c r="D222" s="826"/>
      <c r="E222" s="826"/>
      <c r="F222" s="826"/>
      <c r="G222" s="826"/>
      <c r="H222" s="826"/>
      <c r="I222" s="826"/>
      <c r="J222" s="826"/>
      <c r="K222" s="826"/>
      <c r="L222" s="991" t="s">
        <v>980</v>
      </c>
      <c r="M222" s="826"/>
      <c r="N222" s="826"/>
      <c r="O222" s="826"/>
      <c r="P222" s="67"/>
      <c r="Q222" s="67"/>
      <c r="R222" s="1012"/>
      <c r="S222" s="332"/>
    </row>
    <row r="223" spans="1:19" s="345" customFormat="1" ht="19.5" customHeight="1">
      <c r="A223" s="1112" t="s">
        <v>876</v>
      </c>
      <c r="B223" s="1112" t="s">
        <v>381</v>
      </c>
      <c r="C223" s="1124" t="s">
        <v>981</v>
      </c>
      <c r="D223" s="1124" t="s">
        <v>982</v>
      </c>
      <c r="E223" s="1124" t="s">
        <v>466</v>
      </c>
      <c r="F223" s="1124"/>
      <c r="G223" s="1124"/>
      <c r="H223" s="1124"/>
      <c r="I223" s="1124"/>
      <c r="J223" s="1124"/>
      <c r="K223" s="1124"/>
      <c r="L223" s="1124"/>
      <c r="M223" s="1124" t="s">
        <v>581</v>
      </c>
      <c r="N223" s="1124" t="s">
        <v>201</v>
      </c>
      <c r="O223" s="1124" t="s">
        <v>200</v>
      </c>
      <c r="P223" s="348"/>
      <c r="Q223" s="348"/>
      <c r="R223" s="332"/>
      <c r="S223" s="332"/>
    </row>
    <row r="224" spans="1:19" s="345" customFormat="1" ht="31.5" customHeight="1">
      <c r="A224" s="1112"/>
      <c r="B224" s="1112"/>
      <c r="C224" s="1124"/>
      <c r="D224" s="1124"/>
      <c r="E224" s="382" t="s">
        <v>469</v>
      </c>
      <c r="F224" s="382" t="s">
        <v>470</v>
      </c>
      <c r="G224" s="837" t="s">
        <v>1003</v>
      </c>
      <c r="H224" s="382" t="s">
        <v>59</v>
      </c>
      <c r="I224" s="382" t="s">
        <v>471</v>
      </c>
      <c r="J224" s="382" t="s">
        <v>280</v>
      </c>
      <c r="K224" s="382" t="s">
        <v>472</v>
      </c>
      <c r="L224" s="382" t="s">
        <v>473</v>
      </c>
      <c r="M224" s="1124"/>
      <c r="N224" s="1124"/>
      <c r="O224" s="1124"/>
      <c r="P224" s="348"/>
      <c r="Q224" s="348"/>
      <c r="R224" s="332"/>
      <c r="S224" s="332"/>
    </row>
    <row r="225" spans="1:19" s="345" customFormat="1" ht="60">
      <c r="A225" s="831"/>
      <c r="B225" s="830" t="s">
        <v>307</v>
      </c>
      <c r="C225" s="382"/>
      <c r="D225" s="382"/>
      <c r="E225" s="382"/>
      <c r="F225" s="382"/>
      <c r="G225" s="837"/>
      <c r="H225" s="382"/>
      <c r="I225" s="382"/>
      <c r="J225" s="382"/>
      <c r="K225" s="382"/>
      <c r="L225" s="382"/>
      <c r="M225" s="382"/>
      <c r="N225" s="382"/>
      <c r="O225" s="382"/>
      <c r="P225" s="348"/>
      <c r="Q225" s="348"/>
      <c r="R225" s="332"/>
      <c r="S225" s="332"/>
    </row>
    <row r="226" spans="1:19" s="345" customFormat="1" ht="19.5" customHeight="1">
      <c r="A226" s="831"/>
      <c r="B226" s="868" t="s">
        <v>451</v>
      </c>
      <c r="C226" s="382" t="s">
        <v>281</v>
      </c>
      <c r="D226" s="831" t="s">
        <v>881</v>
      </c>
      <c r="E226" s="383" t="e">
        <f>E230+E257+E259</f>
        <v>#VALUE!</v>
      </c>
      <c r="F226" s="383">
        <f t="shared" ref="F226:O226" si="27">F230+F257+F259</f>
        <v>0</v>
      </c>
      <c r="G226" s="383">
        <f t="shared" si="27"/>
        <v>0</v>
      </c>
      <c r="H226" s="383">
        <f t="shared" si="27"/>
        <v>15091.1908</v>
      </c>
      <c r="I226" s="383">
        <f t="shared" si="27"/>
        <v>26923.86</v>
      </c>
      <c r="J226" s="383">
        <f t="shared" si="27"/>
        <v>8538.4520000000011</v>
      </c>
      <c r="K226" s="383">
        <f t="shared" si="27"/>
        <v>16846.447800000002</v>
      </c>
      <c r="L226" s="383" t="e">
        <f t="shared" si="27"/>
        <v>#VALUE!</v>
      </c>
      <c r="M226" s="383" t="e">
        <f t="shared" si="27"/>
        <v>#VALUE!</v>
      </c>
      <c r="N226" s="383" t="e">
        <f t="shared" si="27"/>
        <v>#VALUE!</v>
      </c>
      <c r="O226" s="383">
        <f t="shared" si="27"/>
        <v>32922.951923076922</v>
      </c>
      <c r="P226" s="348"/>
      <c r="Q226" s="348"/>
      <c r="R226" s="332"/>
      <c r="S226" s="332"/>
    </row>
    <row r="227" spans="1:19" s="345" customFormat="1" ht="19.5" customHeight="1">
      <c r="A227" s="831"/>
      <c r="B227" s="868" t="s">
        <v>452</v>
      </c>
      <c r="C227" s="382" t="s">
        <v>281</v>
      </c>
      <c r="D227" s="831" t="s">
        <v>881</v>
      </c>
      <c r="E227" s="383" t="e">
        <f>E231+E257+E259</f>
        <v>#VALUE!</v>
      </c>
      <c r="F227" s="383">
        <f t="shared" ref="F227:O227" si="28">F231+F257+F259</f>
        <v>0</v>
      </c>
      <c r="G227" s="383">
        <f t="shared" si="28"/>
        <v>0</v>
      </c>
      <c r="H227" s="383">
        <f t="shared" si="28"/>
        <v>15091.1908</v>
      </c>
      <c r="I227" s="383">
        <f t="shared" si="28"/>
        <v>26923.86</v>
      </c>
      <c r="J227" s="383">
        <f t="shared" si="28"/>
        <v>8538.4520000000011</v>
      </c>
      <c r="K227" s="383">
        <f t="shared" si="28"/>
        <v>16846.447800000002</v>
      </c>
      <c r="L227" s="383" t="e">
        <f t="shared" si="28"/>
        <v>#VALUE!</v>
      </c>
      <c r="M227" s="383" t="e">
        <f t="shared" si="28"/>
        <v>#VALUE!</v>
      </c>
      <c r="N227" s="383" t="e">
        <f t="shared" si="28"/>
        <v>#VALUE!</v>
      </c>
      <c r="O227" s="383">
        <f t="shared" si="28"/>
        <v>32523.326923076922</v>
      </c>
      <c r="P227" s="348"/>
      <c r="Q227" s="348"/>
      <c r="R227" s="332"/>
      <c r="S227" s="332"/>
    </row>
    <row r="228" spans="1:19" s="345" customFormat="1" ht="19.5" customHeight="1">
      <c r="A228" s="831"/>
      <c r="B228" s="888"/>
      <c r="C228" s="382"/>
      <c r="D228" s="382"/>
      <c r="E228" s="382"/>
      <c r="F228" s="382"/>
      <c r="G228" s="837"/>
      <c r="H228" s="382"/>
      <c r="I228" s="382"/>
      <c r="J228" s="382"/>
      <c r="K228" s="382"/>
      <c r="L228" s="382"/>
      <c r="M228" s="382"/>
      <c r="N228" s="382"/>
      <c r="O228" s="382"/>
      <c r="P228" s="351">
        <f>'He so chung'!D$22</f>
        <v>5346.1538461538457</v>
      </c>
      <c r="Q228" s="351">
        <f>'He so chung'!D$23</f>
        <v>801.92307692307691</v>
      </c>
      <c r="R228" s="352"/>
      <c r="S228" s="332"/>
    </row>
    <row r="229" spans="1:19" s="345" customFormat="1" ht="19.5" customHeight="1">
      <c r="A229" s="831" t="s">
        <v>179</v>
      </c>
      <c r="B229" s="888" t="s">
        <v>765</v>
      </c>
      <c r="C229" s="382"/>
      <c r="D229" s="382"/>
      <c r="E229" s="382"/>
      <c r="F229" s="382"/>
      <c r="G229" s="837"/>
      <c r="H229" s="382"/>
      <c r="I229" s="382"/>
      <c r="J229" s="382"/>
      <c r="K229" s="382"/>
      <c r="L229" s="382"/>
      <c r="M229" s="382"/>
      <c r="N229" s="382"/>
      <c r="O229" s="382"/>
      <c r="P229" s="351"/>
      <c r="Q229" s="351"/>
      <c r="R229" s="352"/>
      <c r="S229" s="332"/>
    </row>
    <row r="230" spans="1:19" s="345" customFormat="1" ht="22.5" customHeight="1">
      <c r="A230" s="869" t="s">
        <v>665</v>
      </c>
      <c r="B230" s="868" t="s">
        <v>451</v>
      </c>
      <c r="C230" s="382" t="s">
        <v>281</v>
      </c>
      <c r="D230" s="901" t="s">
        <v>881</v>
      </c>
      <c r="E230" s="919" t="e">
        <f>E233+E235+E236+E237+E238+E240+E242+E243+E245+E247+E248+E249+E250+E253+E254+E255+E256</f>
        <v>#VALUE!</v>
      </c>
      <c r="F230" s="898"/>
      <c r="G230" s="391"/>
      <c r="H230" s="898">
        <f>'Dcu-DKDD'!$J$338*1.3</f>
        <v>14094.32395</v>
      </c>
      <c r="I230" s="898">
        <f>'VL-DKDD'!$H$342</f>
        <v>25312.5</v>
      </c>
      <c r="J230" s="898">
        <f>'TB-DKDD'!$K$194*1.3</f>
        <v>8453.9260000000013</v>
      </c>
      <c r="K230" s="898">
        <f>'NL-DKDD'!$H$133*1.3</f>
        <v>16666.650000000001</v>
      </c>
      <c r="L230" s="893" t="e">
        <f>SUM(E230:K230)</f>
        <v>#VALUE!</v>
      </c>
      <c r="M230" s="893" t="e">
        <f>L230*'He so chung'!$D$17/100</f>
        <v>#VALUE!</v>
      </c>
      <c r="N230" s="893" t="e">
        <f>L230+M230</f>
        <v>#VALUE!</v>
      </c>
      <c r="O230" s="919">
        <f>O233+O235+O236+O237+O238+O240+O242+O243+O245+O247+O248+O249+O250+O253+O254+O255+O256</f>
        <v>28926.701923076922</v>
      </c>
      <c r="P230" s="348"/>
      <c r="Q230" s="348"/>
      <c r="R230" s="332"/>
      <c r="S230" s="332"/>
    </row>
    <row r="231" spans="1:19" s="345" customFormat="1" ht="22.5" customHeight="1">
      <c r="A231" s="869" t="s">
        <v>666</v>
      </c>
      <c r="B231" s="868" t="s">
        <v>452</v>
      </c>
      <c r="C231" s="382" t="s">
        <v>281</v>
      </c>
      <c r="D231" s="901" t="s">
        <v>881</v>
      </c>
      <c r="E231" s="919" t="e">
        <f>E234+E235+E236+E237+E238+E240+E242+E243+E245+E247+E248+E249+E250+E253+E254+E255+E256</f>
        <v>#VALUE!</v>
      </c>
      <c r="F231" s="898"/>
      <c r="G231" s="391"/>
      <c r="H231" s="898">
        <f>'Dcu-DKDD'!$J$338*1.3</f>
        <v>14094.32395</v>
      </c>
      <c r="I231" s="898">
        <f>'VL-DKDD'!$H$342</f>
        <v>25312.5</v>
      </c>
      <c r="J231" s="898">
        <f>'TB-DKDD'!$K$194*1.3</f>
        <v>8453.9260000000013</v>
      </c>
      <c r="K231" s="898">
        <f>'NL-DKDD'!$H$133*1.3</f>
        <v>16666.650000000001</v>
      </c>
      <c r="L231" s="893" t="e">
        <f>SUM(E231:K231)</f>
        <v>#VALUE!</v>
      </c>
      <c r="M231" s="893" t="e">
        <f>L231*'He so chung'!$D$17/100</f>
        <v>#VALUE!</v>
      </c>
      <c r="N231" s="893" t="e">
        <f>L231+M231</f>
        <v>#VALUE!</v>
      </c>
      <c r="O231" s="919">
        <f>O234+O235+O236+O237+O238+O240+O242+O243+O245+O247+O248+O249+O250+O253+O254+O255+O256</f>
        <v>28527.076923076922</v>
      </c>
      <c r="P231" s="348"/>
      <c r="Q231" s="348"/>
      <c r="R231" s="332"/>
      <c r="S231" s="332"/>
    </row>
    <row r="232" spans="1:19" s="345" customFormat="1" ht="22.5" customHeight="1">
      <c r="A232" s="832">
        <v>1</v>
      </c>
      <c r="B232" s="827" t="s">
        <v>4</v>
      </c>
      <c r="C232" s="898"/>
      <c r="D232" s="1010"/>
      <c r="E232" s="898"/>
      <c r="F232" s="898"/>
      <c r="G232" s="391"/>
      <c r="H232" s="898"/>
      <c r="I232" s="898"/>
      <c r="J232" s="898"/>
      <c r="K232" s="898"/>
      <c r="L232" s="898"/>
      <c r="M232" s="898"/>
      <c r="N232" s="898"/>
      <c r="O232" s="898">
        <f t="shared" ref="O232:O256" si="29">P232+Q232</f>
        <v>0</v>
      </c>
      <c r="P232" s="348"/>
      <c r="Q232" s="348"/>
      <c r="R232" s="332"/>
      <c r="S232" s="332"/>
    </row>
    <row r="233" spans="1:19" s="345" customFormat="1" ht="22.5" customHeight="1">
      <c r="A233" s="832" t="s">
        <v>891</v>
      </c>
      <c r="B233" s="827" t="s">
        <v>33</v>
      </c>
      <c r="C233" s="832" t="s">
        <v>281</v>
      </c>
      <c r="D233" s="901" t="s">
        <v>881</v>
      </c>
      <c r="E233" s="898" t="e">
        <f>NC_DKDD!H941</f>
        <v>#VALUE!</v>
      </c>
      <c r="F233" s="898"/>
      <c r="G233" s="391"/>
      <c r="H233" s="898"/>
      <c r="I233" s="898"/>
      <c r="J233" s="898"/>
      <c r="K233" s="898"/>
      <c r="L233" s="898"/>
      <c r="M233" s="898"/>
      <c r="N233" s="898"/>
      <c r="O233" s="898">
        <f t="shared" si="29"/>
        <v>1598.5</v>
      </c>
      <c r="P233" s="348">
        <f t="shared" ref="P233:P260" si="30">R233*P$10</f>
        <v>1390</v>
      </c>
      <c r="Q233" s="348">
        <f t="shared" ref="Q233:Q260" si="31">R233*Q$10</f>
        <v>208.5</v>
      </c>
      <c r="R233" s="1014">
        <f>NC_DKDD!G941</f>
        <v>0.26</v>
      </c>
      <c r="S233" s="332"/>
    </row>
    <row r="234" spans="1:19" s="345" customFormat="1" ht="22.5" customHeight="1">
      <c r="A234" s="832" t="s">
        <v>899</v>
      </c>
      <c r="B234" s="827" t="s">
        <v>36</v>
      </c>
      <c r="C234" s="832" t="s">
        <v>281</v>
      </c>
      <c r="D234" s="901" t="s">
        <v>881</v>
      </c>
      <c r="E234" s="898" t="e">
        <f>NC_DKDD!H942</f>
        <v>#VALUE!</v>
      </c>
      <c r="F234" s="898"/>
      <c r="G234" s="391"/>
      <c r="H234" s="898"/>
      <c r="I234" s="898"/>
      <c r="J234" s="898"/>
      <c r="K234" s="898"/>
      <c r="L234" s="898"/>
      <c r="M234" s="898"/>
      <c r="N234" s="898"/>
      <c r="O234" s="898">
        <f t="shared" si="29"/>
        <v>1198.875</v>
      </c>
      <c r="P234" s="348">
        <f t="shared" si="30"/>
        <v>1042.5</v>
      </c>
      <c r="Q234" s="348">
        <f t="shared" si="31"/>
        <v>156.375</v>
      </c>
      <c r="R234" s="1014">
        <f>NC_DKDD!G942</f>
        <v>0.19500000000000001</v>
      </c>
      <c r="S234" s="332"/>
    </row>
    <row r="235" spans="1:19" s="345" customFormat="1" ht="40.5" customHeight="1">
      <c r="A235" s="832">
        <v>2</v>
      </c>
      <c r="B235" s="827" t="s">
        <v>953</v>
      </c>
      <c r="C235" s="832" t="s">
        <v>281</v>
      </c>
      <c r="D235" s="901" t="s">
        <v>881</v>
      </c>
      <c r="E235" s="898" t="e">
        <f>NC_DKDD!H943</f>
        <v>#VALUE!</v>
      </c>
      <c r="F235" s="898"/>
      <c r="G235" s="391"/>
      <c r="H235" s="898"/>
      <c r="I235" s="898"/>
      <c r="J235" s="898"/>
      <c r="K235" s="898"/>
      <c r="L235" s="898"/>
      <c r="M235" s="898"/>
      <c r="N235" s="898"/>
      <c r="O235" s="898">
        <f t="shared" si="29"/>
        <v>1998.125</v>
      </c>
      <c r="P235" s="348">
        <f t="shared" si="30"/>
        <v>1737.5</v>
      </c>
      <c r="Q235" s="348">
        <f t="shared" si="31"/>
        <v>260.625</v>
      </c>
      <c r="R235" s="1014">
        <f>NC_DKDD!G943</f>
        <v>0.32500000000000001</v>
      </c>
      <c r="S235" s="332"/>
    </row>
    <row r="236" spans="1:19" s="345" customFormat="1" ht="41.25" customHeight="1">
      <c r="A236" s="832">
        <v>3</v>
      </c>
      <c r="B236" s="827" t="s">
        <v>38</v>
      </c>
      <c r="C236" s="832" t="s">
        <v>523</v>
      </c>
      <c r="D236" s="901" t="s">
        <v>881</v>
      </c>
      <c r="E236" s="898" t="e">
        <f>NC_DKDD!H944</f>
        <v>#VALUE!</v>
      </c>
      <c r="F236" s="898"/>
      <c r="G236" s="391"/>
      <c r="H236" s="898"/>
      <c r="I236" s="898"/>
      <c r="J236" s="898"/>
      <c r="K236" s="898"/>
      <c r="L236" s="898"/>
      <c r="M236" s="898"/>
      <c r="N236" s="898"/>
      <c r="O236" s="898">
        <f t="shared" si="29"/>
        <v>1026.728846153846</v>
      </c>
      <c r="P236" s="348">
        <f t="shared" si="30"/>
        <v>892.80769230769226</v>
      </c>
      <c r="Q236" s="348">
        <f t="shared" si="31"/>
        <v>133.92115384615386</v>
      </c>
      <c r="R236" s="1014">
        <f>NC_DKDD!G944</f>
        <v>0.16700000000000001</v>
      </c>
      <c r="S236" s="332"/>
    </row>
    <row r="237" spans="1:19" s="345" customFormat="1" ht="77.25" customHeight="1">
      <c r="A237" s="832">
        <v>4</v>
      </c>
      <c r="B237" s="827" t="s">
        <v>481</v>
      </c>
      <c r="C237" s="832" t="s">
        <v>281</v>
      </c>
      <c r="D237" s="901" t="s">
        <v>881</v>
      </c>
      <c r="E237" s="898" t="e">
        <f>NC_DKDD!H945</f>
        <v>#VALUE!</v>
      </c>
      <c r="F237" s="898"/>
      <c r="G237" s="391"/>
      <c r="H237" s="898"/>
      <c r="I237" s="898"/>
      <c r="J237" s="898"/>
      <c r="K237" s="898"/>
      <c r="L237" s="898"/>
      <c r="M237" s="898"/>
      <c r="N237" s="898"/>
      <c r="O237" s="898">
        <f t="shared" si="29"/>
        <v>13279.846153846152</v>
      </c>
      <c r="P237" s="348">
        <f t="shared" si="30"/>
        <v>11547.692307692307</v>
      </c>
      <c r="Q237" s="348">
        <f t="shared" si="31"/>
        <v>1732.1538461538462</v>
      </c>
      <c r="R237" s="1014">
        <f>NC_DKDD!G945</f>
        <v>2.16</v>
      </c>
      <c r="S237" s="332"/>
    </row>
    <row r="238" spans="1:19" s="345" customFormat="1" ht="35.25" customHeight="1">
      <c r="A238" s="832">
        <v>5</v>
      </c>
      <c r="B238" s="827" t="s">
        <v>69</v>
      </c>
      <c r="C238" s="832" t="s">
        <v>523</v>
      </c>
      <c r="D238" s="901" t="s">
        <v>881</v>
      </c>
      <c r="E238" s="898" t="e">
        <f>NC_DKDD!H946</f>
        <v>#VALUE!</v>
      </c>
      <c r="F238" s="898"/>
      <c r="G238" s="391"/>
      <c r="H238" s="898"/>
      <c r="I238" s="898"/>
      <c r="J238" s="898"/>
      <c r="K238" s="898"/>
      <c r="L238" s="898"/>
      <c r="M238" s="898"/>
      <c r="N238" s="898"/>
      <c r="O238" s="898">
        <f t="shared" si="29"/>
        <v>36.888461538461534</v>
      </c>
      <c r="P238" s="348">
        <f t="shared" si="30"/>
        <v>32.076923076923073</v>
      </c>
      <c r="Q238" s="348">
        <f t="shared" si="31"/>
        <v>4.8115384615384613</v>
      </c>
      <c r="R238" s="1014">
        <f>NC_DKDD!G946</f>
        <v>6.0000000000000001E-3</v>
      </c>
      <c r="S238" s="332"/>
    </row>
    <row r="239" spans="1:19" s="345" customFormat="1" ht="42.75">
      <c r="A239" s="832">
        <v>6</v>
      </c>
      <c r="B239" s="827" t="s">
        <v>483</v>
      </c>
      <c r="C239" s="832"/>
      <c r="D239" s="832"/>
      <c r="E239" s="898">
        <f>NC_DKDD!H947</f>
        <v>0</v>
      </c>
      <c r="F239" s="898"/>
      <c r="G239" s="391"/>
      <c r="H239" s="898"/>
      <c r="I239" s="898"/>
      <c r="J239" s="898"/>
      <c r="K239" s="898"/>
      <c r="L239" s="898"/>
      <c r="M239" s="898"/>
      <c r="N239" s="898"/>
      <c r="O239" s="898">
        <f t="shared" si="29"/>
        <v>0</v>
      </c>
      <c r="P239" s="348">
        <f t="shared" si="30"/>
        <v>0</v>
      </c>
      <c r="Q239" s="348">
        <f t="shared" si="31"/>
        <v>0</v>
      </c>
      <c r="R239" s="1014">
        <f>NC_DKDD!G947</f>
        <v>0</v>
      </c>
      <c r="S239" s="332"/>
    </row>
    <row r="240" spans="1:19" s="345" customFormat="1" ht="19.5" customHeight="1">
      <c r="A240" s="832" t="s">
        <v>444</v>
      </c>
      <c r="B240" s="827" t="s">
        <v>770</v>
      </c>
      <c r="C240" s="832" t="s">
        <v>281</v>
      </c>
      <c r="D240" s="901" t="s">
        <v>881</v>
      </c>
      <c r="E240" s="898" t="e">
        <f>NC_DKDD!H948</f>
        <v>#VALUE!</v>
      </c>
      <c r="F240" s="898"/>
      <c r="G240" s="391"/>
      <c r="H240" s="898"/>
      <c r="I240" s="898"/>
      <c r="J240" s="898"/>
      <c r="K240" s="898"/>
      <c r="L240" s="898"/>
      <c r="M240" s="898"/>
      <c r="N240" s="898"/>
      <c r="O240" s="898">
        <f t="shared" si="29"/>
        <v>307.40384615384619</v>
      </c>
      <c r="P240" s="348">
        <f t="shared" si="30"/>
        <v>267.30769230769232</v>
      </c>
      <c r="Q240" s="348">
        <f t="shared" si="31"/>
        <v>40.096153846153847</v>
      </c>
      <c r="R240" s="1014">
        <f>NC_DKDD!G948</f>
        <v>0.05</v>
      </c>
      <c r="S240" s="332"/>
    </row>
    <row r="241" spans="1:19" s="345" customFormat="1" ht="19.5" customHeight="1">
      <c r="A241" s="832" t="s">
        <v>445</v>
      </c>
      <c r="B241" s="827" t="s">
        <v>771</v>
      </c>
      <c r="C241" s="832" t="s">
        <v>281</v>
      </c>
      <c r="D241" s="901" t="s">
        <v>881</v>
      </c>
      <c r="E241" s="898" t="e">
        <f>NC_DKDD!H949</f>
        <v>#VALUE!</v>
      </c>
      <c r="F241" s="898"/>
      <c r="G241" s="391"/>
      <c r="H241" s="898"/>
      <c r="I241" s="898"/>
      <c r="J241" s="898"/>
      <c r="K241" s="898"/>
      <c r="L241" s="898"/>
      <c r="M241" s="898"/>
      <c r="N241" s="898"/>
      <c r="O241" s="898">
        <f t="shared" si="29"/>
        <v>614.80769230769238</v>
      </c>
      <c r="P241" s="348">
        <f t="shared" si="30"/>
        <v>534.61538461538464</v>
      </c>
      <c r="Q241" s="348">
        <f t="shared" si="31"/>
        <v>80.192307692307693</v>
      </c>
      <c r="R241" s="1014">
        <f>NC_DKDD!G949</f>
        <v>0.1</v>
      </c>
      <c r="S241" s="332"/>
    </row>
    <row r="242" spans="1:19" s="345" customFormat="1" ht="28.5">
      <c r="A242" s="832">
        <v>7</v>
      </c>
      <c r="B242" s="827" t="s">
        <v>554</v>
      </c>
      <c r="C242" s="832" t="s">
        <v>281</v>
      </c>
      <c r="D242" s="901" t="s">
        <v>881</v>
      </c>
      <c r="E242" s="898" t="e">
        <f>NC_DKDD!H950</f>
        <v>#VALUE!</v>
      </c>
      <c r="F242" s="898"/>
      <c r="G242" s="391"/>
      <c r="H242" s="898"/>
      <c r="I242" s="898"/>
      <c r="J242" s="898"/>
      <c r="K242" s="898"/>
      <c r="L242" s="898"/>
      <c r="M242" s="898"/>
      <c r="N242" s="898"/>
      <c r="O242" s="898">
        <f t="shared" si="29"/>
        <v>1598.5</v>
      </c>
      <c r="P242" s="348">
        <f t="shared" si="30"/>
        <v>1390</v>
      </c>
      <c r="Q242" s="348">
        <f t="shared" si="31"/>
        <v>208.5</v>
      </c>
      <c r="R242" s="1014">
        <f>NC_DKDD!G950</f>
        <v>0.26</v>
      </c>
      <c r="S242" s="332"/>
    </row>
    <row r="243" spans="1:19" s="345" customFormat="1" ht="23.25" customHeight="1">
      <c r="A243" s="832">
        <v>8</v>
      </c>
      <c r="B243" s="827" t="s">
        <v>211</v>
      </c>
      <c r="C243" s="832" t="s">
        <v>523</v>
      </c>
      <c r="D243" s="901" t="s">
        <v>881</v>
      </c>
      <c r="E243" s="898" t="e">
        <f>NC_DKDD!H951</f>
        <v>#VALUE!</v>
      </c>
      <c r="F243" s="898"/>
      <c r="G243" s="391"/>
      <c r="H243" s="898"/>
      <c r="I243" s="898"/>
      <c r="J243" s="898"/>
      <c r="K243" s="898"/>
      <c r="L243" s="898"/>
      <c r="M243" s="898"/>
      <c r="N243" s="898"/>
      <c r="O243" s="898">
        <f t="shared" si="29"/>
        <v>1444.7980769230767</v>
      </c>
      <c r="P243" s="348">
        <f t="shared" si="30"/>
        <v>1256.3461538461536</v>
      </c>
      <c r="Q243" s="348">
        <f t="shared" si="31"/>
        <v>188.45192307692307</v>
      </c>
      <c r="R243" s="1014">
        <f>NC_DKDD!G951</f>
        <v>0.23499999999999999</v>
      </c>
      <c r="S243" s="332"/>
    </row>
    <row r="244" spans="1:19" s="345" customFormat="1" ht="23.25" customHeight="1">
      <c r="A244" s="832">
        <v>9</v>
      </c>
      <c r="B244" s="827" t="s">
        <v>213</v>
      </c>
      <c r="C244" s="832"/>
      <c r="D244" s="832"/>
      <c r="E244" s="898">
        <f>NC_DKDD!H952</f>
        <v>0</v>
      </c>
      <c r="F244" s="898"/>
      <c r="G244" s="391"/>
      <c r="H244" s="898"/>
      <c r="I244" s="898"/>
      <c r="J244" s="898"/>
      <c r="K244" s="898"/>
      <c r="L244" s="898"/>
      <c r="M244" s="898"/>
      <c r="N244" s="898"/>
      <c r="O244" s="898">
        <f t="shared" si="29"/>
        <v>0</v>
      </c>
      <c r="P244" s="348">
        <f t="shared" si="30"/>
        <v>0</v>
      </c>
      <c r="Q244" s="348">
        <f t="shared" si="31"/>
        <v>0</v>
      </c>
      <c r="R244" s="1014">
        <f>NC_DKDD!G952</f>
        <v>0</v>
      </c>
      <c r="S244" s="332"/>
    </row>
    <row r="245" spans="1:19" s="345" customFormat="1" ht="23.25" customHeight="1">
      <c r="A245" s="832" t="s">
        <v>446</v>
      </c>
      <c r="B245" s="827" t="s">
        <v>215</v>
      </c>
      <c r="C245" s="832" t="s">
        <v>320</v>
      </c>
      <c r="D245" s="901" t="s">
        <v>881</v>
      </c>
      <c r="E245" s="898" t="e">
        <f>NC_DKDD!H953</f>
        <v>#VALUE!</v>
      </c>
      <c r="F245" s="898"/>
      <c r="G245" s="391"/>
      <c r="H245" s="898"/>
      <c r="I245" s="898"/>
      <c r="J245" s="898"/>
      <c r="K245" s="898"/>
      <c r="L245" s="898"/>
      <c r="M245" s="898"/>
      <c r="N245" s="898"/>
      <c r="O245" s="898">
        <f t="shared" si="29"/>
        <v>614.80769230769238</v>
      </c>
      <c r="P245" s="348">
        <f t="shared" si="30"/>
        <v>534.61538461538464</v>
      </c>
      <c r="Q245" s="348">
        <f t="shared" si="31"/>
        <v>80.192307692307693</v>
      </c>
      <c r="R245" s="1014">
        <f>NC_DKDD!G953</f>
        <v>0.1</v>
      </c>
      <c r="S245" s="332"/>
    </row>
    <row r="246" spans="1:19" s="345" customFormat="1" ht="19.5" customHeight="1">
      <c r="A246" s="832" t="s">
        <v>447</v>
      </c>
      <c r="B246" s="827" t="s">
        <v>217</v>
      </c>
      <c r="C246" s="832" t="s">
        <v>320</v>
      </c>
      <c r="D246" s="901" t="s">
        <v>881</v>
      </c>
      <c r="E246" s="898" t="e">
        <f>NC_DKDD!H954</f>
        <v>#VALUE!</v>
      </c>
      <c r="F246" s="898"/>
      <c r="G246" s="391"/>
      <c r="H246" s="898"/>
      <c r="I246" s="898"/>
      <c r="J246" s="898"/>
      <c r="K246" s="898"/>
      <c r="L246" s="898"/>
      <c r="M246" s="898"/>
      <c r="N246" s="898"/>
      <c r="O246" s="898">
        <f t="shared" si="29"/>
        <v>1229.6153846153848</v>
      </c>
      <c r="P246" s="348">
        <f t="shared" si="30"/>
        <v>1069.2307692307693</v>
      </c>
      <c r="Q246" s="348">
        <f t="shared" si="31"/>
        <v>160.38461538461539</v>
      </c>
      <c r="R246" s="1014">
        <f>NC_DKDD!G954</f>
        <v>0.2</v>
      </c>
      <c r="S246" s="332"/>
    </row>
    <row r="247" spans="1:19" s="345" customFormat="1" ht="34.5" customHeight="1">
      <c r="A247" s="832" t="s">
        <v>555</v>
      </c>
      <c r="B247" s="827" t="s">
        <v>556</v>
      </c>
      <c r="C247" s="832" t="s">
        <v>320</v>
      </c>
      <c r="D247" s="901" t="s">
        <v>881</v>
      </c>
      <c r="E247" s="898" t="e">
        <f>NC_DKDD!H955</f>
        <v>#VALUE!</v>
      </c>
      <c r="F247" s="898"/>
      <c r="G247" s="391"/>
      <c r="H247" s="898"/>
      <c r="I247" s="898"/>
      <c r="J247" s="898"/>
      <c r="K247" s="898"/>
      <c r="L247" s="898"/>
      <c r="M247" s="898"/>
      <c r="N247" s="898"/>
      <c r="O247" s="898">
        <f t="shared" si="29"/>
        <v>614.80769230769238</v>
      </c>
      <c r="P247" s="348">
        <f t="shared" si="30"/>
        <v>534.61538461538464</v>
      </c>
      <c r="Q247" s="348">
        <f t="shared" si="31"/>
        <v>80.192307692307693</v>
      </c>
      <c r="R247" s="1014">
        <f>NC_DKDD!G955</f>
        <v>0.1</v>
      </c>
      <c r="S247" s="332"/>
    </row>
    <row r="248" spans="1:19" s="345" customFormat="1" ht="35.25" customHeight="1">
      <c r="A248" s="832">
        <v>10</v>
      </c>
      <c r="B248" s="827" t="s">
        <v>557</v>
      </c>
      <c r="C248" s="832" t="s">
        <v>281</v>
      </c>
      <c r="D248" s="901" t="s">
        <v>881</v>
      </c>
      <c r="E248" s="898" t="e">
        <f>NC_DKDD!H956</f>
        <v>#VALUE!</v>
      </c>
      <c r="F248" s="898"/>
      <c r="G248" s="391"/>
      <c r="H248" s="898"/>
      <c r="I248" s="898"/>
      <c r="J248" s="898"/>
      <c r="K248" s="898"/>
      <c r="L248" s="898"/>
      <c r="M248" s="898"/>
      <c r="N248" s="898"/>
      <c r="O248" s="898">
        <f t="shared" si="29"/>
        <v>3197</v>
      </c>
      <c r="P248" s="348">
        <f t="shared" si="30"/>
        <v>2780</v>
      </c>
      <c r="Q248" s="348">
        <f t="shared" si="31"/>
        <v>417</v>
      </c>
      <c r="R248" s="1014">
        <f>NC_DKDD!G956</f>
        <v>0.52</v>
      </c>
      <c r="S248" s="332"/>
    </row>
    <row r="249" spans="1:19" s="345" customFormat="1" ht="57">
      <c r="A249" s="832">
        <v>11</v>
      </c>
      <c r="B249" s="827" t="s">
        <v>1</v>
      </c>
      <c r="C249" s="832" t="s">
        <v>281</v>
      </c>
      <c r="D249" s="901" t="s">
        <v>881</v>
      </c>
      <c r="E249" s="898" t="e">
        <f>NC_DKDD!H957</f>
        <v>#VALUE!</v>
      </c>
      <c r="F249" s="898"/>
      <c r="G249" s="391"/>
      <c r="H249" s="898"/>
      <c r="I249" s="898"/>
      <c r="J249" s="898"/>
      <c r="K249" s="898"/>
      <c r="L249" s="898"/>
      <c r="M249" s="898"/>
      <c r="N249" s="898"/>
      <c r="O249" s="898">
        <f t="shared" si="29"/>
        <v>2729.7461538461539</v>
      </c>
      <c r="P249" s="348">
        <f t="shared" si="30"/>
        <v>2373.6923076923076</v>
      </c>
      <c r="Q249" s="348">
        <f t="shared" si="31"/>
        <v>356.05384615384617</v>
      </c>
      <c r="R249" s="1014">
        <f>NC_DKDD!G957</f>
        <v>0.44400000000000001</v>
      </c>
      <c r="S249" s="332"/>
    </row>
    <row r="250" spans="1:19" s="345" customFormat="1" ht="19.5" customHeight="1">
      <c r="A250" s="832">
        <v>12</v>
      </c>
      <c r="B250" s="827" t="s">
        <v>220</v>
      </c>
      <c r="C250" s="832" t="s">
        <v>523</v>
      </c>
      <c r="D250" s="901" t="s">
        <v>881</v>
      </c>
      <c r="E250" s="898" t="e">
        <f>NC_DKDD!H958</f>
        <v>#VALUE!</v>
      </c>
      <c r="F250" s="898"/>
      <c r="G250" s="391"/>
      <c r="H250" s="898"/>
      <c r="I250" s="898"/>
      <c r="J250" s="898"/>
      <c r="K250" s="898"/>
      <c r="L250" s="898"/>
      <c r="M250" s="898"/>
      <c r="N250" s="898"/>
      <c r="O250" s="898">
        <f t="shared" si="29"/>
        <v>202.88653846153844</v>
      </c>
      <c r="P250" s="348">
        <f t="shared" si="30"/>
        <v>176.42307692307691</v>
      </c>
      <c r="Q250" s="348">
        <f t="shared" si="31"/>
        <v>26.463461538461541</v>
      </c>
      <c r="R250" s="1014">
        <f>NC_DKDD!G958</f>
        <v>3.3000000000000002E-2</v>
      </c>
      <c r="S250" s="332"/>
    </row>
    <row r="251" spans="1:19" s="345" customFormat="1" ht="19.5" customHeight="1">
      <c r="A251" s="832">
        <v>13</v>
      </c>
      <c r="B251" s="827" t="s">
        <v>221</v>
      </c>
      <c r="C251" s="832"/>
      <c r="D251" s="832"/>
      <c r="E251" s="898">
        <f>NC_DKDD!H959</f>
        <v>0</v>
      </c>
      <c r="F251" s="898"/>
      <c r="G251" s="391"/>
      <c r="H251" s="898"/>
      <c r="I251" s="898"/>
      <c r="J251" s="898"/>
      <c r="K251" s="898"/>
      <c r="L251" s="898"/>
      <c r="M251" s="898"/>
      <c r="N251" s="898"/>
      <c r="O251" s="898">
        <f t="shared" si="29"/>
        <v>0</v>
      </c>
      <c r="P251" s="348">
        <f t="shared" si="30"/>
        <v>0</v>
      </c>
      <c r="Q251" s="348">
        <f t="shared" si="31"/>
        <v>0</v>
      </c>
      <c r="R251" s="1014">
        <f>NC_DKDD!G959</f>
        <v>0</v>
      </c>
      <c r="S251" s="332"/>
    </row>
    <row r="252" spans="1:19" s="345" customFormat="1" ht="28.5">
      <c r="A252" s="832" t="s">
        <v>237</v>
      </c>
      <c r="B252" s="827" t="s">
        <v>931</v>
      </c>
      <c r="C252" s="832"/>
      <c r="D252" s="832"/>
      <c r="E252" s="898">
        <f>NC_DKDD!H960</f>
        <v>0</v>
      </c>
      <c r="F252" s="898"/>
      <c r="G252" s="391"/>
      <c r="H252" s="898"/>
      <c r="I252" s="898"/>
      <c r="J252" s="898"/>
      <c r="K252" s="898"/>
      <c r="L252" s="898"/>
      <c r="M252" s="898"/>
      <c r="N252" s="898"/>
      <c r="O252" s="898">
        <f t="shared" si="29"/>
        <v>0</v>
      </c>
      <c r="P252" s="348">
        <f t="shared" si="30"/>
        <v>0</v>
      </c>
      <c r="Q252" s="348">
        <f t="shared" si="31"/>
        <v>0</v>
      </c>
      <c r="R252" s="1014">
        <f>NC_DKDD!G960</f>
        <v>0</v>
      </c>
      <c r="S252" s="332"/>
    </row>
    <row r="253" spans="1:19" s="345" customFormat="1" ht="19.5" customHeight="1">
      <c r="A253" s="832" t="s">
        <v>238</v>
      </c>
      <c r="B253" s="827" t="s">
        <v>933</v>
      </c>
      <c r="C253" s="832" t="s">
        <v>525</v>
      </c>
      <c r="D253" s="901" t="s">
        <v>881</v>
      </c>
      <c r="E253" s="898" t="e">
        <f>NC_DKDD!H961</f>
        <v>#VALUE!</v>
      </c>
      <c r="F253" s="898"/>
      <c r="G253" s="391"/>
      <c r="H253" s="898"/>
      <c r="I253" s="898"/>
      <c r="J253" s="898"/>
      <c r="K253" s="898"/>
      <c r="L253" s="898"/>
      <c r="M253" s="898"/>
      <c r="N253" s="898"/>
      <c r="O253" s="898">
        <f t="shared" si="29"/>
        <v>122.96153846153845</v>
      </c>
      <c r="P253" s="348">
        <f t="shared" si="30"/>
        <v>106.92307692307692</v>
      </c>
      <c r="Q253" s="348">
        <f t="shared" si="31"/>
        <v>16.03846153846154</v>
      </c>
      <c r="R253" s="1014">
        <f>NC_DKDD!G961</f>
        <v>0.02</v>
      </c>
      <c r="S253" s="332"/>
    </row>
    <row r="254" spans="1:19" s="345" customFormat="1" ht="19.5" customHeight="1">
      <c r="A254" s="832" t="s">
        <v>239</v>
      </c>
      <c r="B254" s="827" t="s">
        <v>937</v>
      </c>
      <c r="C254" s="832" t="s">
        <v>525</v>
      </c>
      <c r="D254" s="901" t="s">
        <v>881</v>
      </c>
      <c r="E254" s="898" t="e">
        <f>NC_DKDD!H962</f>
        <v>#VALUE!</v>
      </c>
      <c r="F254" s="898"/>
      <c r="G254" s="391"/>
      <c r="H254" s="898"/>
      <c r="I254" s="898"/>
      <c r="J254" s="898"/>
      <c r="K254" s="898"/>
      <c r="L254" s="898"/>
      <c r="M254" s="898"/>
      <c r="N254" s="898"/>
      <c r="O254" s="898">
        <f t="shared" si="29"/>
        <v>61.480769230769226</v>
      </c>
      <c r="P254" s="348">
        <f t="shared" si="30"/>
        <v>53.46153846153846</v>
      </c>
      <c r="Q254" s="348">
        <f t="shared" si="31"/>
        <v>8.0192307692307701</v>
      </c>
      <c r="R254" s="1014">
        <f>NC_DKDD!G962</f>
        <v>0.01</v>
      </c>
      <c r="S254" s="332"/>
    </row>
    <row r="255" spans="1:19" s="345" customFormat="1" ht="32.25" customHeight="1">
      <c r="A255" s="832" t="s">
        <v>240</v>
      </c>
      <c r="B255" s="827" t="s">
        <v>48</v>
      </c>
      <c r="C255" s="832" t="s">
        <v>525</v>
      </c>
      <c r="D255" s="901" t="s">
        <v>881</v>
      </c>
      <c r="E255" s="898" t="e">
        <f>NC_DKDD!H963</f>
        <v>#VALUE!</v>
      </c>
      <c r="F255" s="898"/>
      <c r="G255" s="391"/>
      <c r="H255" s="898"/>
      <c r="I255" s="898"/>
      <c r="J255" s="898"/>
      <c r="K255" s="898"/>
      <c r="L255" s="898"/>
      <c r="M255" s="898"/>
      <c r="N255" s="898"/>
      <c r="O255" s="898">
        <f t="shared" si="29"/>
        <v>30.740384615384613</v>
      </c>
      <c r="P255" s="348">
        <f t="shared" si="30"/>
        <v>26.73076923076923</v>
      </c>
      <c r="Q255" s="348">
        <f t="shared" si="31"/>
        <v>4.009615384615385</v>
      </c>
      <c r="R255" s="1014">
        <f>NC_DKDD!G963</f>
        <v>5.0000000000000001E-3</v>
      </c>
      <c r="S255" s="332"/>
    </row>
    <row r="256" spans="1:19" s="345" customFormat="1" ht="24.75" customHeight="1">
      <c r="A256" s="832" t="s">
        <v>241</v>
      </c>
      <c r="B256" s="827" t="s">
        <v>50</v>
      </c>
      <c r="C256" s="832" t="s">
        <v>523</v>
      </c>
      <c r="D256" s="901" t="s">
        <v>881</v>
      </c>
      <c r="E256" s="898" t="e">
        <f>NC_DKDD!H964</f>
        <v>#VALUE!</v>
      </c>
      <c r="F256" s="898"/>
      <c r="G256" s="391"/>
      <c r="H256" s="898"/>
      <c r="I256" s="898"/>
      <c r="J256" s="898"/>
      <c r="K256" s="898"/>
      <c r="L256" s="898"/>
      <c r="M256" s="898"/>
      <c r="N256" s="898"/>
      <c r="O256" s="898">
        <f t="shared" si="29"/>
        <v>61.480769230769226</v>
      </c>
      <c r="P256" s="348">
        <f t="shared" si="30"/>
        <v>53.46153846153846</v>
      </c>
      <c r="Q256" s="348">
        <f t="shared" si="31"/>
        <v>8.0192307692307701</v>
      </c>
      <c r="R256" s="1014">
        <f>NC_DKDD!G964</f>
        <v>0.01</v>
      </c>
      <c r="S256" s="332"/>
    </row>
    <row r="257" spans="1:19" s="345" customFormat="1" ht="24.75" customHeight="1">
      <c r="A257" s="869" t="s">
        <v>184</v>
      </c>
      <c r="B257" s="868" t="s">
        <v>526</v>
      </c>
      <c r="C257" s="832"/>
      <c r="D257" s="832"/>
      <c r="E257" s="919" t="e">
        <f>E258</f>
        <v>#VALUE!</v>
      </c>
      <c r="F257" s="898"/>
      <c r="G257" s="391"/>
      <c r="H257" s="898">
        <f>'Dcu-DKDD'!$L$338</f>
        <v>0</v>
      </c>
      <c r="I257" s="898">
        <f>'VL-DKDD'!$J$342</f>
        <v>0</v>
      </c>
      <c r="J257" s="898">
        <f>'TB-DKDD'!$M$194</f>
        <v>0</v>
      </c>
      <c r="K257" s="898"/>
      <c r="L257" s="893" t="e">
        <f>SUM(E257:K257)</f>
        <v>#VALUE!</v>
      </c>
      <c r="M257" s="893" t="e">
        <f>L257*'He so chung'!$D$17/100</f>
        <v>#VALUE!</v>
      </c>
      <c r="N257" s="893" t="e">
        <f>L257+M257</f>
        <v>#VALUE!</v>
      </c>
      <c r="O257" s="919">
        <f>O258</f>
        <v>3197</v>
      </c>
      <c r="P257" s="348">
        <f t="shared" si="30"/>
        <v>0</v>
      </c>
      <c r="Q257" s="348">
        <f t="shared" si="31"/>
        <v>0</v>
      </c>
      <c r="R257" s="1014">
        <f>NC_DKDD!G965</f>
        <v>0</v>
      </c>
      <c r="S257" s="332"/>
    </row>
    <row r="258" spans="1:19" s="345" customFormat="1" ht="24.75" customHeight="1">
      <c r="A258" s="832">
        <v>1</v>
      </c>
      <c r="B258" s="827" t="s">
        <v>2</v>
      </c>
      <c r="C258" s="832" t="s">
        <v>281</v>
      </c>
      <c r="D258" s="901" t="s">
        <v>881</v>
      </c>
      <c r="E258" s="898" t="e">
        <f>NC_DKDD!H966</f>
        <v>#VALUE!</v>
      </c>
      <c r="F258" s="898"/>
      <c r="G258" s="391"/>
      <c r="H258" s="898"/>
      <c r="I258" s="898"/>
      <c r="J258" s="898"/>
      <c r="K258" s="898"/>
      <c r="L258" s="898"/>
      <c r="M258" s="898"/>
      <c r="N258" s="898"/>
      <c r="O258" s="898">
        <f>P258+Q258</f>
        <v>3197</v>
      </c>
      <c r="P258" s="348">
        <f t="shared" si="30"/>
        <v>2780</v>
      </c>
      <c r="Q258" s="348">
        <f t="shared" si="31"/>
        <v>417</v>
      </c>
      <c r="R258" s="1014">
        <f>NC_DKDD!G966</f>
        <v>0.52</v>
      </c>
      <c r="S258" s="332"/>
    </row>
    <row r="259" spans="1:19" s="345" customFormat="1" ht="24.75" customHeight="1">
      <c r="A259" s="869" t="s">
        <v>913</v>
      </c>
      <c r="B259" s="868" t="s">
        <v>88</v>
      </c>
      <c r="C259" s="832"/>
      <c r="D259" s="832"/>
      <c r="E259" s="919" t="e">
        <f>E260</f>
        <v>#VALUE!</v>
      </c>
      <c r="F259" s="898"/>
      <c r="G259" s="391"/>
      <c r="H259" s="898">
        <f>'Dcu-DKDD'!$H$338*1.3</f>
        <v>996.86684999999989</v>
      </c>
      <c r="I259" s="898">
        <f>'VL-DKDD'!$F$342</f>
        <v>1611.36</v>
      </c>
      <c r="J259" s="898">
        <f>'TB-DKDD'!$I$194*1.3</f>
        <v>84.525999999999996</v>
      </c>
      <c r="K259" s="898">
        <f>'NL-DKDD'!$F$133*1.3</f>
        <v>179.7978</v>
      </c>
      <c r="L259" s="893" t="e">
        <f>SUM(E259:K259)</f>
        <v>#VALUE!</v>
      </c>
      <c r="M259" s="893" t="e">
        <f>L259*'He so chung'!$D$17/100</f>
        <v>#VALUE!</v>
      </c>
      <c r="N259" s="893" t="e">
        <f>L259+M259</f>
        <v>#VALUE!</v>
      </c>
      <c r="O259" s="919">
        <f>O260</f>
        <v>799.25</v>
      </c>
      <c r="P259" s="348">
        <f t="shared" si="30"/>
        <v>0</v>
      </c>
      <c r="Q259" s="348">
        <f t="shared" si="31"/>
        <v>0</v>
      </c>
      <c r="R259" s="1014">
        <f>NC_DKDD!G967</f>
        <v>0</v>
      </c>
      <c r="S259" s="332"/>
    </row>
    <row r="260" spans="1:19" s="345" customFormat="1" ht="24.75" customHeight="1">
      <c r="A260" s="832">
        <v>1</v>
      </c>
      <c r="B260" s="827" t="s">
        <v>3</v>
      </c>
      <c r="C260" s="832" t="s">
        <v>281</v>
      </c>
      <c r="D260" s="901" t="s">
        <v>881</v>
      </c>
      <c r="E260" s="898" t="e">
        <f>NC_DKDD!H968</f>
        <v>#VALUE!</v>
      </c>
      <c r="F260" s="898"/>
      <c r="G260" s="391"/>
      <c r="H260" s="898"/>
      <c r="I260" s="898"/>
      <c r="J260" s="898"/>
      <c r="K260" s="898"/>
      <c r="L260" s="898"/>
      <c r="M260" s="898"/>
      <c r="N260" s="898"/>
      <c r="O260" s="898">
        <f>P260+Q260</f>
        <v>799.25</v>
      </c>
      <c r="P260" s="348">
        <f t="shared" si="30"/>
        <v>695</v>
      </c>
      <c r="Q260" s="348">
        <f t="shared" si="31"/>
        <v>104.25</v>
      </c>
      <c r="R260" s="1014">
        <f>NC_DKDD!G968</f>
        <v>0.13</v>
      </c>
      <c r="S260" s="332"/>
    </row>
    <row r="261" spans="1:19" s="345" customFormat="1" ht="19.5" customHeight="1">
      <c r="A261" s="358"/>
      <c r="B261" s="1129" t="s">
        <v>41</v>
      </c>
      <c r="C261" s="1129"/>
      <c r="D261" s="1129"/>
      <c r="E261" s="1129"/>
      <c r="F261" s="1129"/>
      <c r="G261" s="1129"/>
      <c r="H261" s="1129"/>
      <c r="I261" s="1129"/>
      <c r="J261" s="1129"/>
      <c r="K261" s="1129"/>
      <c r="L261" s="1129"/>
      <c r="M261" s="1129"/>
      <c r="N261" s="1129"/>
      <c r="O261" s="1129"/>
      <c r="P261" s="332"/>
      <c r="Q261" s="332"/>
      <c r="R261" s="1012"/>
      <c r="S261" s="332"/>
    </row>
    <row r="262" spans="1:19" ht="23.25" customHeight="1">
      <c r="A262" s="1114" t="s">
        <v>1015</v>
      </c>
      <c r="B262" s="1114"/>
      <c r="C262" s="1114"/>
      <c r="D262" s="1114"/>
      <c r="E262" s="1114"/>
      <c r="F262" s="1114"/>
      <c r="G262" s="1114"/>
      <c r="H262" s="1114"/>
      <c r="I262" s="1114"/>
      <c r="J262" s="1114"/>
      <c r="K262" s="1114"/>
      <c r="L262" s="1114"/>
      <c r="M262" s="1114"/>
      <c r="N262" s="1114"/>
      <c r="O262" s="1114"/>
      <c r="R262" s="1012"/>
    </row>
    <row r="263" spans="1:19" ht="18" customHeight="1">
      <c r="A263" s="1113" t="s">
        <v>960</v>
      </c>
      <c r="B263" s="1113"/>
      <c r="C263" s="1113"/>
      <c r="D263" s="1113"/>
      <c r="E263" s="1113"/>
      <c r="F263" s="1113"/>
      <c r="G263" s="1113"/>
      <c r="H263" s="1113"/>
      <c r="I263" s="1113"/>
      <c r="J263" s="1113"/>
      <c r="K263" s="1113"/>
      <c r="L263" s="1113"/>
      <c r="M263" s="1113"/>
      <c r="N263" s="1113"/>
      <c r="O263" s="1113"/>
      <c r="P263" s="1113"/>
      <c r="R263" s="1012"/>
    </row>
    <row r="264" spans="1:19" s="345" customFormat="1" ht="19.5" customHeight="1">
      <c r="A264" s="337"/>
      <c r="B264" s="363"/>
      <c r="C264" s="338"/>
      <c r="D264" s="339" t="s">
        <v>576</v>
      </c>
      <c r="E264" s="340"/>
      <c r="F264" s="341"/>
      <c r="G264" s="342"/>
      <c r="H264" s="341"/>
      <c r="I264" s="343"/>
      <c r="J264" s="341"/>
      <c r="K264" s="341"/>
      <c r="L264" s="991" t="s">
        <v>980</v>
      </c>
      <c r="M264" s="341"/>
      <c r="N264" s="343"/>
      <c r="O264" s="340"/>
      <c r="P264" s="332"/>
      <c r="Q264" s="332"/>
      <c r="R264" s="1016"/>
      <c r="S264" s="332"/>
    </row>
    <row r="265" spans="1:19" s="345" customFormat="1" ht="7.5" customHeight="1">
      <c r="A265" s="337"/>
      <c r="B265" s="363"/>
      <c r="C265" s="338"/>
      <c r="D265" s="346"/>
      <c r="E265" s="340"/>
      <c r="F265" s="340"/>
      <c r="G265" s="347"/>
      <c r="H265" s="340"/>
      <c r="I265" s="340"/>
      <c r="J265" s="340"/>
      <c r="K265" s="340"/>
      <c r="L265" s="340"/>
      <c r="M265" s="340"/>
      <c r="N265" s="340"/>
      <c r="O265" s="340"/>
      <c r="P265" s="332"/>
      <c r="Q265" s="332"/>
      <c r="R265" s="1016"/>
      <c r="S265" s="332"/>
    </row>
    <row r="266" spans="1:19" s="836" customFormat="1" ht="34.15" customHeight="1">
      <c r="A266" s="1112" t="s">
        <v>876</v>
      </c>
      <c r="B266" s="1112" t="s">
        <v>381</v>
      </c>
      <c r="C266" s="1124" t="s">
        <v>981</v>
      </c>
      <c r="D266" s="1124" t="s">
        <v>982</v>
      </c>
      <c r="E266" s="1124" t="s">
        <v>876</v>
      </c>
      <c r="F266" s="1124"/>
      <c r="G266" s="1124"/>
      <c r="H266" s="1124"/>
      <c r="I266" s="1124"/>
      <c r="J266" s="1124"/>
      <c r="K266" s="1124"/>
      <c r="L266" s="1124"/>
      <c r="M266" s="1124" t="s">
        <v>581</v>
      </c>
      <c r="N266" s="1124" t="s">
        <v>201</v>
      </c>
      <c r="O266" s="1124" t="s">
        <v>200</v>
      </c>
      <c r="P266" s="835"/>
      <c r="Q266" s="835"/>
      <c r="R266" s="1017"/>
      <c r="S266" s="367"/>
    </row>
    <row r="267" spans="1:19" s="836" customFormat="1" ht="40.15" customHeight="1">
      <c r="A267" s="1112"/>
      <c r="B267" s="1112"/>
      <c r="C267" s="1124"/>
      <c r="D267" s="1124"/>
      <c r="E267" s="382" t="s">
        <v>469</v>
      </c>
      <c r="F267" s="382" t="s">
        <v>470</v>
      </c>
      <c r="G267" s="837" t="s">
        <v>1003</v>
      </c>
      <c r="H267" s="382" t="s">
        <v>59</v>
      </c>
      <c r="I267" s="382" t="s">
        <v>471</v>
      </c>
      <c r="J267" s="382" t="s">
        <v>280</v>
      </c>
      <c r="K267" s="382" t="s">
        <v>472</v>
      </c>
      <c r="L267" s="382" t="s">
        <v>473</v>
      </c>
      <c r="M267" s="1124"/>
      <c r="N267" s="1124"/>
      <c r="O267" s="1124"/>
      <c r="P267" s="835"/>
      <c r="Q267" s="835"/>
      <c r="R267" s="1017"/>
      <c r="S267" s="367"/>
    </row>
    <row r="268" spans="1:19" s="836" customFormat="1" ht="33.75" customHeight="1">
      <c r="A268" s="831"/>
      <c r="B268" s="838" t="s">
        <v>906</v>
      </c>
      <c r="C268" s="382"/>
      <c r="D268" s="382"/>
      <c r="E268" s="382"/>
      <c r="F268" s="382"/>
      <c r="G268" s="837"/>
      <c r="H268" s="382"/>
      <c r="I268" s="382"/>
      <c r="J268" s="382"/>
      <c r="K268" s="382"/>
      <c r="L268" s="382"/>
      <c r="M268" s="382"/>
      <c r="N268" s="382"/>
      <c r="O268" s="382"/>
      <c r="P268" s="835"/>
      <c r="Q268" s="835"/>
      <c r="R268" s="1017"/>
      <c r="S268" s="367"/>
    </row>
    <row r="269" spans="1:19" s="836" customFormat="1" ht="22.5" customHeight="1">
      <c r="A269" s="831"/>
      <c r="B269" s="868" t="s">
        <v>451</v>
      </c>
      <c r="C269" s="382" t="s">
        <v>281</v>
      </c>
      <c r="D269" s="831" t="s">
        <v>881</v>
      </c>
      <c r="E269" s="383" t="e">
        <f>E273+E300+E302</f>
        <v>#VALUE!</v>
      </c>
      <c r="F269" s="383">
        <f t="shared" ref="F269:O269" si="32">F273+F300+F302</f>
        <v>0</v>
      </c>
      <c r="G269" s="383">
        <f t="shared" si="32"/>
        <v>0</v>
      </c>
      <c r="H269" s="383">
        <f t="shared" si="32"/>
        <v>15311.343956730771</v>
      </c>
      <c r="I269" s="383">
        <f t="shared" si="32"/>
        <v>24075.468000000001</v>
      </c>
      <c r="J269" s="383">
        <f t="shared" si="32"/>
        <v>9608.4799999999977</v>
      </c>
      <c r="K269" s="383">
        <f t="shared" si="32"/>
        <v>18643.338</v>
      </c>
      <c r="L269" s="383" t="e">
        <f t="shared" si="32"/>
        <v>#VALUE!</v>
      </c>
      <c r="M269" s="383" t="e">
        <f t="shared" si="32"/>
        <v>#VALUE!</v>
      </c>
      <c r="N269" s="383" t="e">
        <f t="shared" si="32"/>
        <v>#VALUE!</v>
      </c>
      <c r="O269" s="383">
        <f t="shared" si="32"/>
        <v>39556.726923076923</v>
      </c>
      <c r="P269" s="835"/>
      <c r="Q269" s="835"/>
      <c r="R269" s="1017"/>
      <c r="S269" s="367"/>
    </row>
    <row r="270" spans="1:19" s="836" customFormat="1" ht="22.5" customHeight="1">
      <c r="A270" s="831"/>
      <c r="B270" s="868" t="s">
        <v>452</v>
      </c>
      <c r="C270" s="382" t="s">
        <v>281</v>
      </c>
      <c r="D270" s="831" t="s">
        <v>881</v>
      </c>
      <c r="E270" s="383" t="e">
        <f>E274+E300+E302</f>
        <v>#VALUE!</v>
      </c>
      <c r="F270" s="383">
        <f t="shared" ref="F270:N270" si="33">F274+F300+F302</f>
        <v>0</v>
      </c>
      <c r="G270" s="383">
        <f t="shared" si="33"/>
        <v>0</v>
      </c>
      <c r="H270" s="383">
        <f t="shared" si="33"/>
        <v>15311.343956730771</v>
      </c>
      <c r="I270" s="383">
        <f t="shared" si="33"/>
        <v>24075.468000000001</v>
      </c>
      <c r="J270" s="383">
        <f t="shared" si="33"/>
        <v>9608.4799999999977</v>
      </c>
      <c r="K270" s="383">
        <f t="shared" si="33"/>
        <v>18643.338</v>
      </c>
      <c r="L270" s="383" t="e">
        <f t="shared" si="33"/>
        <v>#VALUE!</v>
      </c>
      <c r="M270" s="383" t="e">
        <f t="shared" si="33"/>
        <v>#VALUE!</v>
      </c>
      <c r="N270" s="383" t="e">
        <f t="shared" si="33"/>
        <v>#VALUE!</v>
      </c>
      <c r="O270" s="383">
        <f>O274+O300+O302</f>
        <v>39249.323076923079</v>
      </c>
      <c r="P270" s="835"/>
      <c r="Q270" s="835"/>
      <c r="R270" s="1017"/>
      <c r="S270" s="367"/>
    </row>
    <row r="271" spans="1:19" s="836" customFormat="1" ht="22.5" customHeight="1">
      <c r="A271" s="831"/>
      <c r="B271" s="888"/>
      <c r="C271" s="382"/>
      <c r="D271" s="382"/>
      <c r="E271" s="1018"/>
      <c r="F271" s="1018"/>
      <c r="G271" s="1018"/>
      <c r="H271" s="1018"/>
      <c r="I271" s="1018"/>
      <c r="J271" s="1018"/>
      <c r="K271" s="1018"/>
      <c r="L271" s="1018"/>
      <c r="M271" s="1018"/>
      <c r="N271" s="1018"/>
      <c r="O271" s="1018"/>
      <c r="P271" s="890">
        <f>'He so chung'!D$22</f>
        <v>5346.1538461538457</v>
      </c>
      <c r="Q271" s="890">
        <f>'He so chung'!D$23</f>
        <v>801.92307692307691</v>
      </c>
      <c r="R271" s="1019"/>
      <c r="S271" s="367"/>
    </row>
    <row r="272" spans="1:19" s="836" customFormat="1" ht="22.5" customHeight="1">
      <c r="A272" s="831" t="s">
        <v>179</v>
      </c>
      <c r="B272" s="888" t="s">
        <v>1057</v>
      </c>
      <c r="C272" s="382"/>
      <c r="D272" s="382"/>
      <c r="E272" s="1018"/>
      <c r="F272" s="1018"/>
      <c r="G272" s="1018"/>
      <c r="H272" s="1018"/>
      <c r="I272" s="1018"/>
      <c r="J272" s="1018"/>
      <c r="K272" s="1018"/>
      <c r="L272" s="1018"/>
      <c r="M272" s="1018"/>
      <c r="N272" s="1018"/>
      <c r="O272" s="1018"/>
      <c r="P272" s="890"/>
      <c r="Q272" s="890"/>
      <c r="R272" s="1019"/>
      <c r="S272" s="367"/>
    </row>
    <row r="273" spans="1:19" s="896" customFormat="1" ht="22.5" customHeight="1">
      <c r="A273" s="869" t="s">
        <v>665</v>
      </c>
      <c r="B273" s="868" t="s">
        <v>451</v>
      </c>
      <c r="C273" s="382" t="s">
        <v>281</v>
      </c>
      <c r="D273" s="1010"/>
      <c r="E273" s="919" t="e">
        <f>E276+E278+E279+E280+E281+E283+E285+E286+E288+E290+E291+E292+E293+E296+E297+E298+E299</f>
        <v>#VALUE!</v>
      </c>
      <c r="F273" s="898"/>
      <c r="G273" s="1020"/>
      <c r="H273" s="898">
        <f>'Dcu-DKDD'!$L$363</f>
        <v>15234.264365384617</v>
      </c>
      <c r="I273" s="898">
        <f>'VL-DKDD'!$J$371</f>
        <v>23603.4</v>
      </c>
      <c r="J273" s="898">
        <f>'TB-DKDD'!$M$212</f>
        <v>9608.4799999999977</v>
      </c>
      <c r="K273" s="898">
        <f>'NL-DKDD'!$J$142</f>
        <v>18643.338</v>
      </c>
      <c r="L273" s="893" t="e">
        <f>SUM(E273:K273)</f>
        <v>#VALUE!</v>
      </c>
      <c r="M273" s="893" t="e">
        <f>L273*'He so chung'!$D$17/100</f>
        <v>#VALUE!</v>
      </c>
      <c r="N273" s="893" t="e">
        <f>L273+M273</f>
        <v>#VALUE!</v>
      </c>
      <c r="O273" s="919">
        <f>O276+O278+O279+O280+O281+O283+O285+O286+O288+O290+O291+O292+O293+O296+O297+O298+O299</f>
        <v>37097.49615384615</v>
      </c>
      <c r="P273" s="835"/>
      <c r="Q273" s="835"/>
      <c r="R273" s="1017"/>
      <c r="S273" s="891"/>
    </row>
    <row r="274" spans="1:19" s="896" customFormat="1" ht="22.5" customHeight="1">
      <c r="A274" s="869" t="s">
        <v>666</v>
      </c>
      <c r="B274" s="868" t="s">
        <v>452</v>
      </c>
      <c r="C274" s="382" t="s">
        <v>281</v>
      </c>
      <c r="D274" s="1010"/>
      <c r="E274" s="919" t="e">
        <f>E277+E278+E279+E280+E281+E283+E285+E286+E288+E290+E291+E292+E293+E296+E297+E298+E299</f>
        <v>#VALUE!</v>
      </c>
      <c r="F274" s="898"/>
      <c r="G274" s="1020"/>
      <c r="H274" s="898">
        <f>'Dcu-DKDD'!$L$363</f>
        <v>15234.264365384617</v>
      </c>
      <c r="I274" s="898">
        <f>'VL-DKDD'!$J$371</f>
        <v>23603.4</v>
      </c>
      <c r="J274" s="898">
        <f>'TB-DKDD'!$M$212</f>
        <v>9608.4799999999977</v>
      </c>
      <c r="K274" s="898">
        <f>'NL-DKDD'!$J$142</f>
        <v>18643.338</v>
      </c>
      <c r="L274" s="893" t="e">
        <f>SUM(E274:K274)</f>
        <v>#VALUE!</v>
      </c>
      <c r="M274" s="893" t="e">
        <f>L274*'He so chung'!$D$17/100</f>
        <v>#VALUE!</v>
      </c>
      <c r="N274" s="893" t="e">
        <f>L274+M274</f>
        <v>#VALUE!</v>
      </c>
      <c r="O274" s="919">
        <f>O277+O278+O279+O280+O281+O283+O285+O286+O288+O290+O291+O292+O293+O296+O297+O298+O299</f>
        <v>36790.092307692306</v>
      </c>
      <c r="P274" s="835"/>
      <c r="Q274" s="835"/>
      <c r="R274" s="1017"/>
      <c r="S274" s="891"/>
    </row>
    <row r="275" spans="1:19" s="896" customFormat="1" ht="27" customHeight="1">
      <c r="A275" s="832">
        <v>1</v>
      </c>
      <c r="B275" s="827" t="s">
        <v>12</v>
      </c>
      <c r="C275" s="832"/>
      <c r="D275" s="1010"/>
      <c r="E275" s="898"/>
      <c r="F275" s="898"/>
      <c r="G275" s="1020"/>
      <c r="H275" s="898"/>
      <c r="I275" s="898"/>
      <c r="J275" s="898"/>
      <c r="K275" s="898"/>
      <c r="L275" s="898"/>
      <c r="M275" s="898"/>
      <c r="N275" s="898"/>
      <c r="O275" s="898"/>
      <c r="P275" s="835"/>
      <c r="Q275" s="835"/>
      <c r="R275" s="1017"/>
      <c r="S275" s="891"/>
    </row>
    <row r="276" spans="1:19" s="896" customFormat="1" ht="21.75" customHeight="1">
      <c r="A276" s="832" t="s">
        <v>891</v>
      </c>
      <c r="B276" s="827" t="s">
        <v>33</v>
      </c>
      <c r="C276" s="832" t="s">
        <v>281</v>
      </c>
      <c r="D276" s="901" t="s">
        <v>881</v>
      </c>
      <c r="E276" s="898" t="e">
        <f>NC_DKDD!H975</f>
        <v>#VALUE!</v>
      </c>
      <c r="F276" s="898"/>
      <c r="G276" s="1020"/>
      <c r="H276" s="898"/>
      <c r="I276" s="898"/>
      <c r="J276" s="898"/>
      <c r="K276" s="898"/>
      <c r="L276" s="898"/>
      <c r="M276" s="898"/>
      <c r="N276" s="898"/>
      <c r="O276" s="898">
        <f>P276+Q276</f>
        <v>1229.6153846153848</v>
      </c>
      <c r="P276" s="835">
        <f>R276*P$271</f>
        <v>1069.2307692307693</v>
      </c>
      <c r="Q276" s="835">
        <f t="shared" ref="Q276:Q303" si="34">R276*Q$271</f>
        <v>160.38461538461539</v>
      </c>
      <c r="R276" s="1021">
        <f>NC_DKDD!G975</f>
        <v>0.2</v>
      </c>
      <c r="S276" s="891"/>
    </row>
    <row r="277" spans="1:19" s="896" customFormat="1" ht="21.75" customHeight="1">
      <c r="A277" s="832" t="s">
        <v>899</v>
      </c>
      <c r="B277" s="827" t="s">
        <v>36</v>
      </c>
      <c r="C277" s="832" t="s">
        <v>281</v>
      </c>
      <c r="D277" s="901" t="s">
        <v>881</v>
      </c>
      <c r="E277" s="898" t="e">
        <f>NC_DKDD!H976</f>
        <v>#VALUE!</v>
      </c>
      <c r="F277" s="898"/>
      <c r="G277" s="1020"/>
      <c r="H277" s="898"/>
      <c r="I277" s="898"/>
      <c r="J277" s="898"/>
      <c r="K277" s="898"/>
      <c r="L277" s="898"/>
      <c r="M277" s="898"/>
      <c r="N277" s="898"/>
      <c r="O277" s="898">
        <f>P277+Q277</f>
        <v>922.21153846153834</v>
      </c>
      <c r="P277" s="835">
        <f>R277*P$271</f>
        <v>801.92307692307679</v>
      </c>
      <c r="Q277" s="835">
        <f t="shared" si="34"/>
        <v>120.28846153846153</v>
      </c>
      <c r="R277" s="1021">
        <f>NC_DKDD!G976</f>
        <v>0.15</v>
      </c>
      <c r="S277" s="891"/>
    </row>
    <row r="278" spans="1:19" s="896" customFormat="1" ht="44.25" customHeight="1">
      <c r="A278" s="832">
        <v>2</v>
      </c>
      <c r="B278" s="827" t="s">
        <v>953</v>
      </c>
      <c r="C278" s="832" t="s">
        <v>281</v>
      </c>
      <c r="D278" s="901" t="s">
        <v>881</v>
      </c>
      <c r="E278" s="898" t="e">
        <f>NC_DKDD!H977</f>
        <v>#VALUE!</v>
      </c>
      <c r="F278" s="898"/>
      <c r="G278" s="1020"/>
      <c r="H278" s="898"/>
      <c r="I278" s="898"/>
      <c r="J278" s="898"/>
      <c r="K278" s="898"/>
      <c r="L278" s="898"/>
      <c r="M278" s="898"/>
      <c r="N278" s="898"/>
      <c r="O278" s="898">
        <f>P278+Q278</f>
        <v>1844.4230769230767</v>
      </c>
      <c r="P278" s="835">
        <f>R278*P$271</f>
        <v>1603.8461538461536</v>
      </c>
      <c r="Q278" s="835">
        <f t="shared" si="34"/>
        <v>240.57692307692307</v>
      </c>
      <c r="R278" s="1021">
        <f>NC_DKDD!G977</f>
        <v>0.3</v>
      </c>
      <c r="S278" s="891"/>
    </row>
    <row r="279" spans="1:19" s="896" customFormat="1" ht="41.25" customHeight="1">
      <c r="A279" s="832">
        <v>3</v>
      </c>
      <c r="B279" s="827" t="s">
        <v>1078</v>
      </c>
      <c r="C279" s="832" t="s">
        <v>523</v>
      </c>
      <c r="D279" s="901" t="s">
        <v>881</v>
      </c>
      <c r="E279" s="898" t="e">
        <f>NC_DKDD!H978</f>
        <v>#VALUE!</v>
      </c>
      <c r="F279" s="898"/>
      <c r="G279" s="1020"/>
      <c r="H279" s="898"/>
      <c r="I279" s="898"/>
      <c r="J279" s="898"/>
      <c r="K279" s="898"/>
      <c r="L279" s="898"/>
      <c r="M279" s="898"/>
      <c r="N279" s="898"/>
      <c r="O279" s="898">
        <f t="shared" ref="O279:O292" si="35">P279+Q279</f>
        <v>657.84423076923065</v>
      </c>
      <c r="P279" s="835">
        <f t="shared" ref="P279:P292" si="36">R279*P$271</f>
        <v>572.03846153846143</v>
      </c>
      <c r="Q279" s="835">
        <f t="shared" si="34"/>
        <v>85.805769230769229</v>
      </c>
      <c r="R279" s="1021">
        <f>NC_DKDD!G978</f>
        <v>0.107</v>
      </c>
      <c r="S279" s="891"/>
    </row>
    <row r="280" spans="1:19" s="896" customFormat="1" ht="83.25" customHeight="1">
      <c r="A280" s="832">
        <v>4</v>
      </c>
      <c r="B280" s="827" t="s">
        <v>481</v>
      </c>
      <c r="C280" s="832" t="s">
        <v>281</v>
      </c>
      <c r="D280" s="901" t="s">
        <v>881</v>
      </c>
      <c r="E280" s="898" t="e">
        <f>NC_DKDD!H979</f>
        <v>#VALUE!</v>
      </c>
      <c r="F280" s="898"/>
      <c r="G280" s="1020"/>
      <c r="H280" s="898"/>
      <c r="I280" s="898"/>
      <c r="J280" s="898"/>
      <c r="K280" s="898"/>
      <c r="L280" s="898"/>
      <c r="M280" s="898"/>
      <c r="N280" s="898"/>
      <c r="O280" s="898">
        <f t="shared" si="35"/>
        <v>24592.307692307691</v>
      </c>
      <c r="P280" s="835">
        <f t="shared" si="36"/>
        <v>21384.615384615383</v>
      </c>
      <c r="Q280" s="835">
        <f t="shared" si="34"/>
        <v>3207.6923076923076</v>
      </c>
      <c r="R280" s="1021">
        <f>NC_DKDD!G979</f>
        <v>4</v>
      </c>
      <c r="S280" s="891"/>
    </row>
    <row r="281" spans="1:19" s="896" customFormat="1" ht="28.5" customHeight="1">
      <c r="A281" s="832">
        <v>5</v>
      </c>
      <c r="B281" s="827" t="s">
        <v>1083</v>
      </c>
      <c r="C281" s="832" t="s">
        <v>523</v>
      </c>
      <c r="D281" s="901" t="s">
        <v>881</v>
      </c>
      <c r="E281" s="898" t="e">
        <f>NC_DKDD!H980</f>
        <v>#VALUE!</v>
      </c>
      <c r="F281" s="898"/>
      <c r="G281" s="1020"/>
      <c r="H281" s="898"/>
      <c r="I281" s="898"/>
      <c r="J281" s="898"/>
      <c r="K281" s="898"/>
      <c r="L281" s="898"/>
      <c r="M281" s="898"/>
      <c r="N281" s="898"/>
      <c r="O281" s="898">
        <f t="shared" si="35"/>
        <v>18.444230769230767</v>
      </c>
      <c r="P281" s="835">
        <f t="shared" si="36"/>
        <v>16.038461538461537</v>
      </c>
      <c r="Q281" s="835">
        <f t="shared" si="34"/>
        <v>2.4057692307692307</v>
      </c>
      <c r="R281" s="1021">
        <f>NC_DKDD!G980</f>
        <v>3.0000000000000001E-3</v>
      </c>
      <c r="S281" s="891"/>
    </row>
    <row r="282" spans="1:19" s="896" customFormat="1" ht="42.75">
      <c r="A282" s="832">
        <v>6</v>
      </c>
      <c r="B282" s="827" t="s">
        <v>958</v>
      </c>
      <c r="C282" s="832"/>
      <c r="D282" s="832"/>
      <c r="E282" s="898">
        <f>NC_DKDD!H981</f>
        <v>0</v>
      </c>
      <c r="F282" s="898"/>
      <c r="G282" s="1020"/>
      <c r="H282" s="898"/>
      <c r="I282" s="898"/>
      <c r="J282" s="898"/>
      <c r="K282" s="898"/>
      <c r="L282" s="898"/>
      <c r="M282" s="898"/>
      <c r="N282" s="898"/>
      <c r="O282" s="898">
        <f t="shared" si="35"/>
        <v>0</v>
      </c>
      <c r="P282" s="835">
        <f t="shared" si="36"/>
        <v>0</v>
      </c>
      <c r="Q282" s="835">
        <f t="shared" si="34"/>
        <v>0</v>
      </c>
      <c r="R282" s="1021">
        <f>NC_DKDD!G981</f>
        <v>0</v>
      </c>
      <c r="S282" s="891"/>
    </row>
    <row r="283" spans="1:19" s="896" customFormat="1" ht="21.75" customHeight="1">
      <c r="A283" s="832" t="s">
        <v>444</v>
      </c>
      <c r="B283" s="827" t="s">
        <v>770</v>
      </c>
      <c r="C283" s="832" t="s">
        <v>281</v>
      </c>
      <c r="D283" s="901" t="s">
        <v>881</v>
      </c>
      <c r="E283" s="898" t="e">
        <f>NC_DKDD!H982</f>
        <v>#VALUE!</v>
      </c>
      <c r="F283" s="898"/>
      <c r="G283" s="1020"/>
      <c r="H283" s="898"/>
      <c r="I283" s="898"/>
      <c r="J283" s="898"/>
      <c r="K283" s="898"/>
      <c r="L283" s="898"/>
      <c r="M283" s="898"/>
      <c r="N283" s="898"/>
      <c r="O283" s="898">
        <f t="shared" si="35"/>
        <v>307.40384615384619</v>
      </c>
      <c r="P283" s="835">
        <f t="shared" si="36"/>
        <v>267.30769230769232</v>
      </c>
      <c r="Q283" s="835">
        <f t="shared" si="34"/>
        <v>40.096153846153847</v>
      </c>
      <c r="R283" s="1021">
        <f>NC_DKDD!G982</f>
        <v>0.05</v>
      </c>
      <c r="S283" s="891"/>
    </row>
    <row r="284" spans="1:19" s="896" customFormat="1" ht="21.75" customHeight="1">
      <c r="A284" s="832" t="s">
        <v>445</v>
      </c>
      <c r="B284" s="827" t="s">
        <v>771</v>
      </c>
      <c r="C284" s="832" t="s">
        <v>281</v>
      </c>
      <c r="D284" s="901" t="s">
        <v>881</v>
      </c>
      <c r="E284" s="898" t="e">
        <f>NC_DKDD!H983</f>
        <v>#VALUE!</v>
      </c>
      <c r="F284" s="898"/>
      <c r="G284" s="1020"/>
      <c r="H284" s="898"/>
      <c r="I284" s="898"/>
      <c r="J284" s="898"/>
      <c r="K284" s="898"/>
      <c r="L284" s="898"/>
      <c r="M284" s="898"/>
      <c r="N284" s="898"/>
      <c r="O284" s="898">
        <f t="shared" si="35"/>
        <v>614.80769230769238</v>
      </c>
      <c r="P284" s="835">
        <f t="shared" si="36"/>
        <v>534.61538461538464</v>
      </c>
      <c r="Q284" s="835">
        <f t="shared" si="34"/>
        <v>80.192307692307693</v>
      </c>
      <c r="R284" s="1021">
        <f>NC_DKDD!G983</f>
        <v>0.1</v>
      </c>
      <c r="S284" s="891"/>
    </row>
    <row r="285" spans="1:19" s="896" customFormat="1" ht="31.5" customHeight="1">
      <c r="A285" s="832">
        <v>7</v>
      </c>
      <c r="B285" s="827" t="s">
        <v>554</v>
      </c>
      <c r="C285" s="832" t="s">
        <v>281</v>
      </c>
      <c r="D285" s="901" t="s">
        <v>881</v>
      </c>
      <c r="E285" s="898" t="e">
        <f>NC_DKDD!H984</f>
        <v>#VALUE!</v>
      </c>
      <c r="F285" s="898"/>
      <c r="G285" s="1020"/>
      <c r="H285" s="898"/>
      <c r="I285" s="898"/>
      <c r="J285" s="898"/>
      <c r="K285" s="898"/>
      <c r="L285" s="898"/>
      <c r="M285" s="898"/>
      <c r="N285" s="898"/>
      <c r="O285" s="898">
        <f t="shared" si="35"/>
        <v>1229.6153846153848</v>
      </c>
      <c r="P285" s="835">
        <f t="shared" si="36"/>
        <v>1069.2307692307693</v>
      </c>
      <c r="Q285" s="835">
        <f t="shared" si="34"/>
        <v>160.38461538461539</v>
      </c>
      <c r="R285" s="1021">
        <f>NC_DKDD!G984</f>
        <v>0.2</v>
      </c>
      <c r="S285" s="891"/>
    </row>
    <row r="286" spans="1:19" s="896" customFormat="1" ht="21.75" customHeight="1">
      <c r="A286" s="832">
        <v>8</v>
      </c>
      <c r="B286" s="827" t="s">
        <v>211</v>
      </c>
      <c r="C286" s="832" t="s">
        <v>523</v>
      </c>
      <c r="D286" s="901" t="s">
        <v>881</v>
      </c>
      <c r="E286" s="898" t="e">
        <f>NC_DKDD!H985</f>
        <v>#VALUE!</v>
      </c>
      <c r="F286" s="898"/>
      <c r="G286" s="1020"/>
      <c r="H286" s="898"/>
      <c r="I286" s="898"/>
      <c r="J286" s="898"/>
      <c r="K286" s="898"/>
      <c r="L286" s="898"/>
      <c r="M286" s="898"/>
      <c r="N286" s="898"/>
      <c r="O286" s="898">
        <f t="shared" si="35"/>
        <v>202.88653846153844</v>
      </c>
      <c r="P286" s="835">
        <f t="shared" si="36"/>
        <v>176.42307692307691</v>
      </c>
      <c r="Q286" s="835">
        <f t="shared" si="34"/>
        <v>26.463461538461541</v>
      </c>
      <c r="R286" s="1021">
        <f>NC_DKDD!G985</f>
        <v>3.3000000000000002E-2</v>
      </c>
      <c r="S286" s="891"/>
    </row>
    <row r="287" spans="1:19" s="896" customFormat="1" ht="21.75" customHeight="1">
      <c r="A287" s="832">
        <v>9</v>
      </c>
      <c r="B287" s="827" t="s">
        <v>213</v>
      </c>
      <c r="C287" s="832"/>
      <c r="D287" s="832"/>
      <c r="E287" s="898">
        <f>NC_DKDD!H986</f>
        <v>0</v>
      </c>
      <c r="F287" s="898"/>
      <c r="G287" s="1020"/>
      <c r="H287" s="898"/>
      <c r="I287" s="898"/>
      <c r="J287" s="898"/>
      <c r="K287" s="898"/>
      <c r="L287" s="898"/>
      <c r="M287" s="898"/>
      <c r="N287" s="898"/>
      <c r="O287" s="898">
        <f t="shared" si="35"/>
        <v>0</v>
      </c>
      <c r="P287" s="835">
        <f t="shared" si="36"/>
        <v>0</v>
      </c>
      <c r="Q287" s="835">
        <f t="shared" si="34"/>
        <v>0</v>
      </c>
      <c r="R287" s="1021">
        <f>NC_DKDD!G986</f>
        <v>0</v>
      </c>
      <c r="S287" s="891"/>
    </row>
    <row r="288" spans="1:19" s="896" customFormat="1" ht="21.75" customHeight="1">
      <c r="A288" s="832" t="s">
        <v>446</v>
      </c>
      <c r="B288" s="827" t="s">
        <v>215</v>
      </c>
      <c r="C288" s="832" t="s">
        <v>320</v>
      </c>
      <c r="D288" s="901" t="s">
        <v>881</v>
      </c>
      <c r="E288" s="898" t="e">
        <f>NC_DKDD!H987</f>
        <v>#VALUE!</v>
      </c>
      <c r="F288" s="898"/>
      <c r="G288" s="1020"/>
      <c r="H288" s="898"/>
      <c r="I288" s="898"/>
      <c r="J288" s="898"/>
      <c r="K288" s="898"/>
      <c r="L288" s="898"/>
      <c r="M288" s="898"/>
      <c r="N288" s="898"/>
      <c r="O288" s="898">
        <f t="shared" si="35"/>
        <v>614.80769230769238</v>
      </c>
      <c r="P288" s="835">
        <f t="shared" si="36"/>
        <v>534.61538461538464</v>
      </c>
      <c r="Q288" s="835">
        <f t="shared" si="34"/>
        <v>80.192307692307693</v>
      </c>
      <c r="R288" s="1021">
        <f>NC_DKDD!G987</f>
        <v>0.1</v>
      </c>
      <c r="S288" s="891"/>
    </row>
    <row r="289" spans="1:19" s="896" customFormat="1" ht="21.75" customHeight="1">
      <c r="A289" s="832" t="s">
        <v>447</v>
      </c>
      <c r="B289" s="827" t="s">
        <v>217</v>
      </c>
      <c r="C289" s="832" t="s">
        <v>320</v>
      </c>
      <c r="D289" s="901" t="s">
        <v>881</v>
      </c>
      <c r="E289" s="898" t="e">
        <f>NC_DKDD!H988</f>
        <v>#VALUE!</v>
      </c>
      <c r="F289" s="898"/>
      <c r="G289" s="1020"/>
      <c r="H289" s="898"/>
      <c r="I289" s="898"/>
      <c r="J289" s="898"/>
      <c r="K289" s="898"/>
      <c r="L289" s="898"/>
      <c r="M289" s="898"/>
      <c r="N289" s="898"/>
      <c r="O289" s="898">
        <f t="shared" si="35"/>
        <v>922.21153846153834</v>
      </c>
      <c r="P289" s="835">
        <f t="shared" si="36"/>
        <v>801.92307692307679</v>
      </c>
      <c r="Q289" s="835">
        <f t="shared" si="34"/>
        <v>120.28846153846153</v>
      </c>
      <c r="R289" s="1021">
        <f>NC_DKDD!G988</f>
        <v>0.15</v>
      </c>
      <c r="S289" s="891"/>
    </row>
    <row r="290" spans="1:19" s="896" customFormat="1" ht="31.5" customHeight="1">
      <c r="A290" s="832" t="s">
        <v>555</v>
      </c>
      <c r="B290" s="827" t="s">
        <v>556</v>
      </c>
      <c r="C290" s="832" t="s">
        <v>320</v>
      </c>
      <c r="D290" s="901" t="s">
        <v>881</v>
      </c>
      <c r="E290" s="898" t="e">
        <f>NC_DKDD!H989</f>
        <v>#VALUE!</v>
      </c>
      <c r="F290" s="898"/>
      <c r="G290" s="1020"/>
      <c r="H290" s="898"/>
      <c r="I290" s="898"/>
      <c r="J290" s="898"/>
      <c r="K290" s="898"/>
      <c r="L290" s="898"/>
      <c r="M290" s="898"/>
      <c r="N290" s="898"/>
      <c r="O290" s="898">
        <f t="shared" si="35"/>
        <v>614.80769230769238</v>
      </c>
      <c r="P290" s="835">
        <f t="shared" si="36"/>
        <v>534.61538461538464</v>
      </c>
      <c r="Q290" s="835">
        <f t="shared" si="34"/>
        <v>80.192307692307693</v>
      </c>
      <c r="R290" s="1021">
        <f>NC_DKDD!G989</f>
        <v>0.1</v>
      </c>
      <c r="S290" s="891"/>
    </row>
    <row r="291" spans="1:19" s="896" customFormat="1" ht="30" customHeight="1">
      <c r="A291" s="832">
        <v>10</v>
      </c>
      <c r="B291" s="827" t="s">
        <v>557</v>
      </c>
      <c r="C291" s="832" t="s">
        <v>281</v>
      </c>
      <c r="D291" s="901" t="s">
        <v>881</v>
      </c>
      <c r="E291" s="898" t="e">
        <f>NC_DKDD!H990</f>
        <v>#VALUE!</v>
      </c>
      <c r="F291" s="898"/>
      <c r="G291" s="1020"/>
      <c r="H291" s="898"/>
      <c r="I291" s="898"/>
      <c r="J291" s="898"/>
      <c r="K291" s="898"/>
      <c r="L291" s="898"/>
      <c r="M291" s="898"/>
      <c r="N291" s="898"/>
      <c r="O291" s="898">
        <f t="shared" si="35"/>
        <v>3074.0384615384614</v>
      </c>
      <c r="P291" s="835">
        <f t="shared" si="36"/>
        <v>2673.0769230769229</v>
      </c>
      <c r="Q291" s="835">
        <f t="shared" si="34"/>
        <v>400.96153846153845</v>
      </c>
      <c r="R291" s="1021">
        <f>NC_DKDD!G990</f>
        <v>0.5</v>
      </c>
      <c r="S291" s="891"/>
    </row>
    <row r="292" spans="1:19" s="896" customFormat="1" ht="57">
      <c r="A292" s="832">
        <v>11</v>
      </c>
      <c r="B292" s="827" t="s">
        <v>14</v>
      </c>
      <c r="C292" s="832" t="s">
        <v>281</v>
      </c>
      <c r="D292" s="901" t="s">
        <v>881</v>
      </c>
      <c r="E292" s="898" t="e">
        <f>NC_DKDD!H991</f>
        <v>#VALUE!</v>
      </c>
      <c r="F292" s="898"/>
      <c r="G292" s="1020"/>
      <c r="H292" s="898"/>
      <c r="I292" s="898"/>
      <c r="J292" s="898"/>
      <c r="K292" s="898"/>
      <c r="L292" s="898"/>
      <c r="M292" s="898"/>
      <c r="N292" s="898"/>
      <c r="O292" s="898">
        <f t="shared" si="35"/>
        <v>2274.7884615384614</v>
      </c>
      <c r="P292" s="835">
        <f t="shared" si="36"/>
        <v>1978.0769230769229</v>
      </c>
      <c r="Q292" s="835">
        <f t="shared" si="34"/>
        <v>296.71153846153845</v>
      </c>
      <c r="R292" s="1021">
        <f>NC_DKDD!G991</f>
        <v>0.37</v>
      </c>
      <c r="S292" s="891"/>
    </row>
    <row r="293" spans="1:19" s="896" customFormat="1" ht="21.75" customHeight="1">
      <c r="A293" s="832">
        <v>12</v>
      </c>
      <c r="B293" s="827" t="s">
        <v>220</v>
      </c>
      <c r="C293" s="832" t="s">
        <v>523</v>
      </c>
      <c r="D293" s="901" t="s">
        <v>881</v>
      </c>
      <c r="E293" s="898" t="e">
        <f>NC_DKDD!H992</f>
        <v>#VALUE!</v>
      </c>
      <c r="F293" s="898"/>
      <c r="G293" s="1020"/>
      <c r="H293" s="898"/>
      <c r="I293" s="898"/>
      <c r="J293" s="898"/>
      <c r="K293" s="898"/>
      <c r="L293" s="898"/>
      <c r="M293" s="898"/>
      <c r="N293" s="898"/>
      <c r="O293" s="898">
        <f t="shared" ref="O293:O303" si="37">P293+Q293</f>
        <v>202.88653846153844</v>
      </c>
      <c r="P293" s="835">
        <f t="shared" ref="P293:P303" si="38">R293*P$271</f>
        <v>176.42307692307691</v>
      </c>
      <c r="Q293" s="835">
        <f t="shared" si="34"/>
        <v>26.463461538461541</v>
      </c>
      <c r="R293" s="1021">
        <f>NC_DKDD!G992</f>
        <v>3.3000000000000002E-2</v>
      </c>
      <c r="S293" s="891"/>
    </row>
    <row r="294" spans="1:19" s="896" customFormat="1" ht="21.75" customHeight="1">
      <c r="A294" s="832">
        <v>13</v>
      </c>
      <c r="B294" s="827" t="s">
        <v>221</v>
      </c>
      <c r="C294" s="832"/>
      <c r="D294" s="832"/>
      <c r="E294" s="898">
        <f>NC_DKDD!H993</f>
        <v>0</v>
      </c>
      <c r="F294" s="898"/>
      <c r="G294" s="1020"/>
      <c r="H294" s="898"/>
      <c r="I294" s="898"/>
      <c r="J294" s="898"/>
      <c r="K294" s="898"/>
      <c r="L294" s="898"/>
      <c r="M294" s="898"/>
      <c r="N294" s="898"/>
      <c r="O294" s="898">
        <f t="shared" si="37"/>
        <v>0</v>
      </c>
      <c r="P294" s="835">
        <f t="shared" si="38"/>
        <v>0</v>
      </c>
      <c r="Q294" s="835">
        <f t="shared" si="34"/>
        <v>0</v>
      </c>
      <c r="R294" s="1021">
        <f>NC_DKDD!G993</f>
        <v>0</v>
      </c>
      <c r="S294" s="891"/>
    </row>
    <row r="295" spans="1:19" s="896" customFormat="1" ht="33.75" customHeight="1">
      <c r="A295" s="832" t="s">
        <v>237</v>
      </c>
      <c r="B295" s="827" t="s">
        <v>931</v>
      </c>
      <c r="C295" s="832"/>
      <c r="D295" s="832"/>
      <c r="E295" s="898">
        <f>NC_DKDD!H994</f>
        <v>0</v>
      </c>
      <c r="F295" s="898"/>
      <c r="G295" s="1020"/>
      <c r="H295" s="898"/>
      <c r="I295" s="898"/>
      <c r="J295" s="898"/>
      <c r="K295" s="898"/>
      <c r="L295" s="898"/>
      <c r="M295" s="898"/>
      <c r="N295" s="898"/>
      <c r="O295" s="898">
        <f t="shared" si="37"/>
        <v>0</v>
      </c>
      <c r="P295" s="835">
        <f t="shared" si="38"/>
        <v>0</v>
      </c>
      <c r="Q295" s="835">
        <f t="shared" si="34"/>
        <v>0</v>
      </c>
      <c r="R295" s="1021">
        <f>NC_DKDD!G994</f>
        <v>0</v>
      </c>
      <c r="S295" s="891"/>
    </row>
    <row r="296" spans="1:19" s="896" customFormat="1" ht="21.75" customHeight="1">
      <c r="A296" s="832" t="s">
        <v>238</v>
      </c>
      <c r="B296" s="827" t="s">
        <v>933</v>
      </c>
      <c r="C296" s="832" t="s">
        <v>525</v>
      </c>
      <c r="D296" s="901" t="s">
        <v>881</v>
      </c>
      <c r="E296" s="898" t="e">
        <f>NC_DKDD!H995</f>
        <v>#VALUE!</v>
      </c>
      <c r="F296" s="898"/>
      <c r="G296" s="1020"/>
      <c r="H296" s="898"/>
      <c r="I296" s="898"/>
      <c r="J296" s="898"/>
      <c r="K296" s="898"/>
      <c r="L296" s="898"/>
      <c r="M296" s="898"/>
      <c r="N296" s="898"/>
      <c r="O296" s="898">
        <f t="shared" si="37"/>
        <v>98.369230769230768</v>
      </c>
      <c r="P296" s="835">
        <f t="shared" si="38"/>
        <v>85.538461538461533</v>
      </c>
      <c r="Q296" s="835">
        <f t="shared" si="34"/>
        <v>12.830769230769231</v>
      </c>
      <c r="R296" s="1021">
        <f>NC_DKDD!G995</f>
        <v>1.6E-2</v>
      </c>
      <c r="S296" s="891"/>
    </row>
    <row r="297" spans="1:19" s="896" customFormat="1" ht="21.75" customHeight="1">
      <c r="A297" s="832" t="s">
        <v>239</v>
      </c>
      <c r="B297" s="827" t="s">
        <v>937</v>
      </c>
      <c r="C297" s="832" t="s">
        <v>525</v>
      </c>
      <c r="D297" s="901" t="s">
        <v>881</v>
      </c>
      <c r="E297" s="898" t="e">
        <f>NC_DKDD!H996</f>
        <v>#VALUE!</v>
      </c>
      <c r="F297" s="898"/>
      <c r="G297" s="1020"/>
      <c r="H297" s="898"/>
      <c r="I297" s="898"/>
      <c r="J297" s="898"/>
      <c r="K297" s="898"/>
      <c r="L297" s="898"/>
      <c r="M297" s="898"/>
      <c r="N297" s="898"/>
      <c r="O297" s="898">
        <f t="shared" si="37"/>
        <v>49.184615384615384</v>
      </c>
      <c r="P297" s="835">
        <f t="shared" si="38"/>
        <v>42.769230769230766</v>
      </c>
      <c r="Q297" s="835">
        <f t="shared" si="34"/>
        <v>6.4153846153846157</v>
      </c>
      <c r="R297" s="1021">
        <f>NC_DKDD!G996</f>
        <v>8.0000000000000002E-3</v>
      </c>
      <c r="S297" s="891"/>
    </row>
    <row r="298" spans="1:19" s="896" customFormat="1" ht="31.5" customHeight="1">
      <c r="A298" s="832" t="s">
        <v>240</v>
      </c>
      <c r="B298" s="827" t="s">
        <v>48</v>
      </c>
      <c r="C298" s="832" t="s">
        <v>525</v>
      </c>
      <c r="D298" s="901" t="s">
        <v>881</v>
      </c>
      <c r="E298" s="898" t="e">
        <f>NC_DKDD!H997</f>
        <v>#VALUE!</v>
      </c>
      <c r="F298" s="898"/>
      <c r="G298" s="1020"/>
      <c r="H298" s="898"/>
      <c r="I298" s="898"/>
      <c r="J298" s="898"/>
      <c r="K298" s="898"/>
      <c r="L298" s="898"/>
      <c r="M298" s="898"/>
      <c r="N298" s="898"/>
      <c r="O298" s="898">
        <f t="shared" si="37"/>
        <v>24.592307692307692</v>
      </c>
      <c r="P298" s="835">
        <f t="shared" si="38"/>
        <v>21.384615384615383</v>
      </c>
      <c r="Q298" s="835">
        <f t="shared" si="34"/>
        <v>3.2076923076923078</v>
      </c>
      <c r="R298" s="1021">
        <f>NC_DKDD!G997</f>
        <v>4.0000000000000001E-3</v>
      </c>
      <c r="S298" s="891"/>
    </row>
    <row r="299" spans="1:19" s="896" customFormat="1" ht="25.5" customHeight="1">
      <c r="A299" s="832" t="s">
        <v>241</v>
      </c>
      <c r="B299" s="827" t="s">
        <v>50</v>
      </c>
      <c r="C299" s="832" t="s">
        <v>523</v>
      </c>
      <c r="D299" s="901" t="s">
        <v>881</v>
      </c>
      <c r="E299" s="898" t="e">
        <f>NC_DKDD!H998</f>
        <v>#VALUE!</v>
      </c>
      <c r="F299" s="898"/>
      <c r="G299" s="1020"/>
      <c r="H299" s="898"/>
      <c r="I299" s="898"/>
      <c r="J299" s="898"/>
      <c r="K299" s="898"/>
      <c r="L299" s="898"/>
      <c r="M299" s="898"/>
      <c r="N299" s="898"/>
      <c r="O299" s="898">
        <f t="shared" si="37"/>
        <v>61.480769230769226</v>
      </c>
      <c r="P299" s="835">
        <f t="shared" si="38"/>
        <v>53.46153846153846</v>
      </c>
      <c r="Q299" s="835">
        <f t="shared" si="34"/>
        <v>8.0192307692307701</v>
      </c>
      <c r="R299" s="1021">
        <f>NC_DKDD!G998</f>
        <v>0.01</v>
      </c>
      <c r="S299" s="891"/>
    </row>
    <row r="300" spans="1:19" s="896" customFormat="1" ht="21.75" customHeight="1">
      <c r="A300" s="869" t="s">
        <v>184</v>
      </c>
      <c r="B300" s="868" t="s">
        <v>765</v>
      </c>
      <c r="C300" s="832"/>
      <c r="D300" s="832"/>
      <c r="E300" s="919" t="e">
        <f>E301</f>
        <v>#VALUE!</v>
      </c>
      <c r="F300" s="898"/>
      <c r="G300" s="1020"/>
      <c r="H300" s="898">
        <f>'Dcu-DKDD'!$J$363</f>
        <v>0</v>
      </c>
      <c r="I300" s="898"/>
      <c r="J300" s="898"/>
      <c r="K300" s="898"/>
      <c r="L300" s="893" t="e">
        <f>SUM(E300:K300)</f>
        <v>#VALUE!</v>
      </c>
      <c r="M300" s="893" t="e">
        <f>L300*'He so chung'!$D$17/100</f>
        <v>#VALUE!</v>
      </c>
      <c r="N300" s="893" t="e">
        <f>L300+M300</f>
        <v>#VALUE!</v>
      </c>
      <c r="O300" s="919">
        <f>O301</f>
        <v>1844.4230769230767</v>
      </c>
      <c r="P300" s="835">
        <f t="shared" si="38"/>
        <v>0</v>
      </c>
      <c r="Q300" s="835">
        <f t="shared" si="34"/>
        <v>0</v>
      </c>
      <c r="R300" s="1021">
        <f>NC_DKDD!G999</f>
        <v>0</v>
      </c>
      <c r="S300" s="891"/>
    </row>
    <row r="301" spans="1:19" s="896" customFormat="1" ht="27.75" customHeight="1">
      <c r="A301" s="832">
        <v>1</v>
      </c>
      <c r="B301" s="827" t="s">
        <v>809</v>
      </c>
      <c r="C301" s="832" t="s">
        <v>281</v>
      </c>
      <c r="D301" s="901" t="s">
        <v>881</v>
      </c>
      <c r="E301" s="898" t="e">
        <f>NC_DKDD!H1000</f>
        <v>#VALUE!</v>
      </c>
      <c r="F301" s="898"/>
      <c r="G301" s="1020"/>
      <c r="H301" s="898"/>
      <c r="I301" s="898"/>
      <c r="J301" s="898"/>
      <c r="K301" s="898"/>
      <c r="L301" s="898"/>
      <c r="M301" s="898"/>
      <c r="N301" s="898"/>
      <c r="O301" s="898">
        <f t="shared" si="37"/>
        <v>1844.4230769230767</v>
      </c>
      <c r="P301" s="835">
        <f t="shared" si="38"/>
        <v>1603.8461538461536</v>
      </c>
      <c r="Q301" s="835">
        <f t="shared" si="34"/>
        <v>240.57692307692307</v>
      </c>
      <c r="R301" s="1021">
        <f>NC_DKDD!G1000</f>
        <v>0.3</v>
      </c>
      <c r="S301" s="891"/>
    </row>
    <row r="302" spans="1:19" s="896" customFormat="1" ht="21.75" customHeight="1">
      <c r="A302" s="869" t="s">
        <v>913</v>
      </c>
      <c r="B302" s="868" t="s">
        <v>606</v>
      </c>
      <c r="C302" s="832"/>
      <c r="D302" s="1010"/>
      <c r="E302" s="919" t="e">
        <f>E303</f>
        <v>#VALUE!</v>
      </c>
      <c r="F302" s="898"/>
      <c r="G302" s="1020"/>
      <c r="H302" s="898">
        <f>'Dcu-DKDD'!$H$363</f>
        <v>77.079591346153833</v>
      </c>
      <c r="I302" s="898">
        <f>'VL-DKDD'!$F$371</f>
        <v>472.06800000000004</v>
      </c>
      <c r="J302" s="898"/>
      <c r="K302" s="898"/>
      <c r="L302" s="893" t="e">
        <f>SUM(E302:K302)</f>
        <v>#VALUE!</v>
      </c>
      <c r="M302" s="893" t="e">
        <f>L302*'He so chung'!$D$17/100</f>
        <v>#VALUE!</v>
      </c>
      <c r="N302" s="893" t="e">
        <f>L302+M302</f>
        <v>#VALUE!</v>
      </c>
      <c r="O302" s="919">
        <f>O303</f>
        <v>614.80769230769238</v>
      </c>
      <c r="P302" s="835">
        <f t="shared" si="38"/>
        <v>0</v>
      </c>
      <c r="Q302" s="835">
        <f t="shared" si="34"/>
        <v>0</v>
      </c>
      <c r="R302" s="1021">
        <f>NC_DKDD!G1001</f>
        <v>0</v>
      </c>
      <c r="S302" s="891"/>
    </row>
    <row r="303" spans="1:19" s="896" customFormat="1" ht="37.5" customHeight="1">
      <c r="A303" s="832">
        <v>1</v>
      </c>
      <c r="B303" s="827" t="s">
        <v>810</v>
      </c>
      <c r="C303" s="832" t="s">
        <v>281</v>
      </c>
      <c r="D303" s="901" t="s">
        <v>881</v>
      </c>
      <c r="E303" s="898" t="e">
        <f>NC_DKDD!H1002</f>
        <v>#VALUE!</v>
      </c>
      <c r="F303" s="898"/>
      <c r="G303" s="1020"/>
      <c r="H303" s="898"/>
      <c r="I303" s="898"/>
      <c r="J303" s="898"/>
      <c r="K303" s="898"/>
      <c r="L303" s="898"/>
      <c r="M303" s="898"/>
      <c r="N303" s="898"/>
      <c r="O303" s="898">
        <f t="shared" si="37"/>
        <v>614.80769230769238</v>
      </c>
      <c r="P303" s="835">
        <f t="shared" si="38"/>
        <v>534.61538461538464</v>
      </c>
      <c r="Q303" s="835">
        <f t="shared" si="34"/>
        <v>80.192307692307693</v>
      </c>
      <c r="R303" s="1021">
        <f>NC_DKDD!G1002</f>
        <v>0.1</v>
      </c>
      <c r="S303" s="891"/>
    </row>
    <row r="304" spans="1:19" s="67" customFormat="1" ht="28.15" customHeight="1">
      <c r="A304" s="353"/>
      <c r="B304" s="366" t="s">
        <v>282</v>
      </c>
      <c r="C304" s="354"/>
      <c r="D304" s="353"/>
      <c r="E304" s="355"/>
      <c r="F304" s="355"/>
      <c r="G304" s="356"/>
      <c r="H304" s="355"/>
      <c r="I304" s="355"/>
      <c r="J304" s="357"/>
      <c r="K304" s="357"/>
      <c r="L304" s="357"/>
      <c r="M304" s="340"/>
      <c r="N304" s="340"/>
      <c r="O304" s="365"/>
      <c r="P304" s="332"/>
      <c r="Q304" s="332"/>
      <c r="R304" s="1012"/>
    </row>
    <row r="305" spans="1:19" s="67" customFormat="1" ht="33" customHeight="1">
      <c r="A305" s="358"/>
      <c r="B305" s="1129" t="s">
        <v>41</v>
      </c>
      <c r="C305" s="1129"/>
      <c r="D305" s="1129"/>
      <c r="E305" s="1129"/>
      <c r="F305" s="1129"/>
      <c r="G305" s="1129"/>
      <c r="H305" s="1129"/>
      <c r="I305" s="1129"/>
      <c r="J305" s="1129"/>
      <c r="K305" s="1129"/>
      <c r="L305" s="1129"/>
      <c r="M305" s="1129"/>
      <c r="N305" s="1129"/>
      <c r="O305" s="1129"/>
      <c r="P305" s="332"/>
      <c r="Q305" s="332"/>
      <c r="R305" s="1012"/>
    </row>
    <row r="306" spans="1:19" ht="22.5" customHeight="1">
      <c r="A306" s="1114" t="s">
        <v>1016</v>
      </c>
      <c r="B306" s="1114"/>
      <c r="C306" s="1114"/>
      <c r="D306" s="1114"/>
      <c r="E306" s="1114"/>
      <c r="F306" s="1114"/>
      <c r="G306" s="1114"/>
      <c r="H306" s="1114"/>
      <c r="I306" s="1114"/>
      <c r="J306" s="1114"/>
      <c r="K306" s="1114"/>
      <c r="L306" s="1114"/>
      <c r="M306" s="1114"/>
      <c r="N306" s="1114"/>
      <c r="O306" s="1114"/>
      <c r="R306" s="1012"/>
    </row>
    <row r="307" spans="1:19" ht="18" customHeight="1">
      <c r="A307" s="1113" t="s">
        <v>960</v>
      </c>
      <c r="B307" s="1113"/>
      <c r="C307" s="1113"/>
      <c r="D307" s="1113"/>
      <c r="E307" s="1113"/>
      <c r="F307" s="1113"/>
      <c r="G307" s="1113"/>
      <c r="H307" s="1113"/>
      <c r="I307" s="1113"/>
      <c r="J307" s="1113"/>
      <c r="K307" s="1113"/>
      <c r="L307" s="1113"/>
      <c r="M307" s="1113"/>
      <c r="N307" s="1113"/>
      <c r="O307" s="1113"/>
      <c r="P307" s="1113"/>
      <c r="R307" s="1012"/>
    </row>
    <row r="308" spans="1:19" s="345" customFormat="1" ht="19.5" customHeight="1">
      <c r="A308" s="337"/>
      <c r="B308" s="363"/>
      <c r="C308" s="338"/>
      <c r="D308" s="339" t="s">
        <v>576</v>
      </c>
      <c r="E308" s="340"/>
      <c r="F308" s="341"/>
      <c r="G308" s="342"/>
      <c r="H308" s="341"/>
      <c r="I308" s="343"/>
      <c r="J308" s="341"/>
      <c r="K308" s="341"/>
      <c r="L308" s="991" t="s">
        <v>980</v>
      </c>
      <c r="M308" s="341"/>
      <c r="N308" s="343"/>
      <c r="O308" s="340"/>
      <c r="P308" s="332"/>
      <c r="Q308" s="332"/>
      <c r="R308" s="1016"/>
      <c r="S308" s="332"/>
    </row>
    <row r="309" spans="1:19" s="841" customFormat="1" ht="34.15" customHeight="1">
      <c r="A309" s="1112" t="s">
        <v>876</v>
      </c>
      <c r="B309" s="1112" t="s">
        <v>381</v>
      </c>
      <c r="C309" s="1124" t="s">
        <v>981</v>
      </c>
      <c r="D309" s="1124" t="s">
        <v>982</v>
      </c>
      <c r="E309" s="1124" t="s">
        <v>876</v>
      </c>
      <c r="F309" s="1124"/>
      <c r="G309" s="1124"/>
      <c r="H309" s="1124"/>
      <c r="I309" s="1124"/>
      <c r="J309" s="1124"/>
      <c r="K309" s="1124"/>
      <c r="L309" s="1124"/>
      <c r="M309" s="1124" t="s">
        <v>581</v>
      </c>
      <c r="N309" s="1124" t="s">
        <v>203</v>
      </c>
      <c r="O309" s="1124" t="s">
        <v>200</v>
      </c>
      <c r="P309" s="839"/>
      <c r="Q309" s="839"/>
      <c r="R309" s="1022"/>
      <c r="S309" s="840"/>
    </row>
    <row r="310" spans="1:19" s="841" customFormat="1" ht="40.15" customHeight="1">
      <c r="A310" s="1112"/>
      <c r="B310" s="1112"/>
      <c r="C310" s="1124"/>
      <c r="D310" s="1124"/>
      <c r="E310" s="382" t="s">
        <v>469</v>
      </c>
      <c r="F310" s="382" t="s">
        <v>470</v>
      </c>
      <c r="G310" s="837" t="s">
        <v>1003</v>
      </c>
      <c r="H310" s="382" t="s">
        <v>59</v>
      </c>
      <c r="I310" s="382" t="s">
        <v>471</v>
      </c>
      <c r="J310" s="382" t="s">
        <v>280</v>
      </c>
      <c r="K310" s="382" t="s">
        <v>472</v>
      </c>
      <c r="L310" s="382" t="s">
        <v>473</v>
      </c>
      <c r="M310" s="1124"/>
      <c r="N310" s="1124"/>
      <c r="O310" s="1124"/>
      <c r="P310" s="839"/>
      <c r="Q310" s="839"/>
      <c r="R310" s="1022"/>
      <c r="S310" s="840"/>
    </row>
    <row r="311" spans="1:19" s="841" customFormat="1" ht="30">
      <c r="A311" s="831"/>
      <c r="B311" s="830" t="s">
        <v>905</v>
      </c>
      <c r="C311" s="382"/>
      <c r="D311" s="382"/>
      <c r="E311" s="382"/>
      <c r="F311" s="382"/>
      <c r="G311" s="837"/>
      <c r="H311" s="382"/>
      <c r="I311" s="382"/>
      <c r="J311" s="382"/>
      <c r="K311" s="382"/>
      <c r="L311" s="382"/>
      <c r="M311" s="382"/>
      <c r="N311" s="382"/>
      <c r="O311" s="382"/>
      <c r="P311" s="839"/>
      <c r="Q311" s="839"/>
      <c r="R311" s="1022"/>
      <c r="S311" s="840"/>
    </row>
    <row r="312" spans="1:19" s="841" customFormat="1" ht="24.75" customHeight="1">
      <c r="A312" s="831"/>
      <c r="B312" s="868" t="s">
        <v>451</v>
      </c>
      <c r="C312" s="382" t="s">
        <v>281</v>
      </c>
      <c r="D312" s="831" t="s">
        <v>881</v>
      </c>
      <c r="E312" s="383" t="e">
        <f>E316+E343+E345</f>
        <v>#VALUE!</v>
      </c>
      <c r="F312" s="383">
        <f t="shared" ref="F312:O312" si="39">F316+F343+F345</f>
        <v>0</v>
      </c>
      <c r="G312" s="383">
        <f t="shared" si="39"/>
        <v>0</v>
      </c>
      <c r="H312" s="383">
        <f t="shared" si="39"/>
        <v>15311.343956730771</v>
      </c>
      <c r="I312" s="383">
        <f t="shared" si="39"/>
        <v>24075.468000000001</v>
      </c>
      <c r="J312" s="383">
        <f t="shared" si="39"/>
        <v>9608.4799999999977</v>
      </c>
      <c r="K312" s="383">
        <f t="shared" si="39"/>
        <v>18643.338</v>
      </c>
      <c r="L312" s="383" t="e">
        <f t="shared" si="39"/>
        <v>#VALUE!</v>
      </c>
      <c r="M312" s="383" t="e">
        <f t="shared" si="39"/>
        <v>#VALUE!</v>
      </c>
      <c r="N312" s="383" t="e">
        <f t="shared" si="39"/>
        <v>#VALUE!</v>
      </c>
      <c r="O312" s="383">
        <f t="shared" si="39"/>
        <v>38794.365384615383</v>
      </c>
      <c r="P312" s="839"/>
      <c r="Q312" s="839"/>
      <c r="R312" s="1022"/>
      <c r="S312" s="840"/>
    </row>
    <row r="313" spans="1:19" s="841" customFormat="1" ht="24.75" customHeight="1">
      <c r="A313" s="831"/>
      <c r="B313" s="868" t="s">
        <v>1045</v>
      </c>
      <c r="C313" s="382" t="s">
        <v>281</v>
      </c>
      <c r="D313" s="831" t="s">
        <v>881</v>
      </c>
      <c r="E313" s="383" t="e">
        <f>E317+E343+E345</f>
        <v>#VALUE!</v>
      </c>
      <c r="F313" s="383">
        <f t="shared" ref="F313:O313" si="40">F317+F343+F345</f>
        <v>0</v>
      </c>
      <c r="G313" s="383">
        <f t="shared" si="40"/>
        <v>0</v>
      </c>
      <c r="H313" s="383">
        <f t="shared" si="40"/>
        <v>15311.343956730771</v>
      </c>
      <c r="I313" s="383">
        <f t="shared" si="40"/>
        <v>24075.468000000001</v>
      </c>
      <c r="J313" s="383">
        <f t="shared" si="40"/>
        <v>9608.4799999999977</v>
      </c>
      <c r="K313" s="383">
        <f t="shared" si="40"/>
        <v>18643.338</v>
      </c>
      <c r="L313" s="383" t="e">
        <f t="shared" si="40"/>
        <v>#VALUE!</v>
      </c>
      <c r="M313" s="383" t="e">
        <f t="shared" si="40"/>
        <v>#VALUE!</v>
      </c>
      <c r="N313" s="383" t="e">
        <f t="shared" si="40"/>
        <v>#VALUE!</v>
      </c>
      <c r="O313" s="383">
        <f t="shared" si="40"/>
        <v>38486.961538461539</v>
      </c>
      <c r="P313" s="839"/>
      <c r="Q313" s="839"/>
      <c r="R313" s="1022"/>
      <c r="S313" s="840"/>
    </row>
    <row r="314" spans="1:19" s="841" customFormat="1" ht="24.75" customHeight="1">
      <c r="A314" s="831"/>
      <c r="B314" s="888"/>
      <c r="C314" s="382"/>
      <c r="D314" s="382"/>
      <c r="E314" s="1018"/>
      <c r="F314" s="1018"/>
      <c r="G314" s="1018"/>
      <c r="H314" s="1018"/>
      <c r="I314" s="1018"/>
      <c r="J314" s="1018"/>
      <c r="K314" s="1018"/>
      <c r="L314" s="1018"/>
      <c r="M314" s="1018"/>
      <c r="N314" s="1018"/>
      <c r="O314" s="1018"/>
      <c r="P314" s="849">
        <f>'He so chung'!D$22</f>
        <v>5346.1538461538457</v>
      </c>
      <c r="Q314" s="849">
        <f>'He so chung'!D$23</f>
        <v>801.92307692307691</v>
      </c>
      <c r="R314" s="1023"/>
      <c r="S314" s="840"/>
    </row>
    <row r="315" spans="1:19" s="841" customFormat="1" ht="24.75" customHeight="1">
      <c r="A315" s="831" t="s">
        <v>179</v>
      </c>
      <c r="B315" s="888" t="s">
        <v>1057</v>
      </c>
      <c r="C315" s="382"/>
      <c r="D315" s="382"/>
      <c r="E315" s="1018"/>
      <c r="F315" s="1018"/>
      <c r="G315" s="1018"/>
      <c r="H315" s="1018"/>
      <c r="I315" s="1018"/>
      <c r="J315" s="1018"/>
      <c r="K315" s="1018"/>
      <c r="L315" s="1018"/>
      <c r="M315" s="1018"/>
      <c r="N315" s="1018"/>
      <c r="O315" s="1018"/>
      <c r="P315" s="849"/>
      <c r="Q315" s="849"/>
      <c r="R315" s="1023"/>
      <c r="S315" s="840"/>
    </row>
    <row r="316" spans="1:19" s="855" customFormat="1" ht="24.75" customHeight="1">
      <c r="A316" s="869" t="s">
        <v>665</v>
      </c>
      <c r="B316" s="868" t="s">
        <v>451</v>
      </c>
      <c r="C316" s="382" t="s">
        <v>281</v>
      </c>
      <c r="D316" s="901" t="s">
        <v>881</v>
      </c>
      <c r="E316" s="919" t="e">
        <f>E319+E321+E322+E323+E324+E326+E328+E329+E331+E333+E334+E335+E336+E339+E340+E341+E342</f>
        <v>#VALUE!</v>
      </c>
      <c r="F316" s="898"/>
      <c r="G316" s="1020"/>
      <c r="H316" s="898">
        <f>'Dcu-DKDD'!$L$363</f>
        <v>15234.264365384617</v>
      </c>
      <c r="I316" s="898">
        <f>'VL-DKDD'!$J$371</f>
        <v>23603.4</v>
      </c>
      <c r="J316" s="898">
        <f>'TB-DKDD'!$M$212</f>
        <v>9608.4799999999977</v>
      </c>
      <c r="K316" s="898">
        <f>'NL-DKDD'!$J$142</f>
        <v>18643.338</v>
      </c>
      <c r="L316" s="893" t="e">
        <f>SUM(E316:K316)</f>
        <v>#VALUE!</v>
      </c>
      <c r="M316" s="893" t="e">
        <f>L316*'He so chung'!$D$17/100</f>
        <v>#VALUE!</v>
      </c>
      <c r="N316" s="893" t="e">
        <f>L316+M316</f>
        <v>#VALUE!</v>
      </c>
      <c r="O316" s="919">
        <f>O319+O321+O322+O323+O324+O326+O328+O329+O331+O333+O334+O335+O336+O339+O340+O341+O342</f>
        <v>36335.13461538461</v>
      </c>
      <c r="P316" s="839"/>
      <c r="Q316" s="839"/>
      <c r="R316" s="1022"/>
      <c r="S316" s="848"/>
    </row>
    <row r="317" spans="1:19" s="855" customFormat="1" ht="24.75" customHeight="1">
      <c r="A317" s="869" t="s">
        <v>666</v>
      </c>
      <c r="B317" s="868" t="s">
        <v>1045</v>
      </c>
      <c r="C317" s="382" t="s">
        <v>281</v>
      </c>
      <c r="D317" s="901" t="s">
        <v>881</v>
      </c>
      <c r="E317" s="919" t="e">
        <f>E320+E321+E322+E323+E324+E326+E328+E329+E331+E333+E334+E335+E336+E339+E340+E341+E342</f>
        <v>#VALUE!</v>
      </c>
      <c r="F317" s="898"/>
      <c r="G317" s="1020"/>
      <c r="H317" s="898">
        <f>'Dcu-DKDD'!$L$363</f>
        <v>15234.264365384617</v>
      </c>
      <c r="I317" s="898">
        <f>'VL-DKDD'!$J$371</f>
        <v>23603.4</v>
      </c>
      <c r="J317" s="898">
        <f>'TB-DKDD'!$M$212</f>
        <v>9608.4799999999977</v>
      </c>
      <c r="K317" s="898">
        <f>'NL-DKDD'!$J$142</f>
        <v>18643.338</v>
      </c>
      <c r="L317" s="893" t="e">
        <f>SUM(E317:K317)</f>
        <v>#VALUE!</v>
      </c>
      <c r="M317" s="893" t="e">
        <f>L317*'He so chung'!$D$17/100</f>
        <v>#VALUE!</v>
      </c>
      <c r="N317" s="893" t="e">
        <f>L317+M317</f>
        <v>#VALUE!</v>
      </c>
      <c r="O317" s="919">
        <f>O320+O321+O322+O323+O324+O326+O328+O329+O331+O333+O334+O335+O336+O339+O340+O341+O342</f>
        <v>36027.730769230766</v>
      </c>
      <c r="P317" s="839"/>
      <c r="Q317" s="839"/>
      <c r="R317" s="1022"/>
      <c r="S317" s="848"/>
    </row>
    <row r="318" spans="1:19" s="855" customFormat="1" ht="21.75" customHeight="1">
      <c r="A318" s="832">
        <v>1</v>
      </c>
      <c r="B318" s="827" t="s">
        <v>12</v>
      </c>
      <c r="C318" s="832"/>
      <c r="D318" s="1010"/>
      <c r="E318" s="898"/>
      <c r="F318" s="898"/>
      <c r="G318" s="1020"/>
      <c r="H318" s="898"/>
      <c r="I318" s="898"/>
      <c r="J318" s="898"/>
      <c r="K318" s="898"/>
      <c r="L318" s="898"/>
      <c r="M318" s="898"/>
      <c r="N318" s="898"/>
      <c r="O318" s="898"/>
      <c r="P318" s="839"/>
      <c r="Q318" s="839"/>
      <c r="R318" s="1022"/>
      <c r="S318" s="848"/>
    </row>
    <row r="319" spans="1:19" s="855" customFormat="1" ht="21.75" customHeight="1">
      <c r="A319" s="832" t="s">
        <v>891</v>
      </c>
      <c r="B319" s="827" t="s">
        <v>33</v>
      </c>
      <c r="C319" s="832" t="s">
        <v>281</v>
      </c>
      <c r="D319" s="901" t="s">
        <v>881</v>
      </c>
      <c r="E319" s="898" t="e">
        <f>NC_DKDD!H1009</f>
        <v>#VALUE!</v>
      </c>
      <c r="F319" s="898"/>
      <c r="G319" s="1020"/>
      <c r="H319" s="898"/>
      <c r="I319" s="898"/>
      <c r="J319" s="898"/>
      <c r="K319" s="898"/>
      <c r="L319" s="898"/>
      <c r="M319" s="898"/>
      <c r="N319" s="898"/>
      <c r="O319" s="898">
        <f t="shared" ref="O319:O342" si="41">P319+Q319</f>
        <v>1229.6153846153848</v>
      </c>
      <c r="P319" s="839">
        <f t="shared" ref="P319:P346" si="42">R319*P$271</f>
        <v>1069.2307692307693</v>
      </c>
      <c r="Q319" s="839">
        <f t="shared" ref="Q319:Q346" si="43">R319*Q$271</f>
        <v>160.38461538461539</v>
      </c>
      <c r="R319" s="1024">
        <f>NC_DKDD!G1009</f>
        <v>0.2</v>
      </c>
      <c r="S319" s="848"/>
    </row>
    <row r="320" spans="1:19" s="855" customFormat="1" ht="21.75" customHeight="1">
      <c r="A320" s="832" t="s">
        <v>899</v>
      </c>
      <c r="B320" s="827" t="s">
        <v>36</v>
      </c>
      <c r="C320" s="832" t="s">
        <v>281</v>
      </c>
      <c r="D320" s="901" t="s">
        <v>881</v>
      </c>
      <c r="E320" s="898" t="e">
        <f>NC_DKDD!H1010</f>
        <v>#VALUE!</v>
      </c>
      <c r="F320" s="898"/>
      <c r="G320" s="1020"/>
      <c r="H320" s="898"/>
      <c r="I320" s="898"/>
      <c r="J320" s="898"/>
      <c r="K320" s="898"/>
      <c r="L320" s="898"/>
      <c r="M320" s="898"/>
      <c r="N320" s="898"/>
      <c r="O320" s="898">
        <f t="shared" si="41"/>
        <v>922.21153846153834</v>
      </c>
      <c r="P320" s="839">
        <f t="shared" si="42"/>
        <v>801.92307692307679</v>
      </c>
      <c r="Q320" s="839">
        <f t="shared" si="43"/>
        <v>120.28846153846153</v>
      </c>
      <c r="R320" s="1024">
        <f>NC_DKDD!G1010</f>
        <v>0.15</v>
      </c>
      <c r="S320" s="848"/>
    </row>
    <row r="321" spans="1:19" s="855" customFormat="1" ht="44.25" customHeight="1">
      <c r="A321" s="832">
        <v>2</v>
      </c>
      <c r="B321" s="827" t="s">
        <v>953</v>
      </c>
      <c r="C321" s="832" t="s">
        <v>281</v>
      </c>
      <c r="D321" s="901" t="s">
        <v>881</v>
      </c>
      <c r="E321" s="898" t="e">
        <f>NC_DKDD!H1011</f>
        <v>#VALUE!</v>
      </c>
      <c r="F321" s="898"/>
      <c r="G321" s="1020"/>
      <c r="H321" s="898"/>
      <c r="I321" s="898"/>
      <c r="J321" s="898"/>
      <c r="K321" s="898"/>
      <c r="L321" s="898"/>
      <c r="M321" s="898"/>
      <c r="N321" s="898"/>
      <c r="O321" s="898">
        <f t="shared" si="41"/>
        <v>1844.4230769230767</v>
      </c>
      <c r="P321" s="839">
        <f t="shared" si="42"/>
        <v>1603.8461538461536</v>
      </c>
      <c r="Q321" s="839">
        <f t="shared" si="43"/>
        <v>240.57692307692307</v>
      </c>
      <c r="R321" s="1024">
        <f>NC_DKDD!G1011</f>
        <v>0.3</v>
      </c>
      <c r="S321" s="848"/>
    </row>
    <row r="322" spans="1:19" s="855" customFormat="1" ht="47.25" customHeight="1">
      <c r="A322" s="832">
        <v>3</v>
      </c>
      <c r="B322" s="827" t="s">
        <v>1078</v>
      </c>
      <c r="C322" s="832" t="s">
        <v>523</v>
      </c>
      <c r="D322" s="901" t="s">
        <v>881</v>
      </c>
      <c r="E322" s="898" t="e">
        <f>NC_DKDD!H1012</f>
        <v>#VALUE!</v>
      </c>
      <c r="F322" s="898"/>
      <c r="G322" s="1020"/>
      <c r="H322" s="898"/>
      <c r="I322" s="898"/>
      <c r="J322" s="898"/>
      <c r="K322" s="898"/>
      <c r="L322" s="898"/>
      <c r="M322" s="898"/>
      <c r="N322" s="898"/>
      <c r="O322" s="898">
        <f t="shared" si="41"/>
        <v>202.88653846153844</v>
      </c>
      <c r="P322" s="839">
        <f t="shared" si="42"/>
        <v>176.42307692307691</v>
      </c>
      <c r="Q322" s="839">
        <f t="shared" si="43"/>
        <v>26.463461538461541</v>
      </c>
      <c r="R322" s="1024">
        <f>NC_DKDD!G1012</f>
        <v>3.3000000000000002E-2</v>
      </c>
      <c r="S322" s="848"/>
    </row>
    <row r="323" spans="1:19" s="855" customFormat="1" ht="81" customHeight="1">
      <c r="A323" s="832">
        <v>4</v>
      </c>
      <c r="B323" s="827" t="s">
        <v>481</v>
      </c>
      <c r="C323" s="832" t="s">
        <v>281</v>
      </c>
      <c r="D323" s="901" t="s">
        <v>881</v>
      </c>
      <c r="E323" s="898" t="e">
        <f>NC_DKDD!H1013</f>
        <v>#VALUE!</v>
      </c>
      <c r="F323" s="898"/>
      <c r="G323" s="1020"/>
      <c r="H323" s="898"/>
      <c r="I323" s="898"/>
      <c r="J323" s="898"/>
      <c r="K323" s="898"/>
      <c r="L323" s="898"/>
      <c r="M323" s="898"/>
      <c r="N323" s="898"/>
      <c r="O323" s="898">
        <f t="shared" si="41"/>
        <v>24592.307692307691</v>
      </c>
      <c r="P323" s="839">
        <f t="shared" si="42"/>
        <v>21384.615384615383</v>
      </c>
      <c r="Q323" s="839">
        <f t="shared" si="43"/>
        <v>3207.6923076923076</v>
      </c>
      <c r="R323" s="1024">
        <f>NC_DKDD!G1013</f>
        <v>4</v>
      </c>
      <c r="S323" s="848"/>
    </row>
    <row r="324" spans="1:19" s="855" customFormat="1" ht="21.75" customHeight="1">
      <c r="A324" s="832">
        <v>5</v>
      </c>
      <c r="B324" s="827" t="s">
        <v>1083</v>
      </c>
      <c r="C324" s="832" t="s">
        <v>523</v>
      </c>
      <c r="D324" s="901" t="s">
        <v>881</v>
      </c>
      <c r="E324" s="898" t="e">
        <f>NC_DKDD!H1014</f>
        <v>#VALUE!</v>
      </c>
      <c r="F324" s="898"/>
      <c r="G324" s="1020"/>
      <c r="H324" s="898"/>
      <c r="I324" s="898"/>
      <c r="J324" s="898"/>
      <c r="K324" s="898"/>
      <c r="L324" s="898"/>
      <c r="M324" s="898"/>
      <c r="N324" s="898"/>
      <c r="O324" s="898">
        <f t="shared" si="41"/>
        <v>18.444230769230767</v>
      </c>
      <c r="P324" s="839">
        <f t="shared" si="42"/>
        <v>16.038461538461537</v>
      </c>
      <c r="Q324" s="839">
        <f t="shared" si="43"/>
        <v>2.4057692307692307</v>
      </c>
      <c r="R324" s="1024">
        <f>NC_DKDD!G1014</f>
        <v>3.0000000000000001E-3</v>
      </c>
      <c r="S324" s="848"/>
    </row>
    <row r="325" spans="1:19" s="855" customFormat="1" ht="42.75">
      <c r="A325" s="832">
        <v>6</v>
      </c>
      <c r="B325" s="827" t="s">
        <v>958</v>
      </c>
      <c r="C325" s="832"/>
      <c r="D325" s="832"/>
      <c r="E325" s="898">
        <f>NC_DKDD!H1015</f>
        <v>0</v>
      </c>
      <c r="F325" s="898"/>
      <c r="G325" s="1020"/>
      <c r="H325" s="898"/>
      <c r="I325" s="898"/>
      <c r="J325" s="898"/>
      <c r="K325" s="898"/>
      <c r="L325" s="898"/>
      <c r="M325" s="898"/>
      <c r="N325" s="898"/>
      <c r="O325" s="898">
        <f t="shared" si="41"/>
        <v>0</v>
      </c>
      <c r="P325" s="839">
        <f t="shared" si="42"/>
        <v>0</v>
      </c>
      <c r="Q325" s="839">
        <f t="shared" si="43"/>
        <v>0</v>
      </c>
      <c r="R325" s="1024">
        <f>NC_DKDD!G1015</f>
        <v>0</v>
      </c>
      <c r="S325" s="848"/>
    </row>
    <row r="326" spans="1:19" s="855" customFormat="1" ht="27.75" customHeight="1">
      <c r="A326" s="832" t="s">
        <v>444</v>
      </c>
      <c r="B326" s="827" t="s">
        <v>770</v>
      </c>
      <c r="C326" s="832" t="s">
        <v>281</v>
      </c>
      <c r="D326" s="901" t="s">
        <v>881</v>
      </c>
      <c r="E326" s="898" t="e">
        <f>NC_DKDD!H1016</f>
        <v>#VALUE!</v>
      </c>
      <c r="F326" s="898"/>
      <c r="G326" s="1020"/>
      <c r="H326" s="898"/>
      <c r="I326" s="898"/>
      <c r="J326" s="898"/>
      <c r="K326" s="898"/>
      <c r="L326" s="898"/>
      <c r="M326" s="898"/>
      <c r="N326" s="898"/>
      <c r="O326" s="898">
        <f t="shared" si="41"/>
        <v>0</v>
      </c>
      <c r="P326" s="839">
        <f t="shared" si="42"/>
        <v>0</v>
      </c>
      <c r="Q326" s="839">
        <f t="shared" si="43"/>
        <v>0</v>
      </c>
      <c r="R326" s="1024">
        <f>NC_DKDD!G1016</f>
        <v>0</v>
      </c>
      <c r="S326" s="848"/>
    </row>
    <row r="327" spans="1:19" s="855" customFormat="1" ht="23.25" customHeight="1">
      <c r="A327" s="832" t="s">
        <v>445</v>
      </c>
      <c r="B327" s="827" t="s">
        <v>771</v>
      </c>
      <c r="C327" s="832" t="s">
        <v>281</v>
      </c>
      <c r="D327" s="901" t="s">
        <v>881</v>
      </c>
      <c r="E327" s="898" t="e">
        <f>NC_DKDD!H1017</f>
        <v>#VALUE!</v>
      </c>
      <c r="F327" s="898"/>
      <c r="G327" s="1020"/>
      <c r="H327" s="898"/>
      <c r="I327" s="898"/>
      <c r="J327" s="898"/>
      <c r="K327" s="898"/>
      <c r="L327" s="898"/>
      <c r="M327" s="898"/>
      <c r="N327" s="898"/>
      <c r="O327" s="898">
        <f t="shared" si="41"/>
        <v>0</v>
      </c>
      <c r="P327" s="839">
        <f t="shared" si="42"/>
        <v>0</v>
      </c>
      <c r="Q327" s="839">
        <f t="shared" si="43"/>
        <v>0</v>
      </c>
      <c r="R327" s="1024">
        <f>NC_DKDD!G1017</f>
        <v>0</v>
      </c>
      <c r="S327" s="848"/>
    </row>
    <row r="328" spans="1:19" s="855" customFormat="1" ht="28.5">
      <c r="A328" s="832">
        <v>7</v>
      </c>
      <c r="B328" s="827" t="s">
        <v>554</v>
      </c>
      <c r="C328" s="832" t="s">
        <v>281</v>
      </c>
      <c r="D328" s="901" t="s">
        <v>881</v>
      </c>
      <c r="E328" s="898" t="e">
        <f>NC_DKDD!H1018</f>
        <v>#VALUE!</v>
      </c>
      <c r="F328" s="898"/>
      <c r="G328" s="1020"/>
      <c r="H328" s="898"/>
      <c r="I328" s="898"/>
      <c r="J328" s="898"/>
      <c r="K328" s="898"/>
      <c r="L328" s="898"/>
      <c r="M328" s="898"/>
      <c r="N328" s="898"/>
      <c r="O328" s="898">
        <f t="shared" si="41"/>
        <v>1229.6153846153848</v>
      </c>
      <c r="P328" s="839">
        <f t="shared" si="42"/>
        <v>1069.2307692307693</v>
      </c>
      <c r="Q328" s="839">
        <f t="shared" si="43"/>
        <v>160.38461538461539</v>
      </c>
      <c r="R328" s="1024">
        <f>NC_DKDD!G1018</f>
        <v>0.2</v>
      </c>
      <c r="S328" s="848"/>
    </row>
    <row r="329" spans="1:19" s="855" customFormat="1" ht="21.75" customHeight="1">
      <c r="A329" s="832">
        <v>8</v>
      </c>
      <c r="B329" s="827" t="s">
        <v>211</v>
      </c>
      <c r="C329" s="832" t="s">
        <v>523</v>
      </c>
      <c r="D329" s="901" t="s">
        <v>881</v>
      </c>
      <c r="E329" s="898" t="e">
        <f>NC_DKDD!H1019</f>
        <v>#VALUE!</v>
      </c>
      <c r="F329" s="898"/>
      <c r="G329" s="1020"/>
      <c r="H329" s="898"/>
      <c r="I329" s="898"/>
      <c r="J329" s="898"/>
      <c r="K329" s="898"/>
      <c r="L329" s="898"/>
      <c r="M329" s="898"/>
      <c r="N329" s="898"/>
      <c r="O329" s="898">
        <f t="shared" si="41"/>
        <v>202.88653846153844</v>
      </c>
      <c r="P329" s="839">
        <f t="shared" si="42"/>
        <v>176.42307692307691</v>
      </c>
      <c r="Q329" s="839">
        <f t="shared" si="43"/>
        <v>26.463461538461541</v>
      </c>
      <c r="R329" s="1024">
        <f>NC_DKDD!G1019</f>
        <v>3.3000000000000002E-2</v>
      </c>
      <c r="S329" s="848"/>
    </row>
    <row r="330" spans="1:19" s="855" customFormat="1" ht="21.75" customHeight="1">
      <c r="A330" s="832">
        <v>9</v>
      </c>
      <c r="B330" s="827" t="s">
        <v>213</v>
      </c>
      <c r="C330" s="832"/>
      <c r="D330" s="832"/>
      <c r="E330" s="898">
        <f>NC_DKDD!H1020</f>
        <v>0</v>
      </c>
      <c r="F330" s="898"/>
      <c r="G330" s="1020"/>
      <c r="H330" s="898"/>
      <c r="I330" s="898"/>
      <c r="J330" s="898"/>
      <c r="K330" s="898"/>
      <c r="L330" s="898"/>
      <c r="M330" s="898"/>
      <c r="N330" s="898"/>
      <c r="O330" s="898">
        <f t="shared" si="41"/>
        <v>0</v>
      </c>
      <c r="P330" s="839">
        <f t="shared" si="42"/>
        <v>0</v>
      </c>
      <c r="Q330" s="839">
        <f t="shared" si="43"/>
        <v>0</v>
      </c>
      <c r="R330" s="1024">
        <f>NC_DKDD!G1020</f>
        <v>0</v>
      </c>
      <c r="S330" s="848"/>
    </row>
    <row r="331" spans="1:19" s="855" customFormat="1" ht="21.75" customHeight="1">
      <c r="A331" s="832" t="s">
        <v>446</v>
      </c>
      <c r="B331" s="827" t="s">
        <v>215</v>
      </c>
      <c r="C331" s="832" t="s">
        <v>320</v>
      </c>
      <c r="D331" s="901" t="s">
        <v>881</v>
      </c>
      <c r="E331" s="898" t="e">
        <f>NC_DKDD!H1021</f>
        <v>#VALUE!</v>
      </c>
      <c r="F331" s="898"/>
      <c r="G331" s="1020"/>
      <c r="H331" s="898"/>
      <c r="I331" s="898"/>
      <c r="J331" s="898"/>
      <c r="K331" s="898"/>
      <c r="L331" s="898"/>
      <c r="M331" s="898"/>
      <c r="N331" s="898"/>
      <c r="O331" s="898">
        <f t="shared" si="41"/>
        <v>614.80769230769238</v>
      </c>
      <c r="P331" s="839">
        <f t="shared" si="42"/>
        <v>534.61538461538464</v>
      </c>
      <c r="Q331" s="839">
        <f t="shared" si="43"/>
        <v>80.192307692307693</v>
      </c>
      <c r="R331" s="1024">
        <f>NC_DKDD!G1021</f>
        <v>0.1</v>
      </c>
      <c r="S331" s="848"/>
    </row>
    <row r="332" spans="1:19" s="855" customFormat="1" ht="21.75" customHeight="1">
      <c r="A332" s="832" t="s">
        <v>447</v>
      </c>
      <c r="B332" s="827" t="s">
        <v>217</v>
      </c>
      <c r="C332" s="832" t="s">
        <v>320</v>
      </c>
      <c r="D332" s="901" t="s">
        <v>881</v>
      </c>
      <c r="E332" s="898" t="e">
        <f>NC_DKDD!H1022</f>
        <v>#VALUE!</v>
      </c>
      <c r="F332" s="898"/>
      <c r="G332" s="1020"/>
      <c r="H332" s="898"/>
      <c r="I332" s="898"/>
      <c r="J332" s="898"/>
      <c r="K332" s="898"/>
      <c r="L332" s="898"/>
      <c r="M332" s="898"/>
      <c r="N332" s="898"/>
      <c r="O332" s="898">
        <f t="shared" si="41"/>
        <v>1229.6153846153848</v>
      </c>
      <c r="P332" s="839">
        <f t="shared" si="42"/>
        <v>1069.2307692307693</v>
      </c>
      <c r="Q332" s="839">
        <f t="shared" si="43"/>
        <v>160.38461538461539</v>
      </c>
      <c r="R332" s="1024">
        <f>NC_DKDD!G1022</f>
        <v>0.2</v>
      </c>
      <c r="S332" s="848"/>
    </row>
    <row r="333" spans="1:19" s="855" customFormat="1" ht="41.25" customHeight="1">
      <c r="A333" s="832" t="s">
        <v>555</v>
      </c>
      <c r="B333" s="827" t="s">
        <v>556</v>
      </c>
      <c r="C333" s="832" t="s">
        <v>320</v>
      </c>
      <c r="D333" s="901" t="s">
        <v>881</v>
      </c>
      <c r="E333" s="898" t="e">
        <f>NC_DKDD!H1023</f>
        <v>#VALUE!</v>
      </c>
      <c r="F333" s="898"/>
      <c r="G333" s="1020"/>
      <c r="H333" s="898"/>
      <c r="I333" s="898"/>
      <c r="J333" s="898"/>
      <c r="K333" s="898"/>
      <c r="L333" s="898"/>
      <c r="M333" s="898"/>
      <c r="N333" s="898"/>
      <c r="O333" s="898">
        <f t="shared" si="41"/>
        <v>614.80769230769238</v>
      </c>
      <c r="P333" s="839">
        <f t="shared" si="42"/>
        <v>534.61538461538464</v>
      </c>
      <c r="Q333" s="839">
        <f t="shared" si="43"/>
        <v>80.192307692307693</v>
      </c>
      <c r="R333" s="1024">
        <f>NC_DKDD!G1023</f>
        <v>0.1</v>
      </c>
      <c r="S333" s="848"/>
    </row>
    <row r="334" spans="1:19" s="855" customFormat="1" ht="38.25" customHeight="1">
      <c r="A334" s="832">
        <v>10</v>
      </c>
      <c r="B334" s="827" t="s">
        <v>557</v>
      </c>
      <c r="C334" s="832" t="s">
        <v>281</v>
      </c>
      <c r="D334" s="901" t="s">
        <v>881</v>
      </c>
      <c r="E334" s="898" t="e">
        <f>NC_DKDD!H1024</f>
        <v>#VALUE!</v>
      </c>
      <c r="F334" s="898"/>
      <c r="G334" s="1020"/>
      <c r="H334" s="898"/>
      <c r="I334" s="898"/>
      <c r="J334" s="898"/>
      <c r="K334" s="898"/>
      <c r="L334" s="898"/>
      <c r="M334" s="898"/>
      <c r="N334" s="898"/>
      <c r="O334" s="898">
        <f t="shared" si="41"/>
        <v>3074.0384615384614</v>
      </c>
      <c r="P334" s="839">
        <f t="shared" si="42"/>
        <v>2673.0769230769229</v>
      </c>
      <c r="Q334" s="839">
        <f t="shared" si="43"/>
        <v>400.96153846153845</v>
      </c>
      <c r="R334" s="1024">
        <f>NC_DKDD!G1024</f>
        <v>0.5</v>
      </c>
      <c r="S334" s="848"/>
    </row>
    <row r="335" spans="1:19" s="855" customFormat="1" ht="62.25" customHeight="1">
      <c r="A335" s="832">
        <v>11</v>
      </c>
      <c r="B335" s="827" t="s">
        <v>14</v>
      </c>
      <c r="C335" s="832" t="s">
        <v>281</v>
      </c>
      <c r="D335" s="901" t="s">
        <v>881</v>
      </c>
      <c r="E335" s="898" t="e">
        <f>NC_DKDD!H1025</f>
        <v>#VALUE!</v>
      </c>
      <c r="F335" s="898"/>
      <c r="G335" s="1020"/>
      <c r="H335" s="898"/>
      <c r="I335" s="898"/>
      <c r="J335" s="898"/>
      <c r="K335" s="898"/>
      <c r="L335" s="898"/>
      <c r="M335" s="898"/>
      <c r="N335" s="898"/>
      <c r="O335" s="898">
        <f t="shared" si="41"/>
        <v>2274.7884615384614</v>
      </c>
      <c r="P335" s="839">
        <f t="shared" si="42"/>
        <v>1978.0769230769229</v>
      </c>
      <c r="Q335" s="839">
        <f t="shared" si="43"/>
        <v>296.71153846153845</v>
      </c>
      <c r="R335" s="1024">
        <f>NC_DKDD!G1025</f>
        <v>0.37</v>
      </c>
      <c r="S335" s="848"/>
    </row>
    <row r="336" spans="1:19" s="855" customFormat="1" ht="21.75" customHeight="1">
      <c r="A336" s="832">
        <v>12</v>
      </c>
      <c r="B336" s="827" t="s">
        <v>220</v>
      </c>
      <c r="C336" s="832" t="s">
        <v>523</v>
      </c>
      <c r="D336" s="901" t="s">
        <v>881</v>
      </c>
      <c r="E336" s="898" t="e">
        <f>NC_DKDD!H1026</f>
        <v>#VALUE!</v>
      </c>
      <c r="F336" s="898"/>
      <c r="G336" s="1020"/>
      <c r="H336" s="898"/>
      <c r="I336" s="898"/>
      <c r="J336" s="898"/>
      <c r="K336" s="898"/>
      <c r="L336" s="898"/>
      <c r="M336" s="898"/>
      <c r="N336" s="898"/>
      <c r="O336" s="898">
        <f t="shared" si="41"/>
        <v>202.88653846153844</v>
      </c>
      <c r="P336" s="839">
        <f t="shared" si="42"/>
        <v>176.42307692307691</v>
      </c>
      <c r="Q336" s="839">
        <f t="shared" si="43"/>
        <v>26.463461538461541</v>
      </c>
      <c r="R336" s="1024">
        <f>NC_DKDD!G1026</f>
        <v>3.3000000000000002E-2</v>
      </c>
      <c r="S336" s="848"/>
    </row>
    <row r="337" spans="1:19" s="855" customFormat="1" ht="21.75" customHeight="1">
      <c r="A337" s="832">
        <v>13</v>
      </c>
      <c r="B337" s="827" t="s">
        <v>221</v>
      </c>
      <c r="C337" s="832"/>
      <c r="D337" s="832"/>
      <c r="E337" s="898">
        <f>NC_DKDD!H1027</f>
        <v>0</v>
      </c>
      <c r="F337" s="898"/>
      <c r="G337" s="1020"/>
      <c r="H337" s="898"/>
      <c r="I337" s="898"/>
      <c r="J337" s="898"/>
      <c r="K337" s="898"/>
      <c r="L337" s="898"/>
      <c r="M337" s="898"/>
      <c r="N337" s="898"/>
      <c r="O337" s="898">
        <f t="shared" si="41"/>
        <v>0</v>
      </c>
      <c r="P337" s="839">
        <f t="shared" si="42"/>
        <v>0</v>
      </c>
      <c r="Q337" s="839">
        <f t="shared" si="43"/>
        <v>0</v>
      </c>
      <c r="R337" s="1024">
        <f>NC_DKDD!G1027</f>
        <v>0</v>
      </c>
      <c r="S337" s="848"/>
    </row>
    <row r="338" spans="1:19" s="855" customFormat="1" ht="33.75" customHeight="1">
      <c r="A338" s="832" t="s">
        <v>237</v>
      </c>
      <c r="B338" s="827" t="s">
        <v>931</v>
      </c>
      <c r="C338" s="832"/>
      <c r="D338" s="832"/>
      <c r="E338" s="898">
        <f>NC_DKDD!H1028</f>
        <v>0</v>
      </c>
      <c r="F338" s="898"/>
      <c r="G338" s="1020"/>
      <c r="H338" s="898"/>
      <c r="I338" s="898"/>
      <c r="J338" s="898"/>
      <c r="K338" s="898"/>
      <c r="L338" s="898"/>
      <c r="M338" s="898"/>
      <c r="N338" s="898"/>
      <c r="O338" s="898">
        <f t="shared" si="41"/>
        <v>0</v>
      </c>
      <c r="P338" s="839">
        <f t="shared" si="42"/>
        <v>0</v>
      </c>
      <c r="Q338" s="839">
        <f t="shared" si="43"/>
        <v>0</v>
      </c>
      <c r="R338" s="1024">
        <f>NC_DKDD!G1028</f>
        <v>0</v>
      </c>
      <c r="S338" s="848"/>
    </row>
    <row r="339" spans="1:19" s="855" customFormat="1" ht="21.75" customHeight="1">
      <c r="A339" s="832" t="s">
        <v>238</v>
      </c>
      <c r="B339" s="827" t="s">
        <v>933</v>
      </c>
      <c r="C339" s="832" t="s">
        <v>525</v>
      </c>
      <c r="D339" s="901" t="s">
        <v>881</v>
      </c>
      <c r="E339" s="898" t="e">
        <f>NC_DKDD!H1029</f>
        <v>#VALUE!</v>
      </c>
      <c r="F339" s="898"/>
      <c r="G339" s="1020"/>
      <c r="H339" s="898"/>
      <c r="I339" s="898"/>
      <c r="J339" s="898"/>
      <c r="K339" s="898"/>
      <c r="L339" s="898"/>
      <c r="M339" s="898"/>
      <c r="N339" s="898"/>
      <c r="O339" s="898">
        <f t="shared" si="41"/>
        <v>98.369230769230768</v>
      </c>
      <c r="P339" s="839">
        <f t="shared" si="42"/>
        <v>85.538461538461533</v>
      </c>
      <c r="Q339" s="839">
        <f t="shared" si="43"/>
        <v>12.830769230769231</v>
      </c>
      <c r="R339" s="1024">
        <f>NC_DKDD!G1029</f>
        <v>1.6E-2</v>
      </c>
      <c r="S339" s="848"/>
    </row>
    <row r="340" spans="1:19" s="855" customFormat="1" ht="21.75" customHeight="1">
      <c r="A340" s="832" t="s">
        <v>239</v>
      </c>
      <c r="B340" s="827" t="s">
        <v>937</v>
      </c>
      <c r="C340" s="832" t="s">
        <v>525</v>
      </c>
      <c r="D340" s="901" t="s">
        <v>881</v>
      </c>
      <c r="E340" s="898" t="e">
        <f>NC_DKDD!H1030</f>
        <v>#VALUE!</v>
      </c>
      <c r="F340" s="898"/>
      <c r="G340" s="1020"/>
      <c r="H340" s="898"/>
      <c r="I340" s="898"/>
      <c r="J340" s="898"/>
      <c r="K340" s="898"/>
      <c r="L340" s="898"/>
      <c r="M340" s="898"/>
      <c r="N340" s="898"/>
      <c r="O340" s="898">
        <f t="shared" si="41"/>
        <v>49.184615384615384</v>
      </c>
      <c r="P340" s="839">
        <f t="shared" si="42"/>
        <v>42.769230769230766</v>
      </c>
      <c r="Q340" s="839">
        <f t="shared" si="43"/>
        <v>6.4153846153846157</v>
      </c>
      <c r="R340" s="1024">
        <f>NC_DKDD!G1030</f>
        <v>8.0000000000000002E-3</v>
      </c>
      <c r="S340" s="848"/>
    </row>
    <row r="341" spans="1:19" s="855" customFormat="1" ht="33.75" customHeight="1">
      <c r="A341" s="832" t="s">
        <v>240</v>
      </c>
      <c r="B341" s="827" t="s">
        <v>48</v>
      </c>
      <c r="C341" s="832" t="s">
        <v>525</v>
      </c>
      <c r="D341" s="901" t="s">
        <v>881</v>
      </c>
      <c r="E341" s="898" t="e">
        <f>NC_DKDD!H1031</f>
        <v>#VALUE!</v>
      </c>
      <c r="F341" s="898"/>
      <c r="G341" s="1020"/>
      <c r="H341" s="898"/>
      <c r="I341" s="898"/>
      <c r="J341" s="898"/>
      <c r="K341" s="898"/>
      <c r="L341" s="898"/>
      <c r="M341" s="898"/>
      <c r="N341" s="898"/>
      <c r="O341" s="898">
        <f t="shared" si="41"/>
        <v>24.592307692307692</v>
      </c>
      <c r="P341" s="839">
        <f t="shared" si="42"/>
        <v>21.384615384615383</v>
      </c>
      <c r="Q341" s="839">
        <f t="shared" si="43"/>
        <v>3.2076923076923078</v>
      </c>
      <c r="R341" s="1024">
        <f>NC_DKDD!G1031</f>
        <v>4.0000000000000001E-3</v>
      </c>
      <c r="S341" s="848"/>
    </row>
    <row r="342" spans="1:19" s="855" customFormat="1" ht="27" customHeight="1">
      <c r="A342" s="832" t="s">
        <v>241</v>
      </c>
      <c r="B342" s="827" t="s">
        <v>50</v>
      </c>
      <c r="C342" s="832" t="s">
        <v>523</v>
      </c>
      <c r="D342" s="901" t="s">
        <v>881</v>
      </c>
      <c r="E342" s="898" t="e">
        <f>NC_DKDD!H1032</f>
        <v>#VALUE!</v>
      </c>
      <c r="F342" s="898"/>
      <c r="G342" s="1020"/>
      <c r="H342" s="898"/>
      <c r="I342" s="898"/>
      <c r="J342" s="898"/>
      <c r="K342" s="898"/>
      <c r="L342" s="898"/>
      <c r="M342" s="898"/>
      <c r="N342" s="898"/>
      <c r="O342" s="898">
        <f t="shared" si="41"/>
        <v>61.480769230769226</v>
      </c>
      <c r="P342" s="839">
        <f t="shared" si="42"/>
        <v>53.46153846153846</v>
      </c>
      <c r="Q342" s="839">
        <f t="shared" si="43"/>
        <v>8.0192307692307701</v>
      </c>
      <c r="R342" s="1024">
        <f>NC_DKDD!G1032</f>
        <v>0.01</v>
      </c>
      <c r="S342" s="848"/>
    </row>
    <row r="343" spans="1:19" s="855" customFormat="1" ht="25.5" customHeight="1">
      <c r="A343" s="869" t="s">
        <v>184</v>
      </c>
      <c r="B343" s="868" t="s">
        <v>765</v>
      </c>
      <c r="C343" s="832"/>
      <c r="D343" s="832"/>
      <c r="E343" s="919" t="e">
        <f>E344</f>
        <v>#VALUE!</v>
      </c>
      <c r="F343" s="898"/>
      <c r="G343" s="1020"/>
      <c r="H343" s="898">
        <f>'Dcu-DKDD'!$J$363</f>
        <v>0</v>
      </c>
      <c r="I343" s="898"/>
      <c r="J343" s="898"/>
      <c r="K343" s="898"/>
      <c r="L343" s="893" t="e">
        <f>SUM(E343:K343)</f>
        <v>#VALUE!</v>
      </c>
      <c r="M343" s="893" t="e">
        <f>L343*'He so chung'!$D$17/100</f>
        <v>#VALUE!</v>
      </c>
      <c r="N343" s="893" t="e">
        <f>L343+M343</f>
        <v>#VALUE!</v>
      </c>
      <c r="O343" s="919">
        <f>O344</f>
        <v>1844.4230769230767</v>
      </c>
      <c r="P343" s="839">
        <f t="shared" si="42"/>
        <v>0</v>
      </c>
      <c r="Q343" s="839">
        <f t="shared" si="43"/>
        <v>0</v>
      </c>
      <c r="R343" s="1024">
        <f>NC_DKDD!G1033</f>
        <v>0</v>
      </c>
      <c r="S343" s="848"/>
    </row>
    <row r="344" spans="1:19" s="855" customFormat="1" ht="25.5" customHeight="1">
      <c r="A344" s="832">
        <v>1</v>
      </c>
      <c r="B344" s="827" t="s">
        <v>809</v>
      </c>
      <c r="C344" s="832" t="s">
        <v>281</v>
      </c>
      <c r="D344" s="901" t="s">
        <v>881</v>
      </c>
      <c r="E344" s="898" t="e">
        <f>NC_DKDD!H1034</f>
        <v>#VALUE!</v>
      </c>
      <c r="F344" s="898"/>
      <c r="G344" s="1020"/>
      <c r="H344" s="898"/>
      <c r="I344" s="898"/>
      <c r="J344" s="898"/>
      <c r="K344" s="898"/>
      <c r="L344" s="898"/>
      <c r="M344" s="898"/>
      <c r="N344" s="898"/>
      <c r="O344" s="898">
        <f>P344+Q344</f>
        <v>1844.4230769230767</v>
      </c>
      <c r="P344" s="839">
        <f t="shared" si="42"/>
        <v>1603.8461538461536</v>
      </c>
      <c r="Q344" s="839">
        <f t="shared" si="43"/>
        <v>240.57692307692307</v>
      </c>
      <c r="R344" s="1024">
        <f>NC_DKDD!G1034</f>
        <v>0.3</v>
      </c>
      <c r="S344" s="848"/>
    </row>
    <row r="345" spans="1:19" s="855" customFormat="1" ht="25.5" customHeight="1">
      <c r="A345" s="869" t="s">
        <v>913</v>
      </c>
      <c r="B345" s="868" t="s">
        <v>606</v>
      </c>
      <c r="C345" s="832"/>
      <c r="D345" s="1010"/>
      <c r="E345" s="919" t="e">
        <f>E346</f>
        <v>#VALUE!</v>
      </c>
      <c r="F345" s="898"/>
      <c r="G345" s="1020"/>
      <c r="H345" s="898">
        <f>'Dcu-DKDD'!$H$363</f>
        <v>77.079591346153833</v>
      </c>
      <c r="I345" s="898">
        <f>'VL-DKDD'!$F$371</f>
        <v>472.06800000000004</v>
      </c>
      <c r="J345" s="898"/>
      <c r="K345" s="898"/>
      <c r="L345" s="893" t="e">
        <f>SUM(E345:K345)</f>
        <v>#VALUE!</v>
      </c>
      <c r="M345" s="893" t="e">
        <f>L345*'He so chung'!$D$17/100</f>
        <v>#VALUE!</v>
      </c>
      <c r="N345" s="893" t="e">
        <f>L345+M345</f>
        <v>#VALUE!</v>
      </c>
      <c r="O345" s="919">
        <f>O346</f>
        <v>614.80769230769238</v>
      </c>
      <c r="P345" s="839">
        <f t="shared" si="42"/>
        <v>0</v>
      </c>
      <c r="Q345" s="839">
        <f t="shared" si="43"/>
        <v>0</v>
      </c>
      <c r="R345" s="1024">
        <f>NC_DKDD!G1035</f>
        <v>0</v>
      </c>
      <c r="S345" s="848"/>
    </row>
    <row r="346" spans="1:19" s="855" customFormat="1" ht="37.5" customHeight="1">
      <c r="A346" s="832">
        <v>1</v>
      </c>
      <c r="B346" s="827" t="s">
        <v>810</v>
      </c>
      <c r="C346" s="832" t="s">
        <v>281</v>
      </c>
      <c r="D346" s="901" t="s">
        <v>881</v>
      </c>
      <c r="E346" s="898" t="e">
        <f>NC_DKDD!H1036</f>
        <v>#VALUE!</v>
      </c>
      <c r="F346" s="898"/>
      <c r="G346" s="1020"/>
      <c r="H346" s="898"/>
      <c r="I346" s="898"/>
      <c r="J346" s="898"/>
      <c r="K346" s="898"/>
      <c r="L346" s="898"/>
      <c r="M346" s="898"/>
      <c r="N346" s="898"/>
      <c r="O346" s="898">
        <f>P346+Q346</f>
        <v>614.80769230769238</v>
      </c>
      <c r="P346" s="839">
        <f t="shared" si="42"/>
        <v>534.61538461538464</v>
      </c>
      <c r="Q346" s="839">
        <f t="shared" si="43"/>
        <v>80.192307692307693</v>
      </c>
      <c r="R346" s="1024">
        <f>NC_DKDD!G1036</f>
        <v>0.1</v>
      </c>
      <c r="S346" s="848"/>
    </row>
    <row r="347" spans="1:19" s="67" customFormat="1" ht="29.45" customHeight="1">
      <c r="A347" s="353"/>
      <c r="B347" s="366" t="s">
        <v>282</v>
      </c>
      <c r="C347" s="354"/>
      <c r="D347" s="353"/>
      <c r="E347" s="355"/>
      <c r="F347" s="355"/>
      <c r="G347" s="356"/>
      <c r="H347" s="355"/>
      <c r="I347" s="355"/>
      <c r="J347" s="357"/>
      <c r="K347" s="357"/>
      <c r="L347" s="357"/>
      <c r="M347" s="340"/>
      <c r="N347" s="340"/>
      <c r="O347" s="365"/>
      <c r="P347" s="332"/>
      <c r="Q347" s="332"/>
      <c r="R347" s="1012"/>
    </row>
    <row r="348" spans="1:19" s="67" customFormat="1" ht="33" customHeight="1">
      <c r="A348" s="358"/>
      <c r="B348" s="1129" t="s">
        <v>41</v>
      </c>
      <c r="C348" s="1129"/>
      <c r="D348" s="1129"/>
      <c r="E348" s="1129"/>
      <c r="F348" s="1129"/>
      <c r="G348" s="1129"/>
      <c r="H348" s="1129"/>
      <c r="I348" s="1129"/>
      <c r="J348" s="1129"/>
      <c r="K348" s="1129"/>
      <c r="L348" s="1129"/>
      <c r="M348" s="1129"/>
      <c r="N348" s="1129"/>
      <c r="O348" s="1129"/>
      <c r="P348" s="332"/>
      <c r="Q348" s="332"/>
      <c r="R348" s="1012"/>
    </row>
    <row r="349" spans="1:19" ht="27.75" customHeight="1">
      <c r="A349" s="1114" t="s">
        <v>1017</v>
      </c>
      <c r="B349" s="1114"/>
      <c r="C349" s="1114"/>
      <c r="D349" s="1114"/>
      <c r="E349" s="1114"/>
      <c r="F349" s="1114"/>
      <c r="G349" s="1114"/>
      <c r="H349" s="1114"/>
      <c r="I349" s="1114"/>
      <c r="J349" s="1114"/>
      <c r="K349" s="1114"/>
      <c r="L349" s="1114"/>
      <c r="M349" s="1114"/>
      <c r="N349" s="1114"/>
      <c r="O349" s="1114"/>
      <c r="R349" s="1012"/>
    </row>
    <row r="350" spans="1:19" ht="15.75" customHeight="1">
      <c r="A350" s="1113" t="s">
        <v>960</v>
      </c>
      <c r="B350" s="1113"/>
      <c r="C350" s="1113"/>
      <c r="D350" s="1113"/>
      <c r="E350" s="1113"/>
      <c r="F350" s="1113"/>
      <c r="G350" s="1113"/>
      <c r="H350" s="1113"/>
      <c r="I350" s="1113"/>
      <c r="J350" s="1113"/>
      <c r="K350" s="1113"/>
      <c r="L350" s="1113"/>
      <c r="M350" s="1113"/>
      <c r="N350" s="1113"/>
      <c r="O350" s="1113"/>
      <c r="P350" s="1113"/>
      <c r="R350" s="1012"/>
    </row>
    <row r="351" spans="1:19" s="345" customFormat="1" ht="19.5" customHeight="1">
      <c r="A351" s="337"/>
      <c r="B351" s="363"/>
      <c r="C351" s="338"/>
      <c r="D351" s="339" t="s">
        <v>576</v>
      </c>
      <c r="E351" s="340"/>
      <c r="F351" s="341"/>
      <c r="G351" s="342"/>
      <c r="H351" s="341"/>
      <c r="I351" s="343"/>
      <c r="J351" s="341"/>
      <c r="K351" s="341"/>
      <c r="L351" s="991" t="s">
        <v>980</v>
      </c>
      <c r="M351" s="341"/>
      <c r="N351" s="343"/>
      <c r="O351" s="340"/>
      <c r="P351" s="332"/>
      <c r="Q351" s="332"/>
      <c r="R351" s="1016"/>
      <c r="S351" s="332"/>
    </row>
    <row r="352" spans="1:19" s="345" customFormat="1" ht="34.15" customHeight="1">
      <c r="A352" s="1112" t="s">
        <v>876</v>
      </c>
      <c r="B352" s="1112" t="s">
        <v>381</v>
      </c>
      <c r="C352" s="1124" t="s">
        <v>981</v>
      </c>
      <c r="D352" s="1124" t="s">
        <v>982</v>
      </c>
      <c r="E352" s="1124" t="s">
        <v>876</v>
      </c>
      <c r="F352" s="1124"/>
      <c r="G352" s="1124"/>
      <c r="H352" s="1124"/>
      <c r="I352" s="1124"/>
      <c r="J352" s="1124"/>
      <c r="K352" s="1124"/>
      <c r="L352" s="1124"/>
      <c r="M352" s="1124" t="s">
        <v>581</v>
      </c>
      <c r="N352" s="1124" t="s">
        <v>203</v>
      </c>
      <c r="O352" s="1124" t="s">
        <v>202</v>
      </c>
      <c r="P352" s="348"/>
      <c r="Q352" s="348"/>
      <c r="R352" s="1016"/>
      <c r="S352" s="332"/>
    </row>
    <row r="353" spans="1:19" s="345" customFormat="1" ht="40.15" customHeight="1">
      <c r="A353" s="1112"/>
      <c r="B353" s="1112"/>
      <c r="C353" s="1124"/>
      <c r="D353" s="1124"/>
      <c r="E353" s="382" t="s">
        <v>469</v>
      </c>
      <c r="F353" s="382" t="s">
        <v>470</v>
      </c>
      <c r="G353" s="837" t="s">
        <v>1003</v>
      </c>
      <c r="H353" s="382" t="s">
        <v>59</v>
      </c>
      <c r="I353" s="382" t="s">
        <v>471</v>
      </c>
      <c r="J353" s="382" t="s">
        <v>280</v>
      </c>
      <c r="K353" s="382" t="s">
        <v>472</v>
      </c>
      <c r="L353" s="382" t="s">
        <v>473</v>
      </c>
      <c r="M353" s="1124"/>
      <c r="N353" s="1124"/>
      <c r="O353" s="1124"/>
      <c r="P353" s="348"/>
      <c r="Q353" s="348"/>
      <c r="R353" s="1016"/>
      <c r="S353" s="332"/>
    </row>
    <row r="354" spans="1:19" s="345" customFormat="1" ht="40.5" customHeight="1">
      <c r="A354" s="831"/>
      <c r="B354" s="838" t="s">
        <v>907</v>
      </c>
      <c r="C354" s="382"/>
      <c r="D354" s="382"/>
      <c r="E354" s="382"/>
      <c r="F354" s="382"/>
      <c r="G354" s="837"/>
      <c r="H354" s="382"/>
      <c r="I354" s="382"/>
      <c r="J354" s="382"/>
      <c r="K354" s="382"/>
      <c r="L354" s="382"/>
      <c r="M354" s="382"/>
      <c r="N354" s="382"/>
      <c r="O354" s="382"/>
      <c r="P354" s="348"/>
      <c r="Q354" s="348"/>
      <c r="R354" s="1016"/>
      <c r="S354" s="332"/>
    </row>
    <row r="355" spans="1:19" s="345" customFormat="1" ht="24" customHeight="1">
      <c r="A355" s="831"/>
      <c r="B355" s="868" t="s">
        <v>451</v>
      </c>
      <c r="C355" s="382" t="s">
        <v>281</v>
      </c>
      <c r="D355" s="831" t="s">
        <v>881</v>
      </c>
      <c r="E355" s="383" t="e">
        <f t="shared" ref="E355:O355" si="44">E359+E386+E388</f>
        <v>#VALUE!</v>
      </c>
      <c r="F355" s="383">
        <f t="shared" si="44"/>
        <v>0</v>
      </c>
      <c r="G355" s="383">
        <f t="shared" si="44"/>
        <v>0</v>
      </c>
      <c r="H355" s="383">
        <f t="shared" si="44"/>
        <v>15311.343956730771</v>
      </c>
      <c r="I355" s="383">
        <f t="shared" si="44"/>
        <v>24075.468000000001</v>
      </c>
      <c r="J355" s="383">
        <f t="shared" si="44"/>
        <v>9608.4799999999977</v>
      </c>
      <c r="K355" s="383">
        <f t="shared" si="44"/>
        <v>18643.338</v>
      </c>
      <c r="L355" s="383" t="e">
        <f t="shared" si="44"/>
        <v>#VALUE!</v>
      </c>
      <c r="M355" s="383" t="e">
        <f t="shared" si="44"/>
        <v>#VALUE!</v>
      </c>
      <c r="N355" s="383" t="e">
        <f t="shared" si="44"/>
        <v>#VALUE!</v>
      </c>
      <c r="O355" s="383">
        <f t="shared" si="44"/>
        <v>50752.375000000007</v>
      </c>
      <c r="P355" s="348"/>
      <c r="Q355" s="348"/>
      <c r="R355" s="1016"/>
      <c r="S355" s="332"/>
    </row>
    <row r="356" spans="1:19" s="345" customFormat="1" ht="24" customHeight="1">
      <c r="A356" s="831"/>
      <c r="B356" s="868" t="s">
        <v>452</v>
      </c>
      <c r="C356" s="382" t="s">
        <v>281</v>
      </c>
      <c r="D356" s="831" t="s">
        <v>881</v>
      </c>
      <c r="E356" s="383" t="e">
        <f>E360+E386+E388</f>
        <v>#VALUE!</v>
      </c>
      <c r="F356" s="383">
        <f t="shared" ref="F356:O356" si="45">F360+F386+F388</f>
        <v>0</v>
      </c>
      <c r="G356" s="383">
        <f t="shared" si="45"/>
        <v>0</v>
      </c>
      <c r="H356" s="383">
        <f t="shared" si="45"/>
        <v>15311.343956730771</v>
      </c>
      <c r="I356" s="383">
        <f t="shared" si="45"/>
        <v>24075.468000000001</v>
      </c>
      <c r="J356" s="383">
        <f t="shared" si="45"/>
        <v>9608.4799999999977</v>
      </c>
      <c r="K356" s="383">
        <f t="shared" si="45"/>
        <v>18643.338</v>
      </c>
      <c r="L356" s="383" t="e">
        <f t="shared" si="45"/>
        <v>#VALUE!</v>
      </c>
      <c r="M356" s="383" t="e">
        <f t="shared" si="45"/>
        <v>#VALUE!</v>
      </c>
      <c r="N356" s="383" t="e">
        <f t="shared" si="45"/>
        <v>#VALUE!</v>
      </c>
      <c r="O356" s="383">
        <f t="shared" si="45"/>
        <v>50352.750000000007</v>
      </c>
      <c r="P356" s="348"/>
      <c r="Q356" s="348"/>
      <c r="R356" s="1016"/>
      <c r="S356" s="332"/>
    </row>
    <row r="357" spans="1:19" s="345" customFormat="1" ht="24" customHeight="1">
      <c r="A357" s="831"/>
      <c r="B357" s="888"/>
      <c r="C357" s="382"/>
      <c r="D357" s="382"/>
      <c r="E357" s="1018"/>
      <c r="F357" s="1018"/>
      <c r="G357" s="1018"/>
      <c r="H357" s="1018"/>
      <c r="I357" s="1018"/>
      <c r="J357" s="1018"/>
      <c r="K357" s="1018"/>
      <c r="L357" s="1018"/>
      <c r="M357" s="1018"/>
      <c r="N357" s="1018"/>
      <c r="O357" s="1018"/>
      <c r="P357" s="351">
        <f>'He so chung'!D$22</f>
        <v>5346.1538461538457</v>
      </c>
      <c r="Q357" s="351">
        <f>'He so chung'!D$23</f>
        <v>801.92307692307691</v>
      </c>
      <c r="R357" s="1025"/>
      <c r="S357" s="332"/>
    </row>
    <row r="358" spans="1:19" s="345" customFormat="1" ht="24" customHeight="1">
      <c r="A358" s="831" t="s">
        <v>179</v>
      </c>
      <c r="B358" s="888" t="s">
        <v>1057</v>
      </c>
      <c r="C358" s="382"/>
      <c r="D358" s="382"/>
      <c r="E358" s="1018"/>
      <c r="F358" s="1018"/>
      <c r="G358" s="1018"/>
      <c r="H358" s="1018"/>
      <c r="I358" s="1018"/>
      <c r="J358" s="1018"/>
      <c r="K358" s="1018"/>
      <c r="L358" s="1018"/>
      <c r="M358" s="1018"/>
      <c r="N358" s="1018"/>
      <c r="O358" s="1018"/>
      <c r="P358" s="351"/>
      <c r="Q358" s="351"/>
      <c r="R358" s="1025"/>
      <c r="S358" s="332"/>
    </row>
    <row r="359" spans="1:19" s="1009" customFormat="1" ht="24" customHeight="1">
      <c r="A359" s="869" t="s">
        <v>665</v>
      </c>
      <c r="B359" s="868" t="s">
        <v>451</v>
      </c>
      <c r="C359" s="382" t="s">
        <v>281</v>
      </c>
      <c r="D359" s="1010"/>
      <c r="E359" s="919" t="e">
        <f>E362+E364+E365+E366+E367+E369+E371+E372+E374+E376+E377+E378+E379+E382+E383+E384+E385</f>
        <v>#VALUE!</v>
      </c>
      <c r="F359" s="919">
        <f>F362+F364+F365+F366+F367+F369+F371+F372+F374+F376+F377+F378+F379+F382+F383+F384+F385</f>
        <v>0</v>
      </c>
      <c r="G359" s="1020"/>
      <c r="H359" s="898">
        <f>'Dcu-DKDD'!$L$363</f>
        <v>15234.264365384617</v>
      </c>
      <c r="I359" s="898">
        <f>'VL-DKDD'!$J$371</f>
        <v>23603.4</v>
      </c>
      <c r="J359" s="898">
        <f>'TB-DKDD'!$M$212</f>
        <v>9608.4799999999977</v>
      </c>
      <c r="K359" s="898">
        <f>'NL-DKDD'!$J$142</f>
        <v>18643.338</v>
      </c>
      <c r="L359" s="893" t="e">
        <f>SUM(E359:K359)</f>
        <v>#VALUE!</v>
      </c>
      <c r="M359" s="893" t="e">
        <f>L359*'He so chung'!$D$17/100</f>
        <v>#VALUE!</v>
      </c>
      <c r="N359" s="893" t="e">
        <f>L359+M359</f>
        <v>#VALUE!</v>
      </c>
      <c r="O359" s="919">
        <f>O362+O364+O365+O366+O367+O369+O371+O372+O374+O376+O377+O378+O379+O382+O383+O384+O385</f>
        <v>47555.375000000007</v>
      </c>
      <c r="P359" s="348"/>
      <c r="Q359" s="348"/>
      <c r="R359" s="1016"/>
      <c r="S359" s="352"/>
    </row>
    <row r="360" spans="1:19" s="1009" customFormat="1" ht="24" customHeight="1">
      <c r="A360" s="869" t="s">
        <v>666</v>
      </c>
      <c r="B360" s="868" t="s">
        <v>452</v>
      </c>
      <c r="C360" s="382" t="s">
        <v>281</v>
      </c>
      <c r="D360" s="1010"/>
      <c r="E360" s="919" t="e">
        <f>E363+E364+E365+E366+E367+E369+E371+E372+E374+E376+E377+E378+E379+E382+E383+E384+E385</f>
        <v>#VALUE!</v>
      </c>
      <c r="F360" s="898"/>
      <c r="G360" s="1020"/>
      <c r="H360" s="898">
        <f>'Dcu-DKDD'!$L$363</f>
        <v>15234.264365384617</v>
      </c>
      <c r="I360" s="898">
        <f>'VL-DKDD'!$J$371</f>
        <v>23603.4</v>
      </c>
      <c r="J360" s="898">
        <f>'TB-DKDD'!$M$212</f>
        <v>9608.4799999999977</v>
      </c>
      <c r="K360" s="898">
        <f>'NL-DKDD'!$J$142</f>
        <v>18643.338</v>
      </c>
      <c r="L360" s="893" t="e">
        <f>SUM(E360:K360)</f>
        <v>#VALUE!</v>
      </c>
      <c r="M360" s="893" t="e">
        <f>L360*'He so chung'!$D$17/100</f>
        <v>#VALUE!</v>
      </c>
      <c r="N360" s="893" t="e">
        <f>L360+M360</f>
        <v>#VALUE!</v>
      </c>
      <c r="O360" s="919">
        <f>O363+O364+O365+O366+O367+O369+O371+O372+O374+O376+O377+O378+O379+O382+O383+O384+O385</f>
        <v>47155.750000000007</v>
      </c>
      <c r="P360" s="348"/>
      <c r="Q360" s="348"/>
      <c r="R360" s="1016"/>
      <c r="S360" s="352"/>
    </row>
    <row r="361" spans="1:19" s="1009" customFormat="1" ht="21.75" customHeight="1">
      <c r="A361" s="832">
        <v>1</v>
      </c>
      <c r="B361" s="827" t="s">
        <v>12</v>
      </c>
      <c r="C361" s="832"/>
      <c r="D361" s="1010"/>
      <c r="E361" s="898"/>
      <c r="F361" s="898"/>
      <c r="G361" s="1020"/>
      <c r="H361" s="898"/>
      <c r="I361" s="898"/>
      <c r="J361" s="898"/>
      <c r="K361" s="898"/>
      <c r="L361" s="898"/>
      <c r="M361" s="898"/>
      <c r="N361" s="898"/>
      <c r="O361" s="898"/>
      <c r="P361" s="348"/>
      <c r="Q361" s="348"/>
      <c r="R361" s="1016"/>
      <c r="S361" s="352"/>
    </row>
    <row r="362" spans="1:19" s="1009" customFormat="1" ht="21.75" customHeight="1">
      <c r="A362" s="832" t="s">
        <v>891</v>
      </c>
      <c r="B362" s="827" t="s">
        <v>33</v>
      </c>
      <c r="C362" s="832" t="s">
        <v>281</v>
      </c>
      <c r="D362" s="901" t="s">
        <v>881</v>
      </c>
      <c r="E362" s="898" t="e">
        <f>NC_DKDD!H1042</f>
        <v>#VALUE!</v>
      </c>
      <c r="F362" s="898"/>
      <c r="G362" s="1020"/>
      <c r="H362" s="898"/>
      <c r="I362" s="898"/>
      <c r="J362" s="898"/>
      <c r="K362" s="898"/>
      <c r="L362" s="898"/>
      <c r="M362" s="898"/>
      <c r="N362" s="898"/>
      <c r="O362" s="898">
        <f t="shared" ref="O362:O385" si="46">P362+Q362</f>
        <v>1598.5</v>
      </c>
      <c r="P362" s="348">
        <f t="shared" ref="P362:P389" si="47">R362*P$271</f>
        <v>1390</v>
      </c>
      <c r="Q362" s="348">
        <f t="shared" ref="Q362:Q389" si="48">R362*Q$271</f>
        <v>208.5</v>
      </c>
      <c r="R362" s="1021">
        <f>NC_DKDD!G1042</f>
        <v>0.26</v>
      </c>
      <c r="S362" s="352"/>
    </row>
    <row r="363" spans="1:19" s="1009" customFormat="1" ht="21.75" customHeight="1">
      <c r="A363" s="832" t="s">
        <v>899</v>
      </c>
      <c r="B363" s="827" t="s">
        <v>36</v>
      </c>
      <c r="C363" s="832" t="s">
        <v>281</v>
      </c>
      <c r="D363" s="901" t="s">
        <v>881</v>
      </c>
      <c r="E363" s="898" t="e">
        <f>NC_DKDD!H1043</f>
        <v>#VALUE!</v>
      </c>
      <c r="F363" s="898"/>
      <c r="G363" s="1020"/>
      <c r="H363" s="898"/>
      <c r="I363" s="898"/>
      <c r="J363" s="898"/>
      <c r="K363" s="898"/>
      <c r="L363" s="898"/>
      <c r="M363" s="898"/>
      <c r="N363" s="898"/>
      <c r="O363" s="898">
        <f t="shared" si="46"/>
        <v>1198.875</v>
      </c>
      <c r="P363" s="348">
        <f t="shared" si="47"/>
        <v>1042.5</v>
      </c>
      <c r="Q363" s="348">
        <f t="shared" si="48"/>
        <v>156.375</v>
      </c>
      <c r="R363" s="1021">
        <f>NC_DKDD!G1043</f>
        <v>0.19500000000000001</v>
      </c>
      <c r="S363" s="352"/>
    </row>
    <row r="364" spans="1:19" s="1009" customFormat="1" ht="37.5" customHeight="1">
      <c r="A364" s="832">
        <v>2</v>
      </c>
      <c r="B364" s="827" t="s">
        <v>953</v>
      </c>
      <c r="C364" s="832" t="s">
        <v>281</v>
      </c>
      <c r="D364" s="901" t="s">
        <v>881</v>
      </c>
      <c r="E364" s="898" t="e">
        <f>NC_DKDD!H1044</f>
        <v>#VALUE!</v>
      </c>
      <c r="F364" s="898"/>
      <c r="G364" s="1020"/>
      <c r="H364" s="898"/>
      <c r="I364" s="898"/>
      <c r="J364" s="898"/>
      <c r="K364" s="898"/>
      <c r="L364" s="898"/>
      <c r="M364" s="898"/>
      <c r="N364" s="898"/>
      <c r="O364" s="898">
        <f t="shared" si="46"/>
        <v>2397.75</v>
      </c>
      <c r="P364" s="348">
        <f t="shared" si="47"/>
        <v>2085</v>
      </c>
      <c r="Q364" s="348">
        <f t="shared" si="48"/>
        <v>312.75</v>
      </c>
      <c r="R364" s="1021">
        <f>NC_DKDD!G1044</f>
        <v>0.39</v>
      </c>
      <c r="S364" s="352"/>
    </row>
    <row r="365" spans="1:19" s="1009" customFormat="1" ht="44.25" customHeight="1">
      <c r="A365" s="832">
        <v>3</v>
      </c>
      <c r="B365" s="827" t="s">
        <v>1078</v>
      </c>
      <c r="C365" s="832" t="s">
        <v>523</v>
      </c>
      <c r="D365" s="901" t="s">
        <v>881</v>
      </c>
      <c r="E365" s="898" t="e">
        <f>NC_DKDD!H1045</f>
        <v>#VALUE!</v>
      </c>
      <c r="F365" s="898"/>
      <c r="G365" s="1020"/>
      <c r="H365" s="898"/>
      <c r="I365" s="898"/>
      <c r="J365" s="898"/>
      <c r="K365" s="898"/>
      <c r="L365" s="898"/>
      <c r="M365" s="898"/>
      <c r="N365" s="898"/>
      <c r="O365" s="898">
        <f t="shared" si="46"/>
        <v>1026.728846153846</v>
      </c>
      <c r="P365" s="348">
        <f t="shared" si="47"/>
        <v>892.80769230769226</v>
      </c>
      <c r="Q365" s="348">
        <f t="shared" si="48"/>
        <v>133.92115384615386</v>
      </c>
      <c r="R365" s="1021">
        <f>NC_DKDD!G1045</f>
        <v>0.16700000000000001</v>
      </c>
      <c r="S365" s="352"/>
    </row>
    <row r="366" spans="1:19" s="1009" customFormat="1" ht="76.5" customHeight="1">
      <c r="A366" s="832">
        <v>4</v>
      </c>
      <c r="B366" s="827" t="s">
        <v>481</v>
      </c>
      <c r="C366" s="832" t="s">
        <v>281</v>
      </c>
      <c r="D366" s="901" t="s">
        <v>881</v>
      </c>
      <c r="E366" s="898" t="e">
        <f>NC_DKDD!H1046</f>
        <v>#VALUE!</v>
      </c>
      <c r="F366" s="898"/>
      <c r="G366" s="1020"/>
      <c r="H366" s="898"/>
      <c r="I366" s="898"/>
      <c r="J366" s="898"/>
      <c r="K366" s="898"/>
      <c r="L366" s="898"/>
      <c r="M366" s="898"/>
      <c r="N366" s="898"/>
      <c r="O366" s="898">
        <f t="shared" si="46"/>
        <v>31970</v>
      </c>
      <c r="P366" s="348">
        <f t="shared" si="47"/>
        <v>27800</v>
      </c>
      <c r="Q366" s="348">
        <f t="shared" si="48"/>
        <v>4170</v>
      </c>
      <c r="R366" s="1021">
        <f>NC_DKDD!G1046</f>
        <v>5.2</v>
      </c>
      <c r="S366" s="352"/>
    </row>
    <row r="367" spans="1:19" s="1009" customFormat="1" ht="24.75" customHeight="1">
      <c r="A367" s="832">
        <v>5</v>
      </c>
      <c r="B367" s="827" t="s">
        <v>1083</v>
      </c>
      <c r="C367" s="832" t="s">
        <v>523</v>
      </c>
      <c r="D367" s="901" t="s">
        <v>881</v>
      </c>
      <c r="E367" s="898" t="e">
        <f>NC_DKDD!H1047</f>
        <v>#VALUE!</v>
      </c>
      <c r="F367" s="898"/>
      <c r="G367" s="1020"/>
      <c r="H367" s="898"/>
      <c r="I367" s="898"/>
      <c r="J367" s="898"/>
      <c r="K367" s="898"/>
      <c r="L367" s="898"/>
      <c r="M367" s="898"/>
      <c r="N367" s="898"/>
      <c r="O367" s="898">
        <f t="shared" si="46"/>
        <v>18.444230769230767</v>
      </c>
      <c r="P367" s="348">
        <f t="shared" si="47"/>
        <v>16.038461538461537</v>
      </c>
      <c r="Q367" s="348">
        <f t="shared" si="48"/>
        <v>2.4057692307692307</v>
      </c>
      <c r="R367" s="1021">
        <f>NC_DKDD!G1047</f>
        <v>3.0000000000000001E-3</v>
      </c>
      <c r="S367" s="352"/>
    </row>
    <row r="368" spans="1:19" s="1009" customFormat="1" ht="43.5" customHeight="1">
      <c r="A368" s="832">
        <v>6</v>
      </c>
      <c r="B368" s="827" t="s">
        <v>958</v>
      </c>
      <c r="C368" s="832"/>
      <c r="D368" s="832"/>
      <c r="E368" s="898">
        <f>NC_DKDD!H1048</f>
        <v>0</v>
      </c>
      <c r="F368" s="898"/>
      <c r="G368" s="1020"/>
      <c r="H368" s="898"/>
      <c r="I368" s="898"/>
      <c r="J368" s="898"/>
      <c r="K368" s="898"/>
      <c r="L368" s="898"/>
      <c r="M368" s="898"/>
      <c r="N368" s="898"/>
      <c r="O368" s="898">
        <f t="shared" si="46"/>
        <v>0</v>
      </c>
      <c r="P368" s="348">
        <f t="shared" si="47"/>
        <v>0</v>
      </c>
      <c r="Q368" s="348">
        <f t="shared" si="48"/>
        <v>0</v>
      </c>
      <c r="R368" s="1021">
        <f>NC_DKDD!G1048</f>
        <v>0</v>
      </c>
      <c r="S368" s="352"/>
    </row>
    <row r="369" spans="1:19" s="1009" customFormat="1" ht="24.75" customHeight="1">
      <c r="A369" s="832" t="s">
        <v>444</v>
      </c>
      <c r="B369" s="827" t="s">
        <v>770</v>
      </c>
      <c r="C369" s="832" t="s">
        <v>281</v>
      </c>
      <c r="D369" s="901" t="s">
        <v>881</v>
      </c>
      <c r="E369" s="898" t="e">
        <f>NC_DKDD!H1049</f>
        <v>#VALUE!</v>
      </c>
      <c r="F369" s="898"/>
      <c r="G369" s="1020"/>
      <c r="H369" s="898"/>
      <c r="I369" s="898"/>
      <c r="J369" s="898"/>
      <c r="K369" s="898"/>
      <c r="L369" s="898"/>
      <c r="M369" s="898"/>
      <c r="N369" s="898"/>
      <c r="O369" s="898">
        <f t="shared" si="46"/>
        <v>307.40384615384619</v>
      </c>
      <c r="P369" s="348">
        <f t="shared" si="47"/>
        <v>267.30769230769232</v>
      </c>
      <c r="Q369" s="348">
        <f t="shared" si="48"/>
        <v>40.096153846153847</v>
      </c>
      <c r="R369" s="1021">
        <f>NC_DKDD!G1049</f>
        <v>0.05</v>
      </c>
      <c r="S369" s="352"/>
    </row>
    <row r="370" spans="1:19" s="1009" customFormat="1" ht="24.75" customHeight="1">
      <c r="A370" s="832" t="s">
        <v>445</v>
      </c>
      <c r="B370" s="827" t="s">
        <v>771</v>
      </c>
      <c r="C370" s="832" t="s">
        <v>281</v>
      </c>
      <c r="D370" s="901" t="s">
        <v>881</v>
      </c>
      <c r="E370" s="898" t="e">
        <f>NC_DKDD!H1050</f>
        <v>#VALUE!</v>
      </c>
      <c r="F370" s="898"/>
      <c r="G370" s="1020"/>
      <c r="H370" s="898"/>
      <c r="I370" s="898"/>
      <c r="J370" s="898"/>
      <c r="K370" s="898"/>
      <c r="L370" s="898"/>
      <c r="M370" s="898"/>
      <c r="N370" s="898"/>
      <c r="O370" s="898">
        <f t="shared" si="46"/>
        <v>614.80769230769238</v>
      </c>
      <c r="P370" s="348">
        <f t="shared" si="47"/>
        <v>534.61538461538464</v>
      </c>
      <c r="Q370" s="348">
        <f t="shared" si="48"/>
        <v>80.192307692307693</v>
      </c>
      <c r="R370" s="1021">
        <f>NC_DKDD!G1050</f>
        <v>0.1</v>
      </c>
      <c r="S370" s="352"/>
    </row>
    <row r="371" spans="1:19" s="1009" customFormat="1" ht="35.25" customHeight="1">
      <c r="A371" s="832">
        <v>7</v>
      </c>
      <c r="B371" s="827" t="s">
        <v>554</v>
      </c>
      <c r="C371" s="832" t="s">
        <v>281</v>
      </c>
      <c r="D371" s="901" t="s">
        <v>881</v>
      </c>
      <c r="E371" s="898" t="e">
        <f>NC_DKDD!H1051</f>
        <v>#VALUE!</v>
      </c>
      <c r="F371" s="898"/>
      <c r="G371" s="1020"/>
      <c r="H371" s="898"/>
      <c r="I371" s="898"/>
      <c r="J371" s="898"/>
      <c r="K371" s="898"/>
      <c r="L371" s="898"/>
      <c r="M371" s="898"/>
      <c r="N371" s="898"/>
      <c r="O371" s="898">
        <f t="shared" si="46"/>
        <v>1598.5</v>
      </c>
      <c r="P371" s="348">
        <f t="shared" si="47"/>
        <v>1390</v>
      </c>
      <c r="Q371" s="348">
        <f t="shared" si="48"/>
        <v>208.5</v>
      </c>
      <c r="R371" s="1021">
        <f>NC_DKDD!G1051</f>
        <v>0.26</v>
      </c>
      <c r="S371" s="352"/>
    </row>
    <row r="372" spans="1:19" s="1009" customFormat="1" ht="28.5" customHeight="1">
      <c r="A372" s="832">
        <v>8</v>
      </c>
      <c r="B372" s="827" t="s">
        <v>211</v>
      </c>
      <c r="C372" s="832" t="s">
        <v>523</v>
      </c>
      <c r="D372" s="901" t="s">
        <v>881</v>
      </c>
      <c r="E372" s="898" t="e">
        <f>NC_DKDD!H1052</f>
        <v>#VALUE!</v>
      </c>
      <c r="F372" s="898"/>
      <c r="G372" s="1020"/>
      <c r="H372" s="898"/>
      <c r="I372" s="898"/>
      <c r="J372" s="898"/>
      <c r="K372" s="898"/>
      <c r="L372" s="898"/>
      <c r="M372" s="898"/>
      <c r="N372" s="898"/>
      <c r="O372" s="898">
        <f t="shared" si="46"/>
        <v>202.88653846153844</v>
      </c>
      <c r="P372" s="348">
        <f t="shared" si="47"/>
        <v>176.42307692307691</v>
      </c>
      <c r="Q372" s="348">
        <f t="shared" si="48"/>
        <v>26.463461538461541</v>
      </c>
      <c r="R372" s="1021">
        <f>NC_DKDD!G1052</f>
        <v>3.3000000000000002E-2</v>
      </c>
      <c r="S372" s="352"/>
    </row>
    <row r="373" spans="1:19" s="1009" customFormat="1" ht="28.5" customHeight="1">
      <c r="A373" s="832">
        <v>9</v>
      </c>
      <c r="B373" s="827" t="s">
        <v>213</v>
      </c>
      <c r="C373" s="832"/>
      <c r="D373" s="832"/>
      <c r="E373" s="898">
        <f>NC_DKDD!H1053</f>
        <v>0</v>
      </c>
      <c r="F373" s="898"/>
      <c r="G373" s="1020"/>
      <c r="H373" s="898"/>
      <c r="I373" s="898"/>
      <c r="J373" s="898"/>
      <c r="K373" s="898"/>
      <c r="L373" s="898"/>
      <c r="M373" s="898"/>
      <c r="N373" s="898"/>
      <c r="O373" s="898">
        <f t="shared" si="46"/>
        <v>0</v>
      </c>
      <c r="P373" s="348">
        <f t="shared" si="47"/>
        <v>0</v>
      </c>
      <c r="Q373" s="348">
        <f t="shared" si="48"/>
        <v>0</v>
      </c>
      <c r="R373" s="1021">
        <f>NC_DKDD!G1053</f>
        <v>0</v>
      </c>
      <c r="S373" s="352"/>
    </row>
    <row r="374" spans="1:19" s="1009" customFormat="1" ht="28.5" customHeight="1">
      <c r="A374" s="832" t="s">
        <v>446</v>
      </c>
      <c r="B374" s="827" t="s">
        <v>215</v>
      </c>
      <c r="C374" s="832" t="s">
        <v>320</v>
      </c>
      <c r="D374" s="901" t="s">
        <v>881</v>
      </c>
      <c r="E374" s="898" t="e">
        <f>NC_DKDD!H1054</f>
        <v>#VALUE!</v>
      </c>
      <c r="F374" s="898"/>
      <c r="G374" s="1020"/>
      <c r="H374" s="898"/>
      <c r="I374" s="898"/>
      <c r="J374" s="898"/>
      <c r="K374" s="898"/>
      <c r="L374" s="898"/>
      <c r="M374" s="898"/>
      <c r="N374" s="898"/>
      <c r="O374" s="898">
        <f t="shared" si="46"/>
        <v>614.80769230769238</v>
      </c>
      <c r="P374" s="348">
        <f t="shared" si="47"/>
        <v>534.61538461538464</v>
      </c>
      <c r="Q374" s="348">
        <f t="shared" si="48"/>
        <v>80.192307692307693</v>
      </c>
      <c r="R374" s="1021">
        <f>NC_DKDD!G1054</f>
        <v>0.1</v>
      </c>
      <c r="S374" s="352"/>
    </row>
    <row r="375" spans="1:19" s="1009" customFormat="1" ht="28.5" customHeight="1">
      <c r="A375" s="832" t="s">
        <v>447</v>
      </c>
      <c r="B375" s="827" t="s">
        <v>217</v>
      </c>
      <c r="C375" s="832" t="s">
        <v>320</v>
      </c>
      <c r="D375" s="901" t="s">
        <v>881</v>
      </c>
      <c r="E375" s="898" t="e">
        <f>NC_DKDD!H1055</f>
        <v>#VALUE!</v>
      </c>
      <c r="F375" s="898"/>
      <c r="G375" s="1020"/>
      <c r="H375" s="898"/>
      <c r="I375" s="898"/>
      <c r="J375" s="898"/>
      <c r="K375" s="898"/>
      <c r="L375" s="898"/>
      <c r="M375" s="898"/>
      <c r="N375" s="898"/>
      <c r="O375" s="898">
        <f t="shared" si="46"/>
        <v>1229.6153846153848</v>
      </c>
      <c r="P375" s="348">
        <f t="shared" si="47"/>
        <v>1069.2307692307693</v>
      </c>
      <c r="Q375" s="348">
        <f t="shared" si="48"/>
        <v>160.38461538461539</v>
      </c>
      <c r="R375" s="1021">
        <f>NC_DKDD!G1055</f>
        <v>0.2</v>
      </c>
      <c r="S375" s="352"/>
    </row>
    <row r="376" spans="1:19" s="1009" customFormat="1" ht="31.5" customHeight="1">
      <c r="A376" s="832" t="s">
        <v>555</v>
      </c>
      <c r="B376" s="827" t="s">
        <v>556</v>
      </c>
      <c r="C376" s="832" t="s">
        <v>320</v>
      </c>
      <c r="D376" s="901" t="s">
        <v>881</v>
      </c>
      <c r="E376" s="898" t="e">
        <f>NC_DKDD!H1056</f>
        <v>#VALUE!</v>
      </c>
      <c r="F376" s="898"/>
      <c r="G376" s="1020"/>
      <c r="H376" s="898"/>
      <c r="I376" s="898"/>
      <c r="J376" s="898"/>
      <c r="K376" s="898"/>
      <c r="L376" s="898"/>
      <c r="M376" s="898"/>
      <c r="N376" s="898"/>
      <c r="O376" s="898">
        <f t="shared" si="46"/>
        <v>614.80769230769238</v>
      </c>
      <c r="P376" s="348">
        <f t="shared" si="47"/>
        <v>534.61538461538464</v>
      </c>
      <c r="Q376" s="348">
        <f t="shared" si="48"/>
        <v>80.192307692307693</v>
      </c>
      <c r="R376" s="1021">
        <f>NC_DKDD!G1056</f>
        <v>0.1</v>
      </c>
      <c r="S376" s="352"/>
    </row>
    <row r="377" spans="1:19" s="1009" customFormat="1" ht="36.75" customHeight="1">
      <c r="A377" s="832">
        <v>10</v>
      </c>
      <c r="B377" s="827" t="s">
        <v>557</v>
      </c>
      <c r="C377" s="832" t="s">
        <v>281</v>
      </c>
      <c r="D377" s="901" t="s">
        <v>881</v>
      </c>
      <c r="E377" s="898" t="e">
        <f>NC_DKDD!H1057</f>
        <v>#VALUE!</v>
      </c>
      <c r="F377" s="898"/>
      <c r="G377" s="1020"/>
      <c r="H377" s="898"/>
      <c r="I377" s="898"/>
      <c r="J377" s="898"/>
      <c r="K377" s="898"/>
      <c r="L377" s="898"/>
      <c r="M377" s="898"/>
      <c r="N377" s="898"/>
      <c r="O377" s="898">
        <f t="shared" si="46"/>
        <v>3996.25</v>
      </c>
      <c r="P377" s="348">
        <f t="shared" si="47"/>
        <v>3475</v>
      </c>
      <c r="Q377" s="348">
        <f t="shared" si="48"/>
        <v>521.25</v>
      </c>
      <c r="R377" s="1021">
        <f>NC_DKDD!G1057</f>
        <v>0.65</v>
      </c>
      <c r="S377" s="352"/>
    </row>
    <row r="378" spans="1:19" s="1009" customFormat="1" ht="68.25" customHeight="1">
      <c r="A378" s="832">
        <v>11</v>
      </c>
      <c r="B378" s="827" t="s">
        <v>14</v>
      </c>
      <c r="C378" s="832" t="s">
        <v>281</v>
      </c>
      <c r="D378" s="901" t="s">
        <v>881</v>
      </c>
      <c r="E378" s="898" t="e">
        <f>NC_DKDD!H1058</f>
        <v>#VALUE!</v>
      </c>
      <c r="F378" s="898"/>
      <c r="G378" s="1020"/>
      <c r="H378" s="898"/>
      <c r="I378" s="898"/>
      <c r="J378" s="898"/>
      <c r="K378" s="898"/>
      <c r="L378" s="898"/>
      <c r="M378" s="898"/>
      <c r="N378" s="898"/>
      <c r="O378" s="898">
        <f t="shared" si="46"/>
        <v>2729.7461538461539</v>
      </c>
      <c r="P378" s="348">
        <f t="shared" si="47"/>
        <v>2373.6923076923076</v>
      </c>
      <c r="Q378" s="348">
        <f t="shared" si="48"/>
        <v>356.05384615384617</v>
      </c>
      <c r="R378" s="1021">
        <f>NC_DKDD!G1058</f>
        <v>0.44400000000000001</v>
      </c>
      <c r="S378" s="352"/>
    </row>
    <row r="379" spans="1:19" s="1009" customFormat="1" ht="21.75" customHeight="1">
      <c r="A379" s="832">
        <v>12</v>
      </c>
      <c r="B379" s="827" t="s">
        <v>220</v>
      </c>
      <c r="C379" s="832" t="s">
        <v>523</v>
      </c>
      <c r="D379" s="901" t="s">
        <v>881</v>
      </c>
      <c r="E379" s="898" t="e">
        <f>NC_DKDD!H1059</f>
        <v>#VALUE!</v>
      </c>
      <c r="F379" s="898"/>
      <c r="G379" s="1020"/>
      <c r="H379" s="898"/>
      <c r="I379" s="898"/>
      <c r="J379" s="898"/>
      <c r="K379" s="898"/>
      <c r="L379" s="898"/>
      <c r="M379" s="898"/>
      <c r="N379" s="898"/>
      <c r="O379" s="898">
        <f t="shared" si="46"/>
        <v>202.88653846153844</v>
      </c>
      <c r="P379" s="348">
        <f t="shared" si="47"/>
        <v>176.42307692307691</v>
      </c>
      <c r="Q379" s="348">
        <f t="shared" si="48"/>
        <v>26.463461538461541</v>
      </c>
      <c r="R379" s="1021">
        <f>NC_DKDD!G1059</f>
        <v>3.3000000000000002E-2</v>
      </c>
      <c r="S379" s="352"/>
    </row>
    <row r="380" spans="1:19" s="1009" customFormat="1" ht="21.75" customHeight="1">
      <c r="A380" s="832">
        <v>13</v>
      </c>
      <c r="B380" s="827" t="s">
        <v>221</v>
      </c>
      <c r="C380" s="832"/>
      <c r="D380" s="832"/>
      <c r="E380" s="898">
        <f>NC_DKDD!H1060</f>
        <v>0</v>
      </c>
      <c r="F380" s="898"/>
      <c r="G380" s="1020"/>
      <c r="H380" s="898"/>
      <c r="I380" s="898"/>
      <c r="J380" s="898"/>
      <c r="K380" s="898"/>
      <c r="L380" s="898"/>
      <c r="M380" s="898"/>
      <c r="N380" s="898"/>
      <c r="O380" s="898">
        <f t="shared" si="46"/>
        <v>0</v>
      </c>
      <c r="P380" s="348">
        <f t="shared" si="47"/>
        <v>0</v>
      </c>
      <c r="Q380" s="348">
        <f t="shared" si="48"/>
        <v>0</v>
      </c>
      <c r="R380" s="1021">
        <f>NC_DKDD!G1060</f>
        <v>0</v>
      </c>
      <c r="S380" s="352"/>
    </row>
    <row r="381" spans="1:19" s="1009" customFormat="1" ht="40.5" customHeight="1">
      <c r="A381" s="832" t="s">
        <v>237</v>
      </c>
      <c r="B381" s="827" t="s">
        <v>931</v>
      </c>
      <c r="C381" s="832"/>
      <c r="D381" s="832"/>
      <c r="E381" s="898">
        <f>NC_DKDD!H1061</f>
        <v>0</v>
      </c>
      <c r="F381" s="898"/>
      <c r="G381" s="1020"/>
      <c r="H381" s="898"/>
      <c r="I381" s="898"/>
      <c r="J381" s="898"/>
      <c r="K381" s="898"/>
      <c r="L381" s="898"/>
      <c r="M381" s="898"/>
      <c r="N381" s="898"/>
      <c r="O381" s="898">
        <f t="shared" si="46"/>
        <v>0</v>
      </c>
      <c r="P381" s="348">
        <f t="shared" si="47"/>
        <v>0</v>
      </c>
      <c r="Q381" s="348">
        <f t="shared" si="48"/>
        <v>0</v>
      </c>
      <c r="R381" s="1021">
        <f>NC_DKDD!G1061</f>
        <v>0</v>
      </c>
      <c r="S381" s="352"/>
    </row>
    <row r="382" spans="1:19" s="1009" customFormat="1" ht="23.25" customHeight="1">
      <c r="A382" s="832" t="s">
        <v>238</v>
      </c>
      <c r="B382" s="827" t="s">
        <v>933</v>
      </c>
      <c r="C382" s="832" t="s">
        <v>525</v>
      </c>
      <c r="D382" s="901" t="s">
        <v>881</v>
      </c>
      <c r="E382" s="898" t="e">
        <f>NC_DKDD!H1062</f>
        <v>#VALUE!</v>
      </c>
      <c r="F382" s="898"/>
      <c r="G382" s="1020"/>
      <c r="H382" s="898"/>
      <c r="I382" s="898"/>
      <c r="J382" s="898"/>
      <c r="K382" s="898"/>
      <c r="L382" s="898"/>
      <c r="M382" s="898"/>
      <c r="N382" s="898"/>
      <c r="O382" s="898">
        <f t="shared" si="46"/>
        <v>122.96153846153845</v>
      </c>
      <c r="P382" s="348">
        <f t="shared" si="47"/>
        <v>106.92307692307692</v>
      </c>
      <c r="Q382" s="348">
        <f t="shared" si="48"/>
        <v>16.03846153846154</v>
      </c>
      <c r="R382" s="1021">
        <f>NC_DKDD!G1062</f>
        <v>0.02</v>
      </c>
      <c r="S382" s="352"/>
    </row>
    <row r="383" spans="1:19" s="1009" customFormat="1" ht="23.25" customHeight="1">
      <c r="A383" s="832" t="s">
        <v>239</v>
      </c>
      <c r="B383" s="827" t="s">
        <v>937</v>
      </c>
      <c r="C383" s="832" t="s">
        <v>525</v>
      </c>
      <c r="D383" s="901" t="s">
        <v>881</v>
      </c>
      <c r="E383" s="898" t="e">
        <f>NC_DKDD!H1063</f>
        <v>#VALUE!</v>
      </c>
      <c r="F383" s="898"/>
      <c r="G383" s="1020"/>
      <c r="H383" s="898"/>
      <c r="I383" s="898"/>
      <c r="J383" s="898"/>
      <c r="K383" s="898"/>
      <c r="L383" s="898"/>
      <c r="M383" s="898"/>
      <c r="N383" s="898"/>
      <c r="O383" s="898">
        <f t="shared" si="46"/>
        <v>61.480769230769226</v>
      </c>
      <c r="P383" s="348">
        <f t="shared" si="47"/>
        <v>53.46153846153846</v>
      </c>
      <c r="Q383" s="348">
        <f t="shared" si="48"/>
        <v>8.0192307692307701</v>
      </c>
      <c r="R383" s="1021">
        <f>NC_DKDD!G1063</f>
        <v>0.01</v>
      </c>
      <c r="S383" s="352"/>
    </row>
    <row r="384" spans="1:19" s="1009" customFormat="1" ht="31.5" customHeight="1">
      <c r="A384" s="832" t="s">
        <v>240</v>
      </c>
      <c r="B384" s="827" t="s">
        <v>48</v>
      </c>
      <c r="C384" s="832" t="s">
        <v>525</v>
      </c>
      <c r="D384" s="901" t="s">
        <v>881</v>
      </c>
      <c r="E384" s="898" t="e">
        <f>NC_DKDD!H1064</f>
        <v>#VALUE!</v>
      </c>
      <c r="F384" s="898"/>
      <c r="G384" s="1020"/>
      <c r="H384" s="898"/>
      <c r="I384" s="898"/>
      <c r="J384" s="898"/>
      <c r="K384" s="898"/>
      <c r="L384" s="898"/>
      <c r="M384" s="898"/>
      <c r="N384" s="898"/>
      <c r="O384" s="898">
        <f t="shared" si="46"/>
        <v>30.740384615384613</v>
      </c>
      <c r="P384" s="348">
        <f t="shared" si="47"/>
        <v>26.73076923076923</v>
      </c>
      <c r="Q384" s="348">
        <f t="shared" si="48"/>
        <v>4.009615384615385</v>
      </c>
      <c r="R384" s="1021">
        <f>NC_DKDD!G1064</f>
        <v>5.0000000000000001E-3</v>
      </c>
      <c r="S384" s="352"/>
    </row>
    <row r="385" spans="1:19" s="1009" customFormat="1" ht="24" customHeight="1">
      <c r="A385" s="832" t="s">
        <v>241</v>
      </c>
      <c r="B385" s="827" t="s">
        <v>50</v>
      </c>
      <c r="C385" s="832" t="s">
        <v>523</v>
      </c>
      <c r="D385" s="901" t="s">
        <v>881</v>
      </c>
      <c r="E385" s="898" t="e">
        <f>NC_DKDD!H1065</f>
        <v>#VALUE!</v>
      </c>
      <c r="F385" s="898"/>
      <c r="G385" s="1020"/>
      <c r="H385" s="898"/>
      <c r="I385" s="898"/>
      <c r="J385" s="898"/>
      <c r="K385" s="898"/>
      <c r="L385" s="898"/>
      <c r="M385" s="898"/>
      <c r="N385" s="898"/>
      <c r="O385" s="898">
        <f t="shared" si="46"/>
        <v>61.480769230769226</v>
      </c>
      <c r="P385" s="348">
        <f t="shared" si="47"/>
        <v>53.46153846153846</v>
      </c>
      <c r="Q385" s="348">
        <f t="shared" si="48"/>
        <v>8.0192307692307701</v>
      </c>
      <c r="R385" s="1021">
        <f>NC_DKDD!G1065</f>
        <v>0.01</v>
      </c>
      <c r="S385" s="352"/>
    </row>
    <row r="386" spans="1:19" s="1009" customFormat="1" ht="27.75" customHeight="1">
      <c r="A386" s="869" t="s">
        <v>184</v>
      </c>
      <c r="B386" s="868" t="s">
        <v>765</v>
      </c>
      <c r="C386" s="832"/>
      <c r="D386" s="832"/>
      <c r="E386" s="919" t="e">
        <f>E387</f>
        <v>#VALUE!</v>
      </c>
      <c r="F386" s="898"/>
      <c r="G386" s="1020"/>
      <c r="H386" s="898">
        <f>'Dcu-DKDD'!$J$363</f>
        <v>0</v>
      </c>
      <c r="I386" s="898"/>
      <c r="J386" s="898"/>
      <c r="K386" s="898"/>
      <c r="L386" s="893" t="e">
        <f>SUM(E386:K386)</f>
        <v>#VALUE!</v>
      </c>
      <c r="M386" s="893" t="e">
        <f>L386*'He so chung'!$D$17/100</f>
        <v>#VALUE!</v>
      </c>
      <c r="N386" s="893" t="e">
        <f>L386+M386</f>
        <v>#VALUE!</v>
      </c>
      <c r="O386" s="919">
        <f>O387</f>
        <v>2397.75</v>
      </c>
      <c r="P386" s="348">
        <f t="shared" si="47"/>
        <v>0</v>
      </c>
      <c r="Q386" s="348">
        <f t="shared" si="48"/>
        <v>0</v>
      </c>
      <c r="R386" s="1021">
        <f>NC_DKDD!G1066</f>
        <v>0</v>
      </c>
      <c r="S386" s="352"/>
    </row>
    <row r="387" spans="1:19" s="1009" customFormat="1" ht="27.75" customHeight="1">
      <c r="A387" s="832">
        <v>1</v>
      </c>
      <c r="B387" s="827" t="s">
        <v>809</v>
      </c>
      <c r="C387" s="832" t="s">
        <v>281</v>
      </c>
      <c r="D387" s="901" t="s">
        <v>881</v>
      </c>
      <c r="E387" s="898" t="e">
        <f>NC_DKDD!H1067</f>
        <v>#VALUE!</v>
      </c>
      <c r="F387" s="898"/>
      <c r="G387" s="1020"/>
      <c r="H387" s="898"/>
      <c r="I387" s="898"/>
      <c r="J387" s="898"/>
      <c r="K387" s="898"/>
      <c r="L387" s="898"/>
      <c r="M387" s="898"/>
      <c r="N387" s="898"/>
      <c r="O387" s="898">
        <f>P387+Q387</f>
        <v>2397.75</v>
      </c>
      <c r="P387" s="348">
        <f t="shared" si="47"/>
        <v>2085</v>
      </c>
      <c r="Q387" s="348">
        <f t="shared" si="48"/>
        <v>312.75</v>
      </c>
      <c r="R387" s="1021">
        <f>NC_DKDD!G1067</f>
        <v>0.39</v>
      </c>
      <c r="S387" s="352"/>
    </row>
    <row r="388" spans="1:19" s="1009" customFormat="1" ht="27.75" customHeight="1">
      <c r="A388" s="869" t="s">
        <v>913</v>
      </c>
      <c r="B388" s="868" t="s">
        <v>606</v>
      </c>
      <c r="C388" s="832"/>
      <c r="D388" s="1010"/>
      <c r="E388" s="919" t="e">
        <f>E389</f>
        <v>#VALUE!</v>
      </c>
      <c r="F388" s="898"/>
      <c r="G388" s="1020"/>
      <c r="H388" s="898">
        <f>'Dcu-DKDD'!$H$363</f>
        <v>77.079591346153833</v>
      </c>
      <c r="I388" s="898">
        <f>'VL-DKDD'!$F$371</f>
        <v>472.06800000000004</v>
      </c>
      <c r="J388" s="898"/>
      <c r="K388" s="898"/>
      <c r="L388" s="893" t="e">
        <f>SUM(E388:K388)</f>
        <v>#VALUE!</v>
      </c>
      <c r="M388" s="893" t="e">
        <f>L388*'He so chung'!$D$17/100</f>
        <v>#VALUE!</v>
      </c>
      <c r="N388" s="893" t="e">
        <f>L388+M388</f>
        <v>#VALUE!</v>
      </c>
      <c r="O388" s="919">
        <f>O389</f>
        <v>799.25</v>
      </c>
      <c r="P388" s="348">
        <f t="shared" si="47"/>
        <v>0</v>
      </c>
      <c r="Q388" s="348">
        <f t="shared" si="48"/>
        <v>0</v>
      </c>
      <c r="R388" s="1021">
        <f>NC_DKDD!G1068</f>
        <v>0</v>
      </c>
      <c r="S388" s="352"/>
    </row>
    <row r="389" spans="1:19" s="1009" customFormat="1" ht="37.5" customHeight="1">
      <c r="A389" s="832">
        <v>1</v>
      </c>
      <c r="B389" s="827" t="s">
        <v>810</v>
      </c>
      <c r="C389" s="832" t="s">
        <v>281</v>
      </c>
      <c r="D389" s="901" t="s">
        <v>881</v>
      </c>
      <c r="E389" s="898" t="e">
        <f>NC_DKDD!H1069</f>
        <v>#VALUE!</v>
      </c>
      <c r="F389" s="898"/>
      <c r="G389" s="1020"/>
      <c r="H389" s="898"/>
      <c r="I389" s="898"/>
      <c r="J389" s="898"/>
      <c r="K389" s="898"/>
      <c r="L389" s="898"/>
      <c r="M389" s="898"/>
      <c r="N389" s="898"/>
      <c r="O389" s="898">
        <f>P389+Q389</f>
        <v>799.25</v>
      </c>
      <c r="P389" s="348">
        <f t="shared" si="47"/>
        <v>695</v>
      </c>
      <c r="Q389" s="348">
        <f t="shared" si="48"/>
        <v>104.25</v>
      </c>
      <c r="R389" s="1021">
        <f>NC_DKDD!G1069</f>
        <v>0.13</v>
      </c>
      <c r="S389" s="352"/>
    </row>
    <row r="390" spans="1:19" s="67" customFormat="1" ht="17.25" customHeight="1">
      <c r="A390" s="353"/>
      <c r="B390" s="366" t="s">
        <v>282</v>
      </c>
      <c r="C390" s="354"/>
      <c r="D390" s="353"/>
      <c r="E390" s="355"/>
      <c r="F390" s="355"/>
      <c r="G390" s="356"/>
      <c r="H390" s="355"/>
      <c r="I390" s="355"/>
      <c r="J390" s="357"/>
      <c r="K390" s="357"/>
      <c r="L390" s="357"/>
      <c r="M390" s="340"/>
      <c r="N390" s="340"/>
      <c r="O390" s="365"/>
      <c r="P390" s="332"/>
      <c r="Q390" s="332"/>
    </row>
    <row r="391" spans="1:19" s="67" customFormat="1" ht="24.75" customHeight="1">
      <c r="A391" s="358"/>
      <c r="B391" s="1129" t="s">
        <v>41</v>
      </c>
      <c r="C391" s="1129"/>
      <c r="D391" s="1129"/>
      <c r="E391" s="1129"/>
      <c r="F391" s="1129"/>
      <c r="G391" s="1129"/>
      <c r="H391" s="1129"/>
      <c r="I391" s="1129"/>
      <c r="J391" s="1129"/>
      <c r="K391" s="1129"/>
      <c r="L391" s="1129"/>
      <c r="M391" s="1129"/>
      <c r="N391" s="1129"/>
      <c r="O391" s="1129"/>
      <c r="P391" s="332"/>
      <c r="Q391" s="332"/>
    </row>
  </sheetData>
  <mergeCells count="101">
    <mergeCell ref="B136:B137"/>
    <mergeCell ref="D49:D50"/>
    <mergeCell ref="D136:D137"/>
    <mergeCell ref="E136:L136"/>
    <mergeCell ref="E223:L223"/>
    <mergeCell ref="M223:M224"/>
    <mergeCell ref="B174:O174"/>
    <mergeCell ref="O136:O137"/>
    <mergeCell ref="B218:O218"/>
    <mergeCell ref="A220:O220"/>
    <mergeCell ref="A136:A137"/>
    <mergeCell ref="N223:N224"/>
    <mergeCell ref="O223:O224"/>
    <mergeCell ref="A309:A310"/>
    <mergeCell ref="C309:C310"/>
    <mergeCell ref="D309:D310"/>
    <mergeCell ref="E309:L309"/>
    <mergeCell ref="C136:C137"/>
    <mergeCell ref="A179:A180"/>
    <mergeCell ref="B179:B180"/>
    <mergeCell ref="C179:C180"/>
    <mergeCell ref="A262:O262"/>
    <mergeCell ref="B223:B224"/>
    <mergeCell ref="C223:C224"/>
    <mergeCell ref="D223:D224"/>
    <mergeCell ref="B261:O261"/>
    <mergeCell ref="A223:A224"/>
    <mergeCell ref="O179:O180"/>
    <mergeCell ref="N179:N180"/>
    <mergeCell ref="N266:N267"/>
    <mergeCell ref="E266:L266"/>
    <mergeCell ref="B266:B267"/>
    <mergeCell ref="N309:N310"/>
    <mergeCell ref="D266:D267"/>
    <mergeCell ref="B305:O305"/>
    <mergeCell ref="M309:M310"/>
    <mergeCell ref="D352:D353"/>
    <mergeCell ref="M352:M353"/>
    <mergeCell ref="N352:N353"/>
    <mergeCell ref="A349:O349"/>
    <mergeCell ref="A352:A353"/>
    <mergeCell ref="B352:B353"/>
    <mergeCell ref="C352:C353"/>
    <mergeCell ref="E352:L352"/>
    <mergeCell ref="O352:O353"/>
    <mergeCell ref="D92:D93"/>
    <mergeCell ref="B87:O87"/>
    <mergeCell ref="O92:O93"/>
    <mergeCell ref="A49:A50"/>
    <mergeCell ref="B49:B50"/>
    <mergeCell ref="C49:C50"/>
    <mergeCell ref="M179:M180"/>
    <mergeCell ref="A1:O1"/>
    <mergeCell ref="A3:O3"/>
    <mergeCell ref="O5:O6"/>
    <mergeCell ref="A5:A6"/>
    <mergeCell ref="B5:B6"/>
    <mergeCell ref="E5:L5"/>
    <mergeCell ref="A133:O133"/>
    <mergeCell ref="B131:O131"/>
    <mergeCell ref="B92:B93"/>
    <mergeCell ref="M5:M6"/>
    <mergeCell ref="N5:N6"/>
    <mergeCell ref="C5:C6"/>
    <mergeCell ref="D5:D6"/>
    <mergeCell ref="A2:P2"/>
    <mergeCell ref="B391:O391"/>
    <mergeCell ref="A176:O176"/>
    <mergeCell ref="B44:O44"/>
    <mergeCell ref="A46:O46"/>
    <mergeCell ref="B45:O45"/>
    <mergeCell ref="E49:L49"/>
    <mergeCell ref="M49:M50"/>
    <mergeCell ref="N49:N50"/>
    <mergeCell ref="B309:B310"/>
    <mergeCell ref="N92:N93"/>
    <mergeCell ref="A47:P47"/>
    <mergeCell ref="A90:P90"/>
    <mergeCell ref="A134:P134"/>
    <mergeCell ref="A177:P177"/>
    <mergeCell ref="O49:O50"/>
    <mergeCell ref="A89:O89"/>
    <mergeCell ref="A92:A93"/>
    <mergeCell ref="E92:L92"/>
    <mergeCell ref="M92:M93"/>
    <mergeCell ref="C92:C93"/>
    <mergeCell ref="A221:P221"/>
    <mergeCell ref="M136:M137"/>
    <mergeCell ref="N136:N137"/>
    <mergeCell ref="D179:D180"/>
    <mergeCell ref="E179:L179"/>
    <mergeCell ref="A263:P263"/>
    <mergeCell ref="A307:P307"/>
    <mergeCell ref="A350:P350"/>
    <mergeCell ref="B348:O348"/>
    <mergeCell ref="A306:O306"/>
    <mergeCell ref="C266:C267"/>
    <mergeCell ref="A266:A267"/>
    <mergeCell ref="M266:M267"/>
    <mergeCell ref="O266:O267"/>
    <mergeCell ref="O309:O310"/>
  </mergeCells>
  <phoneticPr fontId="45" type="noConversion"/>
  <printOptions horizontalCentered="1"/>
  <pageMargins left="0.65055118110236199" right="0.49" top="0.45" bottom="0.48" header="0.2" footer="0.23"/>
  <pageSetup paperSize="9" scale="75" firstPageNumber="189" fitToHeight="0" orientation="landscape" useFirstPageNumber="1" r:id="rId1"/>
  <headerFooter alignWithMargins="0">
    <oddFooter>&amp;C&amp;P</oddFooter>
  </headerFooter>
  <rowBreaks count="8" manualBreakCount="8">
    <brk id="44" max="16383" man="1"/>
    <brk id="88" max="16383" man="1"/>
    <brk id="131" max="16383" man="1"/>
    <brk id="175" max="16383" man="1"/>
    <brk id="218" max="16383" man="1"/>
    <brk id="261" max="16383" man="1"/>
    <brk id="305" max="16383" man="1"/>
    <brk id="34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S54"/>
  <sheetViews>
    <sheetView zoomScale="85" zoomScaleNormal="85" workbookViewId="0">
      <selection activeCell="M9" sqref="M9"/>
    </sheetView>
  </sheetViews>
  <sheetFormatPr defaultRowHeight="16.5"/>
  <cols>
    <col min="1" max="1" width="4.77734375" style="229" customWidth="1"/>
    <col min="2" max="2" width="55.6640625" style="224" customWidth="1"/>
    <col min="3" max="3" width="6.109375" style="225" customWidth="1"/>
    <col min="4" max="4" width="4.88671875" style="226" customWidth="1"/>
    <col min="5" max="5" width="7.21875" style="144" customWidth="1"/>
    <col min="6" max="6" width="6.109375" style="144" customWidth="1"/>
    <col min="7" max="7" width="7.109375" style="239" hidden="1" customWidth="1"/>
    <col min="8" max="8" width="6.5546875" style="144" customWidth="1"/>
    <col min="9" max="9" width="6.33203125" style="144" customWidth="1"/>
    <col min="10" max="10" width="5" style="144" customWidth="1"/>
    <col min="11" max="11" width="6.21875" style="144" customWidth="1"/>
    <col min="12" max="12" width="7.21875" style="144" customWidth="1"/>
    <col min="13" max="13" width="10.109375" style="144" customWidth="1"/>
    <col min="14" max="14" width="8.88671875" style="144"/>
    <col min="15" max="15" width="7.77734375" style="144" customWidth="1"/>
    <col min="16" max="18" width="8.88671875" style="50" hidden="1" customWidth="1"/>
    <col min="19" max="45" width="8.88671875" style="50"/>
  </cols>
  <sheetData>
    <row r="1" spans="1:45" ht="32.450000000000003" customHeight="1">
      <c r="A1" s="1186" t="s">
        <v>908</v>
      </c>
      <c r="B1" s="1186"/>
      <c r="C1" s="1186"/>
      <c r="D1" s="1186"/>
      <c r="E1" s="1186"/>
      <c r="F1" s="1186"/>
      <c r="G1" s="1186"/>
      <c r="H1" s="1186"/>
      <c r="I1" s="1186"/>
      <c r="J1" s="1186"/>
      <c r="K1" s="1186"/>
      <c r="L1" s="1186"/>
      <c r="M1" s="1186"/>
      <c r="N1" s="1186"/>
      <c r="O1" s="1186"/>
      <c r="P1" s="232" t="s">
        <v>790</v>
      </c>
      <c r="Q1" s="233">
        <v>0</v>
      </c>
    </row>
    <row r="2" spans="1:45" ht="18" customHeight="1">
      <c r="A2" s="1183" t="s">
        <v>413</v>
      </c>
      <c r="B2" s="1183"/>
      <c r="C2" s="1183"/>
      <c r="D2" s="1183"/>
      <c r="E2" s="1183"/>
      <c r="F2" s="1183"/>
      <c r="G2" s="1183"/>
      <c r="H2" s="1183"/>
      <c r="I2" s="1183"/>
      <c r="J2" s="1183"/>
      <c r="K2" s="1183"/>
      <c r="L2" s="1183"/>
      <c r="M2" s="1183"/>
      <c r="N2" s="1183"/>
      <c r="O2" s="1183"/>
    </row>
    <row r="3" spans="1:45" ht="21" customHeight="1">
      <c r="A3" s="1113" t="s">
        <v>960</v>
      </c>
      <c r="B3" s="1113"/>
      <c r="C3" s="1113"/>
      <c r="D3" s="1113"/>
      <c r="E3" s="1113"/>
      <c r="F3" s="1113"/>
      <c r="G3" s="1113"/>
      <c r="H3" s="1113"/>
      <c r="I3" s="1113"/>
      <c r="J3" s="1113"/>
      <c r="K3" s="1113"/>
      <c r="L3" s="1113"/>
      <c r="M3" s="1113"/>
      <c r="N3" s="1113"/>
      <c r="O3" s="1113"/>
      <c r="P3" s="1113"/>
    </row>
    <row r="4" spans="1:45" s="134" customFormat="1" ht="15" customHeight="1">
      <c r="A4" s="152"/>
      <c r="B4" s="154"/>
      <c r="C4" s="223"/>
      <c r="D4" s="153"/>
      <c r="E4" s="131"/>
      <c r="F4" s="227"/>
      <c r="G4" s="235"/>
      <c r="H4" s="227"/>
      <c r="I4" s="228"/>
      <c r="J4" s="227"/>
      <c r="K4" s="227"/>
      <c r="L4" s="1087" t="s">
        <v>414</v>
      </c>
      <c r="M4" s="227"/>
      <c r="N4" s="228"/>
      <c r="O4" s="137"/>
    </row>
    <row r="5" spans="1:45" s="134" customFormat="1" ht="14.25" customHeight="1">
      <c r="A5" s="152"/>
      <c r="B5" s="154"/>
      <c r="C5" s="223"/>
      <c r="D5" s="153"/>
      <c r="E5" s="131"/>
      <c r="F5" s="131"/>
      <c r="G5" s="236"/>
      <c r="H5" s="131"/>
      <c r="I5" s="131"/>
      <c r="J5" s="131"/>
      <c r="K5" s="131"/>
      <c r="L5" s="131"/>
      <c r="M5" s="131"/>
      <c r="N5" s="131"/>
      <c r="O5" s="140"/>
      <c r="P5" s="234">
        <f>'He so chung'!$D$22</f>
        <v>5346.1538461538457</v>
      </c>
      <c r="Q5" s="234">
        <f>'He so chung'!$D$23</f>
        <v>801.92307692307691</v>
      </c>
    </row>
    <row r="6" spans="1:45" s="134" customFormat="1" ht="27.75" customHeight="1">
      <c r="A6" s="1187" t="s">
        <v>876</v>
      </c>
      <c r="B6" s="1187" t="s">
        <v>381</v>
      </c>
      <c r="C6" s="1184" t="s">
        <v>981</v>
      </c>
      <c r="D6" s="1094" t="s">
        <v>982</v>
      </c>
      <c r="E6" s="1189" t="s">
        <v>466</v>
      </c>
      <c r="F6" s="1190"/>
      <c r="G6" s="1190"/>
      <c r="H6" s="1190"/>
      <c r="I6" s="1190"/>
      <c r="J6" s="1190"/>
      <c r="K6" s="1190"/>
      <c r="L6" s="1191"/>
      <c r="M6" s="1184" t="s">
        <v>581</v>
      </c>
      <c r="N6" s="1184" t="s">
        <v>467</v>
      </c>
      <c r="O6" s="1184" t="s">
        <v>468</v>
      </c>
    </row>
    <row r="7" spans="1:45" s="134" customFormat="1" ht="38.25" customHeight="1">
      <c r="A7" s="1188"/>
      <c r="B7" s="1188"/>
      <c r="C7" s="1185"/>
      <c r="D7" s="1095"/>
      <c r="E7" s="132" t="s">
        <v>469</v>
      </c>
      <c r="F7" s="132" t="s">
        <v>470</v>
      </c>
      <c r="G7" s="237" t="s">
        <v>1003</v>
      </c>
      <c r="H7" s="132" t="s">
        <v>151</v>
      </c>
      <c r="I7" s="132" t="s">
        <v>471</v>
      </c>
      <c r="J7" s="132" t="s">
        <v>280</v>
      </c>
      <c r="K7" s="132" t="s">
        <v>472</v>
      </c>
      <c r="L7" s="132" t="s">
        <v>473</v>
      </c>
      <c r="M7" s="1185"/>
      <c r="N7" s="1185"/>
      <c r="O7" s="1185"/>
    </row>
    <row r="8" spans="1:45" s="134" customFormat="1" ht="29.45" customHeight="1">
      <c r="A8" s="300" t="s">
        <v>179</v>
      </c>
      <c r="B8" s="301" t="s">
        <v>415</v>
      </c>
      <c r="C8" s="302"/>
      <c r="D8" s="303"/>
      <c r="E8" s="302"/>
      <c r="F8" s="302"/>
      <c r="G8" s="311"/>
      <c r="H8" s="302"/>
      <c r="I8" s="302"/>
      <c r="J8" s="302"/>
      <c r="K8" s="302"/>
      <c r="L8" s="302"/>
      <c r="M8" s="302"/>
      <c r="N8" s="302"/>
      <c r="O8" s="302"/>
    </row>
    <row r="9" spans="1:45" s="292" customFormat="1" ht="26.45" customHeight="1">
      <c r="A9" s="305" t="s">
        <v>883</v>
      </c>
      <c r="B9" s="306" t="s">
        <v>909</v>
      </c>
      <c r="C9" s="308" t="s">
        <v>979</v>
      </c>
      <c r="D9" s="308"/>
      <c r="E9" s="309" t="e">
        <f>E12+E14+E17</f>
        <v>#VALUE!</v>
      </c>
      <c r="F9" s="310">
        <f>F12+F14+F17</f>
        <v>0</v>
      </c>
      <c r="G9" s="310">
        <f>G12+G14+G17</f>
        <v>0</v>
      </c>
      <c r="H9" s="309">
        <f>'Dcu-DKDD'!H$391</f>
        <v>833.38926282051273</v>
      </c>
      <c r="I9" s="309">
        <f>'VL-DKDD'!F$389</f>
        <v>18711</v>
      </c>
      <c r="J9" s="309">
        <f>'TB-DKDD'!I$226</f>
        <v>1782.4</v>
      </c>
      <c r="K9" s="309">
        <f>'NL-DKDD'!F$149</f>
        <v>3157.7280000000001</v>
      </c>
      <c r="L9" s="309" t="e">
        <f>SUM(E9:K9)</f>
        <v>#VALUE!</v>
      </c>
      <c r="M9" s="309" t="e">
        <f>L9*'He so chung'!$D$17/100</f>
        <v>#VALUE!</v>
      </c>
      <c r="N9" s="309" t="e">
        <f>M9+L9</f>
        <v>#VALUE!</v>
      </c>
      <c r="O9" s="309">
        <f>O12+O14+O17</f>
        <v>1229.6153846153848</v>
      </c>
      <c r="S9" s="407"/>
    </row>
    <row r="10" spans="1:45" s="292" customFormat="1" ht="26.45" customHeight="1">
      <c r="A10" s="305" t="s">
        <v>884</v>
      </c>
      <c r="B10" s="306" t="s">
        <v>910</v>
      </c>
      <c r="C10" s="308" t="s">
        <v>979</v>
      </c>
      <c r="D10" s="308"/>
      <c r="E10" s="309" t="e">
        <f>E12+E15+E18</f>
        <v>#VALUE!</v>
      </c>
      <c r="F10" s="310">
        <f>F12+F15+F18</f>
        <v>0</v>
      </c>
      <c r="G10" s="310">
        <f>G12+G15+G18</f>
        <v>0</v>
      </c>
      <c r="H10" s="309">
        <f>'Dcu-DKDD'!H$391</f>
        <v>833.38926282051273</v>
      </c>
      <c r="I10" s="309">
        <f>'VL-DKDD'!F$389</f>
        <v>18711</v>
      </c>
      <c r="J10" s="309">
        <f>'TB-DKDD'!I$226</f>
        <v>1782.4</v>
      </c>
      <c r="K10" s="309">
        <f>'NL-DKDD'!F$149</f>
        <v>3157.7280000000001</v>
      </c>
      <c r="L10" s="406" t="e">
        <f>SUM(E10:K10)</f>
        <v>#VALUE!</v>
      </c>
      <c r="M10" s="406" t="e">
        <f>L10*'He so chung'!$D$17/100</f>
        <v>#VALUE!</v>
      </c>
      <c r="N10" s="406" t="e">
        <f>M10+L10</f>
        <v>#VALUE!</v>
      </c>
      <c r="O10" s="309">
        <f>O12+O15+O18</f>
        <v>1844.4230769230771</v>
      </c>
    </row>
    <row r="11" spans="1:45" s="134" customFormat="1" ht="21" customHeight="1">
      <c r="A11" s="138"/>
      <c r="B11" s="293"/>
      <c r="C11" s="139"/>
      <c r="D11" s="141"/>
      <c r="E11" s="139"/>
      <c r="F11" s="294"/>
      <c r="G11" s="294"/>
      <c r="H11" s="139"/>
      <c r="I11" s="139"/>
      <c r="J11" s="139"/>
      <c r="K11" s="139"/>
      <c r="L11" s="406"/>
      <c r="M11" s="406"/>
      <c r="N11" s="406"/>
      <c r="O11" s="139"/>
    </row>
    <row r="12" spans="1:45" s="1" customFormat="1" ht="26.45" customHeight="1">
      <c r="A12" s="19" t="s">
        <v>885</v>
      </c>
      <c r="B12" s="20" t="s">
        <v>659</v>
      </c>
      <c r="C12" s="21" t="s">
        <v>281</v>
      </c>
      <c r="D12" s="17"/>
      <c r="E12" s="24" t="e">
        <f>NC_DKDD!H1073</f>
        <v>#VALUE!</v>
      </c>
      <c r="F12" s="295"/>
      <c r="G12" s="297">
        <f>P12*$Q$1*10</f>
        <v>0</v>
      </c>
      <c r="H12" s="24"/>
      <c r="I12" s="136"/>
      <c r="J12" s="135"/>
      <c r="K12" s="136"/>
      <c r="L12" s="406"/>
      <c r="M12" s="406"/>
      <c r="N12" s="406"/>
      <c r="O12" s="24">
        <f>P12+Q12</f>
        <v>614.80769230769238</v>
      </c>
      <c r="P12" s="134">
        <f>P5*R12</f>
        <v>534.61538461538464</v>
      </c>
      <c r="Q12" s="134">
        <f>Q5*R12</f>
        <v>80.192307692307693</v>
      </c>
      <c r="R12" s="134">
        <f>NC_DKDD!G1073</f>
        <v>0.1</v>
      </c>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row>
    <row r="13" spans="1:45" s="1" customFormat="1" ht="26.45" customHeight="1">
      <c r="A13" s="19" t="s">
        <v>886</v>
      </c>
      <c r="B13" s="20" t="s">
        <v>660</v>
      </c>
      <c r="C13" s="21"/>
      <c r="D13" s="17"/>
      <c r="E13" s="24"/>
      <c r="F13" s="295"/>
      <c r="G13" s="298"/>
      <c r="H13" s="24"/>
      <c r="I13" s="136"/>
      <c r="J13" s="135"/>
      <c r="K13" s="136"/>
      <c r="L13" s="406"/>
      <c r="M13" s="406"/>
      <c r="N13" s="406"/>
      <c r="O13" s="2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row>
    <row r="14" spans="1:45" s="1" customFormat="1" ht="26.45" customHeight="1">
      <c r="A14" s="19" t="s">
        <v>900</v>
      </c>
      <c r="B14" s="20" t="s">
        <v>661</v>
      </c>
      <c r="C14" s="21" t="s">
        <v>281</v>
      </c>
      <c r="D14" s="17"/>
      <c r="E14" s="24" t="e">
        <f>NC_DKDD!H1075</f>
        <v>#VALUE!</v>
      </c>
      <c r="F14" s="295"/>
      <c r="G14" s="297">
        <f>P14*$Q$1*10</f>
        <v>0</v>
      </c>
      <c r="H14" s="24"/>
      <c r="I14" s="136"/>
      <c r="J14" s="135"/>
      <c r="K14" s="136"/>
      <c r="L14" s="406"/>
      <c r="M14" s="406"/>
      <c r="N14" s="406"/>
      <c r="O14" s="24">
        <f>P14+Q14</f>
        <v>307.40384615384619</v>
      </c>
      <c r="P14" s="134">
        <f>P5*R14</f>
        <v>267.30769230769232</v>
      </c>
      <c r="Q14" s="134">
        <f>Q5*R14</f>
        <v>40.096153846153847</v>
      </c>
      <c r="R14" s="134">
        <f>NC_DKDD!G1075</f>
        <v>0.05</v>
      </c>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row>
    <row r="15" spans="1:45" s="1" customFormat="1" ht="26.45" customHeight="1">
      <c r="A15" s="19" t="s">
        <v>901</v>
      </c>
      <c r="B15" s="20" t="s">
        <v>308</v>
      </c>
      <c r="C15" s="21" t="s">
        <v>281</v>
      </c>
      <c r="D15" s="17"/>
      <c r="E15" s="24" t="e">
        <f>NC_DKDD!H1076</f>
        <v>#VALUE!</v>
      </c>
      <c r="F15" s="295"/>
      <c r="G15" s="297">
        <f>P15*$Q$1*10</f>
        <v>0</v>
      </c>
      <c r="H15" s="24"/>
      <c r="I15" s="136"/>
      <c r="J15" s="135"/>
      <c r="K15" s="136"/>
      <c r="L15" s="406"/>
      <c r="M15" s="406"/>
      <c r="N15" s="406"/>
      <c r="O15" s="24">
        <f>P15+Q15</f>
        <v>614.80769230769238</v>
      </c>
      <c r="P15" s="134">
        <f>P5*R15</f>
        <v>534.61538461538464</v>
      </c>
      <c r="Q15" s="134">
        <f>Q5*R15</f>
        <v>80.192307692307693</v>
      </c>
      <c r="R15" s="134">
        <f>NC_DKDD!G1076</f>
        <v>0.1</v>
      </c>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row>
    <row r="16" spans="1:45" s="1" customFormat="1" ht="26.45" customHeight="1">
      <c r="A16" s="19" t="s">
        <v>887</v>
      </c>
      <c r="B16" s="20" t="s">
        <v>309</v>
      </c>
      <c r="C16" s="21"/>
      <c r="D16" s="17"/>
      <c r="E16" s="24"/>
      <c r="F16" s="295"/>
      <c r="G16" s="298"/>
      <c r="H16" s="24"/>
      <c r="I16" s="136"/>
      <c r="J16" s="135"/>
      <c r="K16" s="136"/>
      <c r="L16" s="406"/>
      <c r="M16" s="406"/>
      <c r="N16" s="406"/>
      <c r="O16" s="2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row>
    <row r="17" spans="1:45" s="1" customFormat="1" ht="26.45" customHeight="1">
      <c r="A17" s="19" t="s">
        <v>893</v>
      </c>
      <c r="B17" s="20" t="s">
        <v>310</v>
      </c>
      <c r="C17" s="21" t="s">
        <v>281</v>
      </c>
      <c r="D17" s="17"/>
      <c r="E17" s="24" t="e">
        <f>NC_DKDD!H1078</f>
        <v>#VALUE!</v>
      </c>
      <c r="F17" s="295"/>
      <c r="G17" s="297">
        <f>P17*$Q$1*10</f>
        <v>0</v>
      </c>
      <c r="H17" s="24"/>
      <c r="I17" s="136"/>
      <c r="J17" s="135"/>
      <c r="K17" s="136"/>
      <c r="L17" s="406"/>
      <c r="M17" s="406"/>
      <c r="N17" s="406"/>
      <c r="O17" s="24">
        <f>P17+Q17</f>
        <v>307.40384615384619</v>
      </c>
      <c r="P17" s="134">
        <f>P5*R17</f>
        <v>267.30769230769232</v>
      </c>
      <c r="Q17" s="134">
        <f>Q5*R17</f>
        <v>40.096153846153847</v>
      </c>
      <c r="R17" s="134">
        <f>NC_DKDD!G1078</f>
        <v>0.05</v>
      </c>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row>
    <row r="18" spans="1:45" s="1" customFormat="1" ht="26.45" customHeight="1">
      <c r="A18" s="19" t="s">
        <v>894</v>
      </c>
      <c r="B18" s="20" t="s">
        <v>308</v>
      </c>
      <c r="C18" s="21" t="s">
        <v>281</v>
      </c>
      <c r="D18" s="17"/>
      <c r="E18" s="24" t="e">
        <f>NC_DKDD!H1079</f>
        <v>#VALUE!</v>
      </c>
      <c r="F18" s="295"/>
      <c r="G18" s="297">
        <f>P18*$Q$1*10</f>
        <v>0</v>
      </c>
      <c r="H18" s="24"/>
      <c r="I18" s="136"/>
      <c r="J18" s="135"/>
      <c r="K18" s="136"/>
      <c r="L18" s="406"/>
      <c r="M18" s="406"/>
      <c r="N18" s="406"/>
      <c r="O18" s="24">
        <f>P18+Q18</f>
        <v>614.80769230769238</v>
      </c>
      <c r="P18" s="134">
        <f>P5*R18</f>
        <v>534.61538461538464</v>
      </c>
      <c r="Q18" s="134">
        <f>Q5*R18</f>
        <v>80.192307692307693</v>
      </c>
      <c r="R18" s="134">
        <f>NC_DKDD!G1079</f>
        <v>0.1</v>
      </c>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row>
    <row r="19" spans="1:45" ht="20.45" customHeight="1">
      <c r="A19" s="130"/>
      <c r="B19" s="22"/>
      <c r="C19" s="23"/>
      <c r="D19" s="130"/>
      <c r="E19" s="143"/>
      <c r="F19" s="296"/>
      <c r="G19" s="299"/>
      <c r="H19" s="143"/>
      <c r="I19" s="143"/>
      <c r="J19" s="142"/>
      <c r="K19" s="142"/>
      <c r="L19" s="142"/>
      <c r="M19" s="142"/>
      <c r="N19" s="142"/>
      <c r="O19" s="25"/>
      <c r="P19" s="134"/>
      <c r="Q19" s="134"/>
    </row>
    <row r="20" spans="1:45" s="134" customFormat="1" ht="31.15" customHeight="1">
      <c r="A20" s="300" t="s">
        <v>184</v>
      </c>
      <c r="B20" s="301" t="s">
        <v>911</v>
      </c>
      <c r="C20" s="302"/>
      <c r="D20" s="303"/>
      <c r="E20" s="302"/>
      <c r="F20" s="304"/>
      <c r="G20" s="304"/>
      <c r="H20" s="302"/>
      <c r="I20" s="302"/>
      <c r="J20" s="302"/>
      <c r="K20" s="302"/>
      <c r="L20" s="302"/>
      <c r="M20" s="302"/>
      <c r="N20" s="302"/>
      <c r="O20" s="302"/>
    </row>
    <row r="21" spans="1:45" s="292" customFormat="1" ht="26.45" customHeight="1">
      <c r="A21" s="305" t="s">
        <v>883</v>
      </c>
      <c r="B21" s="306" t="s">
        <v>95</v>
      </c>
      <c r="C21" s="307" t="s">
        <v>627</v>
      </c>
      <c r="D21" s="308"/>
      <c r="E21" s="309" t="e">
        <f>E9*0.8</f>
        <v>#VALUE!</v>
      </c>
      <c r="F21" s="310">
        <f t="shared" ref="F21:K21" si="0">F9*0.8</f>
        <v>0</v>
      </c>
      <c r="G21" s="310">
        <f t="shared" si="0"/>
        <v>0</v>
      </c>
      <c r="H21" s="309">
        <f>H9*0.8</f>
        <v>666.7114102564102</v>
      </c>
      <c r="I21" s="309">
        <f t="shared" si="0"/>
        <v>14968.800000000001</v>
      </c>
      <c r="J21" s="309">
        <f t="shared" si="0"/>
        <v>1425.92</v>
      </c>
      <c r="K21" s="309">
        <f t="shared" si="0"/>
        <v>2526.1824000000001</v>
      </c>
      <c r="L21" s="309" t="e">
        <f>SUM(E21:K21)</f>
        <v>#VALUE!</v>
      </c>
      <c r="M21" s="309" t="e">
        <f>L21*'He so chung'!$D$17/100</f>
        <v>#VALUE!</v>
      </c>
      <c r="N21" s="309" t="e">
        <f>M21+L21</f>
        <v>#VALUE!</v>
      </c>
      <c r="O21" s="309">
        <f>O9*0.8</f>
        <v>983.69230769230785</v>
      </c>
    </row>
    <row r="22" spans="1:45" s="292" customFormat="1" ht="26.45" customHeight="1">
      <c r="A22" s="305" t="s">
        <v>884</v>
      </c>
      <c r="B22" s="306" t="s">
        <v>96</v>
      </c>
      <c r="C22" s="307" t="s">
        <v>627</v>
      </c>
      <c r="D22" s="308"/>
      <c r="E22" s="309" t="e">
        <f>E10*0.8</f>
        <v>#VALUE!</v>
      </c>
      <c r="F22" s="310">
        <f t="shared" ref="F22:K22" si="1">F10*0.8</f>
        <v>0</v>
      </c>
      <c r="G22" s="310">
        <f t="shared" si="1"/>
        <v>0</v>
      </c>
      <c r="H22" s="309">
        <f t="shared" si="1"/>
        <v>666.7114102564102</v>
      </c>
      <c r="I22" s="309">
        <f t="shared" si="1"/>
        <v>14968.800000000001</v>
      </c>
      <c r="J22" s="309">
        <f t="shared" si="1"/>
        <v>1425.92</v>
      </c>
      <c r="K22" s="309">
        <f t="shared" si="1"/>
        <v>2526.1824000000001</v>
      </c>
      <c r="L22" s="309" t="e">
        <f>SUM(E22:K22)</f>
        <v>#VALUE!</v>
      </c>
      <c r="M22" s="309" t="e">
        <f>L22*'He so chung'!$D$17/100</f>
        <v>#VALUE!</v>
      </c>
      <c r="N22" s="309" t="e">
        <f>M22+L22</f>
        <v>#VALUE!</v>
      </c>
      <c r="O22" s="309">
        <f>O10*0.8</f>
        <v>1475.5384615384619</v>
      </c>
    </row>
    <row r="23" spans="1:45" ht="19.899999999999999" customHeight="1">
      <c r="A23" s="130"/>
      <c r="B23" s="22"/>
      <c r="C23" s="23"/>
      <c r="D23" s="130"/>
      <c r="E23" s="143"/>
      <c r="F23" s="296"/>
      <c r="G23" s="299"/>
      <c r="H23" s="143"/>
      <c r="I23" s="143"/>
      <c r="J23" s="142"/>
      <c r="K23" s="142"/>
      <c r="L23" s="142"/>
      <c r="M23" s="142"/>
      <c r="N23" s="142"/>
      <c r="O23" s="25"/>
      <c r="P23" s="134"/>
      <c r="Q23" s="134"/>
    </row>
    <row r="24" spans="1:45" s="134" customFormat="1" ht="34.9" customHeight="1">
      <c r="A24" s="300" t="s">
        <v>913</v>
      </c>
      <c r="B24" s="301" t="s">
        <v>912</v>
      </c>
      <c r="C24" s="302"/>
      <c r="D24" s="303"/>
      <c r="E24" s="302"/>
      <c r="F24" s="304"/>
      <c r="G24" s="304"/>
      <c r="H24" s="302"/>
      <c r="I24" s="302"/>
      <c r="J24" s="302"/>
      <c r="K24" s="302"/>
      <c r="L24" s="302"/>
      <c r="M24" s="302"/>
      <c r="N24" s="302"/>
      <c r="O24" s="302"/>
    </row>
    <row r="25" spans="1:45" s="292" customFormat="1" ht="26.45" customHeight="1">
      <c r="A25" s="305" t="s">
        <v>883</v>
      </c>
      <c r="B25" s="306" t="s">
        <v>95</v>
      </c>
      <c r="C25" s="307" t="s">
        <v>627</v>
      </c>
      <c r="D25" s="308"/>
      <c r="E25" s="309" t="e">
        <f>E9*0.65</f>
        <v>#VALUE!</v>
      </c>
      <c r="F25" s="310">
        <f t="shared" ref="F25:K25" si="2">F9*0.65</f>
        <v>0</v>
      </c>
      <c r="G25" s="310">
        <f t="shared" si="2"/>
        <v>0</v>
      </c>
      <c r="H25" s="309">
        <f t="shared" si="2"/>
        <v>541.70302083333331</v>
      </c>
      <c r="I25" s="309">
        <f t="shared" si="2"/>
        <v>12162.15</v>
      </c>
      <c r="J25" s="309">
        <f t="shared" si="2"/>
        <v>1158.5600000000002</v>
      </c>
      <c r="K25" s="309">
        <f t="shared" si="2"/>
        <v>2052.5232000000001</v>
      </c>
      <c r="L25" s="309" t="e">
        <f>SUM(E25:K25)</f>
        <v>#VALUE!</v>
      </c>
      <c r="M25" s="309" t="e">
        <f>L25*'He so chung'!$D$17/100</f>
        <v>#VALUE!</v>
      </c>
      <c r="N25" s="309" t="e">
        <f>M25+L25</f>
        <v>#VALUE!</v>
      </c>
      <c r="O25" s="309">
        <f>O9*0.65</f>
        <v>799.25000000000011</v>
      </c>
    </row>
    <row r="26" spans="1:45" s="292" customFormat="1" ht="26.45" customHeight="1">
      <c r="A26" s="305" t="s">
        <v>884</v>
      </c>
      <c r="B26" s="306" t="s">
        <v>96</v>
      </c>
      <c r="C26" s="307" t="s">
        <v>627</v>
      </c>
      <c r="D26" s="308"/>
      <c r="E26" s="309" t="e">
        <f>E10*0.65</f>
        <v>#VALUE!</v>
      </c>
      <c r="F26" s="310">
        <f t="shared" ref="F26:K26" si="3">F10*0.65</f>
        <v>0</v>
      </c>
      <c r="G26" s="310">
        <f t="shared" si="3"/>
        <v>0</v>
      </c>
      <c r="H26" s="309">
        <f t="shared" si="3"/>
        <v>541.70302083333331</v>
      </c>
      <c r="I26" s="309">
        <f t="shared" si="3"/>
        <v>12162.15</v>
      </c>
      <c r="J26" s="309">
        <f t="shared" si="3"/>
        <v>1158.5600000000002</v>
      </c>
      <c r="K26" s="309">
        <f t="shared" si="3"/>
        <v>2052.5232000000001</v>
      </c>
      <c r="L26" s="309" t="e">
        <f>SUM(E26:K26)</f>
        <v>#VALUE!</v>
      </c>
      <c r="M26" s="309" t="e">
        <f>L26*'He so chung'!$D$17/100</f>
        <v>#VALUE!</v>
      </c>
      <c r="N26" s="309" t="e">
        <f>M26+L26</f>
        <v>#VALUE!</v>
      </c>
      <c r="O26" s="309">
        <f>O10*0.65</f>
        <v>1198.8750000000002</v>
      </c>
    </row>
    <row r="27" spans="1:45" ht="21" customHeight="1">
      <c r="A27" s="130"/>
      <c r="B27" s="22"/>
      <c r="C27" s="23"/>
      <c r="D27" s="130"/>
      <c r="E27" s="143"/>
      <c r="F27" s="296"/>
      <c r="G27" s="299"/>
      <c r="H27" s="143"/>
      <c r="I27" s="143"/>
      <c r="J27" s="142"/>
      <c r="K27" s="142"/>
      <c r="L27" s="142"/>
      <c r="M27" s="142"/>
      <c r="N27" s="142"/>
      <c r="O27" s="25"/>
      <c r="P27" s="134"/>
      <c r="Q27" s="134"/>
    </row>
    <row r="28" spans="1:45" s="134" customFormat="1" ht="38.25" customHeight="1">
      <c r="A28" s="300" t="s">
        <v>914</v>
      </c>
      <c r="B28" s="301" t="s">
        <v>915</v>
      </c>
      <c r="C28" s="302"/>
      <c r="D28" s="303"/>
      <c r="E28" s="302"/>
      <c r="F28" s="304"/>
      <c r="G28" s="304"/>
      <c r="H28" s="302"/>
      <c r="I28" s="302"/>
      <c r="J28" s="302"/>
      <c r="K28" s="302"/>
      <c r="L28" s="302"/>
      <c r="M28" s="302"/>
      <c r="N28" s="302"/>
      <c r="O28" s="302"/>
    </row>
    <row r="29" spans="1:45" s="292" customFormat="1" ht="26.45" customHeight="1">
      <c r="A29" s="305" t="s">
        <v>883</v>
      </c>
      <c r="B29" s="306" t="s">
        <v>95</v>
      </c>
      <c r="C29" s="307" t="s">
        <v>627</v>
      </c>
      <c r="D29" s="308"/>
      <c r="E29" s="309" t="e">
        <f>E9*0.5</f>
        <v>#VALUE!</v>
      </c>
      <c r="F29" s="310">
        <f t="shared" ref="F29:K29" si="4">F9*0.5</f>
        <v>0</v>
      </c>
      <c r="G29" s="310">
        <f t="shared" si="4"/>
        <v>0</v>
      </c>
      <c r="H29" s="309">
        <f t="shared" si="4"/>
        <v>416.69463141025636</v>
      </c>
      <c r="I29" s="309">
        <f t="shared" si="4"/>
        <v>9355.5</v>
      </c>
      <c r="J29" s="309">
        <f t="shared" si="4"/>
        <v>891.2</v>
      </c>
      <c r="K29" s="309">
        <f t="shared" si="4"/>
        <v>1578.864</v>
      </c>
      <c r="L29" s="309" t="e">
        <f>SUM(E29:K29)</f>
        <v>#VALUE!</v>
      </c>
      <c r="M29" s="309" t="e">
        <f>L29*'He so chung'!$D$17/100</f>
        <v>#VALUE!</v>
      </c>
      <c r="N29" s="309" t="e">
        <f>M29+L29</f>
        <v>#VALUE!</v>
      </c>
      <c r="O29" s="309">
        <f>O17*0.5</f>
        <v>153.70192307692309</v>
      </c>
    </row>
    <row r="30" spans="1:45" s="292" customFormat="1" ht="26.45" customHeight="1">
      <c r="A30" s="305" t="s">
        <v>884</v>
      </c>
      <c r="B30" s="306" t="s">
        <v>96</v>
      </c>
      <c r="C30" s="307" t="s">
        <v>627</v>
      </c>
      <c r="D30" s="308"/>
      <c r="E30" s="309" t="e">
        <f>E10*0.5</f>
        <v>#VALUE!</v>
      </c>
      <c r="F30" s="310">
        <f t="shared" ref="F30:K30" si="5">F10*0.5</f>
        <v>0</v>
      </c>
      <c r="G30" s="310">
        <f t="shared" si="5"/>
        <v>0</v>
      </c>
      <c r="H30" s="309">
        <f t="shared" si="5"/>
        <v>416.69463141025636</v>
      </c>
      <c r="I30" s="309">
        <f t="shared" si="5"/>
        <v>9355.5</v>
      </c>
      <c r="J30" s="309">
        <f t="shared" si="5"/>
        <v>891.2</v>
      </c>
      <c r="K30" s="309">
        <f t="shared" si="5"/>
        <v>1578.864</v>
      </c>
      <c r="L30" s="309" t="e">
        <f>SUM(E30:K30)</f>
        <v>#VALUE!</v>
      </c>
      <c r="M30" s="309" t="e">
        <f>L30*'He so chung'!$D$17/100</f>
        <v>#VALUE!</v>
      </c>
      <c r="N30" s="309" t="e">
        <f>M30+L30</f>
        <v>#VALUE!</v>
      </c>
      <c r="O30" s="309">
        <f>O18*0.5</f>
        <v>307.40384615384619</v>
      </c>
    </row>
    <row r="31" spans="1:45" ht="23.45" customHeight="1">
      <c r="A31" s="130"/>
      <c r="B31" s="22"/>
      <c r="C31" s="23"/>
      <c r="D31" s="130"/>
      <c r="E31" s="143"/>
      <c r="F31" s="296"/>
      <c r="G31" s="238"/>
      <c r="H31" s="143"/>
      <c r="I31" s="143"/>
      <c r="J31" s="142"/>
      <c r="K31" s="142"/>
      <c r="L31" s="142"/>
      <c r="M31" s="142"/>
      <c r="N31" s="142"/>
      <c r="O31" s="25"/>
      <c r="P31" s="134"/>
      <c r="Q31" s="134"/>
    </row>
    <row r="32" spans="1:45">
      <c r="P32" s="134"/>
      <c r="Q32" s="134"/>
      <c r="R32" s="134"/>
    </row>
    <row r="33" spans="16:18">
      <c r="P33" s="134"/>
      <c r="Q33" s="134"/>
      <c r="R33" s="134"/>
    </row>
    <row r="34" spans="16:18">
      <c r="P34" s="134"/>
      <c r="Q34" s="134"/>
      <c r="R34" s="134"/>
    </row>
    <row r="35" spans="16:18">
      <c r="P35" s="134"/>
      <c r="Q35" s="134"/>
      <c r="R35" s="134"/>
    </row>
    <row r="36" spans="16:18">
      <c r="P36" s="134"/>
      <c r="Q36" s="134"/>
      <c r="R36" s="134"/>
    </row>
    <row r="37" spans="16:18">
      <c r="P37" s="134"/>
      <c r="Q37" s="134"/>
      <c r="R37" s="134"/>
    </row>
    <row r="38" spans="16:18">
      <c r="P38" s="134"/>
      <c r="Q38" s="134"/>
      <c r="R38" s="134"/>
    </row>
    <row r="39" spans="16:18">
      <c r="P39" s="134"/>
      <c r="Q39" s="134"/>
      <c r="R39" s="134"/>
    </row>
    <row r="40" spans="16:18">
      <c r="P40" s="134"/>
      <c r="Q40" s="134"/>
      <c r="R40" s="134"/>
    </row>
    <row r="41" spans="16:18">
      <c r="P41" s="134"/>
      <c r="Q41" s="134"/>
      <c r="R41" s="134"/>
    </row>
    <row r="42" spans="16:18">
      <c r="P42" s="134"/>
      <c r="Q42" s="134"/>
      <c r="R42" s="134"/>
    </row>
    <row r="43" spans="16:18">
      <c r="P43" s="134"/>
      <c r="Q43" s="134"/>
      <c r="R43" s="134"/>
    </row>
    <row r="44" spans="16:18">
      <c r="P44" s="134"/>
      <c r="Q44" s="134"/>
      <c r="R44" s="134"/>
    </row>
    <row r="45" spans="16:18">
      <c r="P45" s="134"/>
      <c r="Q45" s="134"/>
      <c r="R45" s="134"/>
    </row>
    <row r="46" spans="16:18">
      <c r="P46" s="134"/>
      <c r="Q46" s="134"/>
      <c r="R46" s="134"/>
    </row>
    <row r="47" spans="16:18">
      <c r="P47" s="134"/>
      <c r="Q47" s="134"/>
      <c r="R47" s="134"/>
    </row>
    <row r="48" spans="16:18">
      <c r="P48" s="134"/>
      <c r="Q48" s="134"/>
      <c r="R48" s="134"/>
    </row>
    <row r="49" spans="16:18">
      <c r="P49" s="134"/>
      <c r="Q49" s="134"/>
      <c r="R49" s="134"/>
    </row>
    <row r="50" spans="16:18">
      <c r="P50" s="134"/>
      <c r="Q50" s="134"/>
      <c r="R50" s="134"/>
    </row>
    <row r="51" spans="16:18">
      <c r="P51" s="134"/>
      <c r="Q51" s="134"/>
      <c r="R51" s="134"/>
    </row>
    <row r="52" spans="16:18">
      <c r="P52" s="134"/>
      <c r="Q52" s="134"/>
      <c r="R52" s="134"/>
    </row>
    <row r="53" spans="16:18">
      <c r="P53" s="134"/>
      <c r="Q53" s="134"/>
      <c r="R53" s="134"/>
    </row>
    <row r="54" spans="16:18">
      <c r="P54" s="134"/>
      <c r="Q54" s="134"/>
      <c r="R54" s="134"/>
    </row>
  </sheetData>
  <mergeCells count="11">
    <mergeCell ref="M6:M7"/>
    <mergeCell ref="A2:O2"/>
    <mergeCell ref="A3:P3"/>
    <mergeCell ref="N6:N7"/>
    <mergeCell ref="O6:O7"/>
    <mergeCell ref="A1:O1"/>
    <mergeCell ref="A6:A7"/>
    <mergeCell ref="B6:B7"/>
    <mergeCell ref="C6:C7"/>
    <mergeCell ref="D6:D7"/>
    <mergeCell ref="E6:L6"/>
  </mergeCells>
  <phoneticPr fontId="5" type="noConversion"/>
  <printOptions horizontalCentered="1"/>
  <pageMargins left="0.65055118110236199" right="0.65055118110236199" top="0.78740157480314998" bottom="0.78740157480314998" header="0.31496062992126" footer="0.39370078740157499"/>
  <pageSetup paperSize="9" scale="80" firstPageNumber="208" orientation="landscape"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B1079"/>
  <sheetViews>
    <sheetView showZeros="0" topLeftCell="A449" zoomScale="85" zoomScaleNormal="85" workbookViewId="0">
      <selection activeCell="H450" sqref="H450"/>
    </sheetView>
  </sheetViews>
  <sheetFormatPr defaultRowHeight="16.5"/>
  <cols>
    <col min="1" max="1" width="5.88671875" style="500" customWidth="1"/>
    <col min="2" max="2" width="53.77734375" style="501" customWidth="1"/>
    <col min="3" max="3" width="10.21875" style="461" customWidth="1"/>
    <col min="4" max="4" width="14.77734375" style="461" customWidth="1"/>
    <col min="5" max="5" width="8.77734375" style="502" customWidth="1"/>
    <col min="6" max="6" width="10.44140625" style="503" customWidth="1"/>
    <col min="7" max="7" width="8.6640625" style="502" customWidth="1"/>
    <col min="8" max="8" width="11.6640625" style="504" customWidth="1"/>
    <col min="9" max="28" width="8.88671875" style="454"/>
    <col min="29" max="16384" width="8.88671875" style="529"/>
  </cols>
  <sheetData>
    <row r="1" spans="1:28" ht="40.15" customHeight="1">
      <c r="A1" s="1229" t="s">
        <v>416</v>
      </c>
      <c r="B1" s="1230"/>
      <c r="C1" s="1230"/>
      <c r="D1" s="1230"/>
      <c r="E1" s="1230"/>
      <c r="F1" s="1230"/>
      <c r="G1" s="1230"/>
      <c r="H1" s="1230"/>
    </row>
    <row r="2" spans="1:28" ht="8.25" customHeight="1">
      <c r="A2" s="455"/>
      <c r="B2" s="456"/>
      <c r="C2" s="457"/>
      <c r="D2" s="457"/>
      <c r="E2" s="455"/>
      <c r="F2" s="458"/>
      <c r="G2" s="455"/>
      <c r="H2" s="455"/>
    </row>
    <row r="3" spans="1:28" ht="33" customHeight="1">
      <c r="A3" s="1194" t="s">
        <v>448</v>
      </c>
      <c r="B3" s="1194"/>
      <c r="C3" s="1194"/>
      <c r="D3" s="1194"/>
      <c r="E3" s="1194"/>
      <c r="F3" s="1194"/>
      <c r="G3" s="1194"/>
      <c r="H3" s="1194"/>
    </row>
    <row r="4" spans="1:28" s="466" customFormat="1" ht="21" customHeight="1">
      <c r="A4" s="459"/>
      <c r="B4" s="460"/>
      <c r="C4" s="461"/>
      <c r="D4" s="461"/>
      <c r="E4" s="462"/>
      <c r="F4" s="463"/>
      <c r="G4" s="462"/>
      <c r="H4" s="464"/>
      <c r="I4" s="465"/>
      <c r="J4" s="465"/>
      <c r="K4" s="465"/>
      <c r="L4" s="465"/>
      <c r="M4" s="465"/>
      <c r="N4" s="465"/>
      <c r="O4" s="465"/>
      <c r="P4" s="465"/>
      <c r="Q4" s="465"/>
      <c r="R4" s="465"/>
      <c r="S4" s="465"/>
      <c r="T4" s="465"/>
      <c r="U4" s="465"/>
      <c r="V4" s="465"/>
      <c r="W4" s="465"/>
      <c r="X4" s="465"/>
      <c r="Y4" s="465"/>
      <c r="Z4" s="465"/>
      <c r="AA4" s="465"/>
      <c r="AB4" s="465"/>
    </row>
    <row r="5" spans="1:28" s="466" customFormat="1" ht="42.75" customHeight="1">
      <c r="A5" s="467" t="s">
        <v>158</v>
      </c>
      <c r="B5" s="467" t="s">
        <v>381</v>
      </c>
      <c r="C5" s="468" t="s">
        <v>625</v>
      </c>
      <c r="D5" s="468" t="s">
        <v>624</v>
      </c>
      <c r="E5" s="468" t="s">
        <v>382</v>
      </c>
      <c r="F5" s="469" t="s">
        <v>629</v>
      </c>
      <c r="G5" s="468" t="s">
        <v>628</v>
      </c>
      <c r="H5" s="468" t="s">
        <v>383</v>
      </c>
      <c r="I5" s="465"/>
      <c r="J5" s="465"/>
      <c r="K5" s="465"/>
      <c r="L5" s="465"/>
      <c r="M5" s="465"/>
      <c r="N5" s="465"/>
      <c r="O5" s="465"/>
      <c r="P5" s="465"/>
      <c r="Q5" s="465"/>
      <c r="R5" s="465"/>
      <c r="S5" s="465"/>
      <c r="T5" s="465"/>
      <c r="U5" s="465"/>
      <c r="V5" s="465"/>
      <c r="W5" s="465"/>
      <c r="X5" s="465"/>
      <c r="Y5" s="465"/>
      <c r="Z5" s="465"/>
      <c r="AA5" s="465"/>
      <c r="AB5" s="465"/>
    </row>
    <row r="6" spans="1:28" s="466" customFormat="1" ht="42.75" customHeight="1" thickBot="1">
      <c r="A6" s="530" t="s">
        <v>179</v>
      </c>
      <c r="B6" s="531" t="s">
        <v>672</v>
      </c>
      <c r="C6" s="532"/>
      <c r="D6" s="532"/>
      <c r="E6" s="532"/>
      <c r="F6" s="532"/>
      <c r="G6" s="468"/>
      <c r="H6" s="468"/>
      <c r="I6" s="465"/>
      <c r="J6" s="465"/>
      <c r="K6" s="465"/>
      <c r="L6" s="465"/>
      <c r="M6" s="465"/>
      <c r="N6" s="465"/>
      <c r="O6" s="465"/>
      <c r="P6" s="465"/>
      <c r="Q6" s="465"/>
      <c r="R6" s="465"/>
      <c r="S6" s="465"/>
      <c r="T6" s="465"/>
      <c r="U6" s="465"/>
      <c r="V6" s="465"/>
      <c r="W6" s="465"/>
      <c r="X6" s="465"/>
      <c r="Y6" s="465"/>
      <c r="Z6" s="465"/>
      <c r="AA6" s="465"/>
      <c r="AB6" s="465"/>
    </row>
    <row r="7" spans="1:28" s="466" customFormat="1" ht="21.75" customHeight="1">
      <c r="A7" s="533">
        <v>1</v>
      </c>
      <c r="B7" s="534" t="s">
        <v>599</v>
      </c>
      <c r="C7" s="533"/>
      <c r="D7" s="533"/>
      <c r="E7" s="470"/>
      <c r="F7" s="471"/>
      <c r="G7" s="470"/>
      <c r="H7" s="472"/>
      <c r="I7" s="465"/>
      <c r="J7" s="465"/>
      <c r="K7" s="465"/>
      <c r="L7" s="465"/>
      <c r="M7" s="465"/>
      <c r="N7" s="465"/>
      <c r="O7" s="465"/>
      <c r="P7" s="465"/>
      <c r="Q7" s="465"/>
      <c r="R7" s="465"/>
      <c r="S7" s="465"/>
      <c r="T7" s="465"/>
      <c r="U7" s="465"/>
      <c r="V7" s="465"/>
      <c r="W7" s="465"/>
      <c r="X7" s="465"/>
      <c r="Y7" s="465"/>
      <c r="Z7" s="465"/>
      <c r="AA7" s="465"/>
      <c r="AB7" s="465"/>
    </row>
    <row r="8" spans="1:28" s="466" customFormat="1" ht="18.75" customHeight="1">
      <c r="A8" s="1219" t="s">
        <v>891</v>
      </c>
      <c r="B8" s="1231" t="s">
        <v>21</v>
      </c>
      <c r="C8" s="1219" t="s">
        <v>22</v>
      </c>
      <c r="D8" s="1219" t="s">
        <v>23</v>
      </c>
      <c r="E8" s="1223" t="s">
        <v>370</v>
      </c>
      <c r="F8" s="471" t="e">
        <f>(LUONGNGAY!K35+LUONGNGAY!K44)/2</f>
        <v>#VALUE!</v>
      </c>
      <c r="G8" s="473">
        <f>2*2</f>
        <v>4</v>
      </c>
      <c r="H8" s="474" t="e">
        <f>G8*F8</f>
        <v>#VALUE!</v>
      </c>
      <c r="I8" s="465"/>
      <c r="J8" s="465"/>
      <c r="K8" s="465"/>
      <c r="L8" s="465"/>
      <c r="M8" s="465"/>
      <c r="N8" s="465"/>
      <c r="O8" s="465"/>
      <c r="P8" s="465"/>
      <c r="Q8" s="465"/>
      <c r="R8" s="465"/>
      <c r="S8" s="465"/>
      <c r="T8" s="465"/>
      <c r="U8" s="465"/>
      <c r="V8" s="465"/>
      <c r="W8" s="465"/>
      <c r="X8" s="465"/>
      <c r="Y8" s="465"/>
      <c r="Z8" s="465"/>
      <c r="AA8" s="465"/>
      <c r="AB8" s="465"/>
    </row>
    <row r="9" spans="1:28" s="466" customFormat="1" ht="15.75" customHeight="1">
      <c r="A9" s="1219"/>
      <c r="B9" s="1231"/>
      <c r="C9" s="1219"/>
      <c r="D9" s="1219"/>
      <c r="E9" s="1224"/>
      <c r="F9" s="471">
        <f>'He so chung'!$D$11</f>
        <v>131000</v>
      </c>
      <c r="G9" s="473">
        <v>2</v>
      </c>
      <c r="H9" s="474">
        <f>G9*F9</f>
        <v>262000</v>
      </c>
      <c r="I9" s="465"/>
      <c r="J9" s="465"/>
      <c r="K9" s="465"/>
      <c r="L9" s="465"/>
      <c r="M9" s="465"/>
      <c r="N9" s="465"/>
      <c r="O9" s="465"/>
      <c r="P9" s="465"/>
      <c r="Q9" s="465"/>
      <c r="R9" s="465"/>
      <c r="S9" s="465"/>
      <c r="T9" s="465"/>
      <c r="U9" s="465"/>
      <c r="V9" s="465"/>
      <c r="W9" s="465"/>
      <c r="X9" s="465"/>
      <c r="Y9" s="465"/>
      <c r="Z9" s="465"/>
      <c r="AA9" s="465"/>
      <c r="AB9" s="465"/>
    </row>
    <row r="10" spans="1:28" s="466" customFormat="1" ht="27" customHeight="1">
      <c r="A10" s="533" t="s">
        <v>899</v>
      </c>
      <c r="B10" s="534" t="s">
        <v>24</v>
      </c>
      <c r="C10" s="533" t="s">
        <v>25</v>
      </c>
      <c r="D10" s="533" t="s">
        <v>26</v>
      </c>
      <c r="E10" s="470" t="s">
        <v>370</v>
      </c>
      <c r="F10" s="471" t="e">
        <f>(LUONGNGAY!K36+LUONGNGAY!K35+LUONGNGAY!K44)/3</f>
        <v>#VALUE!</v>
      </c>
      <c r="G10" s="473">
        <f>16*3</f>
        <v>48</v>
      </c>
      <c r="H10" s="474" t="e">
        <f>G10*F10</f>
        <v>#VALUE!</v>
      </c>
      <c r="I10" s="465"/>
      <c r="J10" s="465"/>
      <c r="K10" s="465"/>
      <c r="L10" s="465"/>
      <c r="M10" s="465"/>
      <c r="N10" s="465"/>
      <c r="O10" s="465"/>
      <c r="P10" s="465"/>
      <c r="Q10" s="465"/>
      <c r="R10" s="465"/>
      <c r="S10" s="465"/>
      <c r="T10" s="465"/>
      <c r="U10" s="465"/>
      <c r="V10" s="465"/>
      <c r="W10" s="465"/>
      <c r="X10" s="465"/>
      <c r="Y10" s="465"/>
      <c r="Z10" s="465"/>
      <c r="AA10" s="465"/>
      <c r="AB10" s="465"/>
    </row>
    <row r="11" spans="1:28" s="466" customFormat="1" ht="15.75" customHeight="1">
      <c r="A11" s="1219" t="s">
        <v>892</v>
      </c>
      <c r="B11" s="1231" t="s">
        <v>27</v>
      </c>
      <c r="C11" s="1219" t="s">
        <v>28</v>
      </c>
      <c r="D11" s="1219" t="s">
        <v>29</v>
      </c>
      <c r="E11" s="1223" t="s">
        <v>370</v>
      </c>
      <c r="F11" s="471" t="e">
        <f>LUONGNGAY!$K$36</f>
        <v>#VALUE!</v>
      </c>
      <c r="G11" s="473">
        <v>2.5</v>
      </c>
      <c r="H11" s="474" t="e">
        <f>G11*F11</f>
        <v>#VALUE!</v>
      </c>
      <c r="I11" s="465"/>
      <c r="J11" s="465"/>
      <c r="K11" s="465"/>
      <c r="L11" s="465"/>
      <c r="M11" s="465"/>
      <c r="N11" s="465"/>
      <c r="O11" s="465"/>
      <c r="P11" s="465"/>
      <c r="Q11" s="465"/>
      <c r="R11" s="465"/>
      <c r="S11" s="465"/>
      <c r="T11" s="465"/>
      <c r="U11" s="465"/>
      <c r="V11" s="465"/>
      <c r="W11" s="465"/>
      <c r="X11" s="465"/>
      <c r="Y11" s="465"/>
      <c r="Z11" s="465"/>
      <c r="AA11" s="465"/>
      <c r="AB11" s="465"/>
    </row>
    <row r="12" spans="1:28" s="466" customFormat="1" ht="15.75" customHeight="1">
      <c r="A12" s="1219"/>
      <c r="B12" s="1231"/>
      <c r="C12" s="1219"/>
      <c r="D12" s="1219"/>
      <c r="E12" s="1224"/>
      <c r="F12" s="471">
        <f>$F$9</f>
        <v>131000</v>
      </c>
      <c r="G12" s="473">
        <v>2.5</v>
      </c>
      <c r="H12" s="474">
        <f>F12*G12</f>
        <v>327500</v>
      </c>
      <c r="I12" s="465"/>
      <c r="J12" s="465"/>
      <c r="K12" s="465"/>
      <c r="L12" s="465"/>
      <c r="M12" s="465"/>
      <c r="N12" s="465"/>
      <c r="O12" s="465"/>
      <c r="P12" s="465"/>
      <c r="Q12" s="465"/>
      <c r="R12" s="465"/>
      <c r="S12" s="465"/>
      <c r="T12" s="465"/>
      <c r="U12" s="465"/>
      <c r="V12" s="465"/>
      <c r="W12" s="465"/>
      <c r="X12" s="465"/>
      <c r="Y12" s="465"/>
      <c r="Z12" s="465"/>
      <c r="AA12" s="465"/>
      <c r="AB12" s="465"/>
    </row>
    <row r="13" spans="1:28" s="466" customFormat="1" ht="16.5" customHeight="1">
      <c r="A13" s="533" t="s">
        <v>30</v>
      </c>
      <c r="B13" s="534" t="s">
        <v>31</v>
      </c>
      <c r="C13" s="533"/>
      <c r="D13" s="533"/>
      <c r="E13" s="470"/>
      <c r="F13" s="471"/>
      <c r="G13" s="473"/>
      <c r="H13" s="474"/>
      <c r="I13" s="465"/>
      <c r="J13" s="465"/>
      <c r="K13" s="465"/>
      <c r="L13" s="465"/>
      <c r="M13" s="465"/>
      <c r="N13" s="465"/>
      <c r="O13" s="465"/>
      <c r="P13" s="465"/>
      <c r="Q13" s="465"/>
      <c r="R13" s="465"/>
      <c r="S13" s="465"/>
      <c r="T13" s="465"/>
      <c r="U13" s="465"/>
      <c r="V13" s="465"/>
      <c r="W13" s="465"/>
      <c r="X13" s="465"/>
      <c r="Y13" s="465"/>
      <c r="Z13" s="465"/>
      <c r="AA13" s="465"/>
      <c r="AB13" s="465"/>
    </row>
    <row r="14" spans="1:28" s="466" customFormat="1" ht="30" customHeight="1">
      <c r="A14" s="533" t="s">
        <v>32</v>
      </c>
      <c r="B14" s="534" t="s">
        <v>33</v>
      </c>
      <c r="C14" s="533" t="s">
        <v>979</v>
      </c>
      <c r="D14" s="533" t="s">
        <v>34</v>
      </c>
      <c r="E14" s="470" t="s">
        <v>370</v>
      </c>
      <c r="F14" s="471" t="e">
        <f>LUONGNGAY!$K$35</f>
        <v>#VALUE!</v>
      </c>
      <c r="G14" s="473">
        <v>0.1</v>
      </c>
      <c r="H14" s="474" t="e">
        <f>F14*G14</f>
        <v>#VALUE!</v>
      </c>
      <c r="I14" s="465"/>
      <c r="J14" s="465"/>
      <c r="K14" s="465"/>
      <c r="L14" s="465"/>
      <c r="M14" s="465"/>
      <c r="N14" s="465"/>
      <c r="O14" s="465"/>
      <c r="P14" s="465"/>
      <c r="Q14" s="465"/>
      <c r="R14" s="465"/>
      <c r="S14" s="465"/>
      <c r="T14" s="465"/>
      <c r="U14" s="465"/>
      <c r="V14" s="465"/>
      <c r="W14" s="465"/>
      <c r="X14" s="465"/>
      <c r="Y14" s="465"/>
      <c r="Z14" s="465"/>
      <c r="AA14" s="465"/>
      <c r="AB14" s="465"/>
    </row>
    <row r="15" spans="1:28" s="466" customFormat="1" ht="32.25" customHeight="1">
      <c r="A15" s="533" t="s">
        <v>35</v>
      </c>
      <c r="B15" s="534" t="s">
        <v>36</v>
      </c>
      <c r="C15" s="533" t="s">
        <v>979</v>
      </c>
      <c r="D15" s="533" t="s">
        <v>34</v>
      </c>
      <c r="E15" s="470" t="s">
        <v>370</v>
      </c>
      <c r="F15" s="471" t="e">
        <f>LUONGNGAY!$K$35</f>
        <v>#VALUE!</v>
      </c>
      <c r="G15" s="475">
        <v>0.05</v>
      </c>
      <c r="H15" s="474" t="e">
        <f>F15*G15</f>
        <v>#VALUE!</v>
      </c>
      <c r="I15" s="465"/>
      <c r="J15" s="465"/>
      <c r="K15" s="465"/>
      <c r="L15" s="465"/>
      <c r="M15" s="465"/>
      <c r="N15" s="465"/>
      <c r="O15" s="465"/>
      <c r="P15" s="465"/>
      <c r="Q15" s="465"/>
      <c r="R15" s="465"/>
      <c r="S15" s="465"/>
      <c r="T15" s="465"/>
      <c r="U15" s="465"/>
      <c r="V15" s="465"/>
      <c r="W15" s="465"/>
      <c r="X15" s="465"/>
      <c r="Y15" s="465"/>
      <c r="Z15" s="465"/>
      <c r="AA15" s="465"/>
      <c r="AB15" s="465"/>
    </row>
    <row r="16" spans="1:28" s="466" customFormat="1" ht="60" customHeight="1">
      <c r="A16" s="533">
        <v>2</v>
      </c>
      <c r="B16" s="534" t="s">
        <v>37</v>
      </c>
      <c r="C16" s="533" t="s">
        <v>979</v>
      </c>
      <c r="D16" s="533" t="s">
        <v>34</v>
      </c>
      <c r="E16" s="470" t="s">
        <v>370</v>
      </c>
      <c r="F16" s="471" t="e">
        <f>LUONGNGAY!$K$35</f>
        <v>#VALUE!</v>
      </c>
      <c r="G16" s="476">
        <v>0.1</v>
      </c>
      <c r="H16" s="474" t="e">
        <f>F16*G16</f>
        <v>#VALUE!</v>
      </c>
      <c r="I16" s="465"/>
      <c r="J16" s="465"/>
      <c r="K16" s="465"/>
      <c r="L16" s="465"/>
      <c r="M16" s="465"/>
      <c r="N16" s="465"/>
      <c r="O16" s="465"/>
      <c r="P16" s="465"/>
      <c r="Q16" s="465"/>
      <c r="R16" s="465"/>
      <c r="S16" s="465"/>
      <c r="T16" s="465"/>
      <c r="U16" s="465"/>
      <c r="V16" s="465"/>
      <c r="W16" s="465"/>
      <c r="X16" s="465"/>
      <c r="Y16" s="465"/>
      <c r="Z16" s="465"/>
      <c r="AA16" s="465"/>
      <c r="AB16" s="465"/>
    </row>
    <row r="17" spans="1:28" s="466" customFormat="1" ht="47.25" customHeight="1">
      <c r="A17" s="533">
        <v>3</v>
      </c>
      <c r="B17" s="534" t="s">
        <v>38</v>
      </c>
      <c r="C17" s="533" t="s">
        <v>627</v>
      </c>
      <c r="D17" s="533" t="s">
        <v>29</v>
      </c>
      <c r="E17" s="470" t="s">
        <v>370</v>
      </c>
      <c r="F17" s="471" t="e">
        <f>LUONGNGAY!$K$36</f>
        <v>#VALUE!</v>
      </c>
      <c r="G17" s="477">
        <v>0.107</v>
      </c>
      <c r="H17" s="474" t="e">
        <f>F17*G17</f>
        <v>#VALUE!</v>
      </c>
      <c r="I17" s="465"/>
      <c r="J17" s="465"/>
      <c r="K17" s="465"/>
      <c r="L17" s="465"/>
      <c r="M17" s="465"/>
      <c r="N17" s="465"/>
      <c r="O17" s="465"/>
      <c r="P17" s="465"/>
      <c r="Q17" s="465"/>
      <c r="R17" s="465"/>
      <c r="S17" s="465"/>
      <c r="T17" s="465"/>
      <c r="U17" s="465"/>
      <c r="V17" s="465"/>
      <c r="W17" s="465"/>
      <c r="X17" s="465"/>
      <c r="Y17" s="465"/>
      <c r="Z17" s="465"/>
      <c r="AA17" s="465"/>
      <c r="AB17" s="465"/>
    </row>
    <row r="18" spans="1:28" s="466" customFormat="1" ht="16.5" customHeight="1">
      <c r="A18" s="1220">
        <v>4</v>
      </c>
      <c r="B18" s="1225" t="s">
        <v>39</v>
      </c>
      <c r="C18" s="1219" t="s">
        <v>979</v>
      </c>
      <c r="D18" s="1219" t="s">
        <v>23</v>
      </c>
      <c r="E18" s="1223">
        <v>1</v>
      </c>
      <c r="F18" s="471" t="e">
        <f>(LUONGNGAY!K35+LUONGNGAY!K44)/2</f>
        <v>#VALUE!</v>
      </c>
      <c r="G18" s="477">
        <f>0.206*2</f>
        <v>0.41199999999999998</v>
      </c>
      <c r="H18" s="474" t="e">
        <f>F18*G18</f>
        <v>#VALUE!</v>
      </c>
      <c r="I18" s="465"/>
      <c r="J18" s="465"/>
      <c r="K18" s="465"/>
      <c r="L18" s="465"/>
      <c r="M18" s="465"/>
      <c r="N18" s="465"/>
      <c r="O18" s="465"/>
      <c r="P18" s="465"/>
      <c r="Q18" s="465"/>
      <c r="R18" s="465"/>
      <c r="S18" s="465"/>
      <c r="T18" s="465"/>
      <c r="U18" s="465"/>
      <c r="V18" s="465"/>
      <c r="W18" s="465"/>
      <c r="X18" s="465"/>
      <c r="Y18" s="465"/>
      <c r="Z18" s="465"/>
      <c r="AA18" s="465"/>
      <c r="AB18" s="465"/>
    </row>
    <row r="19" spans="1:28" s="466" customFormat="1" ht="17.25" customHeight="1">
      <c r="A19" s="1221"/>
      <c r="B19" s="1226"/>
      <c r="C19" s="1219"/>
      <c r="D19" s="1219"/>
      <c r="E19" s="1224"/>
      <c r="F19" s="471">
        <f>$F$9</f>
        <v>131000</v>
      </c>
      <c r="G19" s="477">
        <v>0.122</v>
      </c>
      <c r="H19" s="474">
        <f t="shared" ref="H19:H73" si="0">F19*G19</f>
        <v>15982</v>
      </c>
      <c r="I19" s="465"/>
      <c r="J19" s="465"/>
      <c r="K19" s="465"/>
      <c r="L19" s="465"/>
      <c r="M19" s="465"/>
      <c r="N19" s="465"/>
      <c r="O19" s="465"/>
      <c r="P19" s="465"/>
      <c r="Q19" s="465"/>
      <c r="R19" s="465"/>
      <c r="S19" s="465"/>
      <c r="T19" s="465"/>
      <c r="U19" s="465"/>
      <c r="V19" s="465"/>
      <c r="W19" s="465"/>
      <c r="X19" s="465"/>
      <c r="Y19" s="465"/>
      <c r="Z19" s="465"/>
      <c r="AA19" s="465"/>
      <c r="AB19" s="465"/>
    </row>
    <row r="20" spans="1:28" s="466" customFormat="1" ht="16.5" customHeight="1">
      <c r="A20" s="1221"/>
      <c r="B20" s="1226"/>
      <c r="C20" s="1219"/>
      <c r="D20" s="1219"/>
      <c r="E20" s="1223">
        <v>2</v>
      </c>
      <c r="F20" s="471" t="e">
        <f>$F$18</f>
        <v>#VALUE!</v>
      </c>
      <c r="G20" s="477">
        <f>0.237*2</f>
        <v>0.47399999999999998</v>
      </c>
      <c r="H20" s="474" t="e">
        <f t="shared" si="0"/>
        <v>#VALUE!</v>
      </c>
      <c r="I20" s="465"/>
      <c r="J20" s="465"/>
      <c r="K20" s="465"/>
      <c r="L20" s="465"/>
      <c r="M20" s="465"/>
      <c r="N20" s="465"/>
      <c r="O20" s="465"/>
      <c r="P20" s="465"/>
      <c r="Q20" s="465"/>
      <c r="R20" s="465"/>
      <c r="S20" s="465"/>
      <c r="T20" s="465"/>
      <c r="U20" s="465"/>
      <c r="V20" s="465"/>
      <c r="W20" s="465"/>
      <c r="X20" s="465"/>
      <c r="Y20" s="465"/>
      <c r="Z20" s="465"/>
      <c r="AA20" s="465"/>
      <c r="AB20" s="465"/>
    </row>
    <row r="21" spans="1:28" s="466" customFormat="1" ht="16.5" customHeight="1">
      <c r="A21" s="1221"/>
      <c r="B21" s="1226"/>
      <c r="C21" s="1219"/>
      <c r="D21" s="1219"/>
      <c r="E21" s="1224"/>
      <c r="F21" s="471">
        <f>$F$9</f>
        <v>131000</v>
      </c>
      <c r="G21" s="477">
        <v>0.14000000000000001</v>
      </c>
      <c r="H21" s="474">
        <f t="shared" si="0"/>
        <v>18340</v>
      </c>
      <c r="I21" s="465"/>
      <c r="J21" s="465"/>
      <c r="K21" s="465"/>
      <c r="L21" s="465"/>
      <c r="M21" s="465"/>
      <c r="N21" s="465"/>
      <c r="O21" s="465"/>
      <c r="P21" s="465"/>
      <c r="Q21" s="465"/>
      <c r="R21" s="465"/>
      <c r="S21" s="465"/>
      <c r="T21" s="465"/>
      <c r="U21" s="465"/>
      <c r="V21" s="465"/>
      <c r="W21" s="465"/>
      <c r="X21" s="465"/>
      <c r="Y21" s="465"/>
      <c r="Z21" s="465"/>
      <c r="AA21" s="465"/>
      <c r="AB21" s="465"/>
    </row>
    <row r="22" spans="1:28" s="466" customFormat="1" ht="16.5" customHeight="1">
      <c r="A22" s="1221"/>
      <c r="B22" s="1226"/>
      <c r="C22" s="1219"/>
      <c r="D22" s="1219"/>
      <c r="E22" s="1223">
        <v>3</v>
      </c>
      <c r="F22" s="471" t="e">
        <f>$F$18</f>
        <v>#VALUE!</v>
      </c>
      <c r="G22" s="477">
        <f>0.273*2</f>
        <v>0.54600000000000004</v>
      </c>
      <c r="H22" s="474" t="e">
        <f t="shared" si="0"/>
        <v>#VALUE!</v>
      </c>
      <c r="I22" s="465"/>
      <c r="J22" s="465"/>
      <c r="K22" s="465"/>
      <c r="L22" s="465"/>
      <c r="M22" s="465"/>
      <c r="N22" s="465"/>
      <c r="O22" s="465"/>
      <c r="P22" s="465"/>
      <c r="Q22" s="465"/>
      <c r="R22" s="465"/>
      <c r="S22" s="465"/>
      <c r="T22" s="465"/>
      <c r="U22" s="465"/>
      <c r="V22" s="465"/>
      <c r="W22" s="465"/>
      <c r="X22" s="465"/>
      <c r="Y22" s="465"/>
      <c r="Z22" s="465"/>
      <c r="AA22" s="465"/>
      <c r="AB22" s="465"/>
    </row>
    <row r="23" spans="1:28" s="466" customFormat="1" ht="16.5" customHeight="1">
      <c r="A23" s="1222"/>
      <c r="B23" s="1227"/>
      <c r="C23" s="1219"/>
      <c r="D23" s="1219"/>
      <c r="E23" s="1224"/>
      <c r="F23" s="471">
        <f>$F$9</f>
        <v>131000</v>
      </c>
      <c r="G23" s="477">
        <v>0.161</v>
      </c>
      <c r="H23" s="474">
        <f t="shared" si="0"/>
        <v>21091</v>
      </c>
      <c r="I23" s="465"/>
      <c r="J23" s="465"/>
      <c r="K23" s="465"/>
      <c r="L23" s="465"/>
      <c r="M23" s="465"/>
      <c r="N23" s="465"/>
      <c r="O23" s="465"/>
      <c r="P23" s="465"/>
      <c r="Q23" s="465"/>
      <c r="R23" s="465"/>
      <c r="S23" s="465"/>
      <c r="T23" s="465"/>
      <c r="U23" s="465"/>
      <c r="V23" s="465"/>
      <c r="W23" s="465"/>
      <c r="X23" s="465"/>
      <c r="Y23" s="465"/>
      <c r="Z23" s="465"/>
      <c r="AA23" s="465"/>
      <c r="AB23" s="465"/>
    </row>
    <row r="24" spans="1:28" s="466" customFormat="1" ht="16.5" customHeight="1">
      <c r="A24" s="533">
        <v>5</v>
      </c>
      <c r="B24" s="534" t="s">
        <v>340</v>
      </c>
      <c r="C24" s="533"/>
      <c r="D24" s="533"/>
      <c r="E24" s="470"/>
      <c r="F24" s="471"/>
      <c r="G24" s="478"/>
      <c r="H24" s="474"/>
      <c r="I24" s="465"/>
      <c r="J24" s="465"/>
      <c r="K24" s="465"/>
      <c r="L24" s="465"/>
      <c r="M24" s="465"/>
      <c r="N24" s="465"/>
      <c r="O24" s="465"/>
      <c r="P24" s="465"/>
      <c r="Q24" s="465"/>
      <c r="R24" s="465"/>
      <c r="S24" s="465"/>
      <c r="T24" s="465"/>
      <c r="U24" s="465"/>
      <c r="V24" s="465"/>
      <c r="W24" s="465"/>
      <c r="X24" s="465"/>
      <c r="Y24" s="465"/>
      <c r="Z24" s="465"/>
      <c r="AA24" s="465"/>
      <c r="AB24" s="465"/>
    </row>
    <row r="25" spans="1:28" s="466" customFormat="1" ht="16.5" customHeight="1">
      <c r="A25" s="533" t="s">
        <v>607</v>
      </c>
      <c r="B25" s="534" t="s">
        <v>33</v>
      </c>
      <c r="C25" s="533" t="s">
        <v>979</v>
      </c>
      <c r="D25" s="533" t="s">
        <v>29</v>
      </c>
      <c r="E25" s="470" t="s">
        <v>370</v>
      </c>
      <c r="F25" s="471" t="e">
        <f>LUONGNGAY!$K$36</f>
        <v>#VALUE!</v>
      </c>
      <c r="G25" s="477">
        <v>0.05</v>
      </c>
      <c r="H25" s="474" t="e">
        <f t="shared" si="0"/>
        <v>#VALUE!</v>
      </c>
      <c r="I25" s="465"/>
      <c r="J25" s="465"/>
      <c r="K25" s="465"/>
      <c r="L25" s="465"/>
      <c r="M25" s="465"/>
      <c r="N25" s="465"/>
      <c r="O25" s="465"/>
      <c r="P25" s="465"/>
      <c r="Q25" s="465"/>
      <c r="R25" s="465"/>
      <c r="S25" s="465"/>
      <c r="T25" s="465"/>
      <c r="U25" s="465"/>
      <c r="V25" s="465"/>
      <c r="W25" s="465"/>
      <c r="X25" s="465"/>
      <c r="Y25" s="465"/>
      <c r="Z25" s="465"/>
      <c r="AA25" s="465"/>
      <c r="AB25" s="465"/>
    </row>
    <row r="26" spans="1:28" s="466" customFormat="1" ht="16.5" customHeight="1">
      <c r="A26" s="533" t="s">
        <v>608</v>
      </c>
      <c r="B26" s="534" t="s">
        <v>36</v>
      </c>
      <c r="C26" s="533" t="s">
        <v>979</v>
      </c>
      <c r="D26" s="533" t="s">
        <v>29</v>
      </c>
      <c r="E26" s="470" t="s">
        <v>370</v>
      </c>
      <c r="F26" s="471" t="e">
        <f>LUONGNGAY!$K$36</f>
        <v>#VALUE!</v>
      </c>
      <c r="G26" s="477">
        <v>0.04</v>
      </c>
      <c r="H26" s="474" t="e">
        <f t="shared" si="0"/>
        <v>#VALUE!</v>
      </c>
      <c r="I26" s="465"/>
      <c r="J26" s="465"/>
      <c r="K26" s="465"/>
      <c r="L26" s="465"/>
      <c r="M26" s="465"/>
      <c r="N26" s="465"/>
      <c r="O26" s="465"/>
      <c r="P26" s="465"/>
      <c r="Q26" s="465"/>
      <c r="R26" s="465"/>
      <c r="S26" s="465"/>
      <c r="T26" s="465"/>
      <c r="U26" s="465"/>
      <c r="V26" s="465"/>
      <c r="W26" s="465"/>
      <c r="X26" s="465"/>
      <c r="Y26" s="465"/>
      <c r="Z26" s="465"/>
      <c r="AA26" s="465"/>
      <c r="AB26" s="465"/>
    </row>
    <row r="27" spans="1:28" s="466" customFormat="1" ht="16.5" customHeight="1">
      <c r="A27" s="533">
        <v>6</v>
      </c>
      <c r="B27" s="534" t="s">
        <v>341</v>
      </c>
      <c r="C27" s="533" t="s">
        <v>627</v>
      </c>
      <c r="D27" s="533" t="s">
        <v>29</v>
      </c>
      <c r="E27" s="470" t="s">
        <v>370</v>
      </c>
      <c r="F27" s="471" t="e">
        <f>LUONGNGAY!$K$36</f>
        <v>#VALUE!</v>
      </c>
      <c r="G27" s="477">
        <v>3.0000000000000001E-3</v>
      </c>
      <c r="H27" s="474" t="e">
        <f t="shared" si="0"/>
        <v>#VALUE!</v>
      </c>
      <c r="I27" s="465"/>
      <c r="J27" s="465"/>
      <c r="K27" s="465"/>
      <c r="L27" s="465"/>
      <c r="M27" s="465"/>
      <c r="N27" s="465"/>
      <c r="O27" s="465"/>
      <c r="P27" s="465"/>
      <c r="Q27" s="465"/>
      <c r="R27" s="465"/>
      <c r="S27" s="465"/>
      <c r="T27" s="465"/>
      <c r="U27" s="465"/>
      <c r="V27" s="465"/>
      <c r="W27" s="465"/>
      <c r="X27" s="465"/>
      <c r="Y27" s="465"/>
      <c r="Z27" s="465"/>
      <c r="AA27" s="465"/>
      <c r="AB27" s="465"/>
    </row>
    <row r="28" spans="1:28" s="466" customFormat="1" ht="16.5" customHeight="1">
      <c r="A28" s="533">
        <v>7</v>
      </c>
      <c r="B28" s="534" t="s">
        <v>855</v>
      </c>
      <c r="C28" s="533" t="s">
        <v>979</v>
      </c>
      <c r="D28" s="533" t="s">
        <v>626</v>
      </c>
      <c r="E28" s="470" t="s">
        <v>370</v>
      </c>
      <c r="F28" s="471" t="e">
        <f>LUONGNGAY!K44</f>
        <v>#VALUE!</v>
      </c>
      <c r="G28" s="477">
        <v>1.2999999999999999E-2</v>
      </c>
      <c r="H28" s="474" t="e">
        <f t="shared" si="0"/>
        <v>#VALUE!</v>
      </c>
      <c r="I28" s="465"/>
      <c r="J28" s="465"/>
      <c r="K28" s="465"/>
      <c r="L28" s="465"/>
      <c r="M28" s="465"/>
      <c r="N28" s="465"/>
      <c r="O28" s="465"/>
      <c r="P28" s="465"/>
      <c r="Q28" s="465"/>
      <c r="R28" s="465"/>
      <c r="S28" s="465"/>
      <c r="T28" s="465"/>
      <c r="U28" s="465"/>
      <c r="V28" s="465"/>
      <c r="W28" s="465"/>
      <c r="X28" s="465"/>
      <c r="Y28" s="465"/>
      <c r="Z28" s="465"/>
      <c r="AA28" s="465"/>
      <c r="AB28" s="465"/>
    </row>
    <row r="29" spans="1:28" s="466" customFormat="1" ht="35.25" customHeight="1">
      <c r="A29" s="533">
        <v>8</v>
      </c>
      <c r="B29" s="534" t="s">
        <v>348</v>
      </c>
      <c r="C29" s="533"/>
      <c r="D29" s="533"/>
      <c r="E29" s="479"/>
      <c r="F29" s="471"/>
      <c r="G29" s="477"/>
      <c r="H29" s="474"/>
      <c r="I29" s="465"/>
      <c r="J29" s="465"/>
      <c r="K29" s="465"/>
      <c r="L29" s="465"/>
      <c r="M29" s="465"/>
      <c r="N29" s="465"/>
      <c r="O29" s="465"/>
      <c r="P29" s="465"/>
      <c r="Q29" s="465"/>
      <c r="R29" s="465"/>
      <c r="S29" s="465"/>
      <c r="T29" s="465"/>
      <c r="U29" s="465"/>
      <c r="V29" s="465"/>
      <c r="W29" s="465"/>
      <c r="X29" s="465"/>
      <c r="Y29" s="465"/>
      <c r="Z29" s="465"/>
      <c r="AA29" s="465"/>
      <c r="AB29" s="465"/>
    </row>
    <row r="30" spans="1:28" s="466" customFormat="1" ht="31.5" customHeight="1">
      <c r="A30" s="533" t="s">
        <v>374</v>
      </c>
      <c r="B30" s="534" t="s">
        <v>33</v>
      </c>
      <c r="C30" s="533" t="s">
        <v>979</v>
      </c>
      <c r="D30" s="533" t="s">
        <v>29</v>
      </c>
      <c r="E30" s="479" t="s">
        <v>370</v>
      </c>
      <c r="F30" s="471" t="e">
        <f>LUONGNGAY!$K$36</f>
        <v>#VALUE!</v>
      </c>
      <c r="G30" s="477">
        <v>1.4999999999999999E-2</v>
      </c>
      <c r="H30" s="474" t="e">
        <f t="shared" si="0"/>
        <v>#VALUE!</v>
      </c>
      <c r="I30" s="465"/>
      <c r="J30" s="465"/>
      <c r="K30" s="465"/>
      <c r="L30" s="465"/>
      <c r="M30" s="465"/>
      <c r="N30" s="465"/>
      <c r="O30" s="465"/>
      <c r="P30" s="465"/>
      <c r="Q30" s="465"/>
      <c r="R30" s="465"/>
      <c r="S30" s="465"/>
      <c r="T30" s="465"/>
      <c r="U30" s="465"/>
      <c r="V30" s="465"/>
      <c r="W30" s="465"/>
      <c r="X30" s="465"/>
      <c r="Y30" s="465"/>
      <c r="Z30" s="465"/>
      <c r="AA30" s="465"/>
      <c r="AB30" s="465"/>
    </row>
    <row r="31" spans="1:28" s="466" customFormat="1" ht="31.5" customHeight="1">
      <c r="A31" s="533" t="s">
        <v>375</v>
      </c>
      <c r="B31" s="534" t="s">
        <v>36</v>
      </c>
      <c r="C31" s="533" t="s">
        <v>979</v>
      </c>
      <c r="D31" s="533" t="s">
        <v>29</v>
      </c>
      <c r="E31" s="479" t="s">
        <v>370</v>
      </c>
      <c r="F31" s="471" t="e">
        <f>LUONGNGAY!$K$36</f>
        <v>#VALUE!</v>
      </c>
      <c r="G31" s="477">
        <v>0.01</v>
      </c>
      <c r="H31" s="474" t="e">
        <f t="shared" si="0"/>
        <v>#VALUE!</v>
      </c>
      <c r="I31" s="465"/>
      <c r="J31" s="465"/>
      <c r="K31" s="465"/>
      <c r="L31" s="465"/>
      <c r="M31" s="465"/>
      <c r="N31" s="465"/>
      <c r="O31" s="465"/>
      <c r="P31" s="465"/>
      <c r="Q31" s="465"/>
      <c r="R31" s="465"/>
      <c r="S31" s="465"/>
      <c r="T31" s="465"/>
      <c r="U31" s="465"/>
      <c r="V31" s="465"/>
      <c r="W31" s="465"/>
      <c r="X31" s="465"/>
      <c r="Y31" s="465"/>
      <c r="Z31" s="465"/>
      <c r="AA31" s="465"/>
      <c r="AB31" s="465"/>
    </row>
    <row r="32" spans="1:28" s="466" customFormat="1" ht="65.25" customHeight="1">
      <c r="A32" s="533">
        <v>9</v>
      </c>
      <c r="B32" s="534" t="s">
        <v>856</v>
      </c>
      <c r="C32" s="533" t="s">
        <v>979</v>
      </c>
      <c r="D32" s="533" t="s">
        <v>29</v>
      </c>
      <c r="E32" s="479" t="s">
        <v>370</v>
      </c>
      <c r="F32" s="471" t="e">
        <f>LUONGNGAY!$K$36</f>
        <v>#VALUE!</v>
      </c>
      <c r="G32" s="477">
        <v>0.05</v>
      </c>
      <c r="H32" s="474" t="e">
        <f t="shared" si="0"/>
        <v>#VALUE!</v>
      </c>
      <c r="I32" s="465"/>
      <c r="J32" s="465"/>
      <c r="K32" s="465"/>
      <c r="L32" s="465"/>
      <c r="M32" s="465"/>
      <c r="N32" s="465"/>
      <c r="O32" s="465"/>
      <c r="P32" s="465"/>
      <c r="Q32" s="465"/>
      <c r="R32" s="465"/>
      <c r="S32" s="465"/>
      <c r="T32" s="465"/>
      <c r="U32" s="465"/>
      <c r="V32" s="465"/>
      <c r="W32" s="465"/>
      <c r="X32" s="465"/>
      <c r="Y32" s="465"/>
      <c r="Z32" s="465"/>
      <c r="AA32" s="465"/>
      <c r="AB32" s="465"/>
    </row>
    <row r="33" spans="1:28" s="466" customFormat="1" ht="52.5" customHeight="1">
      <c r="A33" s="533">
        <v>10</v>
      </c>
      <c r="B33" s="534" t="s">
        <v>857</v>
      </c>
      <c r="C33" s="533" t="s">
        <v>979</v>
      </c>
      <c r="D33" s="533" t="s">
        <v>34</v>
      </c>
      <c r="E33" s="479" t="s">
        <v>370</v>
      </c>
      <c r="F33" s="471" t="e">
        <f>LUONGNGAY!$K$35</f>
        <v>#VALUE!</v>
      </c>
      <c r="G33" s="477">
        <v>0.02</v>
      </c>
      <c r="H33" s="474" t="e">
        <f t="shared" si="0"/>
        <v>#VALUE!</v>
      </c>
      <c r="I33" s="465"/>
      <c r="J33" s="465"/>
      <c r="K33" s="465"/>
      <c r="L33" s="465"/>
      <c r="M33" s="465"/>
      <c r="N33" s="465"/>
      <c r="O33" s="465"/>
      <c r="P33" s="465"/>
      <c r="Q33" s="465"/>
      <c r="R33" s="465"/>
      <c r="S33" s="465"/>
      <c r="T33" s="465"/>
      <c r="U33" s="465"/>
      <c r="V33" s="465"/>
      <c r="W33" s="465"/>
      <c r="X33" s="465"/>
      <c r="Y33" s="465"/>
      <c r="Z33" s="465"/>
      <c r="AA33" s="465"/>
      <c r="AB33" s="465"/>
    </row>
    <row r="34" spans="1:28" s="466" customFormat="1" ht="64.5" customHeight="1">
      <c r="A34" s="533">
        <v>11</v>
      </c>
      <c r="B34" s="534" t="s">
        <v>764</v>
      </c>
      <c r="C34" s="533" t="s">
        <v>979</v>
      </c>
      <c r="D34" s="533" t="s">
        <v>34</v>
      </c>
      <c r="E34" s="479" t="s">
        <v>370</v>
      </c>
      <c r="F34" s="471" t="e">
        <f>LUONGNGAY!$K$35</f>
        <v>#VALUE!</v>
      </c>
      <c r="G34" s="477">
        <v>0.02</v>
      </c>
      <c r="H34" s="474" t="e">
        <f t="shared" si="0"/>
        <v>#VALUE!</v>
      </c>
      <c r="I34" s="465"/>
      <c r="J34" s="465"/>
      <c r="K34" s="465"/>
      <c r="L34" s="465"/>
      <c r="M34" s="465"/>
      <c r="N34" s="465"/>
      <c r="O34" s="465"/>
      <c r="P34" s="465"/>
      <c r="Q34" s="465"/>
      <c r="R34" s="465"/>
      <c r="S34" s="465"/>
      <c r="T34" s="465"/>
      <c r="U34" s="465"/>
      <c r="V34" s="465"/>
      <c r="W34" s="465"/>
      <c r="X34" s="465"/>
      <c r="Y34" s="465"/>
      <c r="Z34" s="465"/>
      <c r="AA34" s="465"/>
      <c r="AB34" s="465"/>
    </row>
    <row r="35" spans="1:28" s="466" customFormat="1" ht="19.5" customHeight="1">
      <c r="A35" s="535" t="s">
        <v>184</v>
      </c>
      <c r="B35" s="536" t="s">
        <v>765</v>
      </c>
      <c r="C35" s="533"/>
      <c r="D35" s="533"/>
      <c r="E35" s="479"/>
      <c r="F35" s="471"/>
      <c r="G35" s="477"/>
      <c r="H35" s="474"/>
      <c r="I35" s="465"/>
      <c r="J35" s="465"/>
      <c r="K35" s="465"/>
      <c r="L35" s="465"/>
      <c r="M35" s="465"/>
      <c r="N35" s="465"/>
      <c r="O35" s="465"/>
      <c r="P35" s="465"/>
      <c r="Q35" s="465"/>
      <c r="R35" s="465"/>
      <c r="S35" s="465"/>
      <c r="T35" s="465"/>
      <c r="U35" s="465"/>
      <c r="V35" s="465"/>
      <c r="W35" s="465"/>
      <c r="X35" s="465"/>
      <c r="Y35" s="465"/>
      <c r="Z35" s="465"/>
      <c r="AA35" s="465"/>
      <c r="AB35" s="465"/>
    </row>
    <row r="36" spans="1:28" s="466" customFormat="1" ht="33.75" customHeight="1">
      <c r="A36" s="533">
        <v>1</v>
      </c>
      <c r="B36" s="534" t="s">
        <v>766</v>
      </c>
      <c r="C36" s="533"/>
      <c r="D36" s="533"/>
      <c r="E36" s="479"/>
      <c r="F36" s="471"/>
      <c r="G36" s="477"/>
      <c r="H36" s="474"/>
      <c r="I36" s="465"/>
      <c r="J36" s="465"/>
      <c r="K36" s="465"/>
      <c r="L36" s="465"/>
      <c r="M36" s="465"/>
      <c r="N36" s="465"/>
      <c r="O36" s="465"/>
      <c r="P36" s="465"/>
      <c r="Q36" s="465"/>
      <c r="R36" s="465"/>
      <c r="S36" s="465"/>
      <c r="T36" s="465"/>
      <c r="U36" s="465"/>
      <c r="V36" s="465"/>
      <c r="W36" s="465"/>
      <c r="X36" s="465"/>
      <c r="Y36" s="465"/>
      <c r="Z36" s="465"/>
      <c r="AA36" s="465"/>
      <c r="AB36" s="465"/>
    </row>
    <row r="37" spans="1:28" s="466" customFormat="1" ht="64.5" customHeight="1">
      <c r="A37" s="533" t="s">
        <v>891</v>
      </c>
      <c r="B37" s="534" t="s">
        <v>33</v>
      </c>
      <c r="C37" s="533" t="s">
        <v>979</v>
      </c>
      <c r="D37" s="533" t="s">
        <v>34</v>
      </c>
      <c r="E37" s="479" t="s">
        <v>370</v>
      </c>
      <c r="F37" s="471" t="e">
        <f>LUONGNGAY!$K$35</f>
        <v>#VALUE!</v>
      </c>
      <c r="G37" s="477">
        <v>0.04</v>
      </c>
      <c r="H37" s="474" t="e">
        <f t="shared" si="0"/>
        <v>#VALUE!</v>
      </c>
      <c r="I37" s="465"/>
      <c r="J37" s="465"/>
      <c r="K37" s="465"/>
      <c r="L37" s="465"/>
      <c r="M37" s="465"/>
      <c r="N37" s="465"/>
      <c r="O37" s="465"/>
      <c r="P37" s="465"/>
      <c r="Q37" s="465"/>
      <c r="R37" s="465"/>
      <c r="S37" s="465"/>
      <c r="T37" s="465"/>
      <c r="U37" s="465"/>
      <c r="V37" s="465"/>
      <c r="W37" s="465"/>
      <c r="X37" s="465"/>
      <c r="Y37" s="465"/>
      <c r="Z37" s="465"/>
      <c r="AA37" s="465"/>
      <c r="AB37" s="465"/>
    </row>
    <row r="38" spans="1:28" s="466" customFormat="1" ht="33" customHeight="1">
      <c r="A38" s="533" t="s">
        <v>899</v>
      </c>
      <c r="B38" s="534" t="s">
        <v>36</v>
      </c>
      <c r="C38" s="533" t="s">
        <v>979</v>
      </c>
      <c r="D38" s="533" t="s">
        <v>34</v>
      </c>
      <c r="E38" s="479" t="s">
        <v>370</v>
      </c>
      <c r="F38" s="471" t="e">
        <f>LUONGNGAY!$K$35</f>
        <v>#VALUE!</v>
      </c>
      <c r="G38" s="477">
        <v>2.5000000000000001E-2</v>
      </c>
      <c r="H38" s="474" t="e">
        <f t="shared" si="0"/>
        <v>#VALUE!</v>
      </c>
      <c r="I38" s="465"/>
      <c r="J38" s="465"/>
      <c r="K38" s="465"/>
      <c r="L38" s="465"/>
      <c r="M38" s="465"/>
      <c r="N38" s="465"/>
      <c r="O38" s="465"/>
      <c r="P38" s="465"/>
      <c r="Q38" s="465"/>
      <c r="R38" s="465"/>
      <c r="S38" s="465"/>
      <c r="T38" s="465"/>
      <c r="U38" s="465"/>
      <c r="V38" s="465"/>
      <c r="W38" s="465"/>
      <c r="X38" s="465"/>
      <c r="Y38" s="465"/>
      <c r="Z38" s="465"/>
      <c r="AA38" s="465"/>
      <c r="AB38" s="465"/>
    </row>
    <row r="39" spans="1:28" s="466" customFormat="1" ht="19.5" customHeight="1">
      <c r="A39" s="533">
        <v>2</v>
      </c>
      <c r="B39" s="534" t="s">
        <v>767</v>
      </c>
      <c r="C39" s="533" t="s">
        <v>979</v>
      </c>
      <c r="D39" s="533" t="s">
        <v>34</v>
      </c>
      <c r="E39" s="479"/>
      <c r="F39" s="471" t="e">
        <f>LUONGNGAY!$K$35</f>
        <v>#VALUE!</v>
      </c>
      <c r="G39" s="477">
        <v>0.02</v>
      </c>
      <c r="H39" s="474" t="e">
        <f t="shared" si="0"/>
        <v>#VALUE!</v>
      </c>
      <c r="I39" s="465"/>
      <c r="J39" s="465"/>
      <c r="K39" s="465"/>
      <c r="L39" s="465"/>
      <c r="M39" s="465"/>
      <c r="N39" s="465"/>
      <c r="O39" s="465"/>
      <c r="P39" s="465"/>
      <c r="Q39" s="465"/>
      <c r="R39" s="465"/>
      <c r="S39" s="465"/>
      <c r="T39" s="465"/>
      <c r="U39" s="465"/>
      <c r="V39" s="465"/>
      <c r="W39" s="465"/>
      <c r="X39" s="465"/>
      <c r="Y39" s="465"/>
      <c r="Z39" s="465"/>
      <c r="AA39" s="465"/>
      <c r="AB39" s="465"/>
    </row>
    <row r="40" spans="1:28" s="466" customFormat="1" ht="16.5" customHeight="1">
      <c r="A40" s="533">
        <v>3</v>
      </c>
      <c r="B40" s="534" t="s">
        <v>768</v>
      </c>
      <c r="C40" s="533" t="s">
        <v>979</v>
      </c>
      <c r="D40" s="533" t="s">
        <v>29</v>
      </c>
      <c r="E40" s="479" t="s">
        <v>370</v>
      </c>
      <c r="F40" s="471" t="e">
        <f>LUONGNGAY!$K$36</f>
        <v>#VALUE!</v>
      </c>
      <c r="G40" s="477">
        <v>0.2</v>
      </c>
      <c r="H40" s="474" t="e">
        <f t="shared" si="0"/>
        <v>#VALUE!</v>
      </c>
      <c r="I40" s="465"/>
      <c r="J40" s="465"/>
      <c r="K40" s="465"/>
      <c r="L40" s="465"/>
      <c r="M40" s="465"/>
      <c r="N40" s="465"/>
      <c r="O40" s="465"/>
      <c r="P40" s="465"/>
      <c r="Q40" s="465"/>
      <c r="R40" s="465"/>
      <c r="S40" s="465"/>
      <c r="T40" s="465"/>
      <c r="U40" s="465"/>
      <c r="V40" s="465"/>
      <c r="W40" s="465"/>
      <c r="X40" s="465"/>
      <c r="Y40" s="465"/>
      <c r="Z40" s="465"/>
      <c r="AA40" s="465"/>
      <c r="AB40" s="465"/>
    </row>
    <row r="41" spans="1:28" s="466" customFormat="1" ht="18.75" customHeight="1">
      <c r="A41" s="533">
        <v>4</v>
      </c>
      <c r="B41" s="537" t="s">
        <v>769</v>
      </c>
      <c r="C41" s="533" t="s">
        <v>627</v>
      </c>
      <c r="D41" s="533" t="s">
        <v>29</v>
      </c>
      <c r="E41" s="479" t="s">
        <v>370</v>
      </c>
      <c r="F41" s="471" t="e">
        <f>LUONGNGAY!$K$36</f>
        <v>#VALUE!</v>
      </c>
      <c r="G41" s="477">
        <v>6.0000000000000001E-3</v>
      </c>
      <c r="H41" s="474" t="e">
        <f t="shared" si="0"/>
        <v>#VALUE!</v>
      </c>
      <c r="I41" s="465"/>
      <c r="J41" s="465"/>
      <c r="K41" s="465"/>
      <c r="L41" s="465"/>
      <c r="M41" s="465"/>
      <c r="N41" s="465"/>
      <c r="O41" s="465"/>
      <c r="P41" s="465"/>
      <c r="Q41" s="465"/>
      <c r="R41" s="465"/>
      <c r="S41" s="465"/>
      <c r="T41" s="465"/>
      <c r="U41" s="465"/>
      <c r="V41" s="465"/>
      <c r="W41" s="465"/>
      <c r="X41" s="465"/>
      <c r="Y41" s="465"/>
      <c r="Z41" s="465"/>
      <c r="AA41" s="465"/>
      <c r="AB41" s="465"/>
    </row>
    <row r="42" spans="1:28" s="466" customFormat="1" ht="34.5" customHeight="1">
      <c r="A42" s="533">
        <v>5</v>
      </c>
      <c r="B42" s="534" t="s">
        <v>660</v>
      </c>
      <c r="C42" s="533"/>
      <c r="D42" s="533"/>
      <c r="E42" s="479"/>
      <c r="F42" s="471"/>
      <c r="G42" s="477"/>
      <c r="H42" s="474"/>
      <c r="I42" s="465"/>
      <c r="J42" s="465"/>
      <c r="K42" s="465"/>
      <c r="L42" s="465"/>
      <c r="M42" s="465"/>
      <c r="N42" s="465"/>
      <c r="O42" s="465"/>
      <c r="P42" s="465"/>
      <c r="Q42" s="465"/>
      <c r="R42" s="465"/>
      <c r="S42" s="465"/>
      <c r="T42" s="465"/>
      <c r="U42" s="465"/>
      <c r="V42" s="465"/>
      <c r="W42" s="465"/>
      <c r="X42" s="465"/>
      <c r="Y42" s="465"/>
      <c r="Z42" s="465"/>
      <c r="AA42" s="465"/>
      <c r="AB42" s="465"/>
    </row>
    <row r="43" spans="1:28" s="466" customFormat="1" ht="46.9" customHeight="1">
      <c r="A43" s="533" t="s">
        <v>607</v>
      </c>
      <c r="B43" s="534" t="s">
        <v>770</v>
      </c>
      <c r="C43" s="533" t="s">
        <v>627</v>
      </c>
      <c r="D43" s="533" t="s">
        <v>34</v>
      </c>
      <c r="E43" s="479" t="s">
        <v>370</v>
      </c>
      <c r="F43" s="471" t="e">
        <f>LUONGNGAY!$K$35</f>
        <v>#VALUE!</v>
      </c>
      <c r="G43" s="477">
        <v>2.5000000000000001E-2</v>
      </c>
      <c r="H43" s="474" t="e">
        <f t="shared" si="0"/>
        <v>#VALUE!</v>
      </c>
      <c r="I43" s="465"/>
      <c r="J43" s="465"/>
      <c r="K43" s="465"/>
      <c r="L43" s="465"/>
      <c r="M43" s="465"/>
      <c r="N43" s="465"/>
      <c r="O43" s="465"/>
      <c r="P43" s="465"/>
      <c r="Q43" s="465"/>
      <c r="R43" s="465"/>
      <c r="S43" s="465"/>
      <c r="T43" s="465"/>
      <c r="U43" s="465"/>
      <c r="V43" s="465"/>
      <c r="W43" s="465"/>
      <c r="X43" s="465"/>
      <c r="Y43" s="465"/>
      <c r="Z43" s="465"/>
      <c r="AA43" s="465"/>
      <c r="AB43" s="465"/>
    </row>
    <row r="44" spans="1:28" s="466" customFormat="1" ht="49.5" customHeight="1">
      <c r="A44" s="533" t="s">
        <v>608</v>
      </c>
      <c r="B44" s="534" t="s">
        <v>771</v>
      </c>
      <c r="C44" s="533" t="s">
        <v>627</v>
      </c>
      <c r="D44" s="533" t="s">
        <v>34</v>
      </c>
      <c r="E44" s="479" t="s">
        <v>370</v>
      </c>
      <c r="F44" s="471" t="e">
        <f>LUONGNGAY!$K$35</f>
        <v>#VALUE!</v>
      </c>
      <c r="G44" s="477">
        <v>0.05</v>
      </c>
      <c r="H44" s="474" t="e">
        <f t="shared" si="0"/>
        <v>#VALUE!</v>
      </c>
      <c r="I44" s="465"/>
      <c r="J44" s="465"/>
      <c r="K44" s="465"/>
      <c r="L44" s="465"/>
      <c r="M44" s="465"/>
      <c r="N44" s="465"/>
      <c r="O44" s="465"/>
      <c r="P44" s="465"/>
      <c r="Q44" s="465"/>
      <c r="R44" s="465"/>
      <c r="S44" s="465"/>
      <c r="T44" s="465"/>
      <c r="U44" s="465"/>
      <c r="V44" s="465"/>
      <c r="W44" s="465"/>
      <c r="X44" s="465"/>
      <c r="Y44" s="465"/>
      <c r="Z44" s="465"/>
      <c r="AA44" s="465"/>
      <c r="AB44" s="465"/>
    </row>
    <row r="45" spans="1:28" s="466" customFormat="1" ht="30" customHeight="1">
      <c r="A45" s="533">
        <v>6</v>
      </c>
      <c r="B45" s="534" t="s">
        <v>772</v>
      </c>
      <c r="C45" s="533"/>
      <c r="D45" s="533"/>
      <c r="E45" s="479"/>
      <c r="F45" s="471"/>
      <c r="G45" s="477"/>
      <c r="H45" s="474"/>
      <c r="I45" s="465"/>
      <c r="J45" s="465"/>
      <c r="K45" s="465"/>
      <c r="L45" s="465"/>
      <c r="M45" s="465"/>
      <c r="N45" s="465"/>
      <c r="O45" s="465"/>
      <c r="P45" s="465"/>
      <c r="Q45" s="465"/>
      <c r="R45" s="465"/>
      <c r="S45" s="465"/>
      <c r="T45" s="465"/>
      <c r="U45" s="465"/>
      <c r="V45" s="465"/>
      <c r="W45" s="465"/>
      <c r="X45" s="465"/>
      <c r="Y45" s="465"/>
      <c r="Z45" s="465"/>
      <c r="AA45" s="465"/>
      <c r="AB45" s="465"/>
    </row>
    <row r="46" spans="1:28" s="466" customFormat="1" ht="36.75" customHeight="1">
      <c r="A46" s="533" t="s">
        <v>444</v>
      </c>
      <c r="B46" s="534" t="s">
        <v>773</v>
      </c>
      <c r="C46" s="533" t="s">
        <v>979</v>
      </c>
      <c r="D46" s="533" t="s">
        <v>29</v>
      </c>
      <c r="E46" s="479" t="s">
        <v>370</v>
      </c>
      <c r="F46" s="471" t="e">
        <f>LUONGNGAY!$K$36</f>
        <v>#VALUE!</v>
      </c>
      <c r="G46" s="477">
        <v>0.03</v>
      </c>
      <c r="H46" s="474" t="e">
        <f t="shared" si="0"/>
        <v>#VALUE!</v>
      </c>
      <c r="I46" s="465"/>
      <c r="J46" s="465"/>
      <c r="K46" s="465"/>
      <c r="L46" s="465"/>
      <c r="M46" s="465"/>
      <c r="N46" s="465"/>
      <c r="O46" s="465"/>
      <c r="P46" s="465"/>
      <c r="Q46" s="465"/>
      <c r="R46" s="465"/>
      <c r="S46" s="465"/>
      <c r="T46" s="465"/>
      <c r="U46" s="465"/>
      <c r="V46" s="465"/>
      <c r="W46" s="465"/>
      <c r="X46" s="465"/>
      <c r="Y46" s="465"/>
      <c r="Z46" s="465"/>
      <c r="AA46" s="465"/>
      <c r="AB46" s="465"/>
    </row>
    <row r="47" spans="1:28" s="466" customFormat="1" ht="35.450000000000003" customHeight="1">
      <c r="A47" s="533" t="s">
        <v>445</v>
      </c>
      <c r="B47" s="534" t="s">
        <v>774</v>
      </c>
      <c r="C47" s="533" t="s">
        <v>979</v>
      </c>
      <c r="D47" s="533" t="s">
        <v>29</v>
      </c>
      <c r="E47" s="479" t="s">
        <v>370</v>
      </c>
      <c r="F47" s="471" t="e">
        <f>LUONGNGAY!$K$36</f>
        <v>#VALUE!</v>
      </c>
      <c r="G47" s="477">
        <v>0.04</v>
      </c>
      <c r="H47" s="474" t="e">
        <f t="shared" si="0"/>
        <v>#VALUE!</v>
      </c>
      <c r="I47" s="465"/>
      <c r="J47" s="465"/>
      <c r="K47" s="465"/>
      <c r="L47" s="465"/>
      <c r="M47" s="465"/>
      <c r="N47" s="465"/>
      <c r="O47" s="465"/>
      <c r="P47" s="465"/>
      <c r="Q47" s="465"/>
      <c r="R47" s="465"/>
      <c r="S47" s="465"/>
      <c r="T47" s="465"/>
      <c r="U47" s="465"/>
      <c r="V47" s="465"/>
      <c r="W47" s="465"/>
      <c r="X47" s="465"/>
      <c r="Y47" s="465"/>
      <c r="Z47" s="465"/>
      <c r="AA47" s="465"/>
      <c r="AB47" s="465"/>
    </row>
    <row r="48" spans="1:28" s="466" customFormat="1" ht="32.25" customHeight="1">
      <c r="A48" s="533">
        <v>7</v>
      </c>
      <c r="B48" s="534" t="s">
        <v>775</v>
      </c>
      <c r="C48" s="533"/>
      <c r="D48" s="533"/>
      <c r="E48" s="479"/>
      <c r="F48" s="471"/>
      <c r="G48" s="477"/>
      <c r="H48" s="474"/>
      <c r="I48" s="465"/>
      <c r="J48" s="465"/>
      <c r="K48" s="465"/>
      <c r="L48" s="465"/>
      <c r="M48" s="465"/>
      <c r="N48" s="465"/>
      <c r="O48" s="465"/>
      <c r="P48" s="465"/>
      <c r="Q48" s="465"/>
      <c r="R48" s="465"/>
      <c r="S48" s="465"/>
      <c r="T48" s="465"/>
      <c r="U48" s="465"/>
      <c r="V48" s="465"/>
      <c r="W48" s="465"/>
      <c r="X48" s="465"/>
      <c r="Y48" s="465"/>
      <c r="Z48" s="465"/>
      <c r="AA48" s="465"/>
      <c r="AB48" s="465"/>
    </row>
    <row r="49" spans="1:28" s="466" customFormat="1" ht="30.6" customHeight="1">
      <c r="A49" s="533" t="s">
        <v>872</v>
      </c>
      <c r="B49" s="534" t="s">
        <v>776</v>
      </c>
      <c r="C49" s="533" t="s">
        <v>979</v>
      </c>
      <c r="D49" s="533" t="s">
        <v>34</v>
      </c>
      <c r="E49" s="479" t="s">
        <v>370</v>
      </c>
      <c r="F49" s="471" t="e">
        <f>LUONGNGAY!$K$35</f>
        <v>#VALUE!</v>
      </c>
      <c r="G49" s="477">
        <v>0.04</v>
      </c>
      <c r="H49" s="474" t="e">
        <f t="shared" si="0"/>
        <v>#VALUE!</v>
      </c>
      <c r="I49" s="465"/>
      <c r="J49" s="465"/>
      <c r="K49" s="465"/>
      <c r="L49" s="465"/>
      <c r="M49" s="465"/>
      <c r="N49" s="465"/>
      <c r="O49" s="465"/>
      <c r="P49" s="465"/>
      <c r="Q49" s="465"/>
      <c r="R49" s="465"/>
      <c r="S49" s="465"/>
      <c r="T49" s="465"/>
      <c r="U49" s="465"/>
      <c r="V49" s="465"/>
      <c r="W49" s="465"/>
      <c r="X49" s="465"/>
      <c r="Y49" s="465"/>
      <c r="Z49" s="465"/>
      <c r="AA49" s="465"/>
      <c r="AB49" s="465"/>
    </row>
    <row r="50" spans="1:28" s="466" customFormat="1" ht="33" customHeight="1">
      <c r="A50" s="533" t="s">
        <v>873</v>
      </c>
      <c r="B50" s="534" t="s">
        <v>777</v>
      </c>
      <c r="C50" s="533" t="s">
        <v>979</v>
      </c>
      <c r="D50" s="533" t="s">
        <v>34</v>
      </c>
      <c r="E50" s="479" t="s">
        <v>370</v>
      </c>
      <c r="F50" s="471" t="e">
        <f>LUONGNGAY!$K$35</f>
        <v>#VALUE!</v>
      </c>
      <c r="G50" s="477">
        <v>0.03</v>
      </c>
      <c r="H50" s="474" t="e">
        <f t="shared" si="0"/>
        <v>#VALUE!</v>
      </c>
      <c r="I50" s="465"/>
      <c r="J50" s="465"/>
      <c r="K50" s="465"/>
      <c r="L50" s="465"/>
      <c r="M50" s="465"/>
      <c r="N50" s="465"/>
      <c r="O50" s="465"/>
      <c r="P50" s="465"/>
      <c r="Q50" s="465"/>
      <c r="R50" s="465"/>
      <c r="S50" s="465"/>
      <c r="T50" s="465"/>
      <c r="U50" s="465"/>
      <c r="V50" s="465"/>
      <c r="W50" s="465"/>
      <c r="X50" s="465"/>
      <c r="Y50" s="465"/>
      <c r="Z50" s="465"/>
      <c r="AA50" s="465"/>
      <c r="AB50" s="465"/>
    </row>
    <row r="51" spans="1:28" s="466" customFormat="1" ht="25.5" customHeight="1">
      <c r="A51" s="533">
        <v>8</v>
      </c>
      <c r="B51" s="534" t="s">
        <v>211</v>
      </c>
      <c r="C51" s="533" t="s">
        <v>627</v>
      </c>
      <c r="D51" s="533" t="s">
        <v>29</v>
      </c>
      <c r="E51" s="479" t="s">
        <v>370</v>
      </c>
      <c r="F51" s="471" t="e">
        <f>LUONGNGAY!$K$36</f>
        <v>#VALUE!</v>
      </c>
      <c r="G51" s="477">
        <v>0.03</v>
      </c>
      <c r="H51" s="474" t="e">
        <f t="shared" si="0"/>
        <v>#VALUE!</v>
      </c>
      <c r="I51" s="465"/>
      <c r="J51" s="465"/>
      <c r="K51" s="465"/>
      <c r="L51" s="465"/>
      <c r="M51" s="465"/>
      <c r="N51" s="465"/>
      <c r="O51" s="465"/>
      <c r="P51" s="465"/>
      <c r="Q51" s="465"/>
      <c r="R51" s="465"/>
      <c r="S51" s="465"/>
      <c r="T51" s="465"/>
      <c r="U51" s="465"/>
      <c r="V51" s="465"/>
      <c r="W51" s="465"/>
      <c r="X51" s="465"/>
      <c r="Y51" s="465"/>
      <c r="Z51" s="465"/>
      <c r="AA51" s="465"/>
      <c r="AB51" s="465"/>
    </row>
    <row r="52" spans="1:28" s="466" customFormat="1" ht="55.5" customHeight="1">
      <c r="A52" s="533">
        <v>9</v>
      </c>
      <c r="B52" s="534" t="s">
        <v>978</v>
      </c>
      <c r="C52" s="533" t="s">
        <v>212</v>
      </c>
      <c r="D52" s="533" t="s">
        <v>29</v>
      </c>
      <c r="E52" s="479" t="s">
        <v>370</v>
      </c>
      <c r="F52" s="471" t="e">
        <f>LUONGNGAY!$K$36</f>
        <v>#VALUE!</v>
      </c>
      <c r="G52" s="477">
        <v>0.2</v>
      </c>
      <c r="H52" s="474" t="e">
        <f t="shared" si="0"/>
        <v>#VALUE!</v>
      </c>
      <c r="I52" s="465"/>
      <c r="J52" s="465"/>
      <c r="K52" s="465"/>
      <c r="L52" s="465"/>
      <c r="M52" s="465"/>
      <c r="N52" s="465"/>
      <c r="O52" s="465"/>
      <c r="P52" s="465"/>
      <c r="Q52" s="465"/>
      <c r="R52" s="465"/>
      <c r="S52" s="465"/>
      <c r="T52" s="465"/>
      <c r="U52" s="465"/>
      <c r="V52" s="465"/>
      <c r="W52" s="465"/>
      <c r="X52" s="465"/>
      <c r="Y52" s="465"/>
      <c r="Z52" s="465"/>
      <c r="AA52" s="465"/>
      <c r="AB52" s="465"/>
    </row>
    <row r="53" spans="1:28" s="466" customFormat="1" ht="55.5" customHeight="1">
      <c r="A53" s="533">
        <v>10</v>
      </c>
      <c r="B53" s="534" t="s">
        <v>213</v>
      </c>
      <c r="C53" s="533"/>
      <c r="D53" s="533"/>
      <c r="E53" s="479"/>
      <c r="F53" s="471"/>
      <c r="G53" s="477"/>
      <c r="H53" s="474"/>
      <c r="I53" s="465"/>
      <c r="J53" s="465"/>
      <c r="K53" s="465"/>
      <c r="L53" s="465"/>
      <c r="M53" s="465"/>
      <c r="N53" s="465"/>
      <c r="O53" s="465"/>
      <c r="P53" s="465"/>
      <c r="Q53" s="465"/>
      <c r="R53" s="465"/>
      <c r="S53" s="465"/>
      <c r="T53" s="465"/>
      <c r="U53" s="465"/>
      <c r="V53" s="465"/>
      <c r="W53" s="465"/>
      <c r="X53" s="465"/>
      <c r="Y53" s="465"/>
      <c r="Z53" s="465"/>
      <c r="AA53" s="465"/>
      <c r="AB53" s="465"/>
    </row>
    <row r="54" spans="1:28" s="466" customFormat="1" ht="55.5" customHeight="1">
      <c r="A54" s="533" t="s">
        <v>214</v>
      </c>
      <c r="B54" s="534" t="s">
        <v>215</v>
      </c>
      <c r="C54" s="533" t="s">
        <v>320</v>
      </c>
      <c r="D54" s="533" t="s">
        <v>34</v>
      </c>
      <c r="E54" s="479" t="s">
        <v>370</v>
      </c>
      <c r="F54" s="471" t="e">
        <f>LUONGNGAY!$K$35</f>
        <v>#VALUE!</v>
      </c>
      <c r="G54" s="477">
        <v>0.05</v>
      </c>
      <c r="H54" s="474" t="e">
        <f t="shared" si="0"/>
        <v>#VALUE!</v>
      </c>
      <c r="I54" s="465"/>
      <c r="J54" s="465"/>
      <c r="K54" s="465"/>
      <c r="L54" s="465"/>
      <c r="M54" s="465"/>
      <c r="N54" s="465"/>
      <c r="O54" s="465"/>
      <c r="P54" s="465"/>
      <c r="Q54" s="465"/>
      <c r="R54" s="465"/>
      <c r="S54" s="465"/>
      <c r="T54" s="465"/>
      <c r="U54" s="465"/>
      <c r="V54" s="465"/>
      <c r="W54" s="465"/>
      <c r="X54" s="465"/>
      <c r="Y54" s="465"/>
      <c r="Z54" s="465"/>
      <c r="AA54" s="465"/>
      <c r="AB54" s="465"/>
    </row>
    <row r="55" spans="1:28" s="466" customFormat="1" ht="55.5" customHeight="1">
      <c r="A55" s="533" t="s">
        <v>216</v>
      </c>
      <c r="B55" s="534" t="s">
        <v>217</v>
      </c>
      <c r="C55" s="533" t="s">
        <v>320</v>
      </c>
      <c r="D55" s="533" t="s">
        <v>34</v>
      </c>
      <c r="E55" s="479" t="s">
        <v>370</v>
      </c>
      <c r="F55" s="471" t="e">
        <f>LUONGNGAY!$K$35</f>
        <v>#VALUE!</v>
      </c>
      <c r="G55" s="477">
        <v>0.1</v>
      </c>
      <c r="H55" s="474" t="e">
        <f t="shared" si="0"/>
        <v>#VALUE!</v>
      </c>
      <c r="I55" s="465"/>
      <c r="J55" s="465"/>
      <c r="K55" s="465"/>
      <c r="L55" s="465"/>
      <c r="M55" s="465"/>
      <c r="N55" s="465"/>
      <c r="O55" s="465"/>
      <c r="P55" s="465"/>
      <c r="Q55" s="465"/>
      <c r="R55" s="465"/>
      <c r="S55" s="465"/>
      <c r="T55" s="465"/>
      <c r="U55" s="465"/>
      <c r="V55" s="465"/>
      <c r="W55" s="465"/>
      <c r="X55" s="465"/>
      <c r="Y55" s="465"/>
      <c r="Z55" s="465"/>
      <c r="AA55" s="465"/>
      <c r="AB55" s="465"/>
    </row>
    <row r="56" spans="1:28" s="466" customFormat="1" ht="55.5" customHeight="1">
      <c r="A56" s="533">
        <v>11</v>
      </c>
      <c r="B56" s="534" t="s">
        <v>218</v>
      </c>
      <c r="C56" s="533" t="s">
        <v>979</v>
      </c>
      <c r="D56" s="533" t="s">
        <v>34</v>
      </c>
      <c r="E56" s="479" t="s">
        <v>370</v>
      </c>
      <c r="F56" s="471" t="e">
        <f>LUONGNGAY!$K$35</f>
        <v>#VALUE!</v>
      </c>
      <c r="G56" s="477">
        <v>0.04</v>
      </c>
      <c r="H56" s="474" t="e">
        <f t="shared" si="0"/>
        <v>#VALUE!</v>
      </c>
      <c r="I56" s="465"/>
      <c r="J56" s="465"/>
      <c r="K56" s="465"/>
      <c r="L56" s="465"/>
      <c r="M56" s="465"/>
      <c r="N56" s="465"/>
      <c r="O56" s="465"/>
      <c r="P56" s="465"/>
      <c r="Q56" s="465"/>
      <c r="R56" s="465"/>
      <c r="S56" s="465"/>
      <c r="T56" s="465"/>
      <c r="U56" s="465"/>
      <c r="V56" s="465"/>
      <c r="W56" s="465"/>
      <c r="X56" s="465"/>
      <c r="Y56" s="465"/>
      <c r="Z56" s="465"/>
      <c r="AA56" s="465"/>
      <c r="AB56" s="465"/>
    </row>
    <row r="57" spans="1:28" s="466" customFormat="1" ht="55.5" customHeight="1">
      <c r="A57" s="533">
        <v>12</v>
      </c>
      <c r="B57" s="534" t="s">
        <v>219</v>
      </c>
      <c r="C57" s="533" t="s">
        <v>979</v>
      </c>
      <c r="D57" s="533" t="s">
        <v>34</v>
      </c>
      <c r="E57" s="479" t="s">
        <v>370</v>
      </c>
      <c r="F57" s="471" t="e">
        <f>LUONGNGAY!$K$35</f>
        <v>#VALUE!</v>
      </c>
      <c r="G57" s="477">
        <v>0.02</v>
      </c>
      <c r="H57" s="474" t="e">
        <f t="shared" si="0"/>
        <v>#VALUE!</v>
      </c>
      <c r="I57" s="465"/>
      <c r="J57" s="465"/>
      <c r="K57" s="465"/>
      <c r="L57" s="465"/>
      <c r="M57" s="465"/>
      <c r="N57" s="465"/>
      <c r="O57" s="465"/>
      <c r="P57" s="465"/>
      <c r="Q57" s="465"/>
      <c r="R57" s="465"/>
      <c r="S57" s="465"/>
      <c r="T57" s="465"/>
      <c r="U57" s="465"/>
      <c r="V57" s="465"/>
      <c r="W57" s="465"/>
      <c r="X57" s="465"/>
      <c r="Y57" s="465"/>
      <c r="Z57" s="465"/>
      <c r="AA57" s="465"/>
      <c r="AB57" s="465"/>
    </row>
    <row r="58" spans="1:28" s="466" customFormat="1" ht="55.5" customHeight="1">
      <c r="A58" s="533">
        <v>13</v>
      </c>
      <c r="B58" s="534" t="s">
        <v>220</v>
      </c>
      <c r="C58" s="533" t="s">
        <v>627</v>
      </c>
      <c r="D58" s="533" t="s">
        <v>29</v>
      </c>
      <c r="E58" s="479" t="s">
        <v>370</v>
      </c>
      <c r="F58" s="471" t="e">
        <f>LUONGNGAY!$K$36</f>
        <v>#VALUE!</v>
      </c>
      <c r="G58" s="477">
        <v>3.3000000000000002E-2</v>
      </c>
      <c r="H58" s="474" t="e">
        <f t="shared" si="0"/>
        <v>#VALUE!</v>
      </c>
      <c r="I58" s="465"/>
      <c r="J58" s="465"/>
      <c r="K58" s="465"/>
      <c r="L58" s="465"/>
      <c r="M58" s="465"/>
      <c r="N58" s="465"/>
      <c r="O58" s="465"/>
      <c r="P58" s="465"/>
      <c r="Q58" s="465"/>
      <c r="R58" s="465"/>
      <c r="S58" s="465"/>
      <c r="T58" s="465"/>
      <c r="U58" s="465"/>
      <c r="V58" s="465"/>
      <c r="W58" s="465"/>
      <c r="X58" s="465"/>
      <c r="Y58" s="465"/>
      <c r="Z58" s="465"/>
      <c r="AA58" s="465"/>
      <c r="AB58" s="465"/>
    </row>
    <row r="59" spans="1:28" s="466" customFormat="1" ht="55.5" customHeight="1">
      <c r="A59" s="533">
        <v>14</v>
      </c>
      <c r="B59" s="534" t="s">
        <v>221</v>
      </c>
      <c r="C59" s="533"/>
      <c r="D59" s="533"/>
      <c r="E59" s="479"/>
      <c r="F59" s="471"/>
      <c r="G59" s="477"/>
      <c r="H59" s="474"/>
      <c r="I59" s="465"/>
      <c r="J59" s="465"/>
      <c r="K59" s="465"/>
      <c r="L59" s="465"/>
      <c r="M59" s="465"/>
      <c r="N59" s="465"/>
      <c r="O59" s="465"/>
      <c r="P59" s="465"/>
      <c r="Q59" s="465"/>
      <c r="R59" s="465"/>
      <c r="S59" s="465"/>
      <c r="T59" s="465"/>
      <c r="U59" s="465"/>
      <c r="V59" s="465"/>
      <c r="W59" s="465"/>
      <c r="X59" s="465"/>
      <c r="Y59" s="465"/>
      <c r="Z59" s="465"/>
      <c r="AA59" s="465"/>
      <c r="AB59" s="465"/>
    </row>
    <row r="60" spans="1:28" s="466" customFormat="1" ht="55.5" customHeight="1">
      <c r="A60" s="533" t="s">
        <v>47</v>
      </c>
      <c r="B60" s="534" t="s">
        <v>931</v>
      </c>
      <c r="C60" s="533"/>
      <c r="D60" s="533"/>
      <c r="E60" s="479"/>
      <c r="F60" s="471"/>
      <c r="G60" s="477"/>
      <c r="H60" s="474"/>
      <c r="I60" s="465"/>
      <c r="J60" s="465"/>
      <c r="K60" s="465"/>
      <c r="L60" s="465"/>
      <c r="M60" s="465"/>
      <c r="N60" s="465"/>
      <c r="O60" s="465"/>
      <c r="P60" s="465"/>
      <c r="Q60" s="465"/>
      <c r="R60" s="465"/>
      <c r="S60" s="465"/>
      <c r="T60" s="465"/>
      <c r="U60" s="465"/>
      <c r="V60" s="465"/>
      <c r="W60" s="465"/>
      <c r="X60" s="465"/>
      <c r="Y60" s="465"/>
      <c r="Z60" s="465"/>
      <c r="AA60" s="465"/>
      <c r="AB60" s="465"/>
    </row>
    <row r="61" spans="1:28" s="466" customFormat="1" ht="55.5" customHeight="1">
      <c r="A61" s="533" t="s">
        <v>932</v>
      </c>
      <c r="B61" s="534" t="s">
        <v>933</v>
      </c>
      <c r="C61" s="533" t="s">
        <v>934</v>
      </c>
      <c r="D61" s="533" t="s">
        <v>935</v>
      </c>
      <c r="E61" s="479" t="s">
        <v>370</v>
      </c>
      <c r="F61" s="471" t="e">
        <f>LUONGNGAY!$K$34</f>
        <v>#VALUE!</v>
      </c>
      <c r="G61" s="477">
        <v>1.6E-2</v>
      </c>
      <c r="H61" s="474" t="e">
        <f t="shared" si="0"/>
        <v>#VALUE!</v>
      </c>
      <c r="I61" s="465"/>
      <c r="J61" s="465"/>
      <c r="K61" s="465"/>
      <c r="L61" s="465"/>
      <c r="M61" s="465"/>
      <c r="N61" s="465"/>
      <c r="O61" s="465"/>
      <c r="P61" s="465"/>
      <c r="Q61" s="465"/>
      <c r="R61" s="465"/>
      <c r="S61" s="465"/>
      <c r="T61" s="465"/>
      <c r="U61" s="465"/>
      <c r="V61" s="465"/>
      <c r="W61" s="465"/>
      <c r="X61" s="465"/>
      <c r="Y61" s="465"/>
      <c r="Z61" s="465"/>
      <c r="AA61" s="465"/>
      <c r="AB61" s="465"/>
    </row>
    <row r="62" spans="1:28" s="466" customFormat="1" ht="55.5" customHeight="1">
      <c r="A62" s="533" t="s">
        <v>936</v>
      </c>
      <c r="B62" s="534" t="s">
        <v>937</v>
      </c>
      <c r="C62" s="533" t="s">
        <v>934</v>
      </c>
      <c r="D62" s="533" t="s">
        <v>935</v>
      </c>
      <c r="E62" s="479" t="s">
        <v>370</v>
      </c>
      <c r="F62" s="471" t="e">
        <f>LUONGNGAY!$K$34</f>
        <v>#VALUE!</v>
      </c>
      <c r="G62" s="477">
        <v>8.0000000000000002E-3</v>
      </c>
      <c r="H62" s="474" t="e">
        <f t="shared" si="0"/>
        <v>#VALUE!</v>
      </c>
      <c r="I62" s="465"/>
      <c r="J62" s="465"/>
      <c r="K62" s="465"/>
      <c r="L62" s="465"/>
      <c r="M62" s="465"/>
      <c r="N62" s="465"/>
      <c r="O62" s="465"/>
      <c r="P62" s="465"/>
      <c r="Q62" s="465"/>
      <c r="R62" s="465"/>
      <c r="S62" s="465"/>
      <c r="T62" s="465"/>
      <c r="U62" s="465"/>
      <c r="V62" s="465"/>
      <c r="W62" s="465"/>
      <c r="X62" s="465"/>
      <c r="Y62" s="465"/>
      <c r="Z62" s="465"/>
      <c r="AA62" s="465"/>
      <c r="AB62" s="465"/>
    </row>
    <row r="63" spans="1:28" s="466" customFormat="1" ht="55.5" customHeight="1">
      <c r="A63" s="533" t="s">
        <v>938</v>
      </c>
      <c r="B63" s="534" t="s">
        <v>48</v>
      </c>
      <c r="C63" s="533" t="s">
        <v>934</v>
      </c>
      <c r="D63" s="533" t="s">
        <v>935</v>
      </c>
      <c r="E63" s="479" t="s">
        <v>370</v>
      </c>
      <c r="F63" s="471" t="e">
        <f>LUONGNGAY!$K$34</f>
        <v>#VALUE!</v>
      </c>
      <c r="G63" s="477">
        <v>4.0000000000000001E-3</v>
      </c>
      <c r="H63" s="474" t="e">
        <f t="shared" si="0"/>
        <v>#VALUE!</v>
      </c>
      <c r="I63" s="465"/>
      <c r="J63" s="465"/>
      <c r="K63" s="465"/>
      <c r="L63" s="465"/>
      <c r="M63" s="465"/>
      <c r="N63" s="465"/>
      <c r="O63" s="465"/>
      <c r="P63" s="465"/>
      <c r="Q63" s="465"/>
      <c r="R63" s="465"/>
      <c r="S63" s="465"/>
      <c r="T63" s="465"/>
      <c r="U63" s="465"/>
      <c r="V63" s="465"/>
      <c r="W63" s="465"/>
      <c r="X63" s="465"/>
      <c r="Y63" s="465"/>
      <c r="Z63" s="465"/>
      <c r="AA63" s="465"/>
      <c r="AB63" s="465"/>
    </row>
    <row r="64" spans="1:28" s="466" customFormat="1" ht="55.5" customHeight="1">
      <c r="A64" s="533" t="s">
        <v>49</v>
      </c>
      <c r="B64" s="534" t="s">
        <v>50</v>
      </c>
      <c r="C64" s="533" t="s">
        <v>627</v>
      </c>
      <c r="D64" s="533" t="s">
        <v>935</v>
      </c>
      <c r="E64" s="479" t="s">
        <v>370</v>
      </c>
      <c r="F64" s="471" t="e">
        <f>LUONGNGAY!$K$34</f>
        <v>#VALUE!</v>
      </c>
      <c r="G64" s="477">
        <v>0.01</v>
      </c>
      <c r="H64" s="474" t="e">
        <f t="shared" si="0"/>
        <v>#VALUE!</v>
      </c>
      <c r="I64" s="465"/>
      <c r="J64" s="465"/>
      <c r="K64" s="465"/>
      <c r="L64" s="465"/>
      <c r="M64" s="465"/>
      <c r="N64" s="465"/>
      <c r="O64" s="465"/>
      <c r="P64" s="465"/>
      <c r="Q64" s="465"/>
      <c r="R64" s="465"/>
      <c r="S64" s="465"/>
      <c r="T64" s="465"/>
      <c r="U64" s="465"/>
      <c r="V64" s="465"/>
      <c r="W64" s="465"/>
      <c r="X64" s="465"/>
      <c r="Y64" s="465"/>
      <c r="Z64" s="465"/>
      <c r="AA64" s="465"/>
      <c r="AB64" s="465"/>
    </row>
    <row r="65" spans="1:28" s="481" customFormat="1" ht="29.25" customHeight="1">
      <c r="A65" s="533">
        <v>15</v>
      </c>
      <c r="B65" s="534" t="s">
        <v>1054</v>
      </c>
      <c r="C65" s="533" t="s">
        <v>979</v>
      </c>
      <c r="D65" s="533" t="s">
        <v>34</v>
      </c>
      <c r="E65" s="479" t="s">
        <v>370</v>
      </c>
      <c r="F65" s="471" t="e">
        <f>LUONGNGAY!$K$35</f>
        <v>#VALUE!</v>
      </c>
      <c r="G65" s="477">
        <v>0.05</v>
      </c>
      <c r="H65" s="474" t="e">
        <f t="shared" si="0"/>
        <v>#VALUE!</v>
      </c>
      <c r="I65" s="480"/>
      <c r="J65" s="480"/>
      <c r="K65" s="480"/>
      <c r="L65" s="480"/>
      <c r="M65" s="480"/>
      <c r="N65" s="480"/>
      <c r="O65" s="480"/>
      <c r="P65" s="480"/>
      <c r="Q65" s="480"/>
      <c r="R65" s="480"/>
      <c r="S65" s="480"/>
      <c r="T65" s="480"/>
      <c r="U65" s="480"/>
      <c r="V65" s="480"/>
      <c r="W65" s="480"/>
      <c r="X65" s="480"/>
      <c r="Y65" s="480"/>
      <c r="Z65" s="480"/>
      <c r="AA65" s="480"/>
      <c r="AB65" s="480"/>
    </row>
    <row r="66" spans="1:28" s="481" customFormat="1" ht="20.25" customHeight="1">
      <c r="A66" s="533">
        <v>16</v>
      </c>
      <c r="B66" s="534" t="s">
        <v>1055</v>
      </c>
      <c r="C66" s="533" t="s">
        <v>1056</v>
      </c>
      <c r="D66" s="533" t="s">
        <v>34</v>
      </c>
      <c r="E66" s="479" t="s">
        <v>370</v>
      </c>
      <c r="F66" s="471" t="e">
        <f>LUONGNGAY!$K$35</f>
        <v>#VALUE!</v>
      </c>
      <c r="G66" s="477">
        <v>8</v>
      </c>
      <c r="H66" s="474" t="e">
        <f t="shared" si="0"/>
        <v>#VALUE!</v>
      </c>
      <c r="I66" s="480"/>
      <c r="J66" s="480"/>
      <c r="K66" s="480"/>
      <c r="L66" s="480"/>
      <c r="M66" s="480"/>
      <c r="N66" s="480"/>
      <c r="O66" s="480"/>
      <c r="P66" s="480"/>
      <c r="Q66" s="480"/>
      <c r="R66" s="480"/>
      <c r="S66" s="480"/>
      <c r="T66" s="480"/>
      <c r="U66" s="480"/>
      <c r="V66" s="480"/>
      <c r="W66" s="480"/>
      <c r="X66" s="480"/>
      <c r="Y66" s="480"/>
      <c r="Z66" s="480"/>
      <c r="AA66" s="480"/>
      <c r="AB66" s="480"/>
    </row>
    <row r="67" spans="1:28" s="481" customFormat="1" ht="20.25" customHeight="1">
      <c r="A67" s="535" t="s">
        <v>913</v>
      </c>
      <c r="B67" s="536" t="s">
        <v>1057</v>
      </c>
      <c r="C67" s="533"/>
      <c r="D67" s="533"/>
      <c r="E67" s="479"/>
      <c r="F67" s="471"/>
      <c r="G67" s="477"/>
      <c r="H67" s="474"/>
      <c r="I67" s="480"/>
      <c r="J67" s="480"/>
      <c r="K67" s="480"/>
      <c r="L67" s="480"/>
      <c r="M67" s="480"/>
      <c r="N67" s="480"/>
      <c r="O67" s="480"/>
      <c r="P67" s="480"/>
      <c r="Q67" s="480"/>
      <c r="R67" s="480"/>
      <c r="S67" s="480"/>
      <c r="T67" s="480"/>
      <c r="U67" s="480"/>
      <c r="V67" s="480"/>
      <c r="W67" s="480"/>
      <c r="X67" s="480"/>
      <c r="Y67" s="480"/>
      <c r="Z67" s="480"/>
      <c r="AA67" s="480"/>
      <c r="AB67" s="480"/>
    </row>
    <row r="68" spans="1:28" s="481" customFormat="1" ht="20.25" customHeight="1">
      <c r="A68" s="533">
        <v>1</v>
      </c>
      <c r="B68" s="534" t="s">
        <v>279</v>
      </c>
      <c r="C68" s="533"/>
      <c r="D68" s="533"/>
      <c r="E68" s="479"/>
      <c r="F68" s="471"/>
      <c r="G68" s="477"/>
      <c r="H68" s="474"/>
      <c r="I68" s="480"/>
      <c r="J68" s="480"/>
      <c r="K68" s="480"/>
      <c r="L68" s="480"/>
      <c r="M68" s="480"/>
      <c r="N68" s="480"/>
      <c r="O68" s="480"/>
      <c r="P68" s="480"/>
      <c r="Q68" s="480"/>
      <c r="R68" s="480"/>
      <c r="S68" s="480"/>
      <c r="T68" s="480"/>
      <c r="U68" s="480"/>
      <c r="V68" s="480"/>
      <c r="W68" s="480"/>
      <c r="X68" s="480"/>
      <c r="Y68" s="480"/>
      <c r="Z68" s="480"/>
      <c r="AA68" s="480"/>
      <c r="AB68" s="480"/>
    </row>
    <row r="69" spans="1:28" s="481" customFormat="1" ht="20.25" customHeight="1">
      <c r="A69" s="533" t="s">
        <v>891</v>
      </c>
      <c r="B69" s="534" t="s">
        <v>1058</v>
      </c>
      <c r="C69" s="533" t="s">
        <v>1059</v>
      </c>
      <c r="D69" s="533" t="s">
        <v>1060</v>
      </c>
      <c r="E69" s="479" t="s">
        <v>370</v>
      </c>
      <c r="F69" s="471" t="e">
        <f>LUONGNGAY!$K$37</f>
        <v>#VALUE!</v>
      </c>
      <c r="G69" s="477">
        <v>300</v>
      </c>
      <c r="H69" s="474" t="e">
        <f>F69*G69</f>
        <v>#VALUE!</v>
      </c>
      <c r="I69" s="480"/>
      <c r="J69" s="480"/>
      <c r="K69" s="480"/>
      <c r="L69" s="480"/>
      <c r="M69" s="480"/>
      <c r="N69" s="480"/>
      <c r="O69" s="480"/>
      <c r="P69" s="480"/>
      <c r="Q69" s="480"/>
      <c r="R69" s="480"/>
      <c r="S69" s="480"/>
      <c r="T69" s="480"/>
      <c r="U69" s="480"/>
      <c r="V69" s="480"/>
      <c r="W69" s="480"/>
      <c r="X69" s="480"/>
      <c r="Y69" s="480"/>
      <c r="Z69" s="480"/>
      <c r="AA69" s="480"/>
      <c r="AB69" s="480"/>
    </row>
    <row r="70" spans="1:28" s="481" customFormat="1" ht="20.25" customHeight="1">
      <c r="A70" s="533" t="s">
        <v>899</v>
      </c>
      <c r="B70" s="534" t="s">
        <v>491</v>
      </c>
      <c r="C70" s="533" t="s">
        <v>627</v>
      </c>
      <c r="D70" s="533" t="s">
        <v>1060</v>
      </c>
      <c r="E70" s="479" t="s">
        <v>370</v>
      </c>
      <c r="F70" s="471" t="e">
        <f>LUONGNGAY!$K$37</f>
        <v>#VALUE!</v>
      </c>
      <c r="G70" s="477">
        <v>0.01</v>
      </c>
      <c r="H70" s="474" t="e">
        <f>F70*G70</f>
        <v>#VALUE!</v>
      </c>
      <c r="I70" s="480"/>
      <c r="J70" s="480"/>
      <c r="K70" s="480"/>
      <c r="L70" s="480"/>
      <c r="M70" s="480"/>
      <c r="N70" s="480"/>
      <c r="O70" s="480"/>
      <c r="P70" s="480"/>
      <c r="Q70" s="480"/>
      <c r="R70" s="480"/>
      <c r="S70" s="480"/>
      <c r="T70" s="480"/>
      <c r="U70" s="480"/>
      <c r="V70" s="480"/>
      <c r="W70" s="480"/>
      <c r="X70" s="480"/>
      <c r="Y70" s="480"/>
      <c r="Z70" s="480"/>
      <c r="AA70" s="480"/>
      <c r="AB70" s="480"/>
    </row>
    <row r="71" spans="1:28" s="481" customFormat="1" ht="29.25" customHeight="1">
      <c r="A71" s="533">
        <v>2</v>
      </c>
      <c r="B71" s="534" t="s">
        <v>492</v>
      </c>
      <c r="C71" s="533"/>
      <c r="D71" s="533"/>
      <c r="E71" s="479"/>
      <c r="F71" s="471"/>
      <c r="G71" s="477"/>
      <c r="H71" s="474"/>
      <c r="I71" s="480"/>
      <c r="J71" s="480"/>
      <c r="K71" s="480"/>
      <c r="L71" s="480"/>
      <c r="M71" s="480"/>
      <c r="N71" s="480"/>
      <c r="O71" s="480"/>
      <c r="P71" s="480"/>
      <c r="Q71" s="480"/>
      <c r="R71" s="480"/>
      <c r="S71" s="480"/>
      <c r="T71" s="480"/>
      <c r="U71" s="480"/>
      <c r="V71" s="480"/>
      <c r="W71" s="480"/>
      <c r="X71" s="480"/>
      <c r="Y71" s="480"/>
      <c r="Z71" s="480"/>
      <c r="AA71" s="480"/>
      <c r="AB71" s="480"/>
    </row>
    <row r="72" spans="1:28" s="481" customFormat="1" ht="20.25" customHeight="1">
      <c r="A72" s="533" t="s">
        <v>900</v>
      </c>
      <c r="B72" s="534" t="s">
        <v>493</v>
      </c>
      <c r="C72" s="533" t="s">
        <v>760</v>
      </c>
      <c r="D72" s="533" t="s">
        <v>1060</v>
      </c>
      <c r="E72" s="479" t="s">
        <v>370</v>
      </c>
      <c r="F72" s="471" t="e">
        <f>LUONGNGAY!$K$37</f>
        <v>#VALUE!</v>
      </c>
      <c r="G72" s="477">
        <v>2.5000000000000001E-2</v>
      </c>
      <c r="H72" s="474" t="e">
        <f>F72*G72</f>
        <v>#VALUE!</v>
      </c>
      <c r="I72" s="480"/>
      <c r="J72" s="480"/>
      <c r="K72" s="480"/>
      <c r="L72" s="480"/>
      <c r="M72" s="480"/>
      <c r="N72" s="480"/>
      <c r="O72" s="480"/>
      <c r="P72" s="480"/>
      <c r="Q72" s="480"/>
      <c r="R72" s="480"/>
      <c r="S72" s="480"/>
      <c r="T72" s="480"/>
      <c r="U72" s="480"/>
      <c r="V72" s="480"/>
      <c r="W72" s="480"/>
      <c r="X72" s="480"/>
      <c r="Y72" s="480"/>
      <c r="Z72" s="480"/>
      <c r="AA72" s="480"/>
      <c r="AB72" s="480"/>
    </row>
    <row r="73" spans="1:28" s="481" customFormat="1" ht="20.25" customHeight="1">
      <c r="A73" s="533" t="s">
        <v>901</v>
      </c>
      <c r="B73" s="534" t="s">
        <v>494</v>
      </c>
      <c r="C73" s="533" t="s">
        <v>1059</v>
      </c>
      <c r="D73" s="533" t="s">
        <v>1060</v>
      </c>
      <c r="E73" s="479" t="s">
        <v>370</v>
      </c>
      <c r="F73" s="471" t="e">
        <f>LUONGNGAY!$K$37</f>
        <v>#VALUE!</v>
      </c>
      <c r="G73" s="477">
        <v>2</v>
      </c>
      <c r="H73" s="474" t="e">
        <f t="shared" si="0"/>
        <v>#VALUE!</v>
      </c>
      <c r="I73" s="480"/>
      <c r="J73" s="480"/>
      <c r="K73" s="480"/>
      <c r="L73" s="480"/>
      <c r="M73" s="480"/>
      <c r="N73" s="480"/>
      <c r="O73" s="480"/>
      <c r="P73" s="480"/>
      <c r="Q73" s="480"/>
      <c r="R73" s="480"/>
      <c r="S73" s="480"/>
      <c r="T73" s="480"/>
      <c r="U73" s="480"/>
      <c r="V73" s="480"/>
      <c r="W73" s="480"/>
      <c r="X73" s="480"/>
      <c r="Y73" s="480"/>
      <c r="Z73" s="480"/>
      <c r="AA73" s="480"/>
      <c r="AB73" s="480"/>
    </row>
    <row r="74" spans="1:28" s="481" customFormat="1" ht="20.25" customHeight="1">
      <c r="A74" s="533">
        <v>3</v>
      </c>
      <c r="B74" s="534" t="s">
        <v>495</v>
      </c>
      <c r="C74" s="533" t="s">
        <v>1056</v>
      </c>
      <c r="D74" s="533" t="s">
        <v>1060</v>
      </c>
      <c r="E74" s="479" t="s">
        <v>370</v>
      </c>
      <c r="F74" s="471" t="e">
        <f>LUONGNGAY!$K$37</f>
        <v>#VALUE!</v>
      </c>
      <c r="G74" s="477">
        <v>8</v>
      </c>
      <c r="H74" s="474" t="e">
        <f>F74*G74</f>
        <v>#VALUE!</v>
      </c>
      <c r="I74" s="480"/>
      <c r="J74" s="480"/>
      <c r="K74" s="480"/>
      <c r="L74" s="480"/>
      <c r="M74" s="480"/>
      <c r="N74" s="480"/>
      <c r="O74" s="480"/>
      <c r="P74" s="480"/>
      <c r="Q74" s="480"/>
      <c r="R74" s="480"/>
      <c r="S74" s="480"/>
      <c r="T74" s="480"/>
      <c r="U74" s="480"/>
      <c r="V74" s="480"/>
      <c r="W74" s="480"/>
      <c r="X74" s="480"/>
      <c r="Y74" s="480"/>
      <c r="Z74" s="480"/>
      <c r="AA74" s="480"/>
      <c r="AB74" s="480"/>
    </row>
    <row r="75" spans="1:28" s="481" customFormat="1" ht="20.25" customHeight="1">
      <c r="A75" s="482"/>
      <c r="B75" s="483"/>
      <c r="C75" s="484"/>
      <c r="D75" s="484"/>
      <c r="E75" s="482"/>
      <c r="F75" s="485"/>
      <c r="G75" s="486"/>
      <c r="H75" s="487"/>
      <c r="I75" s="480"/>
      <c r="J75" s="480"/>
      <c r="K75" s="480"/>
      <c r="L75" s="480"/>
      <c r="M75" s="480"/>
      <c r="N75" s="480"/>
      <c r="O75" s="480"/>
      <c r="P75" s="480"/>
      <c r="Q75" s="480"/>
      <c r="R75" s="480"/>
      <c r="S75" s="480"/>
      <c r="T75" s="480"/>
      <c r="U75" s="480"/>
      <c r="V75" s="480"/>
      <c r="W75" s="480"/>
      <c r="X75" s="480"/>
      <c r="Y75" s="480"/>
      <c r="Z75" s="480"/>
      <c r="AA75" s="480"/>
      <c r="AB75" s="480"/>
    </row>
    <row r="76" spans="1:28" s="481" customFormat="1" ht="20.25" customHeight="1">
      <c r="A76" s="482"/>
      <c r="B76" s="483"/>
      <c r="C76" s="484"/>
      <c r="D76" s="484"/>
      <c r="E76" s="482"/>
      <c r="F76" s="485"/>
      <c r="G76" s="486"/>
      <c r="H76" s="487"/>
      <c r="I76" s="480"/>
      <c r="J76" s="480"/>
      <c r="K76" s="480"/>
      <c r="L76" s="480"/>
      <c r="M76" s="480"/>
      <c r="N76" s="480"/>
      <c r="O76" s="480"/>
      <c r="P76" s="480"/>
      <c r="Q76" s="480"/>
      <c r="R76" s="480"/>
      <c r="S76" s="480"/>
      <c r="T76" s="480"/>
      <c r="U76" s="480"/>
      <c r="V76" s="480"/>
      <c r="W76" s="480"/>
      <c r="X76" s="480"/>
      <c r="Y76" s="480"/>
      <c r="Z76" s="480"/>
      <c r="AA76" s="480"/>
      <c r="AB76" s="480"/>
    </row>
    <row r="77" spans="1:28" s="481" customFormat="1" ht="20.25" customHeight="1">
      <c r="A77" s="482"/>
      <c r="B77" s="483"/>
      <c r="C77" s="484"/>
      <c r="D77" s="484"/>
      <c r="E77" s="482"/>
      <c r="F77" s="485"/>
      <c r="G77" s="486"/>
      <c r="H77" s="487"/>
      <c r="I77" s="480"/>
      <c r="J77" s="480"/>
      <c r="K77" s="480"/>
      <c r="L77" s="480"/>
      <c r="M77" s="480"/>
      <c r="N77" s="480"/>
      <c r="O77" s="480"/>
      <c r="P77" s="480"/>
      <c r="Q77" s="480"/>
      <c r="R77" s="480"/>
      <c r="S77" s="480"/>
      <c r="T77" s="480"/>
      <c r="U77" s="480"/>
      <c r="V77" s="480"/>
      <c r="W77" s="480"/>
      <c r="X77" s="480"/>
      <c r="Y77" s="480"/>
      <c r="Z77" s="480"/>
      <c r="AA77" s="480"/>
      <c r="AB77" s="480"/>
    </row>
    <row r="78" spans="1:28" s="466" customFormat="1" ht="40.15" customHeight="1">
      <c r="A78" s="1194" t="s">
        <v>449</v>
      </c>
      <c r="B78" s="1194"/>
      <c r="C78" s="1194"/>
      <c r="D78" s="1194"/>
      <c r="E78" s="1194"/>
      <c r="F78" s="1194"/>
      <c r="G78" s="1194"/>
      <c r="H78" s="1194"/>
      <c r="I78" s="465"/>
      <c r="J78" s="465"/>
      <c r="K78" s="465"/>
      <c r="L78" s="465"/>
      <c r="M78" s="465"/>
      <c r="N78" s="465"/>
      <c r="O78" s="465"/>
      <c r="P78" s="465"/>
      <c r="Q78" s="465"/>
      <c r="R78" s="465"/>
      <c r="S78" s="465"/>
      <c r="T78" s="465"/>
      <c r="U78" s="465"/>
      <c r="V78" s="465"/>
      <c r="W78" s="465"/>
      <c r="X78" s="465"/>
      <c r="Y78" s="465"/>
      <c r="Z78" s="465"/>
      <c r="AA78" s="465"/>
      <c r="AB78" s="465"/>
    </row>
    <row r="79" spans="1:28" s="466" customFormat="1" ht="45" customHeight="1">
      <c r="A79" s="467" t="s">
        <v>158</v>
      </c>
      <c r="B79" s="467" t="s">
        <v>381</v>
      </c>
      <c r="C79" s="468" t="s">
        <v>625</v>
      </c>
      <c r="D79" s="468" t="s">
        <v>624</v>
      </c>
      <c r="E79" s="468" t="s">
        <v>382</v>
      </c>
      <c r="F79" s="469" t="s">
        <v>629</v>
      </c>
      <c r="G79" s="468" t="s">
        <v>628</v>
      </c>
      <c r="H79" s="468" t="s">
        <v>383</v>
      </c>
      <c r="I79" s="465"/>
      <c r="J79" s="465"/>
      <c r="K79" s="465"/>
      <c r="L79" s="465"/>
      <c r="M79" s="465"/>
      <c r="N79" s="465"/>
      <c r="O79" s="465"/>
      <c r="P79" s="465"/>
      <c r="Q79" s="465"/>
      <c r="R79" s="465"/>
      <c r="S79" s="465"/>
      <c r="T79" s="465"/>
      <c r="U79" s="465"/>
      <c r="V79" s="465"/>
      <c r="W79" s="465"/>
      <c r="X79" s="465"/>
      <c r="Y79" s="465"/>
      <c r="Z79" s="465"/>
      <c r="AA79" s="465"/>
      <c r="AB79" s="465"/>
    </row>
    <row r="80" spans="1:28" s="466" customFormat="1" ht="24.75" customHeight="1">
      <c r="A80" s="479" t="s">
        <v>179</v>
      </c>
      <c r="B80" s="538" t="s">
        <v>64</v>
      </c>
      <c r="C80" s="539"/>
      <c r="D80" s="539"/>
      <c r="E80" s="539"/>
      <c r="F80" s="471"/>
      <c r="G80" s="470"/>
      <c r="H80" s="472"/>
      <c r="I80" s="465"/>
      <c r="J80" s="465"/>
      <c r="K80" s="465"/>
      <c r="L80" s="465"/>
      <c r="M80" s="465"/>
      <c r="N80" s="465"/>
      <c r="O80" s="465"/>
      <c r="P80" s="465"/>
      <c r="Q80" s="465"/>
      <c r="R80" s="465"/>
      <c r="S80" s="465"/>
      <c r="T80" s="465"/>
      <c r="U80" s="465"/>
      <c r="V80" s="465"/>
      <c r="W80" s="465"/>
      <c r="X80" s="465"/>
      <c r="Y80" s="465"/>
      <c r="Z80" s="465"/>
      <c r="AA80" s="465"/>
      <c r="AB80" s="465"/>
    </row>
    <row r="81" spans="1:28" s="466" customFormat="1" ht="14.25">
      <c r="A81" s="479" t="s">
        <v>885</v>
      </c>
      <c r="B81" s="540" t="s">
        <v>599</v>
      </c>
      <c r="C81" s="539"/>
      <c r="D81" s="539"/>
      <c r="E81" s="539"/>
      <c r="F81" s="471"/>
      <c r="G81" s="470"/>
      <c r="H81" s="472"/>
      <c r="I81" s="465"/>
      <c r="J81" s="465"/>
      <c r="K81" s="465"/>
      <c r="L81" s="465"/>
      <c r="M81" s="465"/>
      <c r="N81" s="465"/>
      <c r="O81" s="465"/>
      <c r="P81" s="465"/>
      <c r="Q81" s="465"/>
      <c r="R81" s="465"/>
      <c r="S81" s="465"/>
      <c r="T81" s="465"/>
      <c r="U81" s="465"/>
      <c r="V81" s="465"/>
      <c r="W81" s="465"/>
      <c r="X81" s="465"/>
      <c r="Y81" s="465"/>
      <c r="Z81" s="465"/>
      <c r="AA81" s="465"/>
      <c r="AB81" s="465"/>
    </row>
    <row r="82" spans="1:28" s="466" customFormat="1" ht="24.6" customHeight="1">
      <c r="A82" s="1212" t="s">
        <v>891</v>
      </c>
      <c r="B82" s="1210" t="s">
        <v>21</v>
      </c>
      <c r="C82" s="1214" t="s">
        <v>22</v>
      </c>
      <c r="D82" s="1214" t="s">
        <v>23</v>
      </c>
      <c r="E82" s="1216" t="s">
        <v>880</v>
      </c>
      <c r="F82" s="471" t="e">
        <f>(LUONGNGAY!K35+LUONGNGAY!K44)/2</f>
        <v>#VALUE!</v>
      </c>
      <c r="G82" s="475">
        <f>2*2</f>
        <v>4</v>
      </c>
      <c r="H82" s="474" t="e">
        <f>G82*F82</f>
        <v>#VALUE!</v>
      </c>
      <c r="I82" s="465"/>
      <c r="J82" s="465"/>
      <c r="K82" s="465"/>
      <c r="L82" s="465"/>
      <c r="M82" s="465"/>
      <c r="N82" s="465"/>
      <c r="O82" s="465"/>
      <c r="P82" s="465"/>
      <c r="Q82" s="465"/>
      <c r="R82" s="465"/>
      <c r="S82" s="465"/>
      <c r="T82" s="465"/>
      <c r="U82" s="465"/>
      <c r="V82" s="465"/>
      <c r="W82" s="465"/>
      <c r="X82" s="465"/>
      <c r="Y82" s="465"/>
      <c r="Z82" s="465"/>
      <c r="AA82" s="465"/>
      <c r="AB82" s="465"/>
    </row>
    <row r="83" spans="1:28" s="466" customFormat="1" ht="24.6" customHeight="1">
      <c r="A83" s="1213"/>
      <c r="B83" s="1211"/>
      <c r="C83" s="1215"/>
      <c r="D83" s="1215"/>
      <c r="E83" s="1217"/>
      <c r="F83" s="471">
        <f>'He so chung'!$D$11</f>
        <v>131000</v>
      </c>
      <c r="G83" s="475">
        <v>2</v>
      </c>
      <c r="H83" s="474">
        <f t="shared" ref="H83:H146" si="1">G83*F83</f>
        <v>262000</v>
      </c>
      <c r="I83" s="465"/>
      <c r="J83" s="465"/>
      <c r="K83" s="465"/>
      <c r="L83" s="465"/>
      <c r="M83" s="465"/>
      <c r="N83" s="465"/>
      <c r="O83" s="465"/>
      <c r="P83" s="465"/>
      <c r="Q83" s="465"/>
      <c r="R83" s="465"/>
      <c r="S83" s="465"/>
      <c r="T83" s="465"/>
      <c r="U83" s="465"/>
      <c r="V83" s="465"/>
      <c r="W83" s="465"/>
      <c r="X83" s="465"/>
      <c r="Y83" s="465"/>
      <c r="Z83" s="465"/>
      <c r="AA83" s="465"/>
      <c r="AB83" s="465"/>
    </row>
    <row r="84" spans="1:28" s="466" customFormat="1" ht="27.75" customHeight="1">
      <c r="A84" s="488" t="s">
        <v>899</v>
      </c>
      <c r="B84" s="541" t="s">
        <v>65</v>
      </c>
      <c r="C84" s="542" t="s">
        <v>25</v>
      </c>
      <c r="D84" s="542" t="s">
        <v>26</v>
      </c>
      <c r="E84" s="543" t="s">
        <v>880</v>
      </c>
      <c r="F84" s="471" t="e">
        <f>(LUONGNGAY!K36+LUONGNGAY!K35+LUONGNGAY!K44)/3</f>
        <v>#VALUE!</v>
      </c>
      <c r="G84" s="475">
        <f>16*3</f>
        <v>48</v>
      </c>
      <c r="H84" s="474" t="e">
        <f t="shared" si="1"/>
        <v>#VALUE!</v>
      </c>
      <c r="I84" s="465"/>
      <c r="J84" s="465"/>
      <c r="K84" s="465"/>
      <c r="L84" s="465"/>
      <c r="M84" s="465"/>
      <c r="N84" s="465"/>
      <c r="O84" s="465"/>
      <c r="P84" s="465"/>
      <c r="Q84" s="465"/>
      <c r="R84" s="465"/>
      <c r="S84" s="465"/>
      <c r="T84" s="465"/>
      <c r="U84" s="465"/>
      <c r="V84" s="465"/>
      <c r="W84" s="465"/>
      <c r="X84" s="465"/>
      <c r="Y84" s="465"/>
      <c r="Z84" s="465"/>
      <c r="AA84" s="465"/>
      <c r="AB84" s="465"/>
    </row>
    <row r="85" spans="1:28" s="466" customFormat="1" ht="21.75" customHeight="1">
      <c r="A85" s="1212" t="s">
        <v>892</v>
      </c>
      <c r="B85" s="1240" t="s">
        <v>27</v>
      </c>
      <c r="C85" s="1214" t="s">
        <v>28</v>
      </c>
      <c r="D85" s="1214" t="s">
        <v>29</v>
      </c>
      <c r="E85" s="1216" t="s">
        <v>880</v>
      </c>
      <c r="F85" s="471" t="e">
        <f>LUONGNGAY!K36</f>
        <v>#VALUE!</v>
      </c>
      <c r="G85" s="475">
        <v>2.5</v>
      </c>
      <c r="H85" s="474" t="e">
        <f t="shared" si="1"/>
        <v>#VALUE!</v>
      </c>
      <c r="I85" s="465"/>
      <c r="J85" s="465"/>
      <c r="K85" s="465"/>
      <c r="L85" s="465"/>
      <c r="M85" s="465"/>
      <c r="N85" s="465"/>
      <c r="O85" s="465"/>
      <c r="P85" s="465"/>
      <c r="Q85" s="465"/>
      <c r="R85" s="465"/>
      <c r="S85" s="465"/>
      <c r="T85" s="465"/>
      <c r="U85" s="465"/>
      <c r="V85" s="465"/>
      <c r="W85" s="465"/>
      <c r="X85" s="465"/>
      <c r="Y85" s="465"/>
      <c r="Z85" s="465"/>
      <c r="AA85" s="465"/>
      <c r="AB85" s="465"/>
    </row>
    <row r="86" spans="1:28" s="466" customFormat="1" ht="24.6" customHeight="1">
      <c r="A86" s="1213"/>
      <c r="B86" s="1241"/>
      <c r="C86" s="1215"/>
      <c r="D86" s="1215"/>
      <c r="E86" s="1217"/>
      <c r="F86" s="471">
        <f>'He so chung'!$D$11</f>
        <v>131000</v>
      </c>
      <c r="G86" s="475">
        <v>2.5</v>
      </c>
      <c r="H86" s="474">
        <f t="shared" si="1"/>
        <v>327500</v>
      </c>
      <c r="I86" s="465"/>
      <c r="J86" s="465"/>
      <c r="K86" s="465"/>
      <c r="L86" s="465"/>
      <c r="M86" s="465"/>
      <c r="N86" s="465"/>
      <c r="O86" s="465"/>
      <c r="P86" s="465"/>
      <c r="Q86" s="465"/>
      <c r="R86" s="465"/>
      <c r="S86" s="465"/>
      <c r="T86" s="465"/>
      <c r="U86" s="465"/>
      <c r="V86" s="465"/>
      <c r="W86" s="465"/>
      <c r="X86" s="465"/>
      <c r="Y86" s="465"/>
      <c r="Z86" s="465"/>
      <c r="AA86" s="465"/>
      <c r="AB86" s="465"/>
    </row>
    <row r="87" spans="1:28" s="466" customFormat="1" ht="24.6" customHeight="1">
      <c r="A87" s="479" t="s">
        <v>30</v>
      </c>
      <c r="B87" s="540" t="s">
        <v>31</v>
      </c>
      <c r="C87" s="539"/>
      <c r="D87" s="539"/>
      <c r="E87" s="544"/>
      <c r="F87" s="471"/>
      <c r="G87" s="475"/>
      <c r="H87" s="474"/>
      <c r="I87" s="465"/>
      <c r="J87" s="465"/>
      <c r="K87" s="465"/>
      <c r="L87" s="465"/>
      <c r="M87" s="465"/>
      <c r="N87" s="465"/>
      <c r="O87" s="465"/>
      <c r="P87" s="465"/>
      <c r="Q87" s="465"/>
      <c r="R87" s="465"/>
      <c r="S87" s="465"/>
      <c r="T87" s="465"/>
      <c r="U87" s="465"/>
      <c r="V87" s="465"/>
      <c r="W87" s="465"/>
      <c r="X87" s="465"/>
      <c r="Y87" s="465"/>
      <c r="Z87" s="465"/>
      <c r="AA87" s="465"/>
      <c r="AB87" s="465"/>
    </row>
    <row r="88" spans="1:28" s="466" customFormat="1" ht="22.5" customHeight="1">
      <c r="A88" s="479" t="s">
        <v>32</v>
      </c>
      <c r="B88" s="540" t="s">
        <v>33</v>
      </c>
      <c r="C88" s="539" t="s">
        <v>979</v>
      </c>
      <c r="D88" s="539" t="s">
        <v>34</v>
      </c>
      <c r="E88" s="544" t="s">
        <v>880</v>
      </c>
      <c r="F88" s="471" t="e">
        <f>LUONGNGAY!$K$35</f>
        <v>#VALUE!</v>
      </c>
      <c r="G88" s="475">
        <v>0.15</v>
      </c>
      <c r="H88" s="474" t="e">
        <f t="shared" si="1"/>
        <v>#VALUE!</v>
      </c>
      <c r="I88" s="465"/>
      <c r="J88" s="465"/>
      <c r="K88" s="465"/>
      <c r="L88" s="465"/>
      <c r="M88" s="465"/>
      <c r="N88" s="465"/>
      <c r="O88" s="465"/>
      <c r="P88" s="465"/>
      <c r="Q88" s="465"/>
      <c r="R88" s="465"/>
      <c r="S88" s="465"/>
      <c r="T88" s="465"/>
      <c r="U88" s="465"/>
      <c r="V88" s="465"/>
      <c r="W88" s="465"/>
      <c r="X88" s="465"/>
      <c r="Y88" s="465"/>
      <c r="Z88" s="465"/>
      <c r="AA88" s="465"/>
      <c r="AB88" s="465"/>
    </row>
    <row r="89" spans="1:28" s="466" customFormat="1" ht="34.5" customHeight="1">
      <c r="A89" s="479" t="s">
        <v>35</v>
      </c>
      <c r="B89" s="540" t="s">
        <v>36</v>
      </c>
      <c r="C89" s="539" t="s">
        <v>979</v>
      </c>
      <c r="D89" s="539" t="s">
        <v>34</v>
      </c>
      <c r="E89" s="544" t="s">
        <v>880</v>
      </c>
      <c r="F89" s="471" t="e">
        <f>LUONGNGAY!$K$35</f>
        <v>#VALUE!</v>
      </c>
      <c r="G89" s="477">
        <v>0.1</v>
      </c>
      <c r="H89" s="474" t="e">
        <f t="shared" si="1"/>
        <v>#VALUE!</v>
      </c>
      <c r="I89" s="465"/>
      <c r="J89" s="465"/>
      <c r="K89" s="465"/>
      <c r="L89" s="465"/>
      <c r="M89" s="465"/>
      <c r="N89" s="465"/>
      <c r="O89" s="465"/>
      <c r="P89" s="465"/>
      <c r="Q89" s="465"/>
      <c r="R89" s="465"/>
      <c r="S89" s="465"/>
      <c r="T89" s="465"/>
      <c r="U89" s="465"/>
      <c r="V89" s="465"/>
      <c r="W89" s="465"/>
      <c r="X89" s="465"/>
      <c r="Y89" s="465"/>
      <c r="Z89" s="465"/>
      <c r="AA89" s="465"/>
      <c r="AB89" s="465"/>
    </row>
    <row r="90" spans="1:28" s="466" customFormat="1" ht="31.5" customHeight="1">
      <c r="A90" s="479" t="s">
        <v>886</v>
      </c>
      <c r="B90" s="540" t="s">
        <v>37</v>
      </c>
      <c r="C90" s="539" t="s">
        <v>979</v>
      </c>
      <c r="D90" s="539" t="s">
        <v>34</v>
      </c>
      <c r="E90" s="544" t="s">
        <v>880</v>
      </c>
      <c r="F90" s="471" t="e">
        <f>LUONGNGAY!$K$35</f>
        <v>#VALUE!</v>
      </c>
      <c r="G90" s="475">
        <v>0.2</v>
      </c>
      <c r="H90" s="474" t="e">
        <f t="shared" si="1"/>
        <v>#VALUE!</v>
      </c>
      <c r="I90" s="465"/>
      <c r="J90" s="465"/>
      <c r="K90" s="465"/>
      <c r="L90" s="465"/>
      <c r="M90" s="465"/>
      <c r="N90" s="465"/>
      <c r="O90" s="465"/>
      <c r="P90" s="465"/>
      <c r="Q90" s="465"/>
      <c r="R90" s="465"/>
      <c r="S90" s="465"/>
      <c r="T90" s="465"/>
      <c r="U90" s="465"/>
      <c r="V90" s="465"/>
      <c r="W90" s="465"/>
      <c r="X90" s="465"/>
      <c r="Y90" s="465"/>
      <c r="Z90" s="465"/>
      <c r="AA90" s="465"/>
      <c r="AB90" s="465"/>
    </row>
    <row r="91" spans="1:28" s="466" customFormat="1" ht="69" customHeight="1">
      <c r="A91" s="479" t="s">
        <v>887</v>
      </c>
      <c r="B91" s="540" t="s">
        <v>38</v>
      </c>
      <c r="C91" s="539" t="s">
        <v>627</v>
      </c>
      <c r="D91" s="539" t="s">
        <v>29</v>
      </c>
      <c r="E91" s="544" t="s">
        <v>880</v>
      </c>
      <c r="F91" s="471" t="e">
        <f>LUONGNGAY!$K$36</f>
        <v>#VALUE!</v>
      </c>
      <c r="G91" s="477">
        <v>0.107</v>
      </c>
      <c r="H91" s="474" t="e">
        <f t="shared" si="1"/>
        <v>#VALUE!</v>
      </c>
      <c r="I91" s="465"/>
      <c r="J91" s="465"/>
      <c r="K91" s="465"/>
      <c r="L91" s="465"/>
      <c r="M91" s="465"/>
      <c r="N91" s="465"/>
      <c r="O91" s="465"/>
      <c r="P91" s="465"/>
      <c r="Q91" s="465"/>
      <c r="R91" s="465"/>
      <c r="S91" s="465"/>
      <c r="T91" s="465"/>
      <c r="U91" s="465"/>
      <c r="V91" s="465"/>
      <c r="W91" s="465"/>
      <c r="X91" s="465"/>
      <c r="Y91" s="465"/>
      <c r="Z91" s="465"/>
      <c r="AA91" s="465"/>
      <c r="AB91" s="465"/>
    </row>
    <row r="92" spans="1:28" s="466" customFormat="1" ht="22.15" customHeight="1">
      <c r="A92" s="1212" t="s">
        <v>888</v>
      </c>
      <c r="B92" s="1214" t="s">
        <v>39</v>
      </c>
      <c r="C92" s="1214" t="s">
        <v>979</v>
      </c>
      <c r="D92" s="1214" t="s">
        <v>23</v>
      </c>
      <c r="E92" s="1214">
        <v>2</v>
      </c>
      <c r="F92" s="471" t="e">
        <f>(LUONGNGAY!K35+LUONGNGAY!K44)/2</f>
        <v>#VALUE!</v>
      </c>
      <c r="G92" s="475">
        <f>0.45*2</f>
        <v>0.9</v>
      </c>
      <c r="H92" s="474" t="e">
        <f t="shared" si="1"/>
        <v>#VALUE!</v>
      </c>
      <c r="I92" s="465"/>
      <c r="J92" s="465"/>
      <c r="K92" s="465"/>
      <c r="L92" s="465"/>
      <c r="M92" s="465"/>
      <c r="N92" s="465"/>
      <c r="O92" s="465"/>
      <c r="P92" s="465"/>
      <c r="Q92" s="465"/>
      <c r="R92" s="465"/>
      <c r="S92" s="465"/>
      <c r="T92" s="465"/>
      <c r="U92" s="465"/>
      <c r="V92" s="465"/>
      <c r="W92" s="465"/>
      <c r="X92" s="465"/>
      <c r="Y92" s="465"/>
      <c r="Z92" s="465"/>
      <c r="AA92" s="465"/>
      <c r="AB92" s="465"/>
    </row>
    <row r="93" spans="1:28" s="466" customFormat="1" ht="22.15" customHeight="1">
      <c r="A93" s="1243"/>
      <c r="B93" s="1242"/>
      <c r="C93" s="1242"/>
      <c r="D93" s="1242"/>
      <c r="E93" s="1215"/>
      <c r="F93" s="471">
        <f>'He so chung'!$D$11</f>
        <v>131000</v>
      </c>
      <c r="G93" s="475">
        <v>0.25</v>
      </c>
      <c r="H93" s="474">
        <f t="shared" si="1"/>
        <v>32750</v>
      </c>
      <c r="I93" s="465"/>
      <c r="J93" s="465"/>
      <c r="K93" s="465"/>
      <c r="L93" s="465"/>
      <c r="M93" s="465"/>
      <c r="N93" s="465"/>
      <c r="O93" s="465"/>
      <c r="P93" s="465"/>
      <c r="Q93" s="465"/>
      <c r="R93" s="465"/>
      <c r="S93" s="465"/>
      <c r="T93" s="465"/>
      <c r="U93" s="465"/>
      <c r="V93" s="465"/>
      <c r="W93" s="465"/>
      <c r="X93" s="465"/>
      <c r="Y93" s="465"/>
      <c r="Z93" s="465"/>
      <c r="AA93" s="465"/>
      <c r="AB93" s="465"/>
    </row>
    <row r="94" spans="1:28" s="466" customFormat="1" ht="22.15" customHeight="1">
      <c r="A94" s="1243"/>
      <c r="B94" s="1242"/>
      <c r="C94" s="1242"/>
      <c r="D94" s="1242"/>
      <c r="E94" s="1214">
        <v>3</v>
      </c>
      <c r="F94" s="471" t="e">
        <f>$F$92</f>
        <v>#VALUE!</v>
      </c>
      <c r="G94" s="475">
        <f>0.54*2</f>
        <v>1.08</v>
      </c>
      <c r="H94" s="474" t="e">
        <f t="shared" si="1"/>
        <v>#VALUE!</v>
      </c>
      <c r="I94" s="465"/>
      <c r="J94" s="465"/>
      <c r="K94" s="465"/>
      <c r="L94" s="465"/>
      <c r="M94" s="465"/>
      <c r="N94" s="465"/>
      <c r="O94" s="465"/>
      <c r="P94" s="465"/>
      <c r="Q94" s="465"/>
      <c r="R94" s="465"/>
      <c r="S94" s="465"/>
      <c r="T94" s="465"/>
      <c r="U94" s="465"/>
      <c r="V94" s="465"/>
      <c r="W94" s="465"/>
      <c r="X94" s="465"/>
      <c r="Y94" s="465"/>
      <c r="Z94" s="465"/>
      <c r="AA94" s="465"/>
      <c r="AB94" s="465"/>
    </row>
    <row r="95" spans="1:28" s="466" customFormat="1" ht="22.15" customHeight="1">
      <c r="A95" s="1243"/>
      <c r="B95" s="1242"/>
      <c r="C95" s="1242"/>
      <c r="D95" s="1242"/>
      <c r="E95" s="1215"/>
      <c r="F95" s="471">
        <f>'He so chung'!$D$11</f>
        <v>131000</v>
      </c>
      <c r="G95" s="475">
        <f>0.3</f>
        <v>0.3</v>
      </c>
      <c r="H95" s="474">
        <f t="shared" si="1"/>
        <v>39300</v>
      </c>
      <c r="I95" s="465"/>
      <c r="J95" s="465"/>
      <c r="K95" s="465"/>
      <c r="L95" s="465"/>
      <c r="M95" s="465"/>
      <c r="N95" s="465"/>
      <c r="O95" s="465"/>
      <c r="P95" s="465"/>
      <c r="Q95" s="465"/>
      <c r="R95" s="465"/>
      <c r="S95" s="465"/>
      <c r="T95" s="465"/>
      <c r="U95" s="465"/>
      <c r="V95" s="465"/>
      <c r="W95" s="465"/>
      <c r="X95" s="465"/>
      <c r="Y95" s="465"/>
      <c r="Z95" s="465"/>
      <c r="AA95" s="465"/>
      <c r="AB95" s="465"/>
    </row>
    <row r="96" spans="1:28" s="466" customFormat="1" ht="22.15" customHeight="1">
      <c r="A96" s="1243"/>
      <c r="B96" s="1242"/>
      <c r="C96" s="1242"/>
      <c r="D96" s="1242"/>
      <c r="E96" s="1214">
        <v>4</v>
      </c>
      <c r="F96" s="471" t="e">
        <f>$F$92</f>
        <v>#VALUE!</v>
      </c>
      <c r="G96" s="475">
        <f>0.648*2</f>
        <v>1.296</v>
      </c>
      <c r="H96" s="474" t="e">
        <f t="shared" si="1"/>
        <v>#VALUE!</v>
      </c>
      <c r="I96" s="465"/>
      <c r="J96" s="465"/>
      <c r="K96" s="465"/>
      <c r="L96" s="465"/>
      <c r="M96" s="465"/>
      <c r="N96" s="465"/>
      <c r="O96" s="465"/>
      <c r="P96" s="465"/>
      <c r="Q96" s="465"/>
      <c r="R96" s="465"/>
      <c r="S96" s="465"/>
      <c r="T96" s="465"/>
      <c r="U96" s="465"/>
      <c r="V96" s="465"/>
      <c r="W96" s="465"/>
      <c r="X96" s="465"/>
      <c r="Y96" s="465"/>
      <c r="Z96" s="465"/>
      <c r="AA96" s="465"/>
      <c r="AB96" s="465"/>
    </row>
    <row r="97" spans="1:28" s="466" customFormat="1" ht="22.15" customHeight="1">
      <c r="A97" s="1243"/>
      <c r="B97" s="1242"/>
      <c r="C97" s="1242"/>
      <c r="D97" s="1242"/>
      <c r="E97" s="1215"/>
      <c r="F97" s="471">
        <f>'He so chung'!$D$11</f>
        <v>131000</v>
      </c>
      <c r="G97" s="475">
        <v>0.36</v>
      </c>
      <c r="H97" s="474">
        <f t="shared" si="1"/>
        <v>47160</v>
      </c>
      <c r="I97" s="465"/>
      <c r="J97" s="465"/>
      <c r="K97" s="465"/>
      <c r="L97" s="465"/>
      <c r="M97" s="465"/>
      <c r="N97" s="465"/>
      <c r="O97" s="465"/>
      <c r="P97" s="465"/>
      <c r="Q97" s="465"/>
      <c r="R97" s="465"/>
      <c r="S97" s="465"/>
      <c r="T97" s="465"/>
      <c r="U97" s="465"/>
      <c r="V97" s="465"/>
      <c r="W97" s="465"/>
      <c r="X97" s="465"/>
      <c r="Y97" s="465"/>
      <c r="Z97" s="465"/>
      <c r="AA97" s="465"/>
      <c r="AB97" s="465"/>
    </row>
    <row r="98" spans="1:28" s="466" customFormat="1" ht="22.15" customHeight="1">
      <c r="A98" s="1243"/>
      <c r="B98" s="1242"/>
      <c r="C98" s="1242"/>
      <c r="D98" s="1242"/>
      <c r="E98" s="1214">
        <v>5</v>
      </c>
      <c r="F98" s="471" t="e">
        <f>$F$92</f>
        <v>#VALUE!</v>
      </c>
      <c r="G98" s="475">
        <f>0.778*2</f>
        <v>1.556</v>
      </c>
      <c r="H98" s="474" t="e">
        <f t="shared" si="1"/>
        <v>#VALUE!</v>
      </c>
      <c r="I98" s="465"/>
      <c r="J98" s="465"/>
      <c r="K98" s="465"/>
      <c r="L98" s="465"/>
      <c r="M98" s="465"/>
      <c r="N98" s="465"/>
      <c r="O98" s="465"/>
      <c r="P98" s="465"/>
      <c r="Q98" s="465"/>
      <c r="R98" s="465"/>
      <c r="S98" s="465"/>
      <c r="T98" s="465"/>
      <c r="U98" s="465"/>
      <c r="V98" s="465"/>
      <c r="W98" s="465"/>
      <c r="X98" s="465"/>
      <c r="Y98" s="465"/>
      <c r="Z98" s="465"/>
      <c r="AA98" s="465"/>
      <c r="AB98" s="465"/>
    </row>
    <row r="99" spans="1:28" s="466" customFormat="1" ht="22.15" customHeight="1">
      <c r="A99" s="1213"/>
      <c r="B99" s="1215"/>
      <c r="C99" s="1215"/>
      <c r="D99" s="1215"/>
      <c r="E99" s="1215"/>
      <c r="F99" s="471">
        <f>'He so chung'!$D$11</f>
        <v>131000</v>
      </c>
      <c r="G99" s="475">
        <v>0.432</v>
      </c>
      <c r="H99" s="474">
        <f t="shared" si="1"/>
        <v>56592</v>
      </c>
      <c r="I99" s="465"/>
      <c r="J99" s="465"/>
      <c r="K99" s="465"/>
      <c r="L99" s="465"/>
      <c r="M99" s="465"/>
      <c r="N99" s="465"/>
      <c r="O99" s="465"/>
      <c r="P99" s="465"/>
      <c r="Q99" s="465"/>
      <c r="R99" s="465"/>
      <c r="S99" s="465"/>
      <c r="T99" s="465"/>
      <c r="U99" s="465"/>
      <c r="V99" s="465"/>
      <c r="W99" s="465"/>
      <c r="X99" s="465"/>
      <c r="Y99" s="465"/>
      <c r="Z99" s="465"/>
      <c r="AA99" s="465"/>
      <c r="AB99" s="465"/>
    </row>
    <row r="100" spans="1:28" s="466" customFormat="1" ht="22.15" customHeight="1">
      <c r="A100" s="479" t="s">
        <v>889</v>
      </c>
      <c r="B100" s="540" t="s">
        <v>340</v>
      </c>
      <c r="C100" s="539"/>
      <c r="D100" s="539"/>
      <c r="E100" s="539"/>
      <c r="F100" s="471"/>
      <c r="G100" s="475"/>
      <c r="H100" s="474"/>
      <c r="I100" s="465"/>
      <c r="J100" s="465"/>
      <c r="K100" s="465"/>
      <c r="L100" s="465"/>
      <c r="M100" s="465"/>
      <c r="N100" s="465"/>
      <c r="O100" s="465"/>
      <c r="P100" s="465"/>
      <c r="Q100" s="465"/>
      <c r="R100" s="465"/>
      <c r="S100" s="465"/>
      <c r="T100" s="465"/>
      <c r="U100" s="465"/>
      <c r="V100" s="465"/>
      <c r="W100" s="465"/>
      <c r="X100" s="465"/>
      <c r="Y100" s="465"/>
      <c r="Z100" s="465"/>
      <c r="AA100" s="465"/>
      <c r="AB100" s="465"/>
    </row>
    <row r="101" spans="1:28" s="466" customFormat="1" ht="22.15" customHeight="1">
      <c r="A101" s="479" t="s">
        <v>607</v>
      </c>
      <c r="B101" s="540" t="s">
        <v>33</v>
      </c>
      <c r="C101" s="539" t="s">
        <v>979</v>
      </c>
      <c r="D101" s="539" t="s">
        <v>29</v>
      </c>
      <c r="E101" s="544" t="s">
        <v>880</v>
      </c>
      <c r="F101" s="471" t="e">
        <f>LUONGNGAY!$K$36</f>
        <v>#VALUE!</v>
      </c>
      <c r="G101" s="475">
        <v>0.05</v>
      </c>
      <c r="H101" s="474" t="e">
        <f t="shared" si="1"/>
        <v>#VALUE!</v>
      </c>
      <c r="I101" s="465"/>
      <c r="J101" s="465"/>
      <c r="K101" s="465"/>
      <c r="L101" s="465"/>
      <c r="M101" s="465"/>
      <c r="N101" s="465"/>
      <c r="O101" s="465"/>
      <c r="P101" s="465"/>
      <c r="Q101" s="465"/>
      <c r="R101" s="465"/>
      <c r="S101" s="465"/>
      <c r="T101" s="465"/>
      <c r="U101" s="465"/>
      <c r="V101" s="465"/>
      <c r="W101" s="465"/>
      <c r="X101" s="465"/>
      <c r="Y101" s="465"/>
      <c r="Z101" s="465"/>
      <c r="AA101" s="465"/>
      <c r="AB101" s="465"/>
    </row>
    <row r="102" spans="1:28" s="466" customFormat="1" ht="22.15" customHeight="1">
      <c r="A102" s="479" t="s">
        <v>608</v>
      </c>
      <c r="B102" s="540" t="s">
        <v>36</v>
      </c>
      <c r="C102" s="539" t="s">
        <v>979</v>
      </c>
      <c r="D102" s="539" t="s">
        <v>29</v>
      </c>
      <c r="E102" s="544" t="s">
        <v>880</v>
      </c>
      <c r="F102" s="471" t="e">
        <f>LUONGNGAY!$K$36</f>
        <v>#VALUE!</v>
      </c>
      <c r="G102" s="475">
        <v>0.04</v>
      </c>
      <c r="H102" s="474" t="e">
        <f t="shared" si="1"/>
        <v>#VALUE!</v>
      </c>
      <c r="I102" s="465"/>
      <c r="J102" s="465"/>
      <c r="K102" s="465"/>
      <c r="L102" s="465"/>
      <c r="M102" s="465"/>
      <c r="N102" s="465"/>
      <c r="O102" s="465"/>
      <c r="P102" s="465"/>
      <c r="Q102" s="465"/>
      <c r="R102" s="465"/>
      <c r="S102" s="465"/>
      <c r="T102" s="465"/>
      <c r="U102" s="465"/>
      <c r="V102" s="465"/>
      <c r="W102" s="465"/>
      <c r="X102" s="465"/>
      <c r="Y102" s="465"/>
      <c r="Z102" s="465"/>
      <c r="AA102" s="465"/>
      <c r="AB102" s="465"/>
    </row>
    <row r="103" spans="1:28" s="466" customFormat="1" ht="22.15" customHeight="1">
      <c r="A103" s="479" t="s">
        <v>371</v>
      </c>
      <c r="B103" s="540" t="s">
        <v>66</v>
      </c>
      <c r="C103" s="539" t="s">
        <v>627</v>
      </c>
      <c r="D103" s="539" t="s">
        <v>29</v>
      </c>
      <c r="E103" s="544" t="s">
        <v>880</v>
      </c>
      <c r="F103" s="471" t="e">
        <f>LUONGNGAY!$K$36</f>
        <v>#VALUE!</v>
      </c>
      <c r="G103" s="477">
        <v>3.0000000000000001E-3</v>
      </c>
      <c r="H103" s="474" t="e">
        <f t="shared" si="1"/>
        <v>#VALUE!</v>
      </c>
      <c r="I103" s="465"/>
      <c r="J103" s="465"/>
      <c r="K103" s="465"/>
      <c r="L103" s="465"/>
      <c r="M103" s="465"/>
      <c r="N103" s="465"/>
      <c r="O103" s="465"/>
      <c r="P103" s="465"/>
      <c r="Q103" s="465"/>
      <c r="R103" s="465"/>
      <c r="S103" s="465"/>
      <c r="T103" s="465"/>
      <c r="U103" s="465"/>
      <c r="V103" s="465"/>
      <c r="W103" s="465"/>
      <c r="X103" s="465"/>
      <c r="Y103" s="465"/>
      <c r="Z103" s="465"/>
      <c r="AA103" s="465"/>
      <c r="AB103" s="465"/>
    </row>
    <row r="104" spans="1:28" s="466" customFormat="1" ht="19.149999999999999" customHeight="1">
      <c r="A104" s="479" t="s">
        <v>372</v>
      </c>
      <c r="B104" s="540" t="s">
        <v>855</v>
      </c>
      <c r="C104" s="539" t="s">
        <v>979</v>
      </c>
      <c r="D104" s="539" t="s">
        <v>626</v>
      </c>
      <c r="E104" s="544" t="s">
        <v>880</v>
      </c>
      <c r="F104" s="471" t="e">
        <f>LUONGNGAY!$K$44</f>
        <v>#VALUE!</v>
      </c>
      <c r="G104" s="477">
        <v>1.4999999999999999E-2</v>
      </c>
      <c r="H104" s="474" t="e">
        <f t="shared" si="1"/>
        <v>#VALUE!</v>
      </c>
      <c r="I104" s="465"/>
      <c r="J104" s="465"/>
      <c r="K104" s="465"/>
      <c r="L104" s="465"/>
      <c r="M104" s="465"/>
      <c r="N104" s="465"/>
      <c r="O104" s="465"/>
      <c r="P104" s="465"/>
      <c r="Q104" s="465"/>
      <c r="R104" s="465"/>
      <c r="S104" s="465"/>
      <c r="T104" s="465"/>
      <c r="U104" s="465"/>
      <c r="V104" s="465"/>
      <c r="W104" s="465"/>
      <c r="X104" s="465"/>
      <c r="Y104" s="465"/>
      <c r="Z104" s="465"/>
      <c r="AA104" s="465"/>
      <c r="AB104" s="465"/>
    </row>
    <row r="105" spans="1:28" s="466" customFormat="1" ht="19.149999999999999" customHeight="1">
      <c r="A105" s="479" t="s">
        <v>373</v>
      </c>
      <c r="B105" s="540" t="s">
        <v>348</v>
      </c>
      <c r="C105" s="539"/>
      <c r="D105" s="539"/>
      <c r="E105" s="539"/>
      <c r="F105" s="471"/>
      <c r="G105" s="475"/>
      <c r="H105" s="474"/>
      <c r="I105" s="465"/>
      <c r="J105" s="465"/>
      <c r="K105" s="465"/>
      <c r="L105" s="465"/>
      <c r="M105" s="465"/>
      <c r="N105" s="465"/>
      <c r="O105" s="465"/>
      <c r="P105" s="465"/>
      <c r="Q105" s="465"/>
      <c r="R105" s="465"/>
      <c r="S105" s="465"/>
      <c r="T105" s="465"/>
      <c r="U105" s="465"/>
      <c r="V105" s="465"/>
      <c r="W105" s="465"/>
      <c r="X105" s="465"/>
      <c r="Y105" s="465"/>
      <c r="Z105" s="465"/>
      <c r="AA105" s="465"/>
      <c r="AB105" s="465"/>
    </row>
    <row r="106" spans="1:28" s="466" customFormat="1" ht="19.149999999999999" customHeight="1">
      <c r="A106" s="479" t="s">
        <v>374</v>
      </c>
      <c r="B106" s="540" t="s">
        <v>33</v>
      </c>
      <c r="C106" s="539" t="s">
        <v>979</v>
      </c>
      <c r="D106" s="539" t="s">
        <v>29</v>
      </c>
      <c r="E106" s="544" t="s">
        <v>880</v>
      </c>
      <c r="F106" s="471" t="e">
        <f>LUONGNGAY!$K$36</f>
        <v>#VALUE!</v>
      </c>
      <c r="G106" s="477">
        <v>1.4999999999999999E-2</v>
      </c>
      <c r="H106" s="474" t="e">
        <f t="shared" si="1"/>
        <v>#VALUE!</v>
      </c>
      <c r="I106" s="465"/>
      <c r="J106" s="465"/>
      <c r="K106" s="465"/>
      <c r="L106" s="465"/>
      <c r="M106" s="465"/>
      <c r="N106" s="465"/>
      <c r="O106" s="465"/>
      <c r="P106" s="465"/>
      <c r="Q106" s="465"/>
      <c r="R106" s="465"/>
      <c r="S106" s="465"/>
      <c r="T106" s="465"/>
      <c r="U106" s="465"/>
      <c r="V106" s="465"/>
      <c r="W106" s="465"/>
      <c r="X106" s="465"/>
      <c r="Y106" s="465"/>
      <c r="Z106" s="465"/>
      <c r="AA106" s="465"/>
      <c r="AB106" s="465"/>
    </row>
    <row r="107" spans="1:28" s="466" customFormat="1" ht="19.149999999999999" customHeight="1">
      <c r="A107" s="479" t="s">
        <v>375</v>
      </c>
      <c r="B107" s="540" t="s">
        <v>36</v>
      </c>
      <c r="C107" s="539" t="s">
        <v>979</v>
      </c>
      <c r="D107" s="539" t="s">
        <v>29</v>
      </c>
      <c r="E107" s="544" t="s">
        <v>880</v>
      </c>
      <c r="F107" s="471" t="e">
        <f>LUONGNGAY!$K$36</f>
        <v>#VALUE!</v>
      </c>
      <c r="G107" s="477">
        <v>0.01</v>
      </c>
      <c r="H107" s="474" t="e">
        <f t="shared" si="1"/>
        <v>#VALUE!</v>
      </c>
      <c r="I107" s="465"/>
      <c r="J107" s="465"/>
      <c r="K107" s="465"/>
      <c r="L107" s="465"/>
      <c r="M107" s="465"/>
      <c r="N107" s="465"/>
      <c r="O107" s="465"/>
      <c r="P107" s="465"/>
      <c r="Q107" s="465"/>
      <c r="R107" s="465"/>
      <c r="S107" s="465"/>
      <c r="T107" s="465"/>
      <c r="U107" s="465"/>
      <c r="V107" s="465"/>
      <c r="W107" s="465"/>
      <c r="X107" s="465"/>
      <c r="Y107" s="465"/>
      <c r="Z107" s="465"/>
      <c r="AA107" s="465"/>
      <c r="AB107" s="465"/>
    </row>
    <row r="108" spans="1:28" s="466" customFormat="1" ht="19.149999999999999" customHeight="1">
      <c r="A108" s="479" t="s">
        <v>376</v>
      </c>
      <c r="B108" s="540" t="s">
        <v>856</v>
      </c>
      <c r="C108" s="539" t="s">
        <v>979</v>
      </c>
      <c r="D108" s="539" t="s">
        <v>29</v>
      </c>
      <c r="E108" s="544" t="s">
        <v>880</v>
      </c>
      <c r="F108" s="471" t="e">
        <f>LUONGNGAY!$K$36</f>
        <v>#VALUE!</v>
      </c>
      <c r="G108" s="477">
        <v>0.2</v>
      </c>
      <c r="H108" s="474" t="e">
        <f t="shared" si="1"/>
        <v>#VALUE!</v>
      </c>
      <c r="I108" s="465"/>
      <c r="J108" s="465"/>
      <c r="K108" s="465"/>
      <c r="L108" s="465"/>
      <c r="M108" s="465"/>
      <c r="N108" s="465"/>
      <c r="O108" s="465"/>
      <c r="P108" s="465"/>
      <c r="Q108" s="465"/>
      <c r="R108" s="465"/>
      <c r="S108" s="465"/>
      <c r="T108" s="465"/>
      <c r="U108" s="465"/>
      <c r="V108" s="465"/>
      <c r="W108" s="465"/>
      <c r="X108" s="465"/>
      <c r="Y108" s="465"/>
      <c r="Z108" s="465"/>
      <c r="AA108" s="465"/>
      <c r="AB108" s="465"/>
    </row>
    <row r="109" spans="1:28" s="466" customFormat="1" ht="25.5" customHeight="1">
      <c r="A109" s="479" t="s">
        <v>377</v>
      </c>
      <c r="B109" s="540" t="s">
        <v>67</v>
      </c>
      <c r="C109" s="539" t="s">
        <v>979</v>
      </c>
      <c r="D109" s="539" t="s">
        <v>34</v>
      </c>
      <c r="E109" s="544" t="s">
        <v>880</v>
      </c>
      <c r="F109" s="471" t="e">
        <f>LUONGNGAY!$K$35</f>
        <v>#VALUE!</v>
      </c>
      <c r="G109" s="477">
        <v>0.02</v>
      </c>
      <c r="H109" s="474" t="e">
        <f t="shared" si="1"/>
        <v>#VALUE!</v>
      </c>
      <c r="I109" s="465"/>
      <c r="J109" s="465"/>
      <c r="K109" s="465"/>
      <c r="L109" s="465"/>
      <c r="M109" s="465"/>
      <c r="N109" s="465"/>
      <c r="O109" s="465"/>
      <c r="P109" s="465"/>
      <c r="Q109" s="465"/>
      <c r="R109" s="465"/>
      <c r="S109" s="465"/>
      <c r="T109" s="465"/>
      <c r="U109" s="465"/>
      <c r="V109" s="465"/>
      <c r="W109" s="465"/>
      <c r="X109" s="465"/>
      <c r="Y109" s="465"/>
      <c r="Z109" s="465"/>
      <c r="AA109" s="465"/>
      <c r="AB109" s="465"/>
    </row>
    <row r="110" spans="1:28" s="466" customFormat="1" ht="35.25" customHeight="1">
      <c r="A110" s="479" t="s">
        <v>378</v>
      </c>
      <c r="B110" s="540" t="s">
        <v>764</v>
      </c>
      <c r="C110" s="539" t="s">
        <v>979</v>
      </c>
      <c r="D110" s="539" t="s">
        <v>34</v>
      </c>
      <c r="E110" s="544" t="s">
        <v>880</v>
      </c>
      <c r="F110" s="471" t="e">
        <f>LUONGNGAY!$K$35</f>
        <v>#VALUE!</v>
      </c>
      <c r="G110" s="477">
        <v>0.02</v>
      </c>
      <c r="H110" s="474" t="e">
        <f t="shared" si="1"/>
        <v>#VALUE!</v>
      </c>
      <c r="I110" s="465"/>
      <c r="J110" s="465"/>
      <c r="K110" s="465"/>
      <c r="L110" s="465"/>
      <c r="M110" s="465"/>
      <c r="N110" s="465"/>
      <c r="O110" s="465"/>
      <c r="P110" s="465"/>
      <c r="Q110" s="465"/>
      <c r="R110" s="465"/>
      <c r="S110" s="465"/>
      <c r="T110" s="465"/>
      <c r="U110" s="465"/>
      <c r="V110" s="465"/>
      <c r="W110" s="465"/>
      <c r="X110" s="465"/>
      <c r="Y110" s="465"/>
      <c r="Z110" s="465"/>
      <c r="AA110" s="465"/>
      <c r="AB110" s="465"/>
    </row>
    <row r="111" spans="1:28" s="466" customFormat="1" ht="19.149999999999999" customHeight="1">
      <c r="A111" s="479" t="s">
        <v>184</v>
      </c>
      <c r="B111" s="538" t="s">
        <v>765</v>
      </c>
      <c r="C111" s="539"/>
      <c r="D111" s="539"/>
      <c r="E111" s="539"/>
      <c r="F111" s="471"/>
      <c r="G111" s="477"/>
      <c r="H111" s="474"/>
      <c r="I111" s="465"/>
      <c r="J111" s="465"/>
      <c r="K111" s="465"/>
      <c r="L111" s="465"/>
      <c r="M111" s="465"/>
      <c r="N111" s="465"/>
      <c r="O111" s="465"/>
      <c r="P111" s="465"/>
      <c r="Q111" s="465"/>
      <c r="R111" s="465"/>
      <c r="S111" s="465"/>
      <c r="T111" s="465"/>
      <c r="U111" s="465"/>
      <c r="V111" s="465"/>
      <c r="W111" s="465"/>
      <c r="X111" s="465"/>
      <c r="Y111" s="465"/>
      <c r="Z111" s="465"/>
      <c r="AA111" s="465"/>
      <c r="AB111" s="465"/>
    </row>
    <row r="112" spans="1:28" s="466" customFormat="1" ht="27.75" customHeight="1">
      <c r="A112" s="479" t="s">
        <v>885</v>
      </c>
      <c r="B112" s="540" t="s">
        <v>68</v>
      </c>
      <c r="C112" s="539"/>
      <c r="D112" s="539"/>
      <c r="E112" s="539"/>
      <c r="F112" s="471"/>
      <c r="G112" s="477"/>
      <c r="H112" s="474"/>
      <c r="I112" s="465"/>
      <c r="J112" s="465"/>
      <c r="K112" s="465"/>
      <c r="L112" s="465"/>
      <c r="M112" s="465"/>
      <c r="N112" s="465"/>
      <c r="O112" s="465"/>
      <c r="P112" s="465"/>
      <c r="Q112" s="465"/>
      <c r="R112" s="465"/>
      <c r="S112" s="465"/>
      <c r="T112" s="465"/>
      <c r="U112" s="465"/>
      <c r="V112" s="465"/>
      <c r="W112" s="465"/>
      <c r="X112" s="465"/>
      <c r="Y112" s="465"/>
      <c r="Z112" s="465"/>
      <c r="AA112" s="465"/>
      <c r="AB112" s="465"/>
    </row>
    <row r="113" spans="1:28" s="466" customFormat="1" ht="21.6" customHeight="1">
      <c r="A113" s="479" t="s">
        <v>891</v>
      </c>
      <c r="B113" s="540" t="s">
        <v>33</v>
      </c>
      <c r="C113" s="539" t="s">
        <v>979</v>
      </c>
      <c r="D113" s="539" t="s">
        <v>34</v>
      </c>
      <c r="E113" s="544" t="s">
        <v>880</v>
      </c>
      <c r="F113" s="471" t="e">
        <f>LUONGNGAY!$K$35</f>
        <v>#VALUE!</v>
      </c>
      <c r="G113" s="477">
        <v>0.04</v>
      </c>
      <c r="H113" s="474" t="e">
        <f t="shared" si="1"/>
        <v>#VALUE!</v>
      </c>
      <c r="I113" s="465"/>
      <c r="J113" s="465"/>
      <c r="K113" s="465"/>
      <c r="L113" s="465"/>
      <c r="M113" s="465"/>
      <c r="N113" s="465"/>
      <c r="O113" s="465"/>
      <c r="P113" s="465"/>
      <c r="Q113" s="465"/>
      <c r="R113" s="465"/>
      <c r="S113" s="465"/>
      <c r="T113" s="465"/>
      <c r="U113" s="465"/>
      <c r="V113" s="465"/>
      <c r="W113" s="465"/>
      <c r="X113" s="465"/>
      <c r="Y113" s="465"/>
      <c r="Z113" s="465"/>
      <c r="AA113" s="465"/>
      <c r="AB113" s="465"/>
    </row>
    <row r="114" spans="1:28" s="466" customFormat="1" ht="33.75" customHeight="1">
      <c r="A114" s="479" t="s">
        <v>899</v>
      </c>
      <c r="B114" s="540" t="s">
        <v>36</v>
      </c>
      <c r="C114" s="539" t="s">
        <v>979</v>
      </c>
      <c r="D114" s="539" t="s">
        <v>34</v>
      </c>
      <c r="E114" s="544" t="s">
        <v>880</v>
      </c>
      <c r="F114" s="471" t="e">
        <f>LUONGNGAY!$K$35</f>
        <v>#VALUE!</v>
      </c>
      <c r="G114" s="477">
        <v>2.5000000000000001E-2</v>
      </c>
      <c r="H114" s="474" t="e">
        <f t="shared" si="1"/>
        <v>#VALUE!</v>
      </c>
      <c r="I114" s="465"/>
      <c r="J114" s="465"/>
      <c r="K114" s="465"/>
      <c r="L114" s="465"/>
      <c r="M114" s="465"/>
      <c r="N114" s="465"/>
      <c r="O114" s="465"/>
      <c r="P114" s="465"/>
      <c r="Q114" s="465"/>
      <c r="R114" s="465"/>
      <c r="S114" s="465"/>
      <c r="T114" s="465"/>
      <c r="U114" s="465"/>
      <c r="V114" s="465"/>
      <c r="W114" s="465"/>
      <c r="X114" s="465"/>
      <c r="Y114" s="465"/>
      <c r="Z114" s="465"/>
      <c r="AA114" s="465"/>
      <c r="AB114" s="465"/>
    </row>
    <row r="115" spans="1:28" s="466" customFormat="1" ht="39.6" customHeight="1">
      <c r="A115" s="479" t="s">
        <v>886</v>
      </c>
      <c r="B115" s="540" t="s">
        <v>767</v>
      </c>
      <c r="C115" s="539" t="s">
        <v>979</v>
      </c>
      <c r="D115" s="539" t="s">
        <v>34</v>
      </c>
      <c r="E115" s="544" t="s">
        <v>880</v>
      </c>
      <c r="F115" s="471" t="e">
        <f>LUONGNGAY!$K$35</f>
        <v>#VALUE!</v>
      </c>
      <c r="G115" s="477">
        <v>0.02</v>
      </c>
      <c r="H115" s="474" t="e">
        <f t="shared" si="1"/>
        <v>#VALUE!</v>
      </c>
      <c r="I115" s="465"/>
      <c r="J115" s="465"/>
      <c r="K115" s="465"/>
      <c r="L115" s="465"/>
      <c r="M115" s="465"/>
      <c r="N115" s="465"/>
      <c r="O115" s="465"/>
      <c r="P115" s="465"/>
      <c r="Q115" s="465"/>
      <c r="R115" s="465"/>
      <c r="S115" s="465"/>
      <c r="T115" s="465"/>
      <c r="U115" s="465"/>
      <c r="V115" s="465"/>
      <c r="W115" s="465"/>
      <c r="X115" s="465"/>
      <c r="Y115" s="465"/>
      <c r="Z115" s="465"/>
      <c r="AA115" s="465"/>
      <c r="AB115" s="465"/>
    </row>
    <row r="116" spans="1:28" s="466" customFormat="1" ht="54" customHeight="1">
      <c r="A116" s="479" t="s">
        <v>887</v>
      </c>
      <c r="B116" s="540" t="s">
        <v>768</v>
      </c>
      <c r="C116" s="539" t="s">
        <v>979</v>
      </c>
      <c r="D116" s="539" t="s">
        <v>29</v>
      </c>
      <c r="E116" s="544" t="s">
        <v>880</v>
      </c>
      <c r="F116" s="471" t="e">
        <f>LUONGNGAY!$K$36</f>
        <v>#VALUE!</v>
      </c>
      <c r="G116" s="477">
        <v>0.2</v>
      </c>
      <c r="H116" s="474" t="e">
        <f t="shared" si="1"/>
        <v>#VALUE!</v>
      </c>
      <c r="I116" s="465"/>
      <c r="J116" s="465"/>
      <c r="K116" s="465"/>
      <c r="L116" s="465"/>
      <c r="M116" s="465"/>
      <c r="N116" s="465"/>
      <c r="O116" s="465"/>
      <c r="P116" s="465"/>
      <c r="Q116" s="465"/>
      <c r="R116" s="465"/>
      <c r="S116" s="465"/>
      <c r="T116" s="465"/>
      <c r="U116" s="465"/>
      <c r="V116" s="465"/>
      <c r="W116" s="465"/>
      <c r="X116" s="465"/>
      <c r="Y116" s="465"/>
      <c r="Z116" s="465"/>
      <c r="AA116" s="465"/>
      <c r="AB116" s="465"/>
    </row>
    <row r="117" spans="1:28" s="466" customFormat="1" ht="21.75" customHeight="1">
      <c r="A117" s="479" t="s">
        <v>888</v>
      </c>
      <c r="B117" s="540" t="s">
        <v>69</v>
      </c>
      <c r="C117" s="539" t="s">
        <v>627</v>
      </c>
      <c r="D117" s="539" t="s">
        <v>29</v>
      </c>
      <c r="E117" s="544" t="s">
        <v>880</v>
      </c>
      <c r="F117" s="471" t="e">
        <f>LUONGNGAY!$K$36</f>
        <v>#VALUE!</v>
      </c>
      <c r="G117" s="477">
        <v>6.0000000000000001E-3</v>
      </c>
      <c r="H117" s="474" t="e">
        <f t="shared" si="1"/>
        <v>#VALUE!</v>
      </c>
      <c r="I117" s="465"/>
      <c r="J117" s="465"/>
      <c r="K117" s="465"/>
      <c r="L117" s="465"/>
      <c r="M117" s="465"/>
      <c r="N117" s="465"/>
      <c r="O117" s="465"/>
      <c r="P117" s="465"/>
      <c r="Q117" s="465"/>
      <c r="R117" s="465"/>
      <c r="S117" s="465"/>
      <c r="T117" s="465"/>
      <c r="U117" s="465"/>
      <c r="V117" s="465"/>
      <c r="W117" s="465"/>
      <c r="X117" s="465"/>
      <c r="Y117" s="465"/>
      <c r="Z117" s="465"/>
      <c r="AA117" s="465"/>
      <c r="AB117" s="465"/>
    </row>
    <row r="118" spans="1:28" s="466" customFormat="1" ht="23.25" customHeight="1">
      <c r="A118" s="479" t="s">
        <v>889</v>
      </c>
      <c r="B118" s="540" t="s">
        <v>660</v>
      </c>
      <c r="C118" s="539"/>
      <c r="D118" s="539"/>
      <c r="E118" s="539"/>
      <c r="F118" s="471"/>
      <c r="G118" s="477"/>
      <c r="H118" s="474">
        <f t="shared" si="1"/>
        <v>0</v>
      </c>
      <c r="I118" s="465"/>
      <c r="J118" s="465"/>
      <c r="K118" s="465"/>
      <c r="L118" s="465"/>
      <c r="M118" s="465"/>
      <c r="N118" s="465"/>
      <c r="O118" s="465"/>
      <c r="P118" s="465"/>
      <c r="Q118" s="465"/>
      <c r="R118" s="465"/>
      <c r="S118" s="465"/>
      <c r="T118" s="465"/>
      <c r="U118" s="465"/>
      <c r="V118" s="465"/>
      <c r="W118" s="465"/>
      <c r="X118" s="465"/>
      <c r="Y118" s="465"/>
      <c r="Z118" s="465"/>
      <c r="AA118" s="465"/>
      <c r="AB118" s="465"/>
    </row>
    <row r="119" spans="1:28" s="466" customFormat="1" ht="49.5" customHeight="1">
      <c r="A119" s="479" t="s">
        <v>607</v>
      </c>
      <c r="B119" s="540" t="s">
        <v>770</v>
      </c>
      <c r="C119" s="539" t="s">
        <v>979</v>
      </c>
      <c r="D119" s="539" t="s">
        <v>34</v>
      </c>
      <c r="E119" s="544" t="s">
        <v>880</v>
      </c>
      <c r="F119" s="471" t="e">
        <f>LUONGNGAY!$K$35</f>
        <v>#VALUE!</v>
      </c>
      <c r="G119" s="477">
        <v>0.04</v>
      </c>
      <c r="H119" s="474" t="e">
        <f t="shared" si="1"/>
        <v>#VALUE!</v>
      </c>
      <c r="I119" s="465"/>
      <c r="J119" s="465"/>
      <c r="K119" s="465"/>
      <c r="L119" s="465"/>
      <c r="M119" s="465"/>
      <c r="N119" s="465"/>
      <c r="O119" s="465"/>
      <c r="P119" s="465"/>
      <c r="Q119" s="465"/>
      <c r="R119" s="465"/>
      <c r="S119" s="465"/>
      <c r="T119" s="465"/>
      <c r="U119" s="465"/>
      <c r="V119" s="465"/>
      <c r="W119" s="465"/>
      <c r="X119" s="465"/>
      <c r="Y119" s="465"/>
      <c r="Z119" s="465"/>
      <c r="AA119" s="465"/>
      <c r="AB119" s="465"/>
    </row>
    <row r="120" spans="1:28" s="466" customFormat="1" ht="33" customHeight="1">
      <c r="A120" s="479" t="s">
        <v>608</v>
      </c>
      <c r="B120" s="540" t="s">
        <v>771</v>
      </c>
      <c r="C120" s="539" t="s">
        <v>979</v>
      </c>
      <c r="D120" s="539" t="s">
        <v>34</v>
      </c>
      <c r="E120" s="544" t="s">
        <v>880</v>
      </c>
      <c r="F120" s="471" t="e">
        <f>LUONGNGAY!$K$35</f>
        <v>#VALUE!</v>
      </c>
      <c r="G120" s="477">
        <v>0.08</v>
      </c>
      <c r="H120" s="474" t="e">
        <f t="shared" si="1"/>
        <v>#VALUE!</v>
      </c>
      <c r="I120" s="465"/>
      <c r="J120" s="465"/>
      <c r="K120" s="465"/>
      <c r="L120" s="465"/>
      <c r="M120" s="465"/>
      <c r="N120" s="465"/>
      <c r="O120" s="465"/>
      <c r="P120" s="465"/>
      <c r="Q120" s="465"/>
      <c r="R120" s="465"/>
      <c r="S120" s="465"/>
      <c r="T120" s="465"/>
      <c r="U120" s="465"/>
      <c r="V120" s="465"/>
      <c r="W120" s="465"/>
      <c r="X120" s="465"/>
      <c r="Y120" s="465"/>
      <c r="Z120" s="465"/>
      <c r="AA120" s="465"/>
      <c r="AB120" s="465"/>
    </row>
    <row r="121" spans="1:28" s="466" customFormat="1" ht="18.75" customHeight="1">
      <c r="A121" s="479" t="s">
        <v>371</v>
      </c>
      <c r="B121" s="540" t="s">
        <v>772</v>
      </c>
      <c r="C121" s="539"/>
      <c r="D121" s="539"/>
      <c r="E121" s="539"/>
      <c r="F121" s="471"/>
      <c r="G121" s="477"/>
      <c r="H121" s="474"/>
      <c r="I121" s="465"/>
      <c r="J121" s="465"/>
      <c r="K121" s="465"/>
      <c r="L121" s="465"/>
      <c r="M121" s="465"/>
      <c r="N121" s="465"/>
      <c r="O121" s="465"/>
      <c r="P121" s="465"/>
      <c r="Q121" s="465"/>
      <c r="R121" s="465"/>
      <c r="S121" s="465"/>
      <c r="T121" s="465"/>
      <c r="U121" s="465"/>
      <c r="V121" s="465"/>
      <c r="W121" s="465"/>
      <c r="X121" s="465"/>
      <c r="Y121" s="465"/>
      <c r="Z121" s="465"/>
      <c r="AA121" s="465"/>
      <c r="AB121" s="465"/>
    </row>
    <row r="122" spans="1:28" s="466" customFormat="1" ht="18.75" customHeight="1">
      <c r="A122" s="479" t="s">
        <v>444</v>
      </c>
      <c r="B122" s="540" t="s">
        <v>773</v>
      </c>
      <c r="C122" s="539" t="s">
        <v>979</v>
      </c>
      <c r="D122" s="539" t="s">
        <v>29</v>
      </c>
      <c r="E122" s="544" t="s">
        <v>880</v>
      </c>
      <c r="F122" s="471" t="e">
        <f>LUONGNGAY!$K$36</f>
        <v>#VALUE!</v>
      </c>
      <c r="G122" s="477">
        <v>0.05</v>
      </c>
      <c r="H122" s="474" t="e">
        <f t="shared" si="1"/>
        <v>#VALUE!</v>
      </c>
      <c r="I122" s="465"/>
      <c r="J122" s="465"/>
      <c r="K122" s="465"/>
      <c r="L122" s="465"/>
      <c r="M122" s="465"/>
      <c r="N122" s="465"/>
      <c r="O122" s="465"/>
      <c r="P122" s="465"/>
      <c r="Q122" s="465"/>
      <c r="R122" s="465"/>
      <c r="S122" s="465"/>
      <c r="T122" s="465"/>
      <c r="U122" s="465"/>
      <c r="V122" s="465"/>
      <c r="W122" s="465"/>
      <c r="X122" s="465"/>
      <c r="Y122" s="465"/>
      <c r="Z122" s="465"/>
      <c r="AA122" s="465"/>
      <c r="AB122" s="465"/>
    </row>
    <row r="123" spans="1:28" s="466" customFormat="1" ht="18.75" customHeight="1">
      <c r="A123" s="479" t="s">
        <v>445</v>
      </c>
      <c r="B123" s="540" t="s">
        <v>774</v>
      </c>
      <c r="C123" s="539" t="s">
        <v>979</v>
      </c>
      <c r="D123" s="539" t="s">
        <v>29</v>
      </c>
      <c r="E123" s="544" t="s">
        <v>880</v>
      </c>
      <c r="F123" s="471" t="e">
        <f>LUONGNGAY!$K$36</f>
        <v>#VALUE!</v>
      </c>
      <c r="G123" s="477">
        <v>0.06</v>
      </c>
      <c r="H123" s="474" t="e">
        <f t="shared" si="1"/>
        <v>#VALUE!</v>
      </c>
      <c r="I123" s="465"/>
      <c r="J123" s="465"/>
      <c r="K123" s="465"/>
      <c r="L123" s="465"/>
      <c r="M123" s="465"/>
      <c r="N123" s="465"/>
      <c r="O123" s="465"/>
      <c r="P123" s="465"/>
      <c r="Q123" s="465"/>
      <c r="R123" s="465"/>
      <c r="S123" s="465"/>
      <c r="T123" s="465"/>
      <c r="U123" s="465"/>
      <c r="V123" s="465"/>
      <c r="W123" s="465"/>
      <c r="X123" s="465"/>
      <c r="Y123" s="465"/>
      <c r="Z123" s="465"/>
      <c r="AA123" s="465"/>
      <c r="AB123" s="465"/>
    </row>
    <row r="124" spans="1:28" s="466" customFormat="1" ht="18" customHeight="1">
      <c r="A124" s="479" t="s">
        <v>372</v>
      </c>
      <c r="B124" s="540" t="s">
        <v>775</v>
      </c>
      <c r="C124" s="539"/>
      <c r="D124" s="539"/>
      <c r="E124" s="539"/>
      <c r="F124" s="471"/>
      <c r="G124" s="477"/>
      <c r="H124" s="474"/>
      <c r="I124" s="465"/>
      <c r="J124" s="465"/>
      <c r="K124" s="465"/>
      <c r="L124" s="465"/>
      <c r="M124" s="465"/>
      <c r="N124" s="465"/>
      <c r="O124" s="465"/>
      <c r="P124" s="465"/>
      <c r="Q124" s="465"/>
      <c r="R124" s="465"/>
      <c r="S124" s="465"/>
      <c r="T124" s="465"/>
      <c r="U124" s="465"/>
      <c r="V124" s="465"/>
      <c r="W124" s="465"/>
      <c r="X124" s="465"/>
      <c r="Y124" s="465"/>
      <c r="Z124" s="465"/>
      <c r="AA124" s="465"/>
      <c r="AB124" s="465"/>
    </row>
    <row r="125" spans="1:28" s="466" customFormat="1" ht="21" customHeight="1">
      <c r="A125" s="479" t="s">
        <v>872</v>
      </c>
      <c r="B125" s="540" t="s">
        <v>70</v>
      </c>
      <c r="C125" s="539" t="s">
        <v>979</v>
      </c>
      <c r="D125" s="539" t="s">
        <v>34</v>
      </c>
      <c r="E125" s="544" t="s">
        <v>880</v>
      </c>
      <c r="F125" s="471" t="e">
        <f>LUONGNGAY!$K$35</f>
        <v>#VALUE!</v>
      </c>
      <c r="G125" s="477">
        <v>0.06</v>
      </c>
      <c r="H125" s="474" t="e">
        <f t="shared" si="1"/>
        <v>#VALUE!</v>
      </c>
      <c r="I125" s="465"/>
      <c r="J125" s="465"/>
      <c r="K125" s="465"/>
      <c r="L125" s="465"/>
      <c r="M125" s="465"/>
      <c r="N125" s="465"/>
      <c r="O125" s="465"/>
      <c r="P125" s="465"/>
      <c r="Q125" s="465"/>
      <c r="R125" s="465"/>
      <c r="S125" s="465"/>
      <c r="T125" s="465"/>
      <c r="U125" s="465"/>
      <c r="V125" s="465"/>
      <c r="W125" s="465"/>
      <c r="X125" s="465"/>
      <c r="Y125" s="465"/>
      <c r="Z125" s="465"/>
      <c r="AA125" s="465"/>
      <c r="AB125" s="465"/>
    </row>
    <row r="126" spans="1:28" s="466" customFormat="1" ht="52.9" customHeight="1">
      <c r="A126" s="479" t="s">
        <v>873</v>
      </c>
      <c r="B126" s="540" t="s">
        <v>777</v>
      </c>
      <c r="C126" s="539" t="s">
        <v>979</v>
      </c>
      <c r="D126" s="539" t="s">
        <v>34</v>
      </c>
      <c r="E126" s="544" t="s">
        <v>880</v>
      </c>
      <c r="F126" s="471" t="e">
        <f>LUONGNGAY!$K$35</f>
        <v>#VALUE!</v>
      </c>
      <c r="G126" s="477">
        <v>0.05</v>
      </c>
      <c r="H126" s="474" t="e">
        <f t="shared" si="1"/>
        <v>#VALUE!</v>
      </c>
      <c r="I126" s="465"/>
      <c r="J126" s="465"/>
      <c r="K126" s="465"/>
      <c r="L126" s="465"/>
      <c r="M126" s="465"/>
      <c r="N126" s="465"/>
      <c r="O126" s="465"/>
      <c r="P126" s="465"/>
      <c r="Q126" s="465"/>
      <c r="R126" s="465"/>
      <c r="S126" s="465"/>
      <c r="T126" s="465"/>
      <c r="U126" s="465"/>
      <c r="V126" s="465"/>
      <c r="W126" s="465"/>
      <c r="X126" s="465"/>
      <c r="Y126" s="465"/>
      <c r="Z126" s="465"/>
      <c r="AA126" s="465"/>
      <c r="AB126" s="465"/>
    </row>
    <row r="127" spans="1:28" s="466" customFormat="1" ht="49.5" customHeight="1">
      <c r="A127" s="479" t="s">
        <v>373</v>
      </c>
      <c r="B127" s="540" t="s">
        <v>211</v>
      </c>
      <c r="C127" s="539" t="s">
        <v>627</v>
      </c>
      <c r="D127" s="539" t="s">
        <v>29</v>
      </c>
      <c r="E127" s="544" t="s">
        <v>880</v>
      </c>
      <c r="F127" s="471" t="e">
        <f>LUONGNGAY!$K$36</f>
        <v>#VALUE!</v>
      </c>
      <c r="G127" s="477">
        <v>0.03</v>
      </c>
      <c r="H127" s="474" t="e">
        <f t="shared" si="1"/>
        <v>#VALUE!</v>
      </c>
      <c r="I127" s="465"/>
      <c r="J127" s="465"/>
      <c r="K127" s="465"/>
      <c r="L127" s="465"/>
      <c r="M127" s="465"/>
      <c r="N127" s="465"/>
      <c r="O127" s="465"/>
      <c r="P127" s="465"/>
      <c r="Q127" s="465"/>
      <c r="R127" s="465"/>
      <c r="S127" s="465"/>
      <c r="T127" s="465"/>
      <c r="U127" s="465"/>
      <c r="V127" s="465"/>
      <c r="W127" s="465"/>
      <c r="X127" s="465"/>
      <c r="Y127" s="465"/>
      <c r="Z127" s="465"/>
      <c r="AA127" s="465"/>
      <c r="AB127" s="465"/>
    </row>
    <row r="128" spans="1:28" s="466" customFormat="1" ht="26.45" customHeight="1">
      <c r="A128" s="479" t="s">
        <v>376</v>
      </c>
      <c r="B128" s="540" t="s">
        <v>978</v>
      </c>
      <c r="C128" s="539" t="s">
        <v>212</v>
      </c>
      <c r="D128" s="539" t="s">
        <v>29</v>
      </c>
      <c r="E128" s="544" t="s">
        <v>880</v>
      </c>
      <c r="F128" s="471" t="e">
        <f>LUONGNGAY!$K$36</f>
        <v>#VALUE!</v>
      </c>
      <c r="G128" s="477">
        <v>0.2</v>
      </c>
      <c r="H128" s="474" t="e">
        <f t="shared" si="1"/>
        <v>#VALUE!</v>
      </c>
      <c r="I128" s="465"/>
      <c r="J128" s="465"/>
      <c r="K128" s="465"/>
      <c r="L128" s="465"/>
      <c r="M128" s="465"/>
      <c r="N128" s="465"/>
      <c r="O128" s="465"/>
      <c r="P128" s="465"/>
      <c r="Q128" s="465"/>
      <c r="R128" s="465"/>
      <c r="S128" s="465"/>
      <c r="T128" s="465"/>
      <c r="U128" s="465"/>
      <c r="V128" s="465"/>
      <c r="W128" s="465"/>
      <c r="X128" s="465"/>
      <c r="Y128" s="465"/>
      <c r="Z128" s="465"/>
      <c r="AA128" s="465"/>
      <c r="AB128" s="465"/>
    </row>
    <row r="129" spans="1:28" s="466" customFormat="1" ht="32.25" customHeight="1">
      <c r="A129" s="479" t="s">
        <v>377</v>
      </c>
      <c r="B129" s="540" t="s">
        <v>213</v>
      </c>
      <c r="C129" s="539"/>
      <c r="D129" s="539"/>
      <c r="E129" s="539"/>
      <c r="F129" s="471"/>
      <c r="G129" s="477"/>
      <c r="H129" s="474"/>
      <c r="I129" s="465"/>
      <c r="J129" s="465"/>
      <c r="K129" s="465"/>
      <c r="L129" s="465"/>
      <c r="M129" s="465"/>
      <c r="N129" s="465"/>
      <c r="O129" s="465"/>
      <c r="P129" s="465"/>
      <c r="Q129" s="465"/>
      <c r="R129" s="465"/>
      <c r="S129" s="465"/>
      <c r="T129" s="465"/>
      <c r="U129" s="465"/>
      <c r="V129" s="465"/>
      <c r="W129" s="465"/>
      <c r="X129" s="465"/>
      <c r="Y129" s="465"/>
      <c r="Z129" s="465"/>
      <c r="AA129" s="465"/>
      <c r="AB129" s="465"/>
    </row>
    <row r="130" spans="1:28" s="466" customFormat="1" ht="30.75" customHeight="1">
      <c r="A130" s="479" t="s">
        <v>601</v>
      </c>
      <c r="B130" s="540" t="s">
        <v>215</v>
      </c>
      <c r="C130" s="539" t="s">
        <v>320</v>
      </c>
      <c r="D130" s="539" t="s">
        <v>34</v>
      </c>
      <c r="E130" s="544" t="s">
        <v>880</v>
      </c>
      <c r="F130" s="471" t="e">
        <f>LUONGNGAY!$K$35</f>
        <v>#VALUE!</v>
      </c>
      <c r="G130" s="477">
        <v>0.05</v>
      </c>
      <c r="H130" s="474" t="e">
        <f t="shared" si="1"/>
        <v>#VALUE!</v>
      </c>
      <c r="I130" s="465"/>
      <c r="J130" s="465"/>
      <c r="K130" s="465"/>
      <c r="L130" s="465"/>
      <c r="M130" s="465"/>
      <c r="N130" s="465"/>
      <c r="O130" s="465"/>
      <c r="P130" s="465"/>
      <c r="Q130" s="465"/>
      <c r="R130" s="465"/>
      <c r="S130" s="465"/>
      <c r="T130" s="465"/>
      <c r="U130" s="465"/>
      <c r="V130" s="465"/>
      <c r="W130" s="465"/>
      <c r="X130" s="465"/>
      <c r="Y130" s="465"/>
      <c r="Z130" s="465"/>
      <c r="AA130" s="465"/>
      <c r="AB130" s="465"/>
    </row>
    <row r="131" spans="1:28" s="466" customFormat="1" ht="28.9" customHeight="1">
      <c r="A131" s="479" t="s">
        <v>602</v>
      </c>
      <c r="B131" s="540" t="s">
        <v>217</v>
      </c>
      <c r="C131" s="539" t="s">
        <v>320</v>
      </c>
      <c r="D131" s="539" t="s">
        <v>34</v>
      </c>
      <c r="E131" s="544" t="s">
        <v>880</v>
      </c>
      <c r="F131" s="471" t="e">
        <f>LUONGNGAY!$K$35</f>
        <v>#VALUE!</v>
      </c>
      <c r="G131" s="477">
        <v>0.1</v>
      </c>
      <c r="H131" s="474" t="e">
        <f t="shared" si="1"/>
        <v>#VALUE!</v>
      </c>
      <c r="I131" s="465"/>
      <c r="J131" s="465"/>
      <c r="K131" s="465"/>
      <c r="L131" s="465"/>
      <c r="M131" s="465"/>
      <c r="N131" s="465"/>
      <c r="O131" s="465"/>
      <c r="P131" s="465"/>
      <c r="Q131" s="465"/>
      <c r="R131" s="465"/>
      <c r="S131" s="465"/>
      <c r="T131" s="465"/>
      <c r="U131" s="465"/>
      <c r="V131" s="465"/>
      <c r="W131" s="465"/>
      <c r="X131" s="465"/>
      <c r="Y131" s="465"/>
      <c r="Z131" s="465"/>
      <c r="AA131" s="465"/>
      <c r="AB131" s="465"/>
    </row>
    <row r="132" spans="1:28" s="466" customFormat="1" ht="30.6" customHeight="1">
      <c r="A132" s="479" t="s">
        <v>378</v>
      </c>
      <c r="B132" s="540" t="s">
        <v>218</v>
      </c>
      <c r="C132" s="539" t="s">
        <v>979</v>
      </c>
      <c r="D132" s="539" t="s">
        <v>34</v>
      </c>
      <c r="E132" s="544" t="s">
        <v>880</v>
      </c>
      <c r="F132" s="471" t="e">
        <f>LUONGNGAY!$K$35</f>
        <v>#VALUE!</v>
      </c>
      <c r="G132" s="477">
        <v>0.04</v>
      </c>
      <c r="H132" s="474" t="e">
        <f t="shared" si="1"/>
        <v>#VALUE!</v>
      </c>
      <c r="I132" s="465"/>
      <c r="J132" s="465"/>
      <c r="K132" s="465"/>
      <c r="L132" s="465"/>
      <c r="M132" s="465"/>
      <c r="N132" s="465"/>
      <c r="O132" s="465"/>
      <c r="P132" s="465"/>
      <c r="Q132" s="465"/>
      <c r="R132" s="465"/>
      <c r="S132" s="465"/>
      <c r="T132" s="465"/>
      <c r="U132" s="465"/>
      <c r="V132" s="465"/>
      <c r="W132" s="465"/>
      <c r="X132" s="465"/>
      <c r="Y132" s="465"/>
      <c r="Z132" s="465"/>
      <c r="AA132" s="465"/>
      <c r="AB132" s="465"/>
    </row>
    <row r="133" spans="1:28" s="466" customFormat="1" ht="34.5" customHeight="1">
      <c r="A133" s="479" t="s">
        <v>379</v>
      </c>
      <c r="B133" s="540" t="s">
        <v>219</v>
      </c>
      <c r="C133" s="539" t="s">
        <v>979</v>
      </c>
      <c r="D133" s="539" t="s">
        <v>34</v>
      </c>
      <c r="E133" s="544" t="s">
        <v>880</v>
      </c>
      <c r="F133" s="471" t="e">
        <f>LUONGNGAY!$K$35</f>
        <v>#VALUE!</v>
      </c>
      <c r="G133" s="477">
        <v>0.02</v>
      </c>
      <c r="H133" s="474" t="e">
        <f t="shared" si="1"/>
        <v>#VALUE!</v>
      </c>
      <c r="I133" s="465"/>
      <c r="J133" s="465"/>
      <c r="K133" s="465"/>
      <c r="L133" s="465"/>
      <c r="M133" s="465"/>
      <c r="N133" s="465"/>
      <c r="O133" s="465"/>
      <c r="P133" s="465"/>
      <c r="Q133" s="465"/>
      <c r="R133" s="465"/>
      <c r="S133" s="465"/>
      <c r="T133" s="465"/>
      <c r="U133" s="465"/>
      <c r="V133" s="465"/>
      <c r="W133" s="465"/>
      <c r="X133" s="465"/>
      <c r="Y133" s="465"/>
      <c r="Z133" s="465"/>
      <c r="AA133" s="465"/>
      <c r="AB133" s="465"/>
    </row>
    <row r="134" spans="1:28" s="466" customFormat="1" ht="36" customHeight="1">
      <c r="A134" s="479" t="s">
        <v>380</v>
      </c>
      <c r="B134" s="540" t="s">
        <v>220</v>
      </c>
      <c r="C134" s="539" t="s">
        <v>627</v>
      </c>
      <c r="D134" s="539" t="s">
        <v>29</v>
      </c>
      <c r="E134" s="544" t="s">
        <v>880</v>
      </c>
      <c r="F134" s="471" t="e">
        <f>LUONGNGAY!$K$36</f>
        <v>#VALUE!</v>
      </c>
      <c r="G134" s="477">
        <v>3.3000000000000002E-2</v>
      </c>
      <c r="H134" s="474" t="e">
        <f t="shared" si="1"/>
        <v>#VALUE!</v>
      </c>
      <c r="I134" s="465"/>
      <c r="J134" s="465"/>
      <c r="K134" s="465"/>
      <c r="L134" s="465"/>
      <c r="M134" s="465"/>
      <c r="N134" s="465"/>
      <c r="O134" s="465"/>
      <c r="P134" s="465"/>
      <c r="Q134" s="465"/>
      <c r="R134" s="465"/>
      <c r="S134" s="465"/>
      <c r="T134" s="465"/>
      <c r="U134" s="465"/>
      <c r="V134" s="465"/>
      <c r="W134" s="465"/>
      <c r="X134" s="465"/>
      <c r="Y134" s="465"/>
      <c r="Z134" s="465"/>
      <c r="AA134" s="465"/>
      <c r="AB134" s="465"/>
    </row>
    <row r="135" spans="1:28" s="466" customFormat="1" ht="29.25" customHeight="1">
      <c r="A135" s="479" t="s">
        <v>603</v>
      </c>
      <c r="B135" s="540" t="s">
        <v>71</v>
      </c>
      <c r="C135" s="539"/>
      <c r="D135" s="539"/>
      <c r="E135" s="539"/>
      <c r="F135" s="471"/>
      <c r="G135" s="477"/>
      <c r="H135" s="474"/>
      <c r="I135" s="465"/>
      <c r="J135" s="465"/>
      <c r="K135" s="465"/>
      <c r="L135" s="465"/>
      <c r="M135" s="465"/>
      <c r="N135" s="465"/>
      <c r="O135" s="465"/>
      <c r="P135" s="465"/>
      <c r="Q135" s="465"/>
      <c r="R135" s="465"/>
      <c r="S135" s="465"/>
      <c r="T135" s="465"/>
      <c r="U135" s="465"/>
      <c r="V135" s="465"/>
      <c r="W135" s="465"/>
      <c r="X135" s="465"/>
      <c r="Y135" s="465"/>
      <c r="Z135" s="465"/>
      <c r="AA135" s="465"/>
      <c r="AB135" s="465"/>
    </row>
    <row r="136" spans="1:28" ht="24.75">
      <c r="A136" s="479" t="s">
        <v>47</v>
      </c>
      <c r="B136" s="540" t="s">
        <v>931</v>
      </c>
      <c r="C136" s="539"/>
      <c r="D136" s="539"/>
      <c r="E136" s="539"/>
      <c r="F136" s="489"/>
      <c r="G136" s="477"/>
      <c r="H136" s="474"/>
    </row>
    <row r="137" spans="1:28">
      <c r="A137" s="479" t="s">
        <v>932</v>
      </c>
      <c r="B137" s="540" t="s">
        <v>933</v>
      </c>
      <c r="C137" s="539" t="s">
        <v>934</v>
      </c>
      <c r="D137" s="539" t="s">
        <v>935</v>
      </c>
      <c r="E137" s="544" t="s">
        <v>880</v>
      </c>
      <c r="F137" s="471" t="e">
        <f>LUONGNGAY!$K$34</f>
        <v>#VALUE!</v>
      </c>
      <c r="G137" s="477">
        <v>1.6E-2</v>
      </c>
      <c r="H137" s="474" t="e">
        <f t="shared" si="1"/>
        <v>#VALUE!</v>
      </c>
    </row>
    <row r="138" spans="1:28">
      <c r="A138" s="479" t="s">
        <v>936</v>
      </c>
      <c r="B138" s="540" t="s">
        <v>937</v>
      </c>
      <c r="C138" s="539" t="s">
        <v>934</v>
      </c>
      <c r="D138" s="539" t="s">
        <v>935</v>
      </c>
      <c r="E138" s="544" t="s">
        <v>880</v>
      </c>
      <c r="F138" s="471" t="e">
        <f>LUONGNGAY!$K$34</f>
        <v>#VALUE!</v>
      </c>
      <c r="G138" s="477">
        <v>8.0000000000000002E-3</v>
      </c>
      <c r="H138" s="474" t="e">
        <f t="shared" si="1"/>
        <v>#VALUE!</v>
      </c>
    </row>
    <row r="139" spans="1:28" ht="24.75">
      <c r="A139" s="479" t="s">
        <v>938</v>
      </c>
      <c r="B139" s="540" t="s">
        <v>48</v>
      </c>
      <c r="C139" s="539" t="s">
        <v>934</v>
      </c>
      <c r="D139" s="539" t="s">
        <v>935</v>
      </c>
      <c r="E139" s="544" t="s">
        <v>880</v>
      </c>
      <c r="F139" s="471" t="e">
        <f>LUONGNGAY!$K$34</f>
        <v>#VALUE!</v>
      </c>
      <c r="G139" s="477">
        <v>4.0000000000000001E-3</v>
      </c>
      <c r="H139" s="474" t="e">
        <f t="shared" si="1"/>
        <v>#VALUE!</v>
      </c>
    </row>
    <row r="140" spans="1:28">
      <c r="A140" s="479" t="s">
        <v>49</v>
      </c>
      <c r="B140" s="540" t="s">
        <v>50</v>
      </c>
      <c r="C140" s="539" t="s">
        <v>627</v>
      </c>
      <c r="D140" s="539" t="s">
        <v>935</v>
      </c>
      <c r="E140" s="544" t="s">
        <v>880</v>
      </c>
      <c r="F140" s="471" t="e">
        <f>LUONGNGAY!$K$34</f>
        <v>#VALUE!</v>
      </c>
      <c r="G140" s="477">
        <v>0.01</v>
      </c>
      <c r="H140" s="474" t="e">
        <f t="shared" si="1"/>
        <v>#VALUE!</v>
      </c>
    </row>
    <row r="141" spans="1:28" ht="24.75">
      <c r="A141" s="479" t="s">
        <v>604</v>
      </c>
      <c r="B141" s="540" t="s">
        <v>273</v>
      </c>
      <c r="C141" s="539" t="s">
        <v>979</v>
      </c>
      <c r="D141" s="539" t="s">
        <v>34</v>
      </c>
      <c r="E141" s="544" t="s">
        <v>880</v>
      </c>
      <c r="F141" s="471" t="e">
        <f>LUONGNGAY!$K$35</f>
        <v>#VALUE!</v>
      </c>
      <c r="G141" s="477">
        <v>0.05</v>
      </c>
      <c r="H141" s="474" t="e">
        <f t="shared" si="1"/>
        <v>#VALUE!</v>
      </c>
    </row>
    <row r="142" spans="1:28">
      <c r="A142" s="479" t="s">
        <v>605</v>
      </c>
      <c r="B142" s="540" t="s">
        <v>274</v>
      </c>
      <c r="C142" s="539" t="s">
        <v>275</v>
      </c>
      <c r="D142" s="539" t="s">
        <v>34</v>
      </c>
      <c r="E142" s="544" t="s">
        <v>880</v>
      </c>
      <c r="F142" s="471" t="e">
        <f>LUONGNGAY!$K$35</f>
        <v>#VALUE!</v>
      </c>
      <c r="G142" s="477">
        <v>8</v>
      </c>
      <c r="H142" s="474" t="e">
        <f t="shared" si="1"/>
        <v>#VALUE!</v>
      </c>
    </row>
    <row r="143" spans="1:28">
      <c r="A143" s="479" t="s">
        <v>913</v>
      </c>
      <c r="B143" s="538" t="s">
        <v>1057</v>
      </c>
      <c r="C143" s="539"/>
      <c r="D143" s="539"/>
      <c r="E143" s="539"/>
      <c r="F143" s="489"/>
      <c r="G143" s="477"/>
      <c r="H143" s="474"/>
    </row>
    <row r="144" spans="1:28">
      <c r="A144" s="479" t="s">
        <v>885</v>
      </c>
      <c r="B144" s="540" t="s">
        <v>279</v>
      </c>
      <c r="C144" s="539"/>
      <c r="D144" s="539"/>
      <c r="E144" s="539"/>
      <c r="F144" s="489"/>
      <c r="G144" s="477"/>
      <c r="H144" s="474"/>
    </row>
    <row r="145" spans="1:9">
      <c r="A145" s="479" t="s">
        <v>891</v>
      </c>
      <c r="B145" s="540" t="s">
        <v>1058</v>
      </c>
      <c r="C145" s="539" t="s">
        <v>276</v>
      </c>
      <c r="D145" s="539" t="s">
        <v>1060</v>
      </c>
      <c r="E145" s="544" t="s">
        <v>880</v>
      </c>
      <c r="F145" s="471" t="e">
        <f>LUONGNGAY!$K$37</f>
        <v>#VALUE!</v>
      </c>
      <c r="G145" s="477">
        <v>300</v>
      </c>
      <c r="H145" s="474" t="e">
        <f>G145*F145</f>
        <v>#VALUE!</v>
      </c>
    </row>
    <row r="146" spans="1:9">
      <c r="A146" s="479" t="s">
        <v>899</v>
      </c>
      <c r="B146" s="540" t="s">
        <v>491</v>
      </c>
      <c r="C146" s="539" t="s">
        <v>627</v>
      </c>
      <c r="D146" s="539" t="s">
        <v>1060</v>
      </c>
      <c r="E146" s="544" t="s">
        <v>880</v>
      </c>
      <c r="F146" s="471" t="e">
        <f>LUONGNGAY!$K$37</f>
        <v>#VALUE!</v>
      </c>
      <c r="G146" s="477">
        <v>0.01</v>
      </c>
      <c r="H146" s="474" t="e">
        <f t="shared" si="1"/>
        <v>#VALUE!</v>
      </c>
    </row>
    <row r="147" spans="1:9">
      <c r="A147" s="479" t="s">
        <v>886</v>
      </c>
      <c r="B147" s="540" t="s">
        <v>277</v>
      </c>
      <c r="C147" s="539"/>
      <c r="D147" s="539"/>
      <c r="E147" s="539"/>
      <c r="F147" s="489"/>
      <c r="G147" s="477"/>
      <c r="H147" s="474"/>
    </row>
    <row r="148" spans="1:9">
      <c r="A148" s="479" t="s">
        <v>900</v>
      </c>
      <c r="B148" s="540" t="s">
        <v>493</v>
      </c>
      <c r="C148" s="539" t="s">
        <v>760</v>
      </c>
      <c r="D148" s="539" t="s">
        <v>1060</v>
      </c>
      <c r="E148" s="544" t="s">
        <v>880</v>
      </c>
      <c r="F148" s="471" t="e">
        <f>LUONGNGAY!$K$37</f>
        <v>#VALUE!</v>
      </c>
      <c r="G148" s="477">
        <v>2.5000000000000001E-2</v>
      </c>
      <c r="H148" s="474" t="e">
        <f>G148*F148</f>
        <v>#VALUE!</v>
      </c>
    </row>
    <row r="149" spans="1:9">
      <c r="A149" s="479" t="s">
        <v>901</v>
      </c>
      <c r="B149" s="540" t="s">
        <v>494</v>
      </c>
      <c r="C149" s="539" t="s">
        <v>276</v>
      </c>
      <c r="D149" s="539" t="s">
        <v>1060</v>
      </c>
      <c r="E149" s="544" t="s">
        <v>880</v>
      </c>
      <c r="F149" s="471" t="e">
        <f>LUONGNGAY!$K$37</f>
        <v>#VALUE!</v>
      </c>
      <c r="G149" s="477">
        <v>2</v>
      </c>
      <c r="H149" s="474" t="e">
        <f>G149*F149</f>
        <v>#VALUE!</v>
      </c>
    </row>
    <row r="150" spans="1:9">
      <c r="A150" s="479" t="s">
        <v>887</v>
      </c>
      <c r="B150" s="540" t="s">
        <v>278</v>
      </c>
      <c r="C150" s="539" t="s">
        <v>275</v>
      </c>
      <c r="D150" s="539" t="s">
        <v>1060</v>
      </c>
      <c r="E150" s="544" t="s">
        <v>880</v>
      </c>
      <c r="F150" s="471" t="e">
        <f>LUONGNGAY!$K$37</f>
        <v>#VALUE!</v>
      </c>
      <c r="G150" s="477">
        <v>8</v>
      </c>
      <c r="H150" s="474" t="e">
        <f>G150*F150</f>
        <v>#VALUE!</v>
      </c>
    </row>
    <row r="151" spans="1:9">
      <c r="A151" s="482"/>
      <c r="B151" s="490"/>
      <c r="C151" s="484"/>
      <c r="D151" s="484"/>
      <c r="E151" s="486"/>
      <c r="F151" s="491"/>
      <c r="G151" s="492"/>
      <c r="H151" s="493"/>
    </row>
    <row r="152" spans="1:9" ht="21.75" customHeight="1">
      <c r="A152" s="482"/>
      <c r="B152" s="483"/>
      <c r="C152" s="484"/>
      <c r="D152" s="484"/>
      <c r="E152" s="482"/>
      <c r="F152" s="485"/>
      <c r="G152" s="486"/>
      <c r="H152" s="487"/>
    </row>
    <row r="153" spans="1:9">
      <c r="A153" s="1194" t="s">
        <v>450</v>
      </c>
      <c r="B153" s="1194"/>
      <c r="C153" s="1194"/>
      <c r="D153" s="1194"/>
      <c r="E153" s="1194"/>
      <c r="F153" s="1194"/>
      <c r="G153" s="1194"/>
      <c r="H153" s="1194"/>
    </row>
    <row r="154" spans="1:9">
      <c r="A154" s="459"/>
      <c r="B154" s="460"/>
      <c r="E154" s="462"/>
      <c r="F154" s="463"/>
      <c r="G154" s="462"/>
      <c r="H154" s="464"/>
    </row>
    <row r="155" spans="1:9" ht="25.5">
      <c r="A155" s="467" t="s">
        <v>158</v>
      </c>
      <c r="B155" s="467" t="s">
        <v>381</v>
      </c>
      <c r="C155" s="468" t="s">
        <v>625</v>
      </c>
      <c r="D155" s="468" t="s">
        <v>624</v>
      </c>
      <c r="E155" s="468" t="s">
        <v>382</v>
      </c>
      <c r="F155" s="469" t="s">
        <v>629</v>
      </c>
      <c r="G155" s="468" t="s">
        <v>628</v>
      </c>
      <c r="H155" s="468" t="s">
        <v>383</v>
      </c>
      <c r="I155" s="494"/>
    </row>
    <row r="156" spans="1:9">
      <c r="A156" s="545" t="s">
        <v>179</v>
      </c>
      <c r="B156" s="538" t="s">
        <v>606</v>
      </c>
      <c r="C156" s="539"/>
      <c r="D156" s="539"/>
      <c r="E156" s="539"/>
      <c r="F156" s="546"/>
      <c r="G156" s="545"/>
      <c r="H156" s="545"/>
      <c r="I156" s="547"/>
    </row>
    <row r="157" spans="1:9">
      <c r="A157" s="539">
        <v>1</v>
      </c>
      <c r="B157" s="540" t="s">
        <v>31</v>
      </c>
      <c r="C157" s="539"/>
      <c r="D157" s="539"/>
      <c r="E157" s="539"/>
      <c r="F157" s="546"/>
      <c r="G157" s="545"/>
      <c r="H157" s="545"/>
      <c r="I157" s="494"/>
    </row>
    <row r="158" spans="1:9">
      <c r="A158" s="539" t="s">
        <v>891</v>
      </c>
      <c r="B158" s="540" t="s">
        <v>33</v>
      </c>
      <c r="C158" s="539" t="s">
        <v>979</v>
      </c>
      <c r="D158" s="539" t="s">
        <v>34</v>
      </c>
      <c r="E158" s="544" t="s">
        <v>881</v>
      </c>
      <c r="F158" s="495" t="e">
        <f>LUONGNGAY!$K$35</f>
        <v>#VALUE!</v>
      </c>
      <c r="G158" s="539">
        <v>0.2</v>
      </c>
      <c r="H158" s="474" t="e">
        <f>F158*G158</f>
        <v>#VALUE!</v>
      </c>
      <c r="I158" s="548"/>
    </row>
    <row r="159" spans="1:9">
      <c r="A159" s="539" t="s">
        <v>899</v>
      </c>
      <c r="B159" s="540" t="s">
        <v>36</v>
      </c>
      <c r="C159" s="539" t="s">
        <v>979</v>
      </c>
      <c r="D159" s="539" t="s">
        <v>34</v>
      </c>
      <c r="E159" s="544" t="s">
        <v>881</v>
      </c>
      <c r="F159" s="495" t="e">
        <f>LUONGNGAY!$K$35</f>
        <v>#VALUE!</v>
      </c>
      <c r="G159" s="539">
        <v>0.15</v>
      </c>
      <c r="H159" s="474" t="e">
        <f t="shared" ref="H159:H222" si="2">F159*G159</f>
        <v>#VALUE!</v>
      </c>
      <c r="I159" s="548"/>
    </row>
    <row r="160" spans="1:9" ht="24.75">
      <c r="A160" s="539">
        <v>2</v>
      </c>
      <c r="B160" s="540" t="s">
        <v>37</v>
      </c>
      <c r="C160" s="539" t="s">
        <v>979</v>
      </c>
      <c r="D160" s="539" t="s">
        <v>34</v>
      </c>
      <c r="E160" s="544" t="s">
        <v>881</v>
      </c>
      <c r="F160" s="495" t="e">
        <f>LUONGNGAY!$K$35</f>
        <v>#VALUE!</v>
      </c>
      <c r="G160" s="539">
        <v>0.1</v>
      </c>
      <c r="H160" s="474" t="e">
        <f t="shared" si="2"/>
        <v>#VALUE!</v>
      </c>
      <c r="I160" s="548"/>
    </row>
    <row r="161" spans="1:9" ht="24.75">
      <c r="A161" s="539">
        <v>3</v>
      </c>
      <c r="B161" s="540" t="s">
        <v>38</v>
      </c>
      <c r="C161" s="539" t="s">
        <v>627</v>
      </c>
      <c r="D161" s="539" t="s">
        <v>29</v>
      </c>
      <c r="E161" s="544" t="s">
        <v>881</v>
      </c>
      <c r="F161" s="471" t="e">
        <f>LUONGNGAY!$K$36</f>
        <v>#VALUE!</v>
      </c>
      <c r="G161" s="539">
        <v>0.107</v>
      </c>
      <c r="H161" s="474" t="e">
        <f t="shared" si="2"/>
        <v>#VALUE!</v>
      </c>
      <c r="I161" s="548"/>
    </row>
    <row r="162" spans="1:9">
      <c r="A162" s="1201">
        <v>4</v>
      </c>
      <c r="B162" s="1202" t="s">
        <v>39</v>
      </c>
      <c r="C162" s="1201" t="s">
        <v>979</v>
      </c>
      <c r="D162" s="1201" t="s">
        <v>1077</v>
      </c>
      <c r="E162" s="1193">
        <v>1</v>
      </c>
      <c r="F162" s="471" t="e">
        <f>(LUONGNGAY!$K$35+LUONGNGAY!$K$44)/2</f>
        <v>#VALUE!</v>
      </c>
      <c r="G162" s="549">
        <f>0.9*2</f>
        <v>1.8</v>
      </c>
      <c r="H162" s="474" t="e">
        <f t="shared" si="2"/>
        <v>#VALUE!</v>
      </c>
      <c r="I162" s="550"/>
    </row>
    <row r="163" spans="1:9" ht="15.75" customHeight="1">
      <c r="A163" s="1201"/>
      <c r="B163" s="1202"/>
      <c r="C163" s="1201"/>
      <c r="D163" s="1201"/>
      <c r="E163" s="1193"/>
      <c r="F163" s="471">
        <f>'He so chung'!$D$11</f>
        <v>131000</v>
      </c>
      <c r="G163" s="539">
        <v>0.7</v>
      </c>
      <c r="H163" s="474">
        <f t="shared" si="2"/>
        <v>91700</v>
      </c>
      <c r="I163" s="548"/>
    </row>
    <row r="164" spans="1:9">
      <c r="A164" s="1201"/>
      <c r="B164" s="1202"/>
      <c r="C164" s="1201"/>
      <c r="D164" s="1201"/>
      <c r="E164" s="1193">
        <v>2</v>
      </c>
      <c r="F164" s="471" t="e">
        <f>(LUONGNGAY!$K$37+LUONGNGAY!$K$46)/2</f>
        <v>#VALUE!</v>
      </c>
      <c r="G164" s="549">
        <f>0.99*2</f>
        <v>1.98</v>
      </c>
      <c r="H164" s="474" t="e">
        <f t="shared" si="2"/>
        <v>#VALUE!</v>
      </c>
      <c r="I164" s="550"/>
    </row>
    <row r="165" spans="1:9">
      <c r="A165" s="1201"/>
      <c r="B165" s="1202"/>
      <c r="C165" s="1201"/>
      <c r="D165" s="1201"/>
      <c r="E165" s="1193"/>
      <c r="F165" s="471">
        <f>'He so chung'!$D$11</f>
        <v>131000</v>
      </c>
      <c r="G165" s="539">
        <v>0.77</v>
      </c>
      <c r="H165" s="474">
        <f t="shared" si="2"/>
        <v>100870</v>
      </c>
      <c r="I165" s="548"/>
    </row>
    <row r="166" spans="1:9">
      <c r="A166" s="1201"/>
      <c r="B166" s="1202"/>
      <c r="C166" s="1201"/>
      <c r="D166" s="1201"/>
      <c r="E166" s="1193">
        <v>3</v>
      </c>
      <c r="F166" s="471" t="e">
        <f>(LUONGNGAY!$K$39+LUONGNGAY!$K$48)/2</f>
        <v>#VALUE!</v>
      </c>
      <c r="G166" s="549">
        <f>1.089*2</f>
        <v>2.1779999999999999</v>
      </c>
      <c r="H166" s="474" t="e">
        <f t="shared" si="2"/>
        <v>#VALUE!</v>
      </c>
      <c r="I166" s="550"/>
    </row>
    <row r="167" spans="1:9">
      <c r="A167" s="1201"/>
      <c r="B167" s="1202"/>
      <c r="C167" s="1201"/>
      <c r="D167" s="1201"/>
      <c r="E167" s="1193"/>
      <c r="F167" s="471">
        <f>'He so chung'!$D$11</f>
        <v>131000</v>
      </c>
      <c r="G167" s="539">
        <v>0.84699999999999998</v>
      </c>
      <c r="H167" s="474">
        <f t="shared" si="2"/>
        <v>110957</v>
      </c>
      <c r="I167" s="548"/>
    </row>
    <row r="168" spans="1:9">
      <c r="A168" s="1201"/>
      <c r="B168" s="1202"/>
      <c r="C168" s="1201"/>
      <c r="D168" s="1201"/>
      <c r="E168" s="1193">
        <v>4</v>
      </c>
      <c r="F168" s="471" t="e">
        <f>(LUONGNGAY!$K$41+LUONGNGAY!$K$50)/2</f>
        <v>#VALUE!</v>
      </c>
      <c r="G168" s="549">
        <f>1.198*2</f>
        <v>2.3959999999999999</v>
      </c>
      <c r="H168" s="474" t="e">
        <f t="shared" si="2"/>
        <v>#VALUE!</v>
      </c>
      <c r="I168" s="550"/>
    </row>
    <row r="169" spans="1:9">
      <c r="A169" s="1201"/>
      <c r="B169" s="1202"/>
      <c r="C169" s="1201"/>
      <c r="D169" s="1201"/>
      <c r="E169" s="1193"/>
      <c r="F169" s="471">
        <f>'He so chung'!$D$11</f>
        <v>131000</v>
      </c>
      <c r="G169" s="539">
        <v>0.93200000000000005</v>
      </c>
      <c r="H169" s="474">
        <f>F169*G169</f>
        <v>122092</v>
      </c>
      <c r="I169" s="548"/>
    </row>
    <row r="170" spans="1:9">
      <c r="A170" s="1201"/>
      <c r="B170" s="1202"/>
      <c r="C170" s="1201"/>
      <c r="D170" s="1201"/>
      <c r="E170" s="1193">
        <v>5</v>
      </c>
      <c r="F170" s="471" t="e">
        <f>(LUONGNGAY!$K$43+LUONGNGAY!$K$52)/2</f>
        <v>#VALUE!</v>
      </c>
      <c r="G170" s="549">
        <f>1.312*2</f>
        <v>2.6240000000000001</v>
      </c>
      <c r="H170" s="474" t="e">
        <f t="shared" si="2"/>
        <v>#VALUE!</v>
      </c>
      <c r="I170" s="550"/>
    </row>
    <row r="171" spans="1:9">
      <c r="A171" s="1201"/>
      <c r="B171" s="1202"/>
      <c r="C171" s="1201"/>
      <c r="D171" s="1201"/>
      <c r="E171" s="1193"/>
      <c r="F171" s="471">
        <f>'He so chung'!$D$11</f>
        <v>131000</v>
      </c>
      <c r="G171" s="539">
        <v>1.0249999999999999</v>
      </c>
      <c r="H171" s="474">
        <f t="shared" si="2"/>
        <v>134275</v>
      </c>
      <c r="I171" s="548"/>
    </row>
    <row r="172" spans="1:9">
      <c r="A172" s="539">
        <v>5</v>
      </c>
      <c r="B172" s="540" t="s">
        <v>340</v>
      </c>
      <c r="C172" s="539"/>
      <c r="D172" s="539"/>
      <c r="E172" s="539"/>
      <c r="F172" s="546"/>
      <c r="G172" s="539"/>
      <c r="H172" s="474">
        <f t="shared" si="2"/>
        <v>0</v>
      </c>
      <c r="I172" s="548"/>
    </row>
    <row r="173" spans="1:9">
      <c r="A173" s="539" t="s">
        <v>607</v>
      </c>
      <c r="B173" s="540" t="s">
        <v>33</v>
      </c>
      <c r="C173" s="539" t="s">
        <v>979</v>
      </c>
      <c r="D173" s="539" t="s">
        <v>29</v>
      </c>
      <c r="E173" s="544" t="s">
        <v>881</v>
      </c>
      <c r="F173" s="471" t="e">
        <f>LUONGNGAY!$K$36</f>
        <v>#VALUE!</v>
      </c>
      <c r="G173" s="539">
        <v>0.05</v>
      </c>
      <c r="H173" s="474" t="e">
        <f t="shared" si="2"/>
        <v>#VALUE!</v>
      </c>
      <c r="I173" s="548"/>
    </row>
    <row r="174" spans="1:9">
      <c r="A174" s="539" t="s">
        <v>608</v>
      </c>
      <c r="B174" s="540" t="s">
        <v>36</v>
      </c>
      <c r="C174" s="539" t="s">
        <v>979</v>
      </c>
      <c r="D174" s="539" t="s">
        <v>29</v>
      </c>
      <c r="E174" s="544" t="s">
        <v>881</v>
      </c>
      <c r="F174" s="471" t="e">
        <f>LUONGNGAY!$K$36</f>
        <v>#VALUE!</v>
      </c>
      <c r="G174" s="539">
        <v>2.5000000000000001E-2</v>
      </c>
      <c r="H174" s="474" t="e">
        <f t="shared" si="2"/>
        <v>#VALUE!</v>
      </c>
      <c r="I174" s="548"/>
    </row>
    <row r="175" spans="1:9">
      <c r="A175" s="539">
        <v>6</v>
      </c>
      <c r="B175" s="540" t="s">
        <v>949</v>
      </c>
      <c r="C175" s="539" t="s">
        <v>627</v>
      </c>
      <c r="D175" s="539" t="s">
        <v>29</v>
      </c>
      <c r="E175" s="544" t="s">
        <v>881</v>
      </c>
      <c r="F175" s="471" t="e">
        <f>LUONGNGAY!$K$36</f>
        <v>#VALUE!</v>
      </c>
      <c r="G175" s="539">
        <v>3.0000000000000001E-3</v>
      </c>
      <c r="H175" s="474" t="e">
        <f t="shared" si="2"/>
        <v>#VALUE!</v>
      </c>
      <c r="I175" s="548"/>
    </row>
    <row r="176" spans="1:9">
      <c r="A176" s="539">
        <v>7</v>
      </c>
      <c r="B176" s="540" t="s">
        <v>855</v>
      </c>
      <c r="C176" s="539" t="s">
        <v>979</v>
      </c>
      <c r="D176" s="539" t="s">
        <v>626</v>
      </c>
      <c r="E176" s="544" t="s">
        <v>881</v>
      </c>
      <c r="F176" s="471" t="e">
        <f>LUONGNGAY!$K$44</f>
        <v>#VALUE!</v>
      </c>
      <c r="G176" s="539">
        <v>0.06</v>
      </c>
      <c r="H176" s="474" t="e">
        <f t="shared" si="2"/>
        <v>#VALUE!</v>
      </c>
      <c r="I176" s="548"/>
    </row>
    <row r="177" spans="1:9">
      <c r="A177" s="539">
        <v>8</v>
      </c>
      <c r="B177" s="540" t="s">
        <v>348</v>
      </c>
      <c r="C177" s="539"/>
      <c r="D177" s="539"/>
      <c r="E177" s="539"/>
      <c r="F177" s="546"/>
      <c r="G177" s="539"/>
      <c r="H177" s="474">
        <f>F177*G177</f>
        <v>0</v>
      </c>
      <c r="I177" s="548"/>
    </row>
    <row r="178" spans="1:9">
      <c r="A178" s="539" t="s">
        <v>374</v>
      </c>
      <c r="B178" s="540" t="s">
        <v>33</v>
      </c>
      <c r="C178" s="539" t="s">
        <v>979</v>
      </c>
      <c r="D178" s="539" t="s">
        <v>29</v>
      </c>
      <c r="E178" s="544" t="s">
        <v>881</v>
      </c>
      <c r="F178" s="471" t="e">
        <f>LUONGNGAY!$K$36</f>
        <v>#VALUE!</v>
      </c>
      <c r="G178" s="539">
        <v>0.2</v>
      </c>
      <c r="H178" s="474" t="e">
        <f t="shared" si="2"/>
        <v>#VALUE!</v>
      </c>
      <c r="I178" s="548"/>
    </row>
    <row r="179" spans="1:9">
      <c r="A179" s="539" t="s">
        <v>375</v>
      </c>
      <c r="B179" s="540" t="s">
        <v>36</v>
      </c>
      <c r="C179" s="539" t="s">
        <v>979</v>
      </c>
      <c r="D179" s="539" t="s">
        <v>29</v>
      </c>
      <c r="E179" s="544" t="s">
        <v>881</v>
      </c>
      <c r="F179" s="471" t="e">
        <f>LUONGNGAY!$K$36</f>
        <v>#VALUE!</v>
      </c>
      <c r="G179" s="539">
        <v>0.15</v>
      </c>
      <c r="H179" s="474" t="e">
        <f t="shared" si="2"/>
        <v>#VALUE!</v>
      </c>
      <c r="I179" s="548"/>
    </row>
    <row r="180" spans="1:9">
      <c r="A180" s="539">
        <v>9</v>
      </c>
      <c r="B180" s="540" t="s">
        <v>856</v>
      </c>
      <c r="C180" s="539" t="s">
        <v>979</v>
      </c>
      <c r="D180" s="539" t="s">
        <v>29</v>
      </c>
      <c r="E180" s="544" t="s">
        <v>881</v>
      </c>
      <c r="F180" s="471" t="e">
        <f>LUONGNGAY!$K$36</f>
        <v>#VALUE!</v>
      </c>
      <c r="G180" s="539">
        <v>0.5</v>
      </c>
      <c r="H180" s="474" t="e">
        <f t="shared" si="2"/>
        <v>#VALUE!</v>
      </c>
      <c r="I180" s="548"/>
    </row>
    <row r="181" spans="1:9" ht="36.75">
      <c r="A181" s="539">
        <v>10</v>
      </c>
      <c r="B181" s="540" t="s">
        <v>950</v>
      </c>
      <c r="C181" s="539" t="s">
        <v>979</v>
      </c>
      <c r="D181" s="539" t="s">
        <v>34</v>
      </c>
      <c r="E181" s="544" t="s">
        <v>881</v>
      </c>
      <c r="F181" s="495" t="e">
        <f>LUONGNGAY!$K$35</f>
        <v>#VALUE!</v>
      </c>
      <c r="G181" s="539">
        <v>0.2</v>
      </c>
      <c r="H181" s="474" t="e">
        <f t="shared" si="2"/>
        <v>#VALUE!</v>
      </c>
      <c r="I181" s="548"/>
    </row>
    <row r="182" spans="1:9" ht="24.75">
      <c r="A182" s="539">
        <v>11</v>
      </c>
      <c r="B182" s="540" t="s">
        <v>951</v>
      </c>
      <c r="C182" s="539" t="s">
        <v>979</v>
      </c>
      <c r="D182" s="539" t="s">
        <v>34</v>
      </c>
      <c r="E182" s="544" t="s">
        <v>881</v>
      </c>
      <c r="F182" s="495" t="e">
        <f>LUONGNGAY!$K$35</f>
        <v>#VALUE!</v>
      </c>
      <c r="G182" s="539">
        <v>0.2</v>
      </c>
      <c r="H182" s="474" t="e">
        <f t="shared" si="2"/>
        <v>#VALUE!</v>
      </c>
      <c r="I182" s="548"/>
    </row>
    <row r="183" spans="1:9">
      <c r="A183" s="545" t="s">
        <v>184</v>
      </c>
      <c r="B183" s="538" t="s">
        <v>765</v>
      </c>
      <c r="C183" s="539"/>
      <c r="D183" s="539"/>
      <c r="E183" s="539"/>
      <c r="F183" s="546"/>
      <c r="G183" s="539"/>
      <c r="H183" s="474">
        <f t="shared" si="2"/>
        <v>0</v>
      </c>
      <c r="I183" s="548"/>
    </row>
    <row r="184" spans="1:9">
      <c r="A184" s="539">
        <v>1</v>
      </c>
      <c r="B184" s="540" t="s">
        <v>952</v>
      </c>
      <c r="C184" s="539"/>
      <c r="D184" s="539"/>
      <c r="E184" s="539"/>
      <c r="F184" s="546"/>
      <c r="G184" s="539"/>
      <c r="H184" s="474">
        <f t="shared" si="2"/>
        <v>0</v>
      </c>
      <c r="I184" s="548"/>
    </row>
    <row r="185" spans="1:9" ht="24.75">
      <c r="A185" s="539" t="s">
        <v>891</v>
      </c>
      <c r="B185" s="540" t="s">
        <v>953</v>
      </c>
      <c r="C185" s="539" t="s">
        <v>979</v>
      </c>
      <c r="D185" s="539" t="s">
        <v>34</v>
      </c>
      <c r="E185" s="544" t="s">
        <v>881</v>
      </c>
      <c r="F185" s="495" t="e">
        <f>LUONGNGAY!$K$35</f>
        <v>#VALUE!</v>
      </c>
      <c r="G185" s="539">
        <v>0.1</v>
      </c>
      <c r="H185" s="474" t="e">
        <f t="shared" si="2"/>
        <v>#VALUE!</v>
      </c>
      <c r="I185" s="548"/>
    </row>
    <row r="186" spans="1:9" ht="24.75">
      <c r="A186" s="539" t="s">
        <v>899</v>
      </c>
      <c r="B186" s="540" t="s">
        <v>954</v>
      </c>
      <c r="C186" s="539"/>
      <c r="D186" s="539"/>
      <c r="E186" s="539"/>
      <c r="F186" s="546"/>
      <c r="G186" s="539"/>
      <c r="H186" s="474">
        <f>F186*G186</f>
        <v>0</v>
      </c>
      <c r="I186" s="548"/>
    </row>
    <row r="187" spans="1:9">
      <c r="A187" s="539" t="s">
        <v>955</v>
      </c>
      <c r="B187" s="540" t="s">
        <v>33</v>
      </c>
      <c r="C187" s="539" t="s">
        <v>979</v>
      </c>
      <c r="D187" s="539" t="s">
        <v>34</v>
      </c>
      <c r="E187" s="544" t="s">
        <v>881</v>
      </c>
      <c r="F187" s="495" t="e">
        <f>LUONGNGAY!$K$35</f>
        <v>#VALUE!</v>
      </c>
      <c r="G187" s="539">
        <v>0.5</v>
      </c>
      <c r="H187" s="474" t="e">
        <f t="shared" si="2"/>
        <v>#VALUE!</v>
      </c>
      <c r="I187" s="548"/>
    </row>
    <row r="188" spans="1:9">
      <c r="A188" s="539" t="s">
        <v>956</v>
      </c>
      <c r="B188" s="540" t="s">
        <v>36</v>
      </c>
      <c r="C188" s="539" t="s">
        <v>979</v>
      </c>
      <c r="D188" s="539" t="s">
        <v>34</v>
      </c>
      <c r="E188" s="544" t="s">
        <v>881</v>
      </c>
      <c r="F188" s="495" t="e">
        <f>LUONGNGAY!$K$35</f>
        <v>#VALUE!</v>
      </c>
      <c r="G188" s="539">
        <v>0.25</v>
      </c>
      <c r="H188" s="474" t="e">
        <f t="shared" si="2"/>
        <v>#VALUE!</v>
      </c>
      <c r="I188" s="548"/>
    </row>
    <row r="189" spans="1:9" ht="24.75">
      <c r="A189" s="539">
        <v>2</v>
      </c>
      <c r="B189" s="540" t="s">
        <v>957</v>
      </c>
      <c r="C189" s="539"/>
      <c r="D189" s="539"/>
      <c r="E189" s="539"/>
      <c r="F189" s="546"/>
      <c r="G189" s="539"/>
      <c r="H189" s="474">
        <f t="shared" si="2"/>
        <v>0</v>
      </c>
      <c r="I189" s="548"/>
    </row>
    <row r="190" spans="1:9" ht="19.5" customHeight="1">
      <c r="A190" s="539" t="s">
        <v>900</v>
      </c>
      <c r="B190" s="540" t="s">
        <v>33</v>
      </c>
      <c r="C190" s="539" t="s">
        <v>979</v>
      </c>
      <c r="D190" s="539" t="s">
        <v>34</v>
      </c>
      <c r="E190" s="544" t="s">
        <v>881</v>
      </c>
      <c r="F190" s="495" t="e">
        <f>LUONGNGAY!$K$35</f>
        <v>#VALUE!</v>
      </c>
      <c r="G190" s="539">
        <v>0.05</v>
      </c>
      <c r="H190" s="474" t="e">
        <f t="shared" si="2"/>
        <v>#VALUE!</v>
      </c>
      <c r="I190" s="548"/>
    </row>
    <row r="191" spans="1:9">
      <c r="A191" s="539" t="s">
        <v>901</v>
      </c>
      <c r="B191" s="540" t="s">
        <v>36</v>
      </c>
      <c r="C191" s="539" t="s">
        <v>979</v>
      </c>
      <c r="D191" s="539" t="s">
        <v>34</v>
      </c>
      <c r="E191" s="544" t="s">
        <v>881</v>
      </c>
      <c r="F191" s="495" t="e">
        <f>LUONGNGAY!$K$35</f>
        <v>#VALUE!</v>
      </c>
      <c r="G191" s="539">
        <v>0.05</v>
      </c>
      <c r="H191" s="474" t="e">
        <f t="shared" si="2"/>
        <v>#VALUE!</v>
      </c>
      <c r="I191" s="548"/>
    </row>
    <row r="192" spans="1:9">
      <c r="A192" s="539">
        <v>3</v>
      </c>
      <c r="B192" s="540" t="s">
        <v>767</v>
      </c>
      <c r="C192" s="539" t="s">
        <v>979</v>
      </c>
      <c r="D192" s="539" t="s">
        <v>29</v>
      </c>
      <c r="E192" s="544" t="s">
        <v>881</v>
      </c>
      <c r="F192" s="471" t="e">
        <f>LUONGNGAY!$K$36</f>
        <v>#VALUE!</v>
      </c>
      <c r="G192" s="539">
        <v>0</v>
      </c>
      <c r="H192" s="474" t="e">
        <f t="shared" si="2"/>
        <v>#VALUE!</v>
      </c>
      <c r="I192" s="548"/>
    </row>
    <row r="193" spans="1:9" ht="24.75">
      <c r="A193" s="539">
        <v>4</v>
      </c>
      <c r="B193" s="540" t="s">
        <v>768</v>
      </c>
      <c r="C193" s="539" t="s">
        <v>979</v>
      </c>
      <c r="D193" s="539" t="s">
        <v>29</v>
      </c>
      <c r="E193" s="544" t="s">
        <v>881</v>
      </c>
      <c r="F193" s="471" t="e">
        <f>LUONGNGAY!$K$36</f>
        <v>#VALUE!</v>
      </c>
      <c r="G193" s="539">
        <v>0.5</v>
      </c>
      <c r="H193" s="474" t="e">
        <f t="shared" si="2"/>
        <v>#VALUE!</v>
      </c>
      <c r="I193" s="548"/>
    </row>
    <row r="194" spans="1:9">
      <c r="A194" s="539">
        <v>5</v>
      </c>
      <c r="B194" s="540" t="s">
        <v>69</v>
      </c>
      <c r="C194" s="539" t="s">
        <v>627</v>
      </c>
      <c r="D194" s="539" t="s">
        <v>29</v>
      </c>
      <c r="E194" s="544" t="s">
        <v>881</v>
      </c>
      <c r="F194" s="471" t="e">
        <f>LUONGNGAY!$K$36</f>
        <v>#VALUE!</v>
      </c>
      <c r="G194" s="539">
        <v>6.0000000000000001E-3</v>
      </c>
      <c r="H194" s="474" t="e">
        <f t="shared" si="2"/>
        <v>#VALUE!</v>
      </c>
      <c r="I194" s="548"/>
    </row>
    <row r="195" spans="1:9" ht="36.75">
      <c r="A195" s="539">
        <v>6</v>
      </c>
      <c r="B195" s="540" t="s">
        <v>958</v>
      </c>
      <c r="C195" s="539"/>
      <c r="D195" s="539"/>
      <c r="E195" s="539"/>
      <c r="F195" s="546"/>
      <c r="G195" s="539"/>
      <c r="H195" s="474">
        <f t="shared" si="2"/>
        <v>0</v>
      </c>
      <c r="I195" s="548"/>
    </row>
    <row r="196" spans="1:9">
      <c r="A196" s="539" t="s">
        <v>444</v>
      </c>
      <c r="B196" s="540" t="s">
        <v>770</v>
      </c>
      <c r="C196" s="539" t="s">
        <v>627</v>
      </c>
      <c r="D196" s="539" t="s">
        <v>34</v>
      </c>
      <c r="E196" s="544" t="s">
        <v>881</v>
      </c>
      <c r="F196" s="495" t="e">
        <f>LUONGNGAY!$K$35</f>
        <v>#VALUE!</v>
      </c>
      <c r="G196" s="539">
        <v>0.05</v>
      </c>
      <c r="H196" s="474" t="e">
        <f t="shared" si="2"/>
        <v>#VALUE!</v>
      </c>
      <c r="I196" s="548"/>
    </row>
    <row r="197" spans="1:9">
      <c r="A197" s="539" t="s">
        <v>445</v>
      </c>
      <c r="B197" s="540" t="s">
        <v>771</v>
      </c>
      <c r="C197" s="539" t="s">
        <v>627</v>
      </c>
      <c r="D197" s="539" t="s">
        <v>34</v>
      </c>
      <c r="E197" s="544" t="s">
        <v>881</v>
      </c>
      <c r="F197" s="495" t="e">
        <f>LUONGNGAY!$K$35</f>
        <v>#VALUE!</v>
      </c>
      <c r="G197" s="539">
        <v>0.1</v>
      </c>
      <c r="H197" s="474" t="e">
        <f t="shared" si="2"/>
        <v>#VALUE!</v>
      </c>
      <c r="I197" s="548"/>
    </row>
    <row r="198" spans="1:9" ht="24.75">
      <c r="A198" s="539">
        <v>7</v>
      </c>
      <c r="B198" s="540" t="s">
        <v>772</v>
      </c>
      <c r="C198" s="539"/>
      <c r="D198" s="539"/>
      <c r="E198" s="539"/>
      <c r="F198" s="546"/>
      <c r="G198" s="539"/>
      <c r="H198" s="474">
        <f t="shared" si="2"/>
        <v>0</v>
      </c>
      <c r="I198" s="548"/>
    </row>
    <row r="199" spans="1:9">
      <c r="A199" s="539" t="s">
        <v>872</v>
      </c>
      <c r="B199" s="540" t="s">
        <v>773</v>
      </c>
      <c r="C199" s="539" t="s">
        <v>979</v>
      </c>
      <c r="D199" s="539" t="s">
        <v>29</v>
      </c>
      <c r="E199" s="544" t="s">
        <v>881</v>
      </c>
      <c r="F199" s="471" t="e">
        <f>LUONGNGAY!$K$36</f>
        <v>#VALUE!</v>
      </c>
      <c r="G199" s="539">
        <v>0.1</v>
      </c>
      <c r="H199" s="474" t="e">
        <f t="shared" si="2"/>
        <v>#VALUE!</v>
      </c>
      <c r="I199" s="548"/>
    </row>
    <row r="200" spans="1:9">
      <c r="A200" s="539" t="s">
        <v>873</v>
      </c>
      <c r="B200" s="540" t="s">
        <v>774</v>
      </c>
      <c r="C200" s="539" t="s">
        <v>979</v>
      </c>
      <c r="D200" s="539" t="s">
        <v>29</v>
      </c>
      <c r="E200" s="544" t="s">
        <v>881</v>
      </c>
      <c r="F200" s="471" t="e">
        <f>LUONGNGAY!$K$36</f>
        <v>#VALUE!</v>
      </c>
      <c r="G200" s="539">
        <v>0.2</v>
      </c>
      <c r="H200" s="474" t="e">
        <f t="shared" si="2"/>
        <v>#VALUE!</v>
      </c>
      <c r="I200" s="548"/>
    </row>
    <row r="201" spans="1:9">
      <c r="A201" s="539">
        <v>8</v>
      </c>
      <c r="B201" s="540" t="s">
        <v>959</v>
      </c>
      <c r="C201" s="539"/>
      <c r="D201" s="539"/>
      <c r="E201" s="539"/>
      <c r="F201" s="546"/>
      <c r="G201" s="539"/>
      <c r="H201" s="474">
        <f t="shared" si="2"/>
        <v>0</v>
      </c>
      <c r="I201" s="548"/>
    </row>
    <row r="202" spans="1:9" ht="36.75">
      <c r="A202" s="539" t="s">
        <v>374</v>
      </c>
      <c r="B202" s="540" t="s">
        <v>543</v>
      </c>
      <c r="C202" s="539"/>
      <c r="D202" s="539"/>
      <c r="E202" s="539"/>
      <c r="F202" s="546"/>
      <c r="G202" s="539"/>
      <c r="H202" s="474">
        <f t="shared" si="2"/>
        <v>0</v>
      </c>
      <c r="I202" s="548"/>
    </row>
    <row r="203" spans="1:9">
      <c r="A203" s="539" t="s">
        <v>544</v>
      </c>
      <c r="B203" s="540" t="s">
        <v>33</v>
      </c>
      <c r="C203" s="539" t="s">
        <v>979</v>
      </c>
      <c r="D203" s="539" t="s">
        <v>34</v>
      </c>
      <c r="E203" s="544" t="s">
        <v>881</v>
      </c>
      <c r="F203" s="495" t="e">
        <f>LUONGNGAY!$K$35</f>
        <v>#VALUE!</v>
      </c>
      <c r="G203" s="539">
        <v>0.2</v>
      </c>
      <c r="H203" s="474" t="e">
        <f t="shared" si="2"/>
        <v>#VALUE!</v>
      </c>
      <c r="I203" s="548"/>
    </row>
    <row r="204" spans="1:9">
      <c r="A204" s="539" t="s">
        <v>545</v>
      </c>
      <c r="B204" s="540" t="s">
        <v>36</v>
      </c>
      <c r="C204" s="539" t="s">
        <v>979</v>
      </c>
      <c r="D204" s="539" t="s">
        <v>34</v>
      </c>
      <c r="E204" s="544" t="s">
        <v>881</v>
      </c>
      <c r="F204" s="495" t="e">
        <f>LUONGNGAY!$K$35</f>
        <v>#VALUE!</v>
      </c>
      <c r="G204" s="539">
        <v>0.1</v>
      </c>
      <c r="H204" s="474" t="e">
        <f t="shared" si="2"/>
        <v>#VALUE!</v>
      </c>
      <c r="I204" s="548"/>
    </row>
    <row r="205" spans="1:9" ht="36.75">
      <c r="A205" s="539" t="s">
        <v>375</v>
      </c>
      <c r="B205" s="540" t="s">
        <v>1064</v>
      </c>
      <c r="C205" s="539"/>
      <c r="D205" s="539"/>
      <c r="E205" s="539"/>
      <c r="F205" s="546"/>
      <c r="G205" s="539"/>
      <c r="H205" s="474">
        <f t="shared" si="2"/>
        <v>0</v>
      </c>
      <c r="I205" s="548"/>
    </row>
    <row r="206" spans="1:9">
      <c r="A206" s="539" t="s">
        <v>442</v>
      </c>
      <c r="B206" s="540" t="s">
        <v>33</v>
      </c>
      <c r="C206" s="539" t="s">
        <v>979</v>
      </c>
      <c r="D206" s="539" t="s">
        <v>34</v>
      </c>
      <c r="E206" s="544" t="s">
        <v>881</v>
      </c>
      <c r="F206" s="495" t="e">
        <f>LUONGNGAY!$K$35</f>
        <v>#VALUE!</v>
      </c>
      <c r="G206" s="539">
        <v>0.2</v>
      </c>
      <c r="H206" s="474" t="e">
        <f t="shared" si="2"/>
        <v>#VALUE!</v>
      </c>
      <c r="I206" s="548"/>
    </row>
    <row r="207" spans="1:9">
      <c r="A207" s="539" t="s">
        <v>443</v>
      </c>
      <c r="B207" s="540" t="s">
        <v>36</v>
      </c>
      <c r="C207" s="539" t="s">
        <v>979</v>
      </c>
      <c r="D207" s="539" t="s">
        <v>34</v>
      </c>
      <c r="E207" s="544" t="s">
        <v>881</v>
      </c>
      <c r="F207" s="495" t="e">
        <f>LUONGNGAY!$K$35</f>
        <v>#VALUE!</v>
      </c>
      <c r="G207" s="539">
        <v>0.1</v>
      </c>
      <c r="H207" s="474" t="e">
        <f t="shared" si="2"/>
        <v>#VALUE!</v>
      </c>
      <c r="I207" s="548"/>
    </row>
    <row r="208" spans="1:9">
      <c r="A208" s="539">
        <v>9</v>
      </c>
      <c r="B208" s="540" t="s">
        <v>211</v>
      </c>
      <c r="C208" s="539" t="s">
        <v>627</v>
      </c>
      <c r="D208" s="539" t="s">
        <v>29</v>
      </c>
      <c r="E208" s="544" t="s">
        <v>881</v>
      </c>
      <c r="F208" s="471" t="e">
        <f>LUONGNGAY!$K$36</f>
        <v>#VALUE!</v>
      </c>
      <c r="G208" s="539">
        <v>0.03</v>
      </c>
      <c r="H208" s="474" t="e">
        <f t="shared" si="2"/>
        <v>#VALUE!</v>
      </c>
      <c r="I208" s="548"/>
    </row>
    <row r="209" spans="1:9">
      <c r="A209" s="539">
        <v>10</v>
      </c>
      <c r="B209" s="540" t="s">
        <v>978</v>
      </c>
      <c r="C209" s="539" t="s">
        <v>212</v>
      </c>
      <c r="D209" s="539" t="s">
        <v>29</v>
      </c>
      <c r="E209" s="544" t="s">
        <v>881</v>
      </c>
      <c r="F209" s="471" t="e">
        <f>LUONGNGAY!$K$36</f>
        <v>#VALUE!</v>
      </c>
      <c r="G209" s="539">
        <v>0.2</v>
      </c>
      <c r="H209" s="474" t="e">
        <f t="shared" si="2"/>
        <v>#VALUE!</v>
      </c>
      <c r="I209" s="548"/>
    </row>
    <row r="210" spans="1:9">
      <c r="A210" s="539">
        <v>11</v>
      </c>
      <c r="B210" s="540" t="s">
        <v>213</v>
      </c>
      <c r="C210" s="539"/>
      <c r="D210" s="539"/>
      <c r="E210" s="539"/>
      <c r="F210" s="546"/>
      <c r="G210" s="539"/>
      <c r="H210" s="474">
        <f t="shared" si="2"/>
        <v>0</v>
      </c>
      <c r="I210" s="548"/>
    </row>
    <row r="211" spans="1:9">
      <c r="A211" s="539" t="s">
        <v>877</v>
      </c>
      <c r="B211" s="540" t="s">
        <v>215</v>
      </c>
      <c r="C211" s="539" t="s">
        <v>320</v>
      </c>
      <c r="D211" s="539" t="s">
        <v>34</v>
      </c>
      <c r="E211" s="544" t="s">
        <v>881</v>
      </c>
      <c r="F211" s="495" t="e">
        <f>LUONGNGAY!$K$35</f>
        <v>#VALUE!</v>
      </c>
      <c r="G211" s="539">
        <v>0.1</v>
      </c>
      <c r="H211" s="474" t="e">
        <f t="shared" si="2"/>
        <v>#VALUE!</v>
      </c>
      <c r="I211" s="548"/>
    </row>
    <row r="212" spans="1:9">
      <c r="A212" s="539" t="s">
        <v>878</v>
      </c>
      <c r="B212" s="540" t="s">
        <v>217</v>
      </c>
      <c r="C212" s="539" t="s">
        <v>320</v>
      </c>
      <c r="D212" s="539" t="s">
        <v>34</v>
      </c>
      <c r="E212" s="544" t="s">
        <v>881</v>
      </c>
      <c r="F212" s="495" t="e">
        <f>LUONGNGAY!$K$35</f>
        <v>#VALUE!</v>
      </c>
      <c r="G212" s="539">
        <v>0.15</v>
      </c>
      <c r="H212" s="474" t="e">
        <f t="shared" si="2"/>
        <v>#VALUE!</v>
      </c>
      <c r="I212" s="548"/>
    </row>
    <row r="213" spans="1:9">
      <c r="A213" s="539">
        <v>12</v>
      </c>
      <c r="B213" s="540" t="s">
        <v>218</v>
      </c>
      <c r="C213" s="539" t="s">
        <v>979</v>
      </c>
      <c r="D213" s="539" t="s">
        <v>34</v>
      </c>
      <c r="E213" s="544" t="s">
        <v>881</v>
      </c>
      <c r="F213" s="495" t="e">
        <f>LUONGNGAY!$K$35</f>
        <v>#VALUE!</v>
      </c>
      <c r="G213" s="539">
        <v>0.3</v>
      </c>
      <c r="H213" s="474" t="e">
        <f t="shared" si="2"/>
        <v>#VALUE!</v>
      </c>
      <c r="I213" s="548"/>
    </row>
    <row r="214" spans="1:9" ht="24.75">
      <c r="A214" s="539">
        <v>13</v>
      </c>
      <c r="B214" s="540" t="s">
        <v>1065</v>
      </c>
      <c r="C214" s="539" t="s">
        <v>979</v>
      </c>
      <c r="D214" s="539" t="s">
        <v>34</v>
      </c>
      <c r="E214" s="544" t="s">
        <v>881</v>
      </c>
      <c r="F214" s="495" t="e">
        <f>LUONGNGAY!$K$35</f>
        <v>#VALUE!</v>
      </c>
      <c r="G214" s="539">
        <v>0.17</v>
      </c>
      <c r="H214" s="474" t="e">
        <f t="shared" si="2"/>
        <v>#VALUE!</v>
      </c>
      <c r="I214" s="548"/>
    </row>
    <row r="215" spans="1:9">
      <c r="A215" s="539">
        <v>14</v>
      </c>
      <c r="B215" s="540" t="s">
        <v>220</v>
      </c>
      <c r="C215" s="539" t="s">
        <v>627</v>
      </c>
      <c r="D215" s="539" t="s">
        <v>29</v>
      </c>
      <c r="E215" s="544" t="s">
        <v>881</v>
      </c>
      <c r="F215" s="471" t="e">
        <f>LUONGNGAY!$K$36</f>
        <v>#VALUE!</v>
      </c>
      <c r="G215" s="539">
        <v>3.3000000000000002E-2</v>
      </c>
      <c r="H215" s="474" t="e">
        <f t="shared" si="2"/>
        <v>#VALUE!</v>
      </c>
      <c r="I215" s="548"/>
    </row>
    <row r="216" spans="1:9">
      <c r="A216" s="539">
        <v>15</v>
      </c>
      <c r="B216" s="540" t="s">
        <v>221</v>
      </c>
      <c r="C216" s="539"/>
      <c r="D216" s="539"/>
      <c r="E216" s="539"/>
      <c r="F216" s="546"/>
      <c r="G216" s="539"/>
      <c r="H216" s="474">
        <f t="shared" si="2"/>
        <v>0</v>
      </c>
      <c r="I216" s="548"/>
    </row>
    <row r="217" spans="1:9" ht="24.75">
      <c r="A217" s="539" t="s">
        <v>1066</v>
      </c>
      <c r="B217" s="540" t="s">
        <v>931</v>
      </c>
      <c r="C217" s="539"/>
      <c r="D217" s="539"/>
      <c r="E217" s="539"/>
      <c r="F217" s="546"/>
      <c r="G217" s="539"/>
      <c r="H217" s="474">
        <f t="shared" si="2"/>
        <v>0</v>
      </c>
      <c r="I217" s="548"/>
    </row>
    <row r="218" spans="1:9">
      <c r="A218" s="539" t="s">
        <v>1067</v>
      </c>
      <c r="B218" s="540" t="s">
        <v>933</v>
      </c>
      <c r="C218" s="539" t="s">
        <v>934</v>
      </c>
      <c r="D218" s="539" t="s">
        <v>935</v>
      </c>
      <c r="E218" s="544" t="s">
        <v>881</v>
      </c>
      <c r="F218" s="471" t="e">
        <f>LUONGNGAY!$K$34</f>
        <v>#VALUE!</v>
      </c>
      <c r="G218" s="539">
        <v>1.6E-2</v>
      </c>
      <c r="H218" s="474" t="e">
        <f t="shared" si="2"/>
        <v>#VALUE!</v>
      </c>
      <c r="I218" s="548"/>
    </row>
    <row r="219" spans="1:9">
      <c r="A219" s="539" t="s">
        <v>1068</v>
      </c>
      <c r="B219" s="540" t="s">
        <v>937</v>
      </c>
      <c r="C219" s="539" t="s">
        <v>934</v>
      </c>
      <c r="D219" s="539" t="s">
        <v>935</v>
      </c>
      <c r="E219" s="544" t="s">
        <v>881</v>
      </c>
      <c r="F219" s="471" t="e">
        <f>LUONGNGAY!$K$34</f>
        <v>#VALUE!</v>
      </c>
      <c r="G219" s="539">
        <v>8.0000000000000002E-3</v>
      </c>
      <c r="H219" s="474" t="e">
        <f t="shared" si="2"/>
        <v>#VALUE!</v>
      </c>
      <c r="I219" s="548"/>
    </row>
    <row r="220" spans="1:9" ht="24.75">
      <c r="A220" s="539" t="s">
        <v>1069</v>
      </c>
      <c r="B220" s="540" t="s">
        <v>48</v>
      </c>
      <c r="C220" s="539" t="s">
        <v>934</v>
      </c>
      <c r="D220" s="539" t="s">
        <v>935</v>
      </c>
      <c r="E220" s="544" t="s">
        <v>881</v>
      </c>
      <c r="F220" s="471" t="e">
        <f>LUONGNGAY!$K$34</f>
        <v>#VALUE!</v>
      </c>
      <c r="G220" s="539">
        <v>4.0000000000000001E-3</v>
      </c>
      <c r="H220" s="474" t="e">
        <f t="shared" si="2"/>
        <v>#VALUE!</v>
      </c>
      <c r="I220" s="548"/>
    </row>
    <row r="221" spans="1:9">
      <c r="A221" s="539" t="s">
        <v>1070</v>
      </c>
      <c r="B221" s="540" t="s">
        <v>50</v>
      </c>
      <c r="C221" s="539" t="s">
        <v>627</v>
      </c>
      <c r="D221" s="539" t="s">
        <v>935</v>
      </c>
      <c r="E221" s="544" t="s">
        <v>881</v>
      </c>
      <c r="F221" s="471" t="e">
        <f>LUONGNGAY!$K$34</f>
        <v>#VALUE!</v>
      </c>
      <c r="G221" s="539">
        <v>0.01</v>
      </c>
      <c r="H221" s="474" t="e">
        <f t="shared" si="2"/>
        <v>#VALUE!</v>
      </c>
      <c r="I221" s="548"/>
    </row>
    <row r="222" spans="1:9" ht="24.75">
      <c r="A222" s="539">
        <v>16</v>
      </c>
      <c r="B222" s="540" t="s">
        <v>1071</v>
      </c>
      <c r="C222" s="539" t="s">
        <v>979</v>
      </c>
      <c r="D222" s="539" t="s">
        <v>34</v>
      </c>
      <c r="E222" s="544" t="s">
        <v>881</v>
      </c>
      <c r="F222" s="495" t="e">
        <f>LUONGNGAY!$K$35</f>
        <v>#VALUE!</v>
      </c>
      <c r="G222" s="539">
        <v>0.2</v>
      </c>
      <c r="H222" s="474" t="e">
        <f t="shared" si="2"/>
        <v>#VALUE!</v>
      </c>
      <c r="I222" s="548"/>
    </row>
    <row r="223" spans="1:9">
      <c r="A223" s="539">
        <v>17</v>
      </c>
      <c r="B223" s="540" t="s">
        <v>1072</v>
      </c>
      <c r="C223" s="539"/>
      <c r="D223" s="539"/>
      <c r="E223" s="539"/>
      <c r="F223" s="546"/>
      <c r="G223" s="539"/>
      <c r="H223" s="474">
        <f>F223*G223</f>
        <v>0</v>
      </c>
      <c r="I223" s="548"/>
    </row>
    <row r="224" spans="1:9">
      <c r="A224" s="539" t="s">
        <v>1073</v>
      </c>
      <c r="B224" s="540" t="s">
        <v>1072</v>
      </c>
      <c r="C224" s="539" t="s">
        <v>979</v>
      </c>
      <c r="D224" s="539" t="s">
        <v>34</v>
      </c>
      <c r="E224" s="544" t="s">
        <v>881</v>
      </c>
      <c r="F224" s="495" t="e">
        <f>LUONGNGAY!$K$35</f>
        <v>#VALUE!</v>
      </c>
      <c r="G224" s="539">
        <v>0.1</v>
      </c>
      <c r="H224" s="474" t="e">
        <f>F224*G224</f>
        <v>#VALUE!</v>
      </c>
      <c r="I224" s="548"/>
    </row>
    <row r="225" spans="1:9" ht="24.75">
      <c r="A225" s="539" t="s">
        <v>1074</v>
      </c>
      <c r="B225" s="540" t="s">
        <v>1075</v>
      </c>
      <c r="C225" s="539" t="s">
        <v>979</v>
      </c>
      <c r="D225" s="539" t="s">
        <v>34</v>
      </c>
      <c r="E225" s="544" t="s">
        <v>881</v>
      </c>
      <c r="F225" s="495" t="e">
        <f>LUONGNGAY!$K$35</f>
        <v>#VALUE!</v>
      </c>
      <c r="G225" s="539">
        <v>0.1</v>
      </c>
      <c r="H225" s="474" t="e">
        <f>F225*G225</f>
        <v>#VALUE!</v>
      </c>
      <c r="I225" s="548"/>
    </row>
    <row r="226" spans="1:9">
      <c r="A226" s="545" t="s">
        <v>913</v>
      </c>
      <c r="B226" s="538" t="s">
        <v>1057</v>
      </c>
      <c r="C226" s="539"/>
      <c r="D226" s="539"/>
      <c r="E226" s="539"/>
      <c r="F226" s="546"/>
      <c r="G226" s="539"/>
      <c r="H226" s="474">
        <f>F226*G226</f>
        <v>0</v>
      </c>
      <c r="I226" s="548"/>
    </row>
    <row r="227" spans="1:9" ht="24.75">
      <c r="A227" s="539">
        <v>1</v>
      </c>
      <c r="B227" s="540" t="s">
        <v>1076</v>
      </c>
      <c r="C227" s="539" t="s">
        <v>979</v>
      </c>
      <c r="D227" s="539" t="s">
        <v>29</v>
      </c>
      <c r="E227" s="544" t="s">
        <v>881</v>
      </c>
      <c r="F227" s="551" t="e">
        <f>F215</f>
        <v>#VALUE!</v>
      </c>
      <c r="G227" s="539">
        <v>0.2</v>
      </c>
      <c r="H227" s="474" t="e">
        <f>F227*G227</f>
        <v>#VALUE!</v>
      </c>
      <c r="I227" s="548"/>
    </row>
    <row r="228" spans="1:9">
      <c r="A228" s="482"/>
      <c r="B228" s="490"/>
      <c r="C228" s="484"/>
      <c r="D228" s="484"/>
      <c r="E228" s="486"/>
      <c r="F228" s="491"/>
      <c r="G228" s="496"/>
      <c r="H228" s="493"/>
    </row>
    <row r="229" spans="1:9" ht="16.5" customHeight="1">
      <c r="A229" s="1194" t="s">
        <v>870</v>
      </c>
      <c r="B229" s="1194"/>
      <c r="C229" s="1194"/>
      <c r="D229" s="1194"/>
      <c r="E229" s="1194"/>
      <c r="F229" s="1194"/>
      <c r="G229" s="1194"/>
      <c r="H229" s="1194"/>
    </row>
    <row r="230" spans="1:9">
      <c r="A230" s="459"/>
      <c r="B230" s="460"/>
      <c r="E230" s="462"/>
      <c r="F230" s="463"/>
      <c r="G230" s="462"/>
      <c r="H230" s="464"/>
    </row>
    <row r="231" spans="1:9" ht="25.5">
      <c r="A231" s="467" t="s">
        <v>158</v>
      </c>
      <c r="B231" s="467" t="s">
        <v>381</v>
      </c>
      <c r="C231" s="468" t="s">
        <v>625</v>
      </c>
      <c r="D231" s="468" t="s">
        <v>624</v>
      </c>
      <c r="E231" s="468" t="s">
        <v>382</v>
      </c>
      <c r="F231" s="469" t="s">
        <v>629</v>
      </c>
      <c r="G231" s="468" t="s">
        <v>628</v>
      </c>
      <c r="H231" s="468" t="s">
        <v>383</v>
      </c>
      <c r="I231" s="494"/>
    </row>
    <row r="232" spans="1:9">
      <c r="A232" s="545" t="s">
        <v>179</v>
      </c>
      <c r="B232" s="538" t="s">
        <v>606</v>
      </c>
      <c r="C232" s="539"/>
      <c r="D232" s="539"/>
      <c r="E232" s="539"/>
      <c r="F232" s="546"/>
      <c r="G232" s="539"/>
      <c r="H232" s="545"/>
      <c r="I232" s="547"/>
    </row>
    <row r="233" spans="1:9">
      <c r="A233" s="539">
        <v>1</v>
      </c>
      <c r="B233" s="540" t="s">
        <v>31</v>
      </c>
      <c r="C233" s="539"/>
      <c r="D233" s="539"/>
      <c r="E233" s="539"/>
      <c r="F233" s="546"/>
      <c r="G233" s="539"/>
      <c r="H233" s="497"/>
      <c r="I233" s="494"/>
    </row>
    <row r="234" spans="1:9">
      <c r="A234" s="539" t="s">
        <v>891</v>
      </c>
      <c r="B234" s="540" t="s">
        <v>33</v>
      </c>
      <c r="C234" s="539" t="s">
        <v>979</v>
      </c>
      <c r="D234" s="539" t="s">
        <v>34</v>
      </c>
      <c r="E234" s="544" t="s">
        <v>881</v>
      </c>
      <c r="F234" s="495" t="e">
        <f>LUONGNGAY!$K$35</f>
        <v>#VALUE!</v>
      </c>
      <c r="G234" s="539">
        <v>0.2</v>
      </c>
      <c r="H234" s="474" t="e">
        <f>F234*G234</f>
        <v>#VALUE!</v>
      </c>
      <c r="I234" s="548"/>
    </row>
    <row r="235" spans="1:9">
      <c r="A235" s="539" t="s">
        <v>899</v>
      </c>
      <c r="B235" s="540" t="s">
        <v>36</v>
      </c>
      <c r="C235" s="539" t="s">
        <v>979</v>
      </c>
      <c r="D235" s="539" t="s">
        <v>34</v>
      </c>
      <c r="E235" s="544" t="s">
        <v>881</v>
      </c>
      <c r="F235" s="495" t="e">
        <f>LUONGNGAY!$K$35</f>
        <v>#VALUE!</v>
      </c>
      <c r="G235" s="539">
        <v>0.15</v>
      </c>
      <c r="H235" s="474" t="e">
        <f t="shared" ref="H235:H298" si="3">F235*G235</f>
        <v>#VALUE!</v>
      </c>
      <c r="I235" s="548"/>
    </row>
    <row r="236" spans="1:9" ht="24.75">
      <c r="A236" s="539">
        <v>2</v>
      </c>
      <c r="B236" s="540" t="s">
        <v>37</v>
      </c>
      <c r="C236" s="539" t="s">
        <v>979</v>
      </c>
      <c r="D236" s="539" t="s">
        <v>34</v>
      </c>
      <c r="E236" s="544" t="s">
        <v>881</v>
      </c>
      <c r="F236" s="495" t="e">
        <f>LUONGNGAY!$K$35</f>
        <v>#VALUE!</v>
      </c>
      <c r="G236" s="539">
        <v>0.1</v>
      </c>
      <c r="H236" s="474" t="e">
        <f t="shared" si="3"/>
        <v>#VALUE!</v>
      </c>
      <c r="I236" s="548"/>
    </row>
    <row r="237" spans="1:9" ht="24.75">
      <c r="A237" s="539">
        <v>3</v>
      </c>
      <c r="B237" s="540" t="s">
        <v>38</v>
      </c>
      <c r="C237" s="539" t="s">
        <v>627</v>
      </c>
      <c r="D237" s="539" t="s">
        <v>29</v>
      </c>
      <c r="E237" s="544" t="s">
        <v>881</v>
      </c>
      <c r="F237" s="471" t="e">
        <f>LUONGNGAY!$K$36</f>
        <v>#VALUE!</v>
      </c>
      <c r="G237" s="539">
        <v>3.3000000000000002E-2</v>
      </c>
      <c r="H237" s="474" t="e">
        <f t="shared" si="3"/>
        <v>#VALUE!</v>
      </c>
      <c r="I237" s="548"/>
    </row>
    <row r="238" spans="1:9" ht="16.5" customHeight="1">
      <c r="A238" s="1201">
        <v>4</v>
      </c>
      <c r="B238" s="1202" t="s">
        <v>39</v>
      </c>
      <c r="C238" s="1201" t="s">
        <v>979</v>
      </c>
      <c r="D238" s="1201" t="s">
        <v>1077</v>
      </c>
      <c r="E238" s="1193">
        <v>1</v>
      </c>
      <c r="F238" s="471" t="e">
        <f>(LUONGNGAY!$K$35+LUONGNGAY!$K$44)/2</f>
        <v>#VALUE!</v>
      </c>
      <c r="G238" s="549">
        <f>0.9*2</f>
        <v>1.8</v>
      </c>
      <c r="H238" s="474" t="e">
        <f t="shared" si="3"/>
        <v>#VALUE!</v>
      </c>
      <c r="I238" s="550"/>
    </row>
    <row r="239" spans="1:9">
      <c r="A239" s="1201"/>
      <c r="B239" s="1202"/>
      <c r="C239" s="1201"/>
      <c r="D239" s="1201"/>
      <c r="E239" s="1193"/>
      <c r="F239" s="471">
        <f>'He so chung'!$D$11</f>
        <v>131000</v>
      </c>
      <c r="G239" s="539">
        <v>0.7</v>
      </c>
      <c r="H239" s="474">
        <f t="shared" si="3"/>
        <v>91700</v>
      </c>
      <c r="I239" s="548"/>
    </row>
    <row r="240" spans="1:9">
      <c r="A240" s="1201"/>
      <c r="B240" s="1202"/>
      <c r="C240" s="1201"/>
      <c r="D240" s="1201"/>
      <c r="E240" s="1193">
        <v>2</v>
      </c>
      <c r="F240" s="471" t="e">
        <f>(LUONGNGAY!$K$37+LUONGNGAY!$K$46)/2</f>
        <v>#VALUE!</v>
      </c>
      <c r="G240" s="549">
        <f>0.99*2</f>
        <v>1.98</v>
      </c>
      <c r="H240" s="474" t="e">
        <f t="shared" si="3"/>
        <v>#VALUE!</v>
      </c>
      <c r="I240" s="550"/>
    </row>
    <row r="241" spans="1:9">
      <c r="A241" s="1201"/>
      <c r="B241" s="1202"/>
      <c r="C241" s="1201"/>
      <c r="D241" s="1201"/>
      <c r="E241" s="1193"/>
      <c r="F241" s="471">
        <f>'He so chung'!$D$11</f>
        <v>131000</v>
      </c>
      <c r="G241" s="539">
        <v>0.77</v>
      </c>
      <c r="H241" s="474">
        <f t="shared" si="3"/>
        <v>100870</v>
      </c>
      <c r="I241" s="548"/>
    </row>
    <row r="242" spans="1:9">
      <c r="A242" s="1201"/>
      <c r="B242" s="1202"/>
      <c r="C242" s="1201"/>
      <c r="D242" s="1201"/>
      <c r="E242" s="1193">
        <v>3</v>
      </c>
      <c r="F242" s="471" t="e">
        <f>(LUONGNGAY!$K$39+LUONGNGAY!$K$48)/2</f>
        <v>#VALUE!</v>
      </c>
      <c r="G242" s="549">
        <f>1.089*2</f>
        <v>2.1779999999999999</v>
      </c>
      <c r="H242" s="474" t="e">
        <f t="shared" si="3"/>
        <v>#VALUE!</v>
      </c>
      <c r="I242" s="550"/>
    </row>
    <row r="243" spans="1:9">
      <c r="A243" s="1201"/>
      <c r="B243" s="1202"/>
      <c r="C243" s="1201"/>
      <c r="D243" s="1201"/>
      <c r="E243" s="1193"/>
      <c r="F243" s="471">
        <f>'He so chung'!$D$11</f>
        <v>131000</v>
      </c>
      <c r="G243" s="539">
        <v>0.84699999999999998</v>
      </c>
      <c r="H243" s="474">
        <f t="shared" si="3"/>
        <v>110957</v>
      </c>
      <c r="I243" s="548"/>
    </row>
    <row r="244" spans="1:9">
      <c r="A244" s="1201"/>
      <c r="B244" s="1202"/>
      <c r="C244" s="1201"/>
      <c r="D244" s="1201"/>
      <c r="E244" s="1193">
        <v>4</v>
      </c>
      <c r="F244" s="471" t="e">
        <f>(LUONGNGAY!$K$41+LUONGNGAY!$K$50)/2</f>
        <v>#VALUE!</v>
      </c>
      <c r="G244" s="549">
        <f>1.198*2</f>
        <v>2.3959999999999999</v>
      </c>
      <c r="H244" s="474" t="e">
        <f t="shared" si="3"/>
        <v>#VALUE!</v>
      </c>
      <c r="I244" s="550"/>
    </row>
    <row r="245" spans="1:9">
      <c r="A245" s="1201"/>
      <c r="B245" s="1202"/>
      <c r="C245" s="1201"/>
      <c r="D245" s="1201"/>
      <c r="E245" s="1193"/>
      <c r="F245" s="471">
        <f>'He so chung'!$D$11</f>
        <v>131000</v>
      </c>
      <c r="G245" s="539">
        <v>0.93200000000000005</v>
      </c>
      <c r="H245" s="474">
        <f t="shared" si="3"/>
        <v>122092</v>
      </c>
      <c r="I245" s="548"/>
    </row>
    <row r="246" spans="1:9">
      <c r="A246" s="1201"/>
      <c r="B246" s="1202"/>
      <c r="C246" s="1201"/>
      <c r="D246" s="1201"/>
      <c r="E246" s="1193">
        <v>5</v>
      </c>
      <c r="F246" s="471" t="e">
        <f>(LUONGNGAY!$K$43+LUONGNGAY!$K$52)/2</f>
        <v>#VALUE!</v>
      </c>
      <c r="G246" s="549">
        <f>1.312*2</f>
        <v>2.6240000000000001</v>
      </c>
      <c r="H246" s="474" t="e">
        <f t="shared" si="3"/>
        <v>#VALUE!</v>
      </c>
      <c r="I246" s="550"/>
    </row>
    <row r="247" spans="1:9">
      <c r="A247" s="1201"/>
      <c r="B247" s="1202"/>
      <c r="C247" s="1201"/>
      <c r="D247" s="1201"/>
      <c r="E247" s="1193"/>
      <c r="F247" s="471">
        <f>'He so chung'!$D$11</f>
        <v>131000</v>
      </c>
      <c r="G247" s="539">
        <v>1.0249999999999999</v>
      </c>
      <c r="H247" s="474">
        <f t="shared" si="3"/>
        <v>134275</v>
      </c>
      <c r="I247" s="548"/>
    </row>
    <row r="248" spans="1:9">
      <c r="A248" s="539">
        <v>5</v>
      </c>
      <c r="B248" s="540" t="s">
        <v>340</v>
      </c>
      <c r="C248" s="539"/>
      <c r="D248" s="539"/>
      <c r="E248" s="539"/>
      <c r="F248" s="546"/>
      <c r="G248" s="539"/>
      <c r="H248" s="474">
        <f t="shared" si="3"/>
        <v>0</v>
      </c>
      <c r="I248" s="548"/>
    </row>
    <row r="249" spans="1:9">
      <c r="A249" s="539" t="s">
        <v>607</v>
      </c>
      <c r="B249" s="540" t="s">
        <v>33</v>
      </c>
      <c r="C249" s="539" t="s">
        <v>979</v>
      </c>
      <c r="D249" s="539" t="s">
        <v>29</v>
      </c>
      <c r="E249" s="544" t="s">
        <v>881</v>
      </c>
      <c r="F249" s="471" t="e">
        <f>LUONGNGAY!$K$36</f>
        <v>#VALUE!</v>
      </c>
      <c r="G249" s="539">
        <v>0.05</v>
      </c>
      <c r="H249" s="474" t="e">
        <f t="shared" si="3"/>
        <v>#VALUE!</v>
      </c>
      <c r="I249" s="548"/>
    </row>
    <row r="250" spans="1:9">
      <c r="A250" s="539" t="s">
        <v>608</v>
      </c>
      <c r="B250" s="540" t="s">
        <v>36</v>
      </c>
      <c r="C250" s="539" t="s">
        <v>979</v>
      </c>
      <c r="D250" s="539" t="s">
        <v>29</v>
      </c>
      <c r="E250" s="544" t="s">
        <v>881</v>
      </c>
      <c r="F250" s="471" t="e">
        <f>LUONGNGAY!$K$36</f>
        <v>#VALUE!</v>
      </c>
      <c r="G250" s="539">
        <v>2.5000000000000001E-2</v>
      </c>
      <c r="H250" s="474" t="e">
        <f t="shared" si="3"/>
        <v>#VALUE!</v>
      </c>
      <c r="I250" s="548"/>
    </row>
    <row r="251" spans="1:9">
      <c r="A251" s="539">
        <v>6</v>
      </c>
      <c r="B251" s="540" t="s">
        <v>949</v>
      </c>
      <c r="C251" s="539" t="s">
        <v>627</v>
      </c>
      <c r="D251" s="539" t="s">
        <v>29</v>
      </c>
      <c r="E251" s="544" t="s">
        <v>881</v>
      </c>
      <c r="F251" s="471" t="e">
        <f>LUONGNGAY!$K$36</f>
        <v>#VALUE!</v>
      </c>
      <c r="G251" s="539">
        <v>3.0000000000000001E-3</v>
      </c>
      <c r="H251" s="474" t="e">
        <f t="shared" si="3"/>
        <v>#VALUE!</v>
      </c>
      <c r="I251" s="548"/>
    </row>
    <row r="252" spans="1:9">
      <c r="A252" s="539">
        <v>7</v>
      </c>
      <c r="B252" s="540" t="s">
        <v>855</v>
      </c>
      <c r="C252" s="539" t="s">
        <v>979</v>
      </c>
      <c r="D252" s="539" t="s">
        <v>626</v>
      </c>
      <c r="E252" s="544" t="s">
        <v>881</v>
      </c>
      <c r="F252" s="471" t="e">
        <f>LUONGNGAY!$K$44</f>
        <v>#VALUE!</v>
      </c>
      <c r="G252" s="539">
        <v>0.06</v>
      </c>
      <c r="H252" s="474" t="e">
        <f t="shared" si="3"/>
        <v>#VALUE!</v>
      </c>
      <c r="I252" s="548"/>
    </row>
    <row r="253" spans="1:9">
      <c r="A253" s="539">
        <v>8</v>
      </c>
      <c r="B253" s="540" t="s">
        <v>348</v>
      </c>
      <c r="C253" s="539"/>
      <c r="D253" s="539"/>
      <c r="E253" s="539"/>
      <c r="F253" s="546"/>
      <c r="G253" s="539"/>
      <c r="H253" s="474">
        <f t="shared" si="3"/>
        <v>0</v>
      </c>
      <c r="I253" s="548"/>
    </row>
    <row r="254" spans="1:9">
      <c r="A254" s="539" t="s">
        <v>374</v>
      </c>
      <c r="B254" s="540" t="s">
        <v>33</v>
      </c>
      <c r="C254" s="539" t="s">
        <v>979</v>
      </c>
      <c r="D254" s="539" t="s">
        <v>29</v>
      </c>
      <c r="E254" s="544" t="s">
        <v>881</v>
      </c>
      <c r="F254" s="471" t="e">
        <f>LUONGNGAY!$K$36</f>
        <v>#VALUE!</v>
      </c>
      <c r="G254" s="539">
        <v>0.2</v>
      </c>
      <c r="H254" s="474" t="e">
        <f t="shared" si="3"/>
        <v>#VALUE!</v>
      </c>
      <c r="I254" s="548"/>
    </row>
    <row r="255" spans="1:9">
      <c r="A255" s="539" t="s">
        <v>375</v>
      </c>
      <c r="B255" s="540" t="s">
        <v>36</v>
      </c>
      <c r="C255" s="539" t="s">
        <v>979</v>
      </c>
      <c r="D255" s="539" t="s">
        <v>29</v>
      </c>
      <c r="E255" s="544" t="s">
        <v>881</v>
      </c>
      <c r="F255" s="471" t="e">
        <f>LUONGNGAY!$K$36</f>
        <v>#VALUE!</v>
      </c>
      <c r="G255" s="539">
        <v>0.15</v>
      </c>
      <c r="H255" s="474" t="e">
        <f t="shared" si="3"/>
        <v>#VALUE!</v>
      </c>
      <c r="I255" s="548"/>
    </row>
    <row r="256" spans="1:9">
      <c r="A256" s="539">
        <v>9</v>
      </c>
      <c r="B256" s="540" t="s">
        <v>856</v>
      </c>
      <c r="C256" s="539" t="s">
        <v>979</v>
      </c>
      <c r="D256" s="539" t="s">
        <v>29</v>
      </c>
      <c r="E256" s="544" t="s">
        <v>881</v>
      </c>
      <c r="F256" s="471" t="e">
        <f>LUONGNGAY!$K$36</f>
        <v>#VALUE!</v>
      </c>
      <c r="G256" s="539">
        <v>0.5</v>
      </c>
      <c r="H256" s="474" t="e">
        <f t="shared" si="3"/>
        <v>#VALUE!</v>
      </c>
      <c r="I256" s="548"/>
    </row>
    <row r="257" spans="1:9" ht="36.75">
      <c r="A257" s="539">
        <v>10</v>
      </c>
      <c r="B257" s="540" t="s">
        <v>950</v>
      </c>
      <c r="C257" s="539" t="s">
        <v>979</v>
      </c>
      <c r="D257" s="539" t="s">
        <v>34</v>
      </c>
      <c r="E257" s="544" t="s">
        <v>881</v>
      </c>
      <c r="F257" s="495" t="e">
        <f>LUONGNGAY!$K$35</f>
        <v>#VALUE!</v>
      </c>
      <c r="G257" s="539">
        <v>0.2</v>
      </c>
      <c r="H257" s="474" t="e">
        <f t="shared" si="3"/>
        <v>#VALUE!</v>
      </c>
      <c r="I257" s="548"/>
    </row>
    <row r="258" spans="1:9" ht="24.75">
      <c r="A258" s="539">
        <v>11</v>
      </c>
      <c r="B258" s="540" t="s">
        <v>951</v>
      </c>
      <c r="C258" s="539" t="s">
        <v>979</v>
      </c>
      <c r="D258" s="539" t="s">
        <v>34</v>
      </c>
      <c r="E258" s="544" t="s">
        <v>881</v>
      </c>
      <c r="F258" s="495" t="e">
        <f>LUONGNGAY!$K$35</f>
        <v>#VALUE!</v>
      </c>
      <c r="G258" s="539">
        <v>0.2</v>
      </c>
      <c r="H258" s="474" t="e">
        <f t="shared" si="3"/>
        <v>#VALUE!</v>
      </c>
      <c r="I258" s="548"/>
    </row>
    <row r="259" spans="1:9">
      <c r="A259" s="545" t="s">
        <v>184</v>
      </c>
      <c r="B259" s="538" t="s">
        <v>765</v>
      </c>
      <c r="C259" s="539"/>
      <c r="D259" s="539"/>
      <c r="E259" s="539"/>
      <c r="F259" s="546"/>
      <c r="G259" s="539"/>
      <c r="H259" s="474">
        <f t="shared" si="3"/>
        <v>0</v>
      </c>
      <c r="I259" s="548"/>
    </row>
    <row r="260" spans="1:9">
      <c r="A260" s="539">
        <v>1</v>
      </c>
      <c r="B260" s="540" t="s">
        <v>952</v>
      </c>
      <c r="C260" s="539"/>
      <c r="D260" s="539"/>
      <c r="E260" s="539"/>
      <c r="F260" s="546"/>
      <c r="G260" s="539"/>
      <c r="H260" s="474">
        <f t="shared" si="3"/>
        <v>0</v>
      </c>
      <c r="I260" s="548"/>
    </row>
    <row r="261" spans="1:9" ht="24.75">
      <c r="A261" s="539" t="s">
        <v>891</v>
      </c>
      <c r="B261" s="540" t="s">
        <v>953</v>
      </c>
      <c r="C261" s="539" t="s">
        <v>979</v>
      </c>
      <c r="D261" s="539" t="s">
        <v>34</v>
      </c>
      <c r="E261" s="544" t="s">
        <v>881</v>
      </c>
      <c r="F261" s="495" t="e">
        <f>LUONGNGAY!$K$35</f>
        <v>#VALUE!</v>
      </c>
      <c r="G261" s="539">
        <v>0.1</v>
      </c>
      <c r="H261" s="474" t="e">
        <f t="shared" si="3"/>
        <v>#VALUE!</v>
      </c>
      <c r="I261" s="548"/>
    </row>
    <row r="262" spans="1:9" ht="24.75">
      <c r="A262" s="539" t="s">
        <v>899</v>
      </c>
      <c r="B262" s="540" t="s">
        <v>954</v>
      </c>
      <c r="C262" s="539"/>
      <c r="D262" s="539"/>
      <c r="E262" s="539"/>
      <c r="F262" s="546"/>
      <c r="G262" s="539"/>
      <c r="H262" s="474">
        <f t="shared" si="3"/>
        <v>0</v>
      </c>
      <c r="I262" s="548"/>
    </row>
    <row r="263" spans="1:9">
      <c r="A263" s="539" t="s">
        <v>955</v>
      </c>
      <c r="B263" s="540" t="s">
        <v>33</v>
      </c>
      <c r="C263" s="539" t="s">
        <v>979</v>
      </c>
      <c r="D263" s="539" t="s">
        <v>34</v>
      </c>
      <c r="E263" s="544" t="s">
        <v>881</v>
      </c>
      <c r="F263" s="495" t="e">
        <f>LUONGNGAY!$K$35</f>
        <v>#VALUE!</v>
      </c>
      <c r="G263" s="539">
        <v>0.5</v>
      </c>
      <c r="H263" s="474" t="e">
        <f t="shared" si="3"/>
        <v>#VALUE!</v>
      </c>
      <c r="I263" s="548"/>
    </row>
    <row r="264" spans="1:9">
      <c r="A264" s="539" t="s">
        <v>956</v>
      </c>
      <c r="B264" s="540" t="s">
        <v>36</v>
      </c>
      <c r="C264" s="539" t="s">
        <v>979</v>
      </c>
      <c r="D264" s="539" t="s">
        <v>34</v>
      </c>
      <c r="E264" s="544" t="s">
        <v>881</v>
      </c>
      <c r="F264" s="551" t="e">
        <f>F263</f>
        <v>#VALUE!</v>
      </c>
      <c r="G264" s="539">
        <v>0.25</v>
      </c>
      <c r="H264" s="474" t="e">
        <f t="shared" si="3"/>
        <v>#VALUE!</v>
      </c>
      <c r="I264" s="548"/>
    </row>
    <row r="265" spans="1:9" ht="24.75">
      <c r="A265" s="539">
        <v>2</v>
      </c>
      <c r="B265" s="540" t="s">
        <v>957</v>
      </c>
      <c r="C265" s="539"/>
      <c r="D265" s="539"/>
      <c r="E265" s="539"/>
      <c r="F265" s="546"/>
      <c r="G265" s="539"/>
      <c r="H265" s="474">
        <f t="shared" si="3"/>
        <v>0</v>
      </c>
      <c r="I265" s="548"/>
    </row>
    <row r="266" spans="1:9">
      <c r="A266" s="539" t="s">
        <v>900</v>
      </c>
      <c r="B266" s="540" t="s">
        <v>33</v>
      </c>
      <c r="C266" s="539" t="s">
        <v>979</v>
      </c>
      <c r="D266" s="539" t="s">
        <v>34</v>
      </c>
      <c r="E266" s="544" t="s">
        <v>881</v>
      </c>
      <c r="F266" s="495" t="e">
        <f>LUONGNGAY!$K$35</f>
        <v>#VALUE!</v>
      </c>
      <c r="G266" s="539">
        <v>0.05</v>
      </c>
      <c r="H266" s="474" t="e">
        <f t="shared" si="3"/>
        <v>#VALUE!</v>
      </c>
      <c r="I266" s="548"/>
    </row>
    <row r="267" spans="1:9">
      <c r="A267" s="539" t="s">
        <v>901</v>
      </c>
      <c r="B267" s="540" t="s">
        <v>36</v>
      </c>
      <c r="C267" s="539" t="s">
        <v>979</v>
      </c>
      <c r="D267" s="539" t="s">
        <v>34</v>
      </c>
      <c r="E267" s="544" t="s">
        <v>881</v>
      </c>
      <c r="F267" s="495" t="e">
        <f>LUONGNGAY!$K$35</f>
        <v>#VALUE!</v>
      </c>
      <c r="G267" s="539">
        <v>0.05</v>
      </c>
      <c r="H267" s="474" t="e">
        <f t="shared" si="3"/>
        <v>#VALUE!</v>
      </c>
      <c r="I267" s="548"/>
    </row>
    <row r="268" spans="1:9">
      <c r="A268" s="539">
        <v>3</v>
      </c>
      <c r="B268" s="540" t="s">
        <v>767</v>
      </c>
      <c r="C268" s="539" t="s">
        <v>979</v>
      </c>
      <c r="D268" s="539" t="s">
        <v>29</v>
      </c>
      <c r="E268" s="544" t="s">
        <v>881</v>
      </c>
      <c r="F268" s="471" t="e">
        <f>LUONGNGAY!$K$36</f>
        <v>#VALUE!</v>
      </c>
      <c r="G268" s="539">
        <v>0.4</v>
      </c>
      <c r="H268" s="474" t="e">
        <f t="shared" si="3"/>
        <v>#VALUE!</v>
      </c>
      <c r="I268" s="548"/>
    </row>
    <row r="269" spans="1:9" ht="24.75">
      <c r="A269" s="539">
        <v>4</v>
      </c>
      <c r="B269" s="540" t="s">
        <v>768</v>
      </c>
      <c r="C269" s="539" t="s">
        <v>979</v>
      </c>
      <c r="D269" s="539" t="s">
        <v>29</v>
      </c>
      <c r="E269" s="544" t="s">
        <v>881</v>
      </c>
      <c r="F269" s="471" t="e">
        <f>LUONGNGAY!$K$36</f>
        <v>#VALUE!</v>
      </c>
      <c r="G269" s="539">
        <v>0.5</v>
      </c>
      <c r="H269" s="474" t="e">
        <f t="shared" si="3"/>
        <v>#VALUE!</v>
      </c>
      <c r="I269" s="548"/>
    </row>
    <row r="270" spans="1:9">
      <c r="A270" s="539">
        <v>5</v>
      </c>
      <c r="B270" s="540" t="s">
        <v>69</v>
      </c>
      <c r="C270" s="539" t="s">
        <v>627</v>
      </c>
      <c r="D270" s="539" t="s">
        <v>29</v>
      </c>
      <c r="E270" s="544" t="s">
        <v>881</v>
      </c>
      <c r="F270" s="471" t="e">
        <f>LUONGNGAY!$K$36</f>
        <v>#VALUE!</v>
      </c>
      <c r="G270" s="539">
        <v>6.0000000000000001E-3</v>
      </c>
      <c r="H270" s="474" t="e">
        <f t="shared" si="3"/>
        <v>#VALUE!</v>
      </c>
      <c r="I270" s="548"/>
    </row>
    <row r="271" spans="1:9" ht="36.75">
      <c r="A271" s="539">
        <v>6</v>
      </c>
      <c r="B271" s="540" t="s">
        <v>958</v>
      </c>
      <c r="C271" s="539"/>
      <c r="D271" s="539"/>
      <c r="E271" s="539"/>
      <c r="F271" s="546"/>
      <c r="G271" s="539"/>
      <c r="H271" s="474">
        <f t="shared" si="3"/>
        <v>0</v>
      </c>
      <c r="I271" s="548"/>
    </row>
    <row r="272" spans="1:9">
      <c r="A272" s="539" t="s">
        <v>444</v>
      </c>
      <c r="B272" s="540" t="s">
        <v>770</v>
      </c>
      <c r="C272" s="539" t="s">
        <v>627</v>
      </c>
      <c r="D272" s="539" t="s">
        <v>34</v>
      </c>
      <c r="E272" s="544" t="s">
        <v>881</v>
      </c>
      <c r="F272" s="495" t="e">
        <f>LUONGNGAY!$K$35</f>
        <v>#VALUE!</v>
      </c>
      <c r="G272" s="539">
        <v>0</v>
      </c>
      <c r="H272" s="474" t="e">
        <f t="shared" si="3"/>
        <v>#VALUE!</v>
      </c>
      <c r="I272" s="548"/>
    </row>
    <row r="273" spans="1:9">
      <c r="A273" s="539" t="s">
        <v>445</v>
      </c>
      <c r="B273" s="540" t="s">
        <v>771</v>
      </c>
      <c r="C273" s="539" t="s">
        <v>627</v>
      </c>
      <c r="D273" s="539" t="s">
        <v>34</v>
      </c>
      <c r="E273" s="544" t="s">
        <v>881</v>
      </c>
      <c r="F273" s="495" t="e">
        <f>LUONGNGAY!$K$35</f>
        <v>#VALUE!</v>
      </c>
      <c r="G273" s="539">
        <v>0</v>
      </c>
      <c r="H273" s="474" t="e">
        <f t="shared" si="3"/>
        <v>#VALUE!</v>
      </c>
      <c r="I273" s="548"/>
    </row>
    <row r="274" spans="1:9" ht="24.75">
      <c r="A274" s="539">
        <v>7</v>
      </c>
      <c r="B274" s="540" t="s">
        <v>772</v>
      </c>
      <c r="C274" s="539"/>
      <c r="D274" s="539"/>
      <c r="E274" s="539"/>
      <c r="F274" s="546"/>
      <c r="G274" s="539"/>
      <c r="H274" s="474">
        <f t="shared" si="3"/>
        <v>0</v>
      </c>
      <c r="I274" s="548"/>
    </row>
    <row r="275" spans="1:9">
      <c r="A275" s="539" t="s">
        <v>872</v>
      </c>
      <c r="B275" s="540" t="s">
        <v>773</v>
      </c>
      <c r="C275" s="539" t="s">
        <v>979</v>
      </c>
      <c r="D275" s="539" t="s">
        <v>29</v>
      </c>
      <c r="E275" s="544" t="s">
        <v>881</v>
      </c>
      <c r="F275" s="471" t="e">
        <f>LUONGNGAY!$K$36</f>
        <v>#VALUE!</v>
      </c>
      <c r="G275" s="539">
        <v>0.1</v>
      </c>
      <c r="H275" s="474" t="e">
        <f t="shared" si="3"/>
        <v>#VALUE!</v>
      </c>
      <c r="I275" s="548"/>
    </row>
    <row r="276" spans="1:9">
      <c r="A276" s="539" t="s">
        <v>873</v>
      </c>
      <c r="B276" s="540" t="s">
        <v>774</v>
      </c>
      <c r="C276" s="539" t="s">
        <v>979</v>
      </c>
      <c r="D276" s="539" t="s">
        <v>29</v>
      </c>
      <c r="E276" s="544" t="s">
        <v>881</v>
      </c>
      <c r="F276" s="471" t="e">
        <f>LUONGNGAY!$K$36</f>
        <v>#VALUE!</v>
      </c>
      <c r="G276" s="539">
        <v>0.2</v>
      </c>
      <c r="H276" s="474" t="e">
        <f t="shared" si="3"/>
        <v>#VALUE!</v>
      </c>
      <c r="I276" s="548"/>
    </row>
    <row r="277" spans="1:9">
      <c r="A277" s="539">
        <v>8</v>
      </c>
      <c r="B277" s="540" t="s">
        <v>959</v>
      </c>
      <c r="C277" s="539"/>
      <c r="D277" s="539"/>
      <c r="E277" s="539"/>
      <c r="F277" s="546"/>
      <c r="G277" s="539"/>
      <c r="H277" s="474">
        <f t="shared" si="3"/>
        <v>0</v>
      </c>
      <c r="I277" s="548"/>
    </row>
    <row r="278" spans="1:9" ht="36.75">
      <c r="A278" s="539" t="s">
        <v>374</v>
      </c>
      <c r="B278" s="540" t="s">
        <v>543</v>
      </c>
      <c r="C278" s="539"/>
      <c r="D278" s="539"/>
      <c r="E278" s="539"/>
      <c r="F278" s="546"/>
      <c r="G278" s="539"/>
      <c r="H278" s="474">
        <f t="shared" si="3"/>
        <v>0</v>
      </c>
      <c r="I278" s="548"/>
    </row>
    <row r="279" spans="1:9" ht="17.25" customHeight="1">
      <c r="A279" s="539" t="s">
        <v>544</v>
      </c>
      <c r="B279" s="540" t="s">
        <v>33</v>
      </c>
      <c r="C279" s="539" t="s">
        <v>979</v>
      </c>
      <c r="D279" s="539" t="s">
        <v>34</v>
      </c>
      <c r="E279" s="544" t="s">
        <v>881</v>
      </c>
      <c r="F279" s="495" t="e">
        <f>LUONGNGAY!$K$35</f>
        <v>#VALUE!</v>
      </c>
      <c r="G279" s="539">
        <v>0.2</v>
      </c>
      <c r="H279" s="474" t="e">
        <f t="shared" si="3"/>
        <v>#VALUE!</v>
      </c>
      <c r="I279" s="548"/>
    </row>
    <row r="280" spans="1:9">
      <c r="A280" s="539" t="s">
        <v>545</v>
      </c>
      <c r="B280" s="540" t="s">
        <v>36</v>
      </c>
      <c r="C280" s="539" t="s">
        <v>979</v>
      </c>
      <c r="D280" s="539" t="s">
        <v>34</v>
      </c>
      <c r="E280" s="544" t="s">
        <v>881</v>
      </c>
      <c r="F280" s="495" t="e">
        <f>LUONGNGAY!$K$35</f>
        <v>#VALUE!</v>
      </c>
      <c r="G280" s="539">
        <v>0.1</v>
      </c>
      <c r="H280" s="474" t="e">
        <f t="shared" si="3"/>
        <v>#VALUE!</v>
      </c>
      <c r="I280" s="548"/>
    </row>
    <row r="281" spans="1:9" ht="36.75">
      <c r="A281" s="539" t="s">
        <v>375</v>
      </c>
      <c r="B281" s="540" t="s">
        <v>1064</v>
      </c>
      <c r="C281" s="539"/>
      <c r="D281" s="539"/>
      <c r="E281" s="539"/>
      <c r="F281" s="546"/>
      <c r="G281" s="539"/>
      <c r="H281" s="474">
        <f t="shared" si="3"/>
        <v>0</v>
      </c>
      <c r="I281" s="548"/>
    </row>
    <row r="282" spans="1:9">
      <c r="A282" s="539" t="s">
        <v>442</v>
      </c>
      <c r="B282" s="540" t="s">
        <v>33</v>
      </c>
      <c r="C282" s="539" t="s">
        <v>979</v>
      </c>
      <c r="D282" s="539" t="s">
        <v>34</v>
      </c>
      <c r="E282" s="544" t="s">
        <v>881</v>
      </c>
      <c r="F282" s="495" t="e">
        <f>LUONGNGAY!$K$35</f>
        <v>#VALUE!</v>
      </c>
      <c r="G282" s="539">
        <v>0.2</v>
      </c>
      <c r="H282" s="474" t="e">
        <f t="shared" si="3"/>
        <v>#VALUE!</v>
      </c>
      <c r="I282" s="548"/>
    </row>
    <row r="283" spans="1:9">
      <c r="A283" s="539" t="s">
        <v>443</v>
      </c>
      <c r="B283" s="540" t="s">
        <v>36</v>
      </c>
      <c r="C283" s="539" t="s">
        <v>979</v>
      </c>
      <c r="D283" s="539" t="s">
        <v>34</v>
      </c>
      <c r="E283" s="544" t="s">
        <v>881</v>
      </c>
      <c r="F283" s="495" t="e">
        <f>LUONGNGAY!$K$35</f>
        <v>#VALUE!</v>
      </c>
      <c r="G283" s="539">
        <v>0.1</v>
      </c>
      <c r="H283" s="474" t="e">
        <f t="shared" si="3"/>
        <v>#VALUE!</v>
      </c>
      <c r="I283" s="548"/>
    </row>
    <row r="284" spans="1:9">
      <c r="A284" s="539">
        <v>9</v>
      </c>
      <c r="B284" s="540" t="s">
        <v>211</v>
      </c>
      <c r="C284" s="539" t="s">
        <v>627</v>
      </c>
      <c r="D284" s="539" t="s">
        <v>29</v>
      </c>
      <c r="E284" s="544" t="s">
        <v>881</v>
      </c>
      <c r="F284" s="471" t="e">
        <f>LUONGNGAY!$K$36</f>
        <v>#VALUE!</v>
      </c>
      <c r="G284" s="539">
        <v>0.03</v>
      </c>
      <c r="H284" s="474" t="e">
        <f t="shared" si="3"/>
        <v>#VALUE!</v>
      </c>
      <c r="I284" s="548"/>
    </row>
    <row r="285" spans="1:9">
      <c r="A285" s="539">
        <v>10</v>
      </c>
      <c r="B285" s="540" t="s">
        <v>978</v>
      </c>
      <c r="C285" s="539" t="s">
        <v>212</v>
      </c>
      <c r="D285" s="539" t="s">
        <v>29</v>
      </c>
      <c r="E285" s="544" t="s">
        <v>881</v>
      </c>
      <c r="F285" s="471" t="e">
        <f>LUONGNGAY!$K$36</f>
        <v>#VALUE!</v>
      </c>
      <c r="G285" s="539">
        <v>0</v>
      </c>
      <c r="H285" s="474" t="e">
        <f t="shared" si="3"/>
        <v>#VALUE!</v>
      </c>
      <c r="I285" s="548"/>
    </row>
    <row r="286" spans="1:9">
      <c r="A286" s="539">
        <v>11</v>
      </c>
      <c r="B286" s="540" t="s">
        <v>213</v>
      </c>
      <c r="C286" s="539"/>
      <c r="D286" s="539"/>
      <c r="E286" s="539"/>
      <c r="F286" s="546"/>
      <c r="G286" s="539"/>
      <c r="H286" s="474">
        <f t="shared" si="3"/>
        <v>0</v>
      </c>
      <c r="I286" s="548"/>
    </row>
    <row r="287" spans="1:9">
      <c r="A287" s="539" t="s">
        <v>877</v>
      </c>
      <c r="B287" s="540" t="s">
        <v>215</v>
      </c>
      <c r="C287" s="539" t="s">
        <v>320</v>
      </c>
      <c r="D287" s="539" t="s">
        <v>34</v>
      </c>
      <c r="E287" s="544" t="s">
        <v>881</v>
      </c>
      <c r="F287" s="495" t="e">
        <f>LUONGNGAY!$K$35</f>
        <v>#VALUE!</v>
      </c>
      <c r="G287" s="539">
        <v>0.1</v>
      </c>
      <c r="H287" s="474" t="e">
        <f t="shared" si="3"/>
        <v>#VALUE!</v>
      </c>
      <c r="I287" s="548"/>
    </row>
    <row r="288" spans="1:9">
      <c r="A288" s="539" t="s">
        <v>878</v>
      </c>
      <c r="B288" s="540" t="s">
        <v>217</v>
      </c>
      <c r="C288" s="539" t="s">
        <v>320</v>
      </c>
      <c r="D288" s="539" t="s">
        <v>34</v>
      </c>
      <c r="E288" s="544" t="s">
        <v>881</v>
      </c>
      <c r="F288" s="495" t="e">
        <f>LUONGNGAY!$K$35</f>
        <v>#VALUE!</v>
      </c>
      <c r="G288" s="539">
        <v>0.2</v>
      </c>
      <c r="H288" s="474" t="e">
        <f t="shared" si="3"/>
        <v>#VALUE!</v>
      </c>
      <c r="I288" s="548"/>
    </row>
    <row r="289" spans="1:9">
      <c r="A289" s="539">
        <v>12</v>
      </c>
      <c r="B289" s="540" t="s">
        <v>218</v>
      </c>
      <c r="C289" s="539" t="s">
        <v>979</v>
      </c>
      <c r="D289" s="539" t="s">
        <v>34</v>
      </c>
      <c r="E289" s="544" t="s">
        <v>881</v>
      </c>
      <c r="F289" s="495" t="e">
        <f>LUONGNGAY!$K$35</f>
        <v>#VALUE!</v>
      </c>
      <c r="G289" s="539">
        <v>0.3</v>
      </c>
      <c r="H289" s="474" t="e">
        <f t="shared" si="3"/>
        <v>#VALUE!</v>
      </c>
      <c r="I289" s="548"/>
    </row>
    <row r="290" spans="1:9" ht="24.75">
      <c r="A290" s="539">
        <v>13</v>
      </c>
      <c r="B290" s="540" t="s">
        <v>1065</v>
      </c>
      <c r="C290" s="539" t="s">
        <v>979</v>
      </c>
      <c r="D290" s="539" t="s">
        <v>34</v>
      </c>
      <c r="E290" s="544" t="s">
        <v>881</v>
      </c>
      <c r="F290" s="495" t="e">
        <f>LUONGNGAY!$K$35</f>
        <v>#VALUE!</v>
      </c>
      <c r="G290" s="539">
        <v>0.17</v>
      </c>
      <c r="H290" s="474" t="e">
        <f t="shared" si="3"/>
        <v>#VALUE!</v>
      </c>
      <c r="I290" s="548"/>
    </row>
    <row r="291" spans="1:9">
      <c r="A291" s="539">
        <v>14</v>
      </c>
      <c r="B291" s="540" t="s">
        <v>220</v>
      </c>
      <c r="C291" s="539" t="s">
        <v>627</v>
      </c>
      <c r="D291" s="539" t="s">
        <v>29</v>
      </c>
      <c r="E291" s="544" t="s">
        <v>881</v>
      </c>
      <c r="F291" s="471" t="e">
        <f>LUONGNGAY!$K$36</f>
        <v>#VALUE!</v>
      </c>
      <c r="G291" s="539">
        <v>3.3000000000000002E-2</v>
      </c>
      <c r="H291" s="474" t="e">
        <f t="shared" si="3"/>
        <v>#VALUE!</v>
      </c>
      <c r="I291" s="548"/>
    </row>
    <row r="292" spans="1:9">
      <c r="A292" s="539">
        <v>15</v>
      </c>
      <c r="B292" s="540" t="s">
        <v>221</v>
      </c>
      <c r="C292" s="539"/>
      <c r="D292" s="539"/>
      <c r="E292" s="539"/>
      <c r="F292" s="546"/>
      <c r="G292" s="539"/>
      <c r="H292" s="474">
        <f t="shared" si="3"/>
        <v>0</v>
      </c>
      <c r="I292" s="548"/>
    </row>
    <row r="293" spans="1:9" ht="24.75">
      <c r="A293" s="539" t="s">
        <v>1066</v>
      </c>
      <c r="B293" s="540" t="s">
        <v>931</v>
      </c>
      <c r="C293" s="539"/>
      <c r="D293" s="539"/>
      <c r="E293" s="539"/>
      <c r="F293" s="546"/>
      <c r="G293" s="539"/>
      <c r="H293" s="474">
        <f t="shared" si="3"/>
        <v>0</v>
      </c>
      <c r="I293" s="548"/>
    </row>
    <row r="294" spans="1:9">
      <c r="A294" s="539" t="s">
        <v>1067</v>
      </c>
      <c r="B294" s="540" t="s">
        <v>933</v>
      </c>
      <c r="C294" s="539" t="s">
        <v>934</v>
      </c>
      <c r="D294" s="539" t="s">
        <v>935</v>
      </c>
      <c r="E294" s="544" t="s">
        <v>881</v>
      </c>
      <c r="F294" s="471" t="e">
        <f>LUONGNGAY!$K$34</f>
        <v>#VALUE!</v>
      </c>
      <c r="G294" s="539">
        <v>1.6E-2</v>
      </c>
      <c r="H294" s="474" t="e">
        <f t="shared" si="3"/>
        <v>#VALUE!</v>
      </c>
      <c r="I294" s="548"/>
    </row>
    <row r="295" spans="1:9">
      <c r="A295" s="539" t="s">
        <v>1068</v>
      </c>
      <c r="B295" s="540" t="s">
        <v>937</v>
      </c>
      <c r="C295" s="539" t="s">
        <v>934</v>
      </c>
      <c r="D295" s="539" t="s">
        <v>935</v>
      </c>
      <c r="E295" s="544" t="s">
        <v>881</v>
      </c>
      <c r="F295" s="471" t="e">
        <f>LUONGNGAY!$K$34</f>
        <v>#VALUE!</v>
      </c>
      <c r="G295" s="539">
        <v>8.0000000000000002E-3</v>
      </c>
      <c r="H295" s="474" t="e">
        <f t="shared" si="3"/>
        <v>#VALUE!</v>
      </c>
      <c r="I295" s="548"/>
    </row>
    <row r="296" spans="1:9" ht="24.75">
      <c r="A296" s="539" t="s">
        <v>1069</v>
      </c>
      <c r="B296" s="540" t="s">
        <v>48</v>
      </c>
      <c r="C296" s="539" t="s">
        <v>934</v>
      </c>
      <c r="D296" s="539" t="s">
        <v>935</v>
      </c>
      <c r="E296" s="544" t="s">
        <v>881</v>
      </c>
      <c r="F296" s="471" t="e">
        <f>LUONGNGAY!$K$34</f>
        <v>#VALUE!</v>
      </c>
      <c r="G296" s="539">
        <v>4.0000000000000001E-3</v>
      </c>
      <c r="H296" s="474" t="e">
        <f t="shared" si="3"/>
        <v>#VALUE!</v>
      </c>
      <c r="I296" s="548"/>
    </row>
    <row r="297" spans="1:9">
      <c r="A297" s="539" t="s">
        <v>1070</v>
      </c>
      <c r="B297" s="540" t="s">
        <v>50</v>
      </c>
      <c r="C297" s="539" t="s">
        <v>627</v>
      </c>
      <c r="D297" s="539" t="s">
        <v>935</v>
      </c>
      <c r="E297" s="544" t="s">
        <v>881</v>
      </c>
      <c r="F297" s="471" t="e">
        <f>LUONGNGAY!$K$34</f>
        <v>#VALUE!</v>
      </c>
      <c r="G297" s="539">
        <v>0.01</v>
      </c>
      <c r="H297" s="474" t="e">
        <f t="shared" si="3"/>
        <v>#VALUE!</v>
      </c>
      <c r="I297" s="548"/>
    </row>
    <row r="298" spans="1:9" ht="24.75">
      <c r="A298" s="539">
        <v>16</v>
      </c>
      <c r="B298" s="540" t="s">
        <v>1071</v>
      </c>
      <c r="C298" s="539" t="s">
        <v>979</v>
      </c>
      <c r="D298" s="539" t="s">
        <v>34</v>
      </c>
      <c r="E298" s="544" t="s">
        <v>881</v>
      </c>
      <c r="F298" s="495" t="e">
        <f>LUONGNGAY!$K$35</f>
        <v>#VALUE!</v>
      </c>
      <c r="G298" s="539">
        <v>0.2</v>
      </c>
      <c r="H298" s="474" t="e">
        <f t="shared" si="3"/>
        <v>#VALUE!</v>
      </c>
      <c r="I298" s="548"/>
    </row>
    <row r="299" spans="1:9">
      <c r="A299" s="539">
        <v>17</v>
      </c>
      <c r="B299" s="540" t="s">
        <v>1072</v>
      </c>
      <c r="C299" s="539"/>
      <c r="D299" s="539"/>
      <c r="E299" s="539"/>
      <c r="F299" s="546"/>
      <c r="G299" s="539"/>
      <c r="H299" s="474">
        <f>F299*G299</f>
        <v>0</v>
      </c>
      <c r="I299" s="548"/>
    </row>
    <row r="300" spans="1:9">
      <c r="A300" s="539" t="s">
        <v>1073</v>
      </c>
      <c r="B300" s="540" t="s">
        <v>1072</v>
      </c>
      <c r="C300" s="539" t="s">
        <v>979</v>
      </c>
      <c r="D300" s="539" t="s">
        <v>34</v>
      </c>
      <c r="E300" s="544" t="s">
        <v>881</v>
      </c>
      <c r="F300" s="495" t="e">
        <f>LUONGNGAY!$K$35</f>
        <v>#VALUE!</v>
      </c>
      <c r="G300" s="539">
        <v>0.1</v>
      </c>
      <c r="H300" s="474" t="e">
        <f>F300*G300</f>
        <v>#VALUE!</v>
      </c>
      <c r="I300" s="548"/>
    </row>
    <row r="301" spans="1:9" ht="24.75">
      <c r="A301" s="539" t="s">
        <v>1074</v>
      </c>
      <c r="B301" s="540" t="s">
        <v>1075</v>
      </c>
      <c r="C301" s="539" t="s">
        <v>979</v>
      </c>
      <c r="D301" s="539" t="s">
        <v>34</v>
      </c>
      <c r="E301" s="544" t="s">
        <v>881</v>
      </c>
      <c r="F301" s="495" t="e">
        <f>LUONGNGAY!$K$35</f>
        <v>#VALUE!</v>
      </c>
      <c r="G301" s="539">
        <v>0.1</v>
      </c>
      <c r="H301" s="474" t="e">
        <f>F301*G301</f>
        <v>#VALUE!</v>
      </c>
      <c r="I301" s="548"/>
    </row>
    <row r="302" spans="1:9">
      <c r="A302" s="545" t="s">
        <v>913</v>
      </c>
      <c r="B302" s="538" t="s">
        <v>1057</v>
      </c>
      <c r="C302" s="539"/>
      <c r="D302" s="539"/>
      <c r="E302" s="539"/>
      <c r="F302" s="546"/>
      <c r="G302" s="539"/>
      <c r="H302" s="474">
        <f>F302*G302</f>
        <v>0</v>
      </c>
      <c r="I302" s="548"/>
    </row>
    <row r="303" spans="1:9" ht="24.75">
      <c r="A303" s="539">
        <v>1</v>
      </c>
      <c r="B303" s="540" t="s">
        <v>1076</v>
      </c>
      <c r="C303" s="539" t="s">
        <v>979</v>
      </c>
      <c r="D303" s="539" t="s">
        <v>29</v>
      </c>
      <c r="E303" s="544" t="s">
        <v>881</v>
      </c>
      <c r="F303" s="551" t="e">
        <f>F291</f>
        <v>#VALUE!</v>
      </c>
      <c r="G303" s="539">
        <v>0.2</v>
      </c>
      <c r="H303" s="474" t="e">
        <f>F303*G303</f>
        <v>#VALUE!</v>
      </c>
      <c r="I303" s="548"/>
    </row>
    <row r="304" spans="1:9">
      <c r="A304" s="482"/>
      <c r="B304" s="490"/>
      <c r="C304" s="484"/>
      <c r="D304" s="484"/>
      <c r="E304" s="486"/>
      <c r="F304" s="491"/>
      <c r="G304" s="496"/>
      <c r="H304" s="493"/>
    </row>
    <row r="305" spans="1:8" ht="16.5" customHeight="1">
      <c r="A305" s="1194" t="s">
        <v>871</v>
      </c>
      <c r="B305" s="1194"/>
      <c r="C305" s="1194"/>
      <c r="D305" s="1194"/>
      <c r="E305" s="1194"/>
      <c r="F305" s="1194"/>
      <c r="G305" s="1194"/>
      <c r="H305" s="1194"/>
    </row>
    <row r="306" spans="1:8">
      <c r="A306" s="459"/>
      <c r="B306" s="460"/>
      <c r="E306" s="462"/>
      <c r="F306" s="463"/>
      <c r="G306" s="462"/>
      <c r="H306" s="464"/>
    </row>
    <row r="307" spans="1:8" ht="24.75" customHeight="1">
      <c r="A307" s="467" t="s">
        <v>158</v>
      </c>
      <c r="B307" s="467" t="s">
        <v>381</v>
      </c>
      <c r="C307" s="468" t="s">
        <v>625</v>
      </c>
      <c r="D307" s="468" t="s">
        <v>624</v>
      </c>
      <c r="E307" s="468" t="s">
        <v>382</v>
      </c>
      <c r="F307" s="469" t="s">
        <v>629</v>
      </c>
      <c r="G307" s="468" t="s">
        <v>628</v>
      </c>
      <c r="H307" s="498" t="s">
        <v>383</v>
      </c>
    </row>
    <row r="308" spans="1:8">
      <c r="A308" s="545" t="s">
        <v>179</v>
      </c>
      <c r="B308" s="538" t="s">
        <v>606</v>
      </c>
      <c r="C308" s="539"/>
      <c r="D308" s="539"/>
      <c r="E308" s="539"/>
      <c r="F308" s="546"/>
      <c r="G308" s="547"/>
      <c r="H308" s="547"/>
    </row>
    <row r="309" spans="1:8">
      <c r="A309" s="539">
        <v>1</v>
      </c>
      <c r="B309" s="540" t="s">
        <v>31</v>
      </c>
      <c r="C309" s="539"/>
      <c r="D309" s="539"/>
      <c r="E309" s="539"/>
      <c r="F309" s="546"/>
      <c r="G309" s="499"/>
      <c r="H309" s="539"/>
    </row>
    <row r="310" spans="1:8">
      <c r="A310" s="539" t="s">
        <v>891</v>
      </c>
      <c r="B310" s="540" t="s">
        <v>33</v>
      </c>
      <c r="C310" s="539" t="s">
        <v>979</v>
      </c>
      <c r="D310" s="539" t="s">
        <v>34</v>
      </c>
      <c r="E310" s="544" t="s">
        <v>881</v>
      </c>
      <c r="F310" s="495" t="e">
        <f>LUONGNGAY!$K$35</f>
        <v>#VALUE!</v>
      </c>
      <c r="G310" s="539">
        <v>0.26</v>
      </c>
      <c r="H310" s="474" t="e">
        <f>F310*G310</f>
        <v>#VALUE!</v>
      </c>
    </row>
    <row r="311" spans="1:8">
      <c r="A311" s="539" t="s">
        <v>899</v>
      </c>
      <c r="B311" s="540" t="s">
        <v>36</v>
      </c>
      <c r="C311" s="539" t="s">
        <v>979</v>
      </c>
      <c r="D311" s="539" t="s">
        <v>34</v>
      </c>
      <c r="E311" s="544" t="s">
        <v>881</v>
      </c>
      <c r="F311" s="495" t="e">
        <f>LUONGNGAY!$K$35</f>
        <v>#VALUE!</v>
      </c>
      <c r="G311" s="539">
        <v>0.19</v>
      </c>
      <c r="H311" s="474" t="e">
        <f t="shared" ref="H311:H375" si="4">F311*G311</f>
        <v>#VALUE!</v>
      </c>
    </row>
    <row r="312" spans="1:8" ht="24.75">
      <c r="A312" s="539">
        <v>2</v>
      </c>
      <c r="B312" s="540" t="s">
        <v>37</v>
      </c>
      <c r="C312" s="539" t="s">
        <v>979</v>
      </c>
      <c r="D312" s="539" t="s">
        <v>34</v>
      </c>
      <c r="E312" s="544" t="s">
        <v>881</v>
      </c>
      <c r="F312" s="495" t="e">
        <f>LUONGNGAY!$K$35</f>
        <v>#VALUE!</v>
      </c>
      <c r="G312" s="539">
        <v>1.1299999999999999</v>
      </c>
      <c r="H312" s="474" t="e">
        <f t="shared" si="4"/>
        <v>#VALUE!</v>
      </c>
    </row>
    <row r="313" spans="1:8" ht="24.75">
      <c r="A313" s="539">
        <v>3</v>
      </c>
      <c r="B313" s="540" t="s">
        <v>38</v>
      </c>
      <c r="C313" s="539" t="s">
        <v>627</v>
      </c>
      <c r="D313" s="539" t="s">
        <v>29</v>
      </c>
      <c r="E313" s="544" t="s">
        <v>881</v>
      </c>
      <c r="F313" s="471" t="e">
        <f>LUONGNGAY!$K$36</f>
        <v>#VALUE!</v>
      </c>
      <c r="G313" s="539">
        <v>0.16700000000000001</v>
      </c>
      <c r="H313" s="474" t="e">
        <f t="shared" si="4"/>
        <v>#VALUE!</v>
      </c>
    </row>
    <row r="314" spans="1:8">
      <c r="A314" s="1201">
        <v>4</v>
      </c>
      <c r="B314" s="1202" t="s">
        <v>39</v>
      </c>
      <c r="C314" s="1201" t="s">
        <v>979</v>
      </c>
      <c r="D314" s="1201" t="s">
        <v>1077</v>
      </c>
      <c r="E314" s="1193">
        <v>1</v>
      </c>
      <c r="F314" s="471" t="e">
        <f>(LUONGNGAY!$K$35+LUONGNGAY!$K$44)/2</f>
        <v>#VALUE!</v>
      </c>
      <c r="G314" s="549">
        <f>1.17*2</f>
        <v>2.34</v>
      </c>
      <c r="H314" s="474" t="e">
        <f t="shared" si="4"/>
        <v>#VALUE!</v>
      </c>
    </row>
    <row r="315" spans="1:8">
      <c r="A315" s="1201"/>
      <c r="B315" s="1202"/>
      <c r="C315" s="1201"/>
      <c r="D315" s="1201"/>
      <c r="E315" s="1193"/>
      <c r="F315" s="471">
        <f>'He so chung'!$D$11</f>
        <v>131000</v>
      </c>
      <c r="G315" s="539">
        <v>0.91</v>
      </c>
      <c r="H315" s="474">
        <f t="shared" si="4"/>
        <v>119210</v>
      </c>
    </row>
    <row r="316" spans="1:8">
      <c r="A316" s="1201"/>
      <c r="B316" s="1202"/>
      <c r="C316" s="1201"/>
      <c r="D316" s="1201"/>
      <c r="E316" s="1193">
        <v>2</v>
      </c>
      <c r="F316" s="471" t="e">
        <f>(LUONGNGAY!$K$37+LUONGNGAY!$K$46)/2</f>
        <v>#VALUE!</v>
      </c>
      <c r="G316" s="549">
        <f>1.287*2</f>
        <v>2.5739999999999998</v>
      </c>
      <c r="H316" s="474" t="e">
        <f t="shared" si="4"/>
        <v>#VALUE!</v>
      </c>
    </row>
    <row r="317" spans="1:8">
      <c r="A317" s="1201"/>
      <c r="B317" s="1202"/>
      <c r="C317" s="1201"/>
      <c r="D317" s="1201"/>
      <c r="E317" s="1193"/>
      <c r="F317" s="471">
        <f>'He so chung'!$D$11</f>
        <v>131000</v>
      </c>
      <c r="G317" s="539">
        <v>1.0009999999999999</v>
      </c>
      <c r="H317" s="474">
        <f t="shared" si="4"/>
        <v>131131</v>
      </c>
    </row>
    <row r="318" spans="1:8">
      <c r="A318" s="1201"/>
      <c r="B318" s="1202"/>
      <c r="C318" s="1201"/>
      <c r="D318" s="1201"/>
      <c r="E318" s="1193">
        <v>3</v>
      </c>
      <c r="F318" s="471" t="e">
        <f>(LUONGNGAY!$K$39+LUONGNGAY!$K$48)/2</f>
        <v>#VALUE!</v>
      </c>
      <c r="G318" s="549">
        <f>1.416*2</f>
        <v>2.8319999999999999</v>
      </c>
      <c r="H318" s="474" t="e">
        <f t="shared" si="4"/>
        <v>#VALUE!</v>
      </c>
    </row>
    <row r="319" spans="1:8">
      <c r="A319" s="1201"/>
      <c r="B319" s="1202"/>
      <c r="C319" s="1201"/>
      <c r="D319" s="1201"/>
      <c r="E319" s="1193"/>
      <c r="F319" s="471">
        <f>'He so chung'!$D$11</f>
        <v>131000</v>
      </c>
      <c r="G319" s="539">
        <v>1.101</v>
      </c>
      <c r="H319" s="474">
        <f t="shared" si="4"/>
        <v>144231</v>
      </c>
    </row>
    <row r="320" spans="1:8">
      <c r="A320" s="1201"/>
      <c r="B320" s="1202"/>
      <c r="C320" s="1201"/>
      <c r="D320" s="1201"/>
      <c r="E320" s="1193">
        <v>4</v>
      </c>
      <c r="F320" s="471" t="e">
        <f>(LUONGNGAY!$K$41+LUONGNGAY!$K$50)/2</f>
        <v>#VALUE!</v>
      </c>
      <c r="G320" s="549">
        <f>1.557*2</f>
        <v>3.1139999999999999</v>
      </c>
      <c r="H320" s="474" t="e">
        <f t="shared" si="4"/>
        <v>#VALUE!</v>
      </c>
    </row>
    <row r="321" spans="1:8">
      <c r="A321" s="1201"/>
      <c r="B321" s="1202"/>
      <c r="C321" s="1201"/>
      <c r="D321" s="1201"/>
      <c r="E321" s="1193"/>
      <c r="F321" s="471">
        <f>'He so chung'!$D$11</f>
        <v>131000</v>
      </c>
      <c r="G321" s="539">
        <v>1.212</v>
      </c>
      <c r="H321" s="474">
        <f t="shared" si="4"/>
        <v>158772</v>
      </c>
    </row>
    <row r="322" spans="1:8">
      <c r="A322" s="1201"/>
      <c r="B322" s="1202"/>
      <c r="C322" s="1201"/>
      <c r="D322" s="1201"/>
      <c r="E322" s="1193">
        <v>5</v>
      </c>
      <c r="F322" s="471" t="e">
        <f>(LUONGNGAY!$K$43+LUONGNGAY!$K$52)/2</f>
        <v>#VALUE!</v>
      </c>
      <c r="G322" s="549">
        <f>1.706*2</f>
        <v>3.4119999999999999</v>
      </c>
      <c r="H322" s="474" t="e">
        <f t="shared" si="4"/>
        <v>#VALUE!</v>
      </c>
    </row>
    <row r="323" spans="1:8">
      <c r="A323" s="1201"/>
      <c r="B323" s="1202"/>
      <c r="C323" s="1201"/>
      <c r="D323" s="1201"/>
      <c r="E323" s="1193"/>
      <c r="F323" s="471">
        <f>'He so chung'!$D$11</f>
        <v>131000</v>
      </c>
      <c r="G323" s="539">
        <v>1.333</v>
      </c>
      <c r="H323" s="474">
        <f t="shared" si="4"/>
        <v>174623</v>
      </c>
    </row>
    <row r="324" spans="1:8">
      <c r="A324" s="539">
        <v>5</v>
      </c>
      <c r="B324" s="540" t="s">
        <v>340</v>
      </c>
      <c r="C324" s="539"/>
      <c r="D324" s="539"/>
      <c r="E324" s="539"/>
      <c r="F324" s="546"/>
      <c r="G324" s="539"/>
      <c r="H324" s="474">
        <f t="shared" si="4"/>
        <v>0</v>
      </c>
    </row>
    <row r="325" spans="1:8">
      <c r="A325" s="539" t="s">
        <v>607</v>
      </c>
      <c r="B325" s="540" t="s">
        <v>33</v>
      </c>
      <c r="C325" s="539" t="s">
        <v>979</v>
      </c>
      <c r="D325" s="539" t="s">
        <v>29</v>
      </c>
      <c r="E325" s="544" t="s">
        <v>881</v>
      </c>
      <c r="F325" s="471" t="e">
        <f>LUONGNGAY!$K$36</f>
        <v>#VALUE!</v>
      </c>
      <c r="G325" s="539">
        <v>6.5000000000000002E-2</v>
      </c>
      <c r="H325" s="474" t="e">
        <f t="shared" si="4"/>
        <v>#VALUE!</v>
      </c>
    </row>
    <row r="326" spans="1:8">
      <c r="A326" s="539" t="s">
        <v>608</v>
      </c>
      <c r="B326" s="540" t="s">
        <v>36</v>
      </c>
      <c r="C326" s="539" t="s">
        <v>979</v>
      </c>
      <c r="D326" s="539" t="s">
        <v>29</v>
      </c>
      <c r="E326" s="544" t="s">
        <v>881</v>
      </c>
      <c r="F326" s="471" t="e">
        <f>LUONGNGAY!$K$36</f>
        <v>#VALUE!</v>
      </c>
      <c r="G326" s="539">
        <v>3.3000000000000002E-2</v>
      </c>
      <c r="H326" s="474" t="e">
        <f t="shared" si="4"/>
        <v>#VALUE!</v>
      </c>
    </row>
    <row r="327" spans="1:8">
      <c r="A327" s="539">
        <v>6</v>
      </c>
      <c r="B327" s="540" t="s">
        <v>949</v>
      </c>
      <c r="C327" s="539" t="s">
        <v>627</v>
      </c>
      <c r="D327" s="539" t="s">
        <v>29</v>
      </c>
      <c r="E327" s="544" t="s">
        <v>881</v>
      </c>
      <c r="F327" s="471" t="e">
        <f>LUONGNGAY!$K$36</f>
        <v>#VALUE!</v>
      </c>
      <c r="G327" s="539">
        <v>3.0000000000000001E-3</v>
      </c>
      <c r="H327" s="474" t="e">
        <f>F327*G327</f>
        <v>#VALUE!</v>
      </c>
    </row>
    <row r="328" spans="1:8">
      <c r="A328" s="539">
        <v>7</v>
      </c>
      <c r="B328" s="540" t="s">
        <v>855</v>
      </c>
      <c r="C328" s="539" t="s">
        <v>979</v>
      </c>
      <c r="D328" s="539" t="s">
        <v>626</v>
      </c>
      <c r="E328" s="544" t="s">
        <v>881</v>
      </c>
      <c r="F328" s="471" t="e">
        <f>LUONGNGAY!$K$44</f>
        <v>#VALUE!</v>
      </c>
      <c r="G328" s="539">
        <v>7.8E-2</v>
      </c>
      <c r="H328" s="474" t="e">
        <f t="shared" si="4"/>
        <v>#VALUE!</v>
      </c>
    </row>
    <row r="329" spans="1:8">
      <c r="A329" s="539">
        <v>8</v>
      </c>
      <c r="B329" s="540" t="s">
        <v>348</v>
      </c>
      <c r="C329" s="539"/>
      <c r="D329" s="539"/>
      <c r="E329" s="539"/>
      <c r="F329" s="546"/>
      <c r="G329" s="539"/>
      <c r="H329" s="474">
        <f t="shared" si="4"/>
        <v>0</v>
      </c>
    </row>
    <row r="330" spans="1:8">
      <c r="A330" s="539" t="s">
        <v>374</v>
      </c>
      <c r="B330" s="540" t="s">
        <v>33</v>
      </c>
      <c r="C330" s="539" t="s">
        <v>979</v>
      </c>
      <c r="D330" s="539" t="s">
        <v>29</v>
      </c>
      <c r="E330" s="544" t="s">
        <v>881</v>
      </c>
      <c r="F330" s="471" t="e">
        <f>LUONGNGAY!$K$36</f>
        <v>#VALUE!</v>
      </c>
      <c r="G330" s="539">
        <v>0.26</v>
      </c>
      <c r="H330" s="474" t="e">
        <f t="shared" si="4"/>
        <v>#VALUE!</v>
      </c>
    </row>
    <row r="331" spans="1:8">
      <c r="A331" s="539" t="s">
        <v>375</v>
      </c>
      <c r="B331" s="540" t="s">
        <v>36</v>
      </c>
      <c r="C331" s="539" t="s">
        <v>979</v>
      </c>
      <c r="D331" s="539" t="s">
        <v>29</v>
      </c>
      <c r="E331" s="544" t="s">
        <v>881</v>
      </c>
      <c r="F331" s="471" t="e">
        <f>LUONGNGAY!$K$36</f>
        <v>#VALUE!</v>
      </c>
      <c r="G331" s="539">
        <v>0.19500000000000001</v>
      </c>
      <c r="H331" s="474" t="e">
        <f t="shared" si="4"/>
        <v>#VALUE!</v>
      </c>
    </row>
    <row r="332" spans="1:8">
      <c r="A332" s="539">
        <v>9</v>
      </c>
      <c r="B332" s="540" t="s">
        <v>856</v>
      </c>
      <c r="C332" s="539" t="s">
        <v>979</v>
      </c>
      <c r="D332" s="539" t="s">
        <v>29</v>
      </c>
      <c r="E332" s="544" t="s">
        <v>881</v>
      </c>
      <c r="F332" s="471" t="e">
        <f>LUONGNGAY!$K$36</f>
        <v>#VALUE!</v>
      </c>
      <c r="G332" s="539">
        <v>0.65</v>
      </c>
      <c r="H332" s="474" t="e">
        <f t="shared" si="4"/>
        <v>#VALUE!</v>
      </c>
    </row>
    <row r="333" spans="1:8" ht="36.75">
      <c r="A333" s="539">
        <v>10</v>
      </c>
      <c r="B333" s="540" t="s">
        <v>950</v>
      </c>
      <c r="C333" s="539" t="s">
        <v>979</v>
      </c>
      <c r="D333" s="539" t="s">
        <v>34</v>
      </c>
      <c r="E333" s="544" t="s">
        <v>881</v>
      </c>
      <c r="F333" s="495" t="e">
        <f>LUONGNGAY!$K$35</f>
        <v>#VALUE!</v>
      </c>
      <c r="G333" s="539">
        <v>0.2</v>
      </c>
      <c r="H333" s="474" t="e">
        <f t="shared" si="4"/>
        <v>#VALUE!</v>
      </c>
    </row>
    <row r="334" spans="1:8" ht="24.75">
      <c r="A334" s="539">
        <v>11</v>
      </c>
      <c r="B334" s="540" t="s">
        <v>951</v>
      </c>
      <c r="C334" s="539" t="s">
        <v>979</v>
      </c>
      <c r="D334" s="539" t="s">
        <v>34</v>
      </c>
      <c r="E334" s="544" t="s">
        <v>881</v>
      </c>
      <c r="F334" s="495" t="e">
        <f>LUONGNGAY!$K$35</f>
        <v>#VALUE!</v>
      </c>
      <c r="G334" s="539">
        <v>0.2</v>
      </c>
      <c r="H334" s="474" t="e">
        <f t="shared" si="4"/>
        <v>#VALUE!</v>
      </c>
    </row>
    <row r="335" spans="1:8">
      <c r="A335" s="545" t="s">
        <v>184</v>
      </c>
      <c r="B335" s="538" t="s">
        <v>765</v>
      </c>
      <c r="C335" s="539"/>
      <c r="D335" s="539"/>
      <c r="E335" s="539"/>
      <c r="F335" s="546"/>
      <c r="G335" s="539"/>
      <c r="H335" s="474">
        <f t="shared" si="4"/>
        <v>0</v>
      </c>
    </row>
    <row r="336" spans="1:8">
      <c r="A336" s="539">
        <v>1</v>
      </c>
      <c r="B336" s="540" t="s">
        <v>952</v>
      </c>
      <c r="C336" s="539"/>
      <c r="D336" s="539"/>
      <c r="E336" s="539"/>
      <c r="F336" s="546"/>
      <c r="G336" s="539"/>
      <c r="H336" s="474">
        <f t="shared" si="4"/>
        <v>0</v>
      </c>
    </row>
    <row r="337" spans="1:8" ht="24.75">
      <c r="A337" s="539" t="s">
        <v>891</v>
      </c>
      <c r="B337" s="540" t="s">
        <v>953</v>
      </c>
      <c r="C337" s="539" t="s">
        <v>979</v>
      </c>
      <c r="D337" s="539" t="s">
        <v>34</v>
      </c>
      <c r="E337" s="544" t="s">
        <v>881</v>
      </c>
      <c r="F337" s="495" t="e">
        <f>LUONGNGAY!$K$35</f>
        <v>#VALUE!</v>
      </c>
      <c r="G337" s="539">
        <v>0.13</v>
      </c>
      <c r="H337" s="474" t="e">
        <f t="shared" si="4"/>
        <v>#VALUE!</v>
      </c>
    </row>
    <row r="338" spans="1:8" ht="24.75">
      <c r="A338" s="539" t="s">
        <v>899</v>
      </c>
      <c r="B338" s="540" t="s">
        <v>954</v>
      </c>
      <c r="C338" s="539"/>
      <c r="D338" s="539"/>
      <c r="E338" s="539"/>
      <c r="F338" s="546"/>
      <c r="G338" s="539"/>
      <c r="H338" s="474">
        <f t="shared" si="4"/>
        <v>0</v>
      </c>
    </row>
    <row r="339" spans="1:8">
      <c r="A339" s="539" t="s">
        <v>955</v>
      </c>
      <c r="B339" s="540" t="s">
        <v>33</v>
      </c>
      <c r="C339" s="539" t="s">
        <v>979</v>
      </c>
      <c r="D339" s="539" t="s">
        <v>34</v>
      </c>
      <c r="E339" s="544" t="s">
        <v>881</v>
      </c>
      <c r="F339" s="495" t="e">
        <f>LUONGNGAY!$K$35</f>
        <v>#VALUE!</v>
      </c>
      <c r="G339" s="539">
        <v>0.5</v>
      </c>
      <c r="H339" s="474" t="e">
        <f t="shared" si="4"/>
        <v>#VALUE!</v>
      </c>
    </row>
    <row r="340" spans="1:8">
      <c r="A340" s="539" t="s">
        <v>956</v>
      </c>
      <c r="B340" s="540" t="s">
        <v>36</v>
      </c>
      <c r="C340" s="539" t="s">
        <v>979</v>
      </c>
      <c r="D340" s="539" t="s">
        <v>34</v>
      </c>
      <c r="E340" s="544" t="s">
        <v>881</v>
      </c>
      <c r="F340" s="495" t="e">
        <f>LUONGNGAY!$K$35</f>
        <v>#VALUE!</v>
      </c>
      <c r="G340" s="539">
        <v>0.25</v>
      </c>
      <c r="H340" s="474" t="e">
        <f t="shared" si="4"/>
        <v>#VALUE!</v>
      </c>
    </row>
    <row r="341" spans="1:8" ht="24.75">
      <c r="A341" s="539">
        <v>2</v>
      </c>
      <c r="B341" s="540" t="s">
        <v>957</v>
      </c>
      <c r="C341" s="539"/>
      <c r="D341" s="539"/>
      <c r="E341" s="539"/>
      <c r="F341" s="546"/>
      <c r="G341" s="539"/>
      <c r="H341" s="474">
        <f t="shared" si="4"/>
        <v>0</v>
      </c>
    </row>
    <row r="342" spans="1:8">
      <c r="A342" s="539" t="s">
        <v>900</v>
      </c>
      <c r="B342" s="540" t="s">
        <v>33</v>
      </c>
      <c r="C342" s="539" t="s">
        <v>979</v>
      </c>
      <c r="D342" s="539" t="s">
        <v>34</v>
      </c>
      <c r="E342" s="544" t="s">
        <v>881</v>
      </c>
      <c r="F342" s="495" t="e">
        <f>LUONGNGAY!$K$35</f>
        <v>#VALUE!</v>
      </c>
      <c r="G342" s="539">
        <v>6.5000000000000002E-2</v>
      </c>
      <c r="H342" s="474" t="e">
        <f t="shared" si="4"/>
        <v>#VALUE!</v>
      </c>
    </row>
    <row r="343" spans="1:8">
      <c r="A343" s="539" t="s">
        <v>901</v>
      </c>
      <c r="B343" s="540" t="s">
        <v>36</v>
      </c>
      <c r="C343" s="539" t="s">
        <v>979</v>
      </c>
      <c r="D343" s="539" t="s">
        <v>34</v>
      </c>
      <c r="E343" s="544" t="s">
        <v>881</v>
      </c>
      <c r="F343" s="495" t="e">
        <f>LUONGNGAY!$K$35</f>
        <v>#VALUE!</v>
      </c>
      <c r="G343" s="539">
        <v>6.5000000000000002E-2</v>
      </c>
      <c r="H343" s="474" t="e">
        <f t="shared" si="4"/>
        <v>#VALUE!</v>
      </c>
    </row>
    <row r="344" spans="1:8">
      <c r="A344" s="539">
        <v>3</v>
      </c>
      <c r="B344" s="540" t="s">
        <v>767</v>
      </c>
      <c r="C344" s="539" t="s">
        <v>979</v>
      </c>
      <c r="D344" s="539" t="s">
        <v>29</v>
      </c>
      <c r="E344" s="544" t="s">
        <v>881</v>
      </c>
      <c r="F344" s="471" t="e">
        <f>LUONGNGAY!$K$36</f>
        <v>#VALUE!</v>
      </c>
      <c r="G344" s="539">
        <v>0.52</v>
      </c>
      <c r="H344" s="474" t="e">
        <f t="shared" si="4"/>
        <v>#VALUE!</v>
      </c>
    </row>
    <row r="345" spans="1:8" ht="24.75">
      <c r="A345" s="539">
        <v>4</v>
      </c>
      <c r="B345" s="540" t="s">
        <v>768</v>
      </c>
      <c r="C345" s="539" t="s">
        <v>979</v>
      </c>
      <c r="D345" s="539" t="s">
        <v>29</v>
      </c>
      <c r="E345" s="544" t="s">
        <v>881</v>
      </c>
      <c r="F345" s="471" t="e">
        <f>LUONGNGAY!$K$36</f>
        <v>#VALUE!</v>
      </c>
      <c r="G345" s="539">
        <v>0.65</v>
      </c>
      <c r="H345" s="474" t="e">
        <f t="shared" si="4"/>
        <v>#VALUE!</v>
      </c>
    </row>
    <row r="346" spans="1:8">
      <c r="A346" s="539">
        <v>5</v>
      </c>
      <c r="B346" s="540" t="s">
        <v>69</v>
      </c>
      <c r="C346" s="539" t="s">
        <v>627</v>
      </c>
      <c r="D346" s="539" t="s">
        <v>29</v>
      </c>
      <c r="E346" s="544" t="s">
        <v>881</v>
      </c>
      <c r="F346" s="471" t="e">
        <f>LUONGNGAY!$K$36</f>
        <v>#VALUE!</v>
      </c>
      <c r="G346" s="539">
        <v>6.0000000000000001E-3</v>
      </c>
      <c r="H346" s="474" t="e">
        <f t="shared" si="4"/>
        <v>#VALUE!</v>
      </c>
    </row>
    <row r="347" spans="1:8" ht="36.75">
      <c r="A347" s="539">
        <v>6</v>
      </c>
      <c r="B347" s="540" t="s">
        <v>958</v>
      </c>
      <c r="C347" s="539"/>
      <c r="D347" s="539"/>
      <c r="E347" s="539"/>
      <c r="F347" s="546"/>
      <c r="G347" s="539"/>
      <c r="H347" s="474">
        <f t="shared" si="4"/>
        <v>0</v>
      </c>
    </row>
    <row r="348" spans="1:8">
      <c r="A348" s="539" t="s">
        <v>444</v>
      </c>
      <c r="B348" s="540" t="s">
        <v>770</v>
      </c>
      <c r="C348" s="539" t="s">
        <v>627</v>
      </c>
      <c r="D348" s="539" t="s">
        <v>34</v>
      </c>
      <c r="E348" s="544" t="s">
        <v>881</v>
      </c>
      <c r="F348" s="495" t="e">
        <f>LUONGNGAY!$K$35</f>
        <v>#VALUE!</v>
      </c>
      <c r="G348" s="539">
        <v>0.05</v>
      </c>
      <c r="H348" s="474" t="e">
        <f t="shared" si="4"/>
        <v>#VALUE!</v>
      </c>
    </row>
    <row r="349" spans="1:8">
      <c r="A349" s="539" t="s">
        <v>445</v>
      </c>
      <c r="B349" s="540" t="s">
        <v>771</v>
      </c>
      <c r="C349" s="539" t="s">
        <v>627</v>
      </c>
      <c r="D349" s="539" t="s">
        <v>34</v>
      </c>
      <c r="E349" s="544" t="s">
        <v>881</v>
      </c>
      <c r="F349" s="495" t="e">
        <f>LUONGNGAY!$K$35</f>
        <v>#VALUE!</v>
      </c>
      <c r="G349" s="539">
        <v>0.1</v>
      </c>
      <c r="H349" s="474" t="e">
        <f t="shared" si="4"/>
        <v>#VALUE!</v>
      </c>
    </row>
    <row r="350" spans="1:8" ht="24.75">
      <c r="A350" s="539">
        <v>7</v>
      </c>
      <c r="B350" s="540" t="s">
        <v>772</v>
      </c>
      <c r="C350" s="539"/>
      <c r="D350" s="539"/>
      <c r="E350" s="539"/>
      <c r="F350" s="546"/>
      <c r="G350" s="539"/>
      <c r="H350" s="474">
        <f t="shared" si="4"/>
        <v>0</v>
      </c>
    </row>
    <row r="351" spans="1:8">
      <c r="A351" s="539" t="s">
        <v>872</v>
      </c>
      <c r="B351" s="540" t="s">
        <v>773</v>
      </c>
      <c r="C351" s="539" t="s">
        <v>979</v>
      </c>
      <c r="D351" s="539" t="s">
        <v>29</v>
      </c>
      <c r="E351" s="544" t="s">
        <v>881</v>
      </c>
      <c r="F351" s="471" t="e">
        <f>LUONGNGAY!$K$36</f>
        <v>#VALUE!</v>
      </c>
      <c r="G351" s="539">
        <v>0.13</v>
      </c>
      <c r="H351" s="474" t="e">
        <f t="shared" si="4"/>
        <v>#VALUE!</v>
      </c>
    </row>
    <row r="352" spans="1:8">
      <c r="A352" s="539" t="s">
        <v>873</v>
      </c>
      <c r="B352" s="540" t="s">
        <v>774</v>
      </c>
      <c r="C352" s="539" t="s">
        <v>979</v>
      </c>
      <c r="D352" s="539" t="s">
        <v>29</v>
      </c>
      <c r="E352" s="544" t="s">
        <v>881</v>
      </c>
      <c r="F352" s="471" t="e">
        <f>LUONGNGAY!$K$36</f>
        <v>#VALUE!</v>
      </c>
      <c r="G352" s="539">
        <v>0.26</v>
      </c>
      <c r="H352" s="474" t="e">
        <f t="shared" si="4"/>
        <v>#VALUE!</v>
      </c>
    </row>
    <row r="353" spans="1:8">
      <c r="A353" s="539">
        <v>8</v>
      </c>
      <c r="B353" s="540" t="s">
        <v>959</v>
      </c>
      <c r="C353" s="539"/>
      <c r="D353" s="539"/>
      <c r="E353" s="539"/>
      <c r="F353" s="546"/>
      <c r="G353" s="539"/>
      <c r="H353" s="474">
        <f t="shared" si="4"/>
        <v>0</v>
      </c>
    </row>
    <row r="354" spans="1:8" ht="36.75">
      <c r="A354" s="539" t="s">
        <v>374</v>
      </c>
      <c r="B354" s="540" t="s">
        <v>543</v>
      </c>
      <c r="C354" s="539"/>
      <c r="D354" s="539"/>
      <c r="E354" s="539"/>
      <c r="F354" s="546"/>
      <c r="G354" s="539"/>
      <c r="H354" s="474">
        <f t="shared" si="4"/>
        <v>0</v>
      </c>
    </row>
    <row r="355" spans="1:8">
      <c r="A355" s="539" t="s">
        <v>544</v>
      </c>
      <c r="B355" s="540" t="s">
        <v>33</v>
      </c>
      <c r="C355" s="539" t="s">
        <v>979</v>
      </c>
      <c r="D355" s="539" t="s">
        <v>34</v>
      </c>
      <c r="E355" s="544" t="s">
        <v>881</v>
      </c>
      <c r="F355" s="495" t="e">
        <f>LUONGNGAY!$K$35</f>
        <v>#VALUE!</v>
      </c>
      <c r="G355" s="539">
        <v>0.26</v>
      </c>
      <c r="H355" s="474" t="e">
        <f t="shared" si="4"/>
        <v>#VALUE!</v>
      </c>
    </row>
    <row r="356" spans="1:8">
      <c r="A356" s="539" t="s">
        <v>545</v>
      </c>
      <c r="B356" s="540" t="s">
        <v>36</v>
      </c>
      <c r="C356" s="539" t="s">
        <v>979</v>
      </c>
      <c r="D356" s="539" t="s">
        <v>34</v>
      </c>
      <c r="E356" s="544" t="s">
        <v>881</v>
      </c>
      <c r="F356" s="495" t="e">
        <f>LUONGNGAY!$K$35</f>
        <v>#VALUE!</v>
      </c>
      <c r="G356" s="539">
        <v>0.13</v>
      </c>
      <c r="H356" s="474" t="e">
        <f t="shared" si="4"/>
        <v>#VALUE!</v>
      </c>
    </row>
    <row r="357" spans="1:8" ht="36.75">
      <c r="A357" s="539" t="s">
        <v>375</v>
      </c>
      <c r="B357" s="540" t="s">
        <v>1064</v>
      </c>
      <c r="C357" s="539"/>
      <c r="D357" s="539"/>
      <c r="E357" s="539"/>
      <c r="F357" s="546"/>
      <c r="G357" s="539"/>
      <c r="H357" s="474">
        <f t="shared" si="4"/>
        <v>0</v>
      </c>
    </row>
    <row r="358" spans="1:8">
      <c r="A358" s="539" t="s">
        <v>442</v>
      </c>
      <c r="B358" s="540" t="s">
        <v>33</v>
      </c>
      <c r="C358" s="539" t="s">
        <v>979</v>
      </c>
      <c r="D358" s="539" t="s">
        <v>34</v>
      </c>
      <c r="E358" s="544" t="s">
        <v>881</v>
      </c>
      <c r="F358" s="495" t="e">
        <f>LUONGNGAY!$K$35</f>
        <v>#VALUE!</v>
      </c>
      <c r="G358" s="539">
        <v>0.26</v>
      </c>
      <c r="H358" s="474" t="e">
        <f t="shared" si="4"/>
        <v>#VALUE!</v>
      </c>
    </row>
    <row r="359" spans="1:8">
      <c r="A359" s="539" t="s">
        <v>443</v>
      </c>
      <c r="B359" s="540" t="s">
        <v>36</v>
      </c>
      <c r="C359" s="539" t="s">
        <v>979</v>
      </c>
      <c r="D359" s="539" t="s">
        <v>34</v>
      </c>
      <c r="E359" s="544" t="s">
        <v>881</v>
      </c>
      <c r="F359" s="495" t="e">
        <f>LUONGNGAY!$K$35</f>
        <v>#VALUE!</v>
      </c>
      <c r="G359" s="539">
        <v>0.13</v>
      </c>
      <c r="H359" s="474" t="e">
        <f t="shared" si="4"/>
        <v>#VALUE!</v>
      </c>
    </row>
    <row r="360" spans="1:8">
      <c r="A360" s="539">
        <v>9</v>
      </c>
      <c r="B360" s="540" t="s">
        <v>211</v>
      </c>
      <c r="C360" s="539" t="s">
        <v>627</v>
      </c>
      <c r="D360" s="539" t="s">
        <v>29</v>
      </c>
      <c r="E360" s="544" t="s">
        <v>881</v>
      </c>
      <c r="F360" s="471" t="e">
        <f>LUONGNGAY!$K$36</f>
        <v>#VALUE!</v>
      </c>
      <c r="G360" s="539">
        <v>0.03</v>
      </c>
      <c r="H360" s="474" t="e">
        <f t="shared" si="4"/>
        <v>#VALUE!</v>
      </c>
    </row>
    <row r="361" spans="1:8">
      <c r="A361" s="539">
        <v>10</v>
      </c>
      <c r="B361" s="540" t="s">
        <v>978</v>
      </c>
      <c r="C361" s="539" t="s">
        <v>212</v>
      </c>
      <c r="D361" s="539" t="s">
        <v>29</v>
      </c>
      <c r="E361" s="544" t="s">
        <v>881</v>
      </c>
      <c r="F361" s="471" t="e">
        <f>LUONGNGAY!$K$36</f>
        <v>#VALUE!</v>
      </c>
      <c r="G361" s="539">
        <v>0.2</v>
      </c>
      <c r="H361" s="474" t="e">
        <f t="shared" si="4"/>
        <v>#VALUE!</v>
      </c>
    </row>
    <row r="362" spans="1:8">
      <c r="A362" s="539">
        <v>11</v>
      </c>
      <c r="B362" s="540" t="s">
        <v>213</v>
      </c>
      <c r="C362" s="539"/>
      <c r="D362" s="539"/>
      <c r="E362" s="539"/>
      <c r="F362" s="546"/>
      <c r="G362" s="539"/>
      <c r="H362" s="474">
        <f t="shared" si="4"/>
        <v>0</v>
      </c>
    </row>
    <row r="363" spans="1:8">
      <c r="A363" s="539" t="s">
        <v>877</v>
      </c>
      <c r="B363" s="540" t="s">
        <v>215</v>
      </c>
      <c r="C363" s="539" t="s">
        <v>320</v>
      </c>
      <c r="D363" s="539" t="s">
        <v>34</v>
      </c>
      <c r="E363" s="544" t="s">
        <v>881</v>
      </c>
      <c r="F363" s="495" t="e">
        <f>LUONGNGAY!$K$35</f>
        <v>#VALUE!</v>
      </c>
      <c r="G363" s="539">
        <v>0.1</v>
      </c>
      <c r="H363" s="474" t="e">
        <f t="shared" si="4"/>
        <v>#VALUE!</v>
      </c>
    </row>
    <row r="364" spans="1:8">
      <c r="A364" s="539" t="s">
        <v>878</v>
      </c>
      <c r="B364" s="540" t="s">
        <v>217</v>
      </c>
      <c r="C364" s="539" t="s">
        <v>320</v>
      </c>
      <c r="D364" s="539" t="s">
        <v>34</v>
      </c>
      <c r="E364" s="544" t="s">
        <v>881</v>
      </c>
      <c r="F364" s="495" t="e">
        <f>LUONGNGAY!$K$35</f>
        <v>#VALUE!</v>
      </c>
      <c r="G364" s="539">
        <v>0.2</v>
      </c>
      <c r="H364" s="474" t="e">
        <f t="shared" si="4"/>
        <v>#VALUE!</v>
      </c>
    </row>
    <row r="365" spans="1:8">
      <c r="A365" s="539">
        <v>12</v>
      </c>
      <c r="B365" s="540" t="s">
        <v>218</v>
      </c>
      <c r="C365" s="539" t="s">
        <v>979</v>
      </c>
      <c r="D365" s="539" t="s">
        <v>34</v>
      </c>
      <c r="E365" s="544" t="s">
        <v>881</v>
      </c>
      <c r="F365" s="495" t="e">
        <f>LUONGNGAY!$K$35</f>
        <v>#VALUE!</v>
      </c>
      <c r="G365" s="539">
        <v>0.39</v>
      </c>
      <c r="H365" s="474" t="e">
        <f t="shared" si="4"/>
        <v>#VALUE!</v>
      </c>
    </row>
    <row r="366" spans="1:8" ht="24.75">
      <c r="A366" s="539">
        <v>13</v>
      </c>
      <c r="B366" s="540" t="s">
        <v>1065</v>
      </c>
      <c r="C366" s="539" t="s">
        <v>979</v>
      </c>
      <c r="D366" s="539" t="s">
        <v>34</v>
      </c>
      <c r="E366" s="544" t="s">
        <v>881</v>
      </c>
      <c r="F366" s="495" t="e">
        <f>LUONGNGAY!$K$35</f>
        <v>#VALUE!</v>
      </c>
      <c r="G366" s="539">
        <v>0.221</v>
      </c>
      <c r="H366" s="474" t="e">
        <f t="shared" si="4"/>
        <v>#VALUE!</v>
      </c>
    </row>
    <row r="367" spans="1:8">
      <c r="A367" s="539">
        <v>14</v>
      </c>
      <c r="B367" s="540" t="s">
        <v>220</v>
      </c>
      <c r="C367" s="539" t="s">
        <v>627</v>
      </c>
      <c r="D367" s="539" t="s">
        <v>29</v>
      </c>
      <c r="E367" s="544" t="s">
        <v>881</v>
      </c>
      <c r="F367" s="471" t="e">
        <f>LUONGNGAY!$K$36</f>
        <v>#VALUE!</v>
      </c>
      <c r="G367" s="539">
        <v>3.3000000000000002E-2</v>
      </c>
      <c r="H367" s="474" t="e">
        <f t="shared" si="4"/>
        <v>#VALUE!</v>
      </c>
    </row>
    <row r="368" spans="1:8">
      <c r="A368" s="539">
        <v>15</v>
      </c>
      <c r="B368" s="540" t="s">
        <v>221</v>
      </c>
      <c r="C368" s="539"/>
      <c r="D368" s="539"/>
      <c r="E368" s="539"/>
      <c r="F368" s="546"/>
      <c r="G368" s="539"/>
      <c r="H368" s="474">
        <f t="shared" si="4"/>
        <v>0</v>
      </c>
    </row>
    <row r="369" spans="1:8" ht="24.75">
      <c r="A369" s="539" t="s">
        <v>1066</v>
      </c>
      <c r="B369" s="540" t="s">
        <v>931</v>
      </c>
      <c r="C369" s="539"/>
      <c r="D369" s="539"/>
      <c r="E369" s="539"/>
      <c r="F369" s="546"/>
      <c r="G369" s="539"/>
      <c r="H369" s="474">
        <f t="shared" si="4"/>
        <v>0</v>
      </c>
    </row>
    <row r="370" spans="1:8">
      <c r="A370" s="539" t="s">
        <v>1067</v>
      </c>
      <c r="B370" s="540" t="s">
        <v>933</v>
      </c>
      <c r="C370" s="539" t="s">
        <v>934</v>
      </c>
      <c r="D370" s="539" t="s">
        <v>935</v>
      </c>
      <c r="E370" s="544" t="s">
        <v>881</v>
      </c>
      <c r="F370" s="471" t="e">
        <f>LUONGNGAY!$K$34</f>
        <v>#VALUE!</v>
      </c>
      <c r="G370" s="539">
        <v>0.02</v>
      </c>
      <c r="H370" s="474" t="e">
        <f t="shared" si="4"/>
        <v>#VALUE!</v>
      </c>
    </row>
    <row r="371" spans="1:8">
      <c r="A371" s="539" t="s">
        <v>1068</v>
      </c>
      <c r="B371" s="540" t="s">
        <v>937</v>
      </c>
      <c r="C371" s="539" t="s">
        <v>934</v>
      </c>
      <c r="D371" s="539" t="s">
        <v>935</v>
      </c>
      <c r="E371" s="544" t="s">
        <v>881</v>
      </c>
      <c r="F371" s="471" t="e">
        <f>LUONGNGAY!$K$34</f>
        <v>#VALUE!</v>
      </c>
      <c r="G371" s="539">
        <v>0.01</v>
      </c>
      <c r="H371" s="474" t="e">
        <f t="shared" si="4"/>
        <v>#VALUE!</v>
      </c>
    </row>
    <row r="372" spans="1:8" ht="24.75">
      <c r="A372" s="539" t="s">
        <v>1069</v>
      </c>
      <c r="B372" s="540" t="s">
        <v>48</v>
      </c>
      <c r="C372" s="539" t="s">
        <v>934</v>
      </c>
      <c r="D372" s="539" t="s">
        <v>935</v>
      </c>
      <c r="E372" s="544" t="s">
        <v>881</v>
      </c>
      <c r="F372" s="471" t="e">
        <f>LUONGNGAY!$K$34</f>
        <v>#VALUE!</v>
      </c>
      <c r="G372" s="539">
        <v>5.0000000000000001E-3</v>
      </c>
      <c r="H372" s="474" t="e">
        <f t="shared" si="4"/>
        <v>#VALUE!</v>
      </c>
    </row>
    <row r="373" spans="1:8">
      <c r="A373" s="539" t="s">
        <v>1070</v>
      </c>
      <c r="B373" s="540" t="s">
        <v>50</v>
      </c>
      <c r="C373" s="539" t="s">
        <v>627</v>
      </c>
      <c r="D373" s="539" t="s">
        <v>935</v>
      </c>
      <c r="E373" s="544" t="s">
        <v>881</v>
      </c>
      <c r="F373" s="471" t="e">
        <f>LUONGNGAY!$K$34</f>
        <v>#VALUE!</v>
      </c>
      <c r="G373" s="539">
        <v>1.2999999999999999E-2</v>
      </c>
      <c r="H373" s="474" t="e">
        <f t="shared" si="4"/>
        <v>#VALUE!</v>
      </c>
    </row>
    <row r="374" spans="1:8" ht="24.75">
      <c r="A374" s="539">
        <v>16</v>
      </c>
      <c r="B374" s="540" t="s">
        <v>1071</v>
      </c>
      <c r="C374" s="539" t="s">
        <v>979</v>
      </c>
      <c r="D374" s="539" t="s">
        <v>34</v>
      </c>
      <c r="E374" s="544" t="s">
        <v>881</v>
      </c>
      <c r="F374" s="495" t="e">
        <f>LUONGNGAY!$K$35</f>
        <v>#VALUE!</v>
      </c>
      <c r="G374" s="539">
        <v>0.26</v>
      </c>
      <c r="H374" s="474" t="e">
        <f t="shared" si="4"/>
        <v>#VALUE!</v>
      </c>
    </row>
    <row r="375" spans="1:8">
      <c r="A375" s="539">
        <v>17</v>
      </c>
      <c r="B375" s="540" t="s">
        <v>1072</v>
      </c>
      <c r="C375" s="539"/>
      <c r="D375" s="539"/>
      <c r="E375" s="539"/>
      <c r="F375" s="546"/>
      <c r="G375" s="539"/>
      <c r="H375" s="474">
        <f t="shared" si="4"/>
        <v>0</v>
      </c>
    </row>
    <row r="376" spans="1:8">
      <c r="A376" s="539" t="s">
        <v>1073</v>
      </c>
      <c r="B376" s="540" t="s">
        <v>1072</v>
      </c>
      <c r="C376" s="539" t="s">
        <v>979</v>
      </c>
      <c r="D376" s="539" t="s">
        <v>34</v>
      </c>
      <c r="E376" s="544" t="s">
        <v>881</v>
      </c>
      <c r="F376" s="495" t="e">
        <f>LUONGNGAY!$K$35</f>
        <v>#VALUE!</v>
      </c>
      <c r="G376" s="539">
        <v>0.13</v>
      </c>
      <c r="H376" s="474" t="e">
        <f>F376*G376</f>
        <v>#VALUE!</v>
      </c>
    </row>
    <row r="377" spans="1:8" ht="24.75">
      <c r="A377" s="539" t="s">
        <v>1074</v>
      </c>
      <c r="B377" s="540" t="s">
        <v>1075</v>
      </c>
      <c r="C377" s="539" t="s">
        <v>979</v>
      </c>
      <c r="D377" s="539" t="s">
        <v>34</v>
      </c>
      <c r="E377" s="544" t="s">
        <v>881</v>
      </c>
      <c r="F377" s="495" t="e">
        <f>LUONGNGAY!$K$35</f>
        <v>#VALUE!</v>
      </c>
      <c r="G377" s="539">
        <v>0.13</v>
      </c>
      <c r="H377" s="474" t="e">
        <f>F377*G377</f>
        <v>#VALUE!</v>
      </c>
    </row>
    <row r="378" spans="1:8">
      <c r="A378" s="545" t="s">
        <v>913</v>
      </c>
      <c r="B378" s="538" t="s">
        <v>1057</v>
      </c>
      <c r="C378" s="539"/>
      <c r="D378" s="539"/>
      <c r="E378" s="539"/>
      <c r="F378" s="546"/>
      <c r="G378" s="539"/>
      <c r="H378" s="474">
        <f>F378*G378</f>
        <v>0</v>
      </c>
    </row>
    <row r="379" spans="1:8" ht="24.75">
      <c r="A379" s="539">
        <v>1</v>
      </c>
      <c r="B379" s="540" t="s">
        <v>1076</v>
      </c>
      <c r="C379" s="539" t="s">
        <v>979</v>
      </c>
      <c r="D379" s="539" t="s">
        <v>29</v>
      </c>
      <c r="E379" s="544" t="s">
        <v>881</v>
      </c>
      <c r="F379" s="551" t="e">
        <f>F367</f>
        <v>#VALUE!</v>
      </c>
      <c r="G379" s="539">
        <v>0.26</v>
      </c>
      <c r="H379" s="474" t="e">
        <f>F379*G379</f>
        <v>#VALUE!</v>
      </c>
    </row>
    <row r="380" spans="1:8">
      <c r="A380" s="482"/>
      <c r="B380" s="490"/>
      <c r="C380" s="484"/>
      <c r="D380" s="484"/>
      <c r="E380" s="486"/>
      <c r="F380" s="491"/>
      <c r="G380" s="496"/>
      <c r="H380" s="493"/>
    </row>
    <row r="381" spans="1:8" ht="19.5" customHeight="1"/>
    <row r="382" spans="1:8" ht="33" customHeight="1">
      <c r="A382" s="1194" t="s">
        <v>489</v>
      </c>
      <c r="B382" s="1194"/>
      <c r="C382" s="1194"/>
      <c r="D382" s="1194"/>
      <c r="E382" s="1194"/>
      <c r="F382" s="1194"/>
      <c r="G382" s="1194"/>
      <c r="H382" s="1194"/>
    </row>
    <row r="383" spans="1:8">
      <c r="A383" s="459"/>
      <c r="B383" s="460"/>
      <c r="E383" s="462"/>
      <c r="F383" s="463"/>
      <c r="G383" s="462"/>
      <c r="H383" s="464"/>
    </row>
    <row r="384" spans="1:8" ht="49.5" customHeight="1">
      <c r="A384" s="467" t="s">
        <v>158</v>
      </c>
      <c r="B384" s="467" t="s">
        <v>381</v>
      </c>
      <c r="C384" s="468" t="s">
        <v>625</v>
      </c>
      <c r="D384" s="468" t="s">
        <v>624</v>
      </c>
      <c r="E384" s="468" t="s">
        <v>382</v>
      </c>
      <c r="F384" s="469" t="s">
        <v>629</v>
      </c>
      <c r="G384" s="468" t="s">
        <v>628</v>
      </c>
      <c r="H384" s="468" t="s">
        <v>383</v>
      </c>
    </row>
    <row r="385" spans="1:8" ht="19.5" customHeight="1">
      <c r="A385" s="545" t="s">
        <v>179</v>
      </c>
      <c r="B385" s="538" t="s">
        <v>91</v>
      </c>
      <c r="C385" s="539"/>
      <c r="D385" s="539"/>
      <c r="E385" s="539"/>
      <c r="F385" s="546"/>
      <c r="G385" s="539"/>
      <c r="H385" s="539"/>
    </row>
    <row r="386" spans="1:8" ht="18.75" customHeight="1">
      <c r="A386" s="539">
        <v>1</v>
      </c>
      <c r="B386" s="540" t="s">
        <v>31</v>
      </c>
      <c r="C386" s="539"/>
      <c r="D386" s="539"/>
      <c r="E386" s="539"/>
      <c r="F386" s="546"/>
      <c r="G386" s="539"/>
      <c r="H386" s="539"/>
    </row>
    <row r="387" spans="1:8" ht="19.5" customHeight="1">
      <c r="A387" s="539" t="s">
        <v>891</v>
      </c>
      <c r="B387" s="540" t="s">
        <v>33</v>
      </c>
      <c r="C387" s="539" t="s">
        <v>979</v>
      </c>
      <c r="D387" s="539" t="s">
        <v>34</v>
      </c>
      <c r="E387" s="544" t="s">
        <v>881</v>
      </c>
      <c r="F387" s="551" t="e">
        <f>LUONGNGAY!$K$35</f>
        <v>#VALUE!</v>
      </c>
      <c r="G387" s="539">
        <v>0.2</v>
      </c>
      <c r="H387" s="474" t="e">
        <f>F387*G387</f>
        <v>#VALUE!</v>
      </c>
    </row>
    <row r="388" spans="1:8" ht="19.5" customHeight="1">
      <c r="A388" s="539" t="s">
        <v>899</v>
      </c>
      <c r="B388" s="540" t="s">
        <v>36</v>
      </c>
      <c r="C388" s="539" t="s">
        <v>979</v>
      </c>
      <c r="D388" s="539" t="s">
        <v>34</v>
      </c>
      <c r="E388" s="544" t="s">
        <v>881</v>
      </c>
      <c r="F388" s="551" t="e">
        <f>LUONGNGAY!$K$35</f>
        <v>#VALUE!</v>
      </c>
      <c r="G388" s="539">
        <v>0.15</v>
      </c>
      <c r="H388" s="474" t="e">
        <f t="shared" ref="H388:H427" si="5">F388*G388</f>
        <v>#VALUE!</v>
      </c>
    </row>
    <row r="389" spans="1:8" ht="36.75" customHeight="1">
      <c r="A389" s="539">
        <v>2</v>
      </c>
      <c r="B389" s="540" t="s">
        <v>37</v>
      </c>
      <c r="C389" s="539" t="s">
        <v>979</v>
      </c>
      <c r="D389" s="539" t="s">
        <v>34</v>
      </c>
      <c r="E389" s="544" t="s">
        <v>881</v>
      </c>
      <c r="F389" s="551" t="e">
        <f>LUONGNGAY!$K$35</f>
        <v>#VALUE!</v>
      </c>
      <c r="G389" s="539">
        <v>0.5</v>
      </c>
      <c r="H389" s="474" t="e">
        <f t="shared" si="5"/>
        <v>#VALUE!</v>
      </c>
    </row>
    <row r="390" spans="1:8" ht="36.75" customHeight="1">
      <c r="A390" s="539">
        <v>3</v>
      </c>
      <c r="B390" s="540" t="s">
        <v>1078</v>
      </c>
      <c r="C390" s="539" t="s">
        <v>627</v>
      </c>
      <c r="D390" s="539" t="s">
        <v>29</v>
      </c>
      <c r="E390" s="544" t="s">
        <v>881</v>
      </c>
      <c r="F390" s="551" t="e">
        <f>LUONGNGAY!$K$36</f>
        <v>#VALUE!</v>
      </c>
      <c r="G390" s="539">
        <v>0.107</v>
      </c>
      <c r="H390" s="474" t="e">
        <f t="shared" si="5"/>
        <v>#VALUE!</v>
      </c>
    </row>
    <row r="391" spans="1:8" ht="36.75" customHeight="1">
      <c r="A391" s="539">
        <v>4</v>
      </c>
      <c r="B391" s="540" t="s">
        <v>1079</v>
      </c>
      <c r="C391" s="539"/>
      <c r="D391" s="539"/>
      <c r="E391" s="539"/>
      <c r="G391" s="539"/>
      <c r="H391" s="474">
        <f t="shared" si="5"/>
        <v>0</v>
      </c>
    </row>
    <row r="392" spans="1:8" ht="19.5" customHeight="1">
      <c r="A392" s="539" t="s">
        <v>251</v>
      </c>
      <c r="B392" s="540" t="s">
        <v>1080</v>
      </c>
      <c r="C392" s="539" t="s">
        <v>979</v>
      </c>
      <c r="D392" s="539" t="s">
        <v>811</v>
      </c>
      <c r="E392" s="544" t="s">
        <v>881</v>
      </c>
      <c r="F392" s="551" t="e">
        <f>(LUONGNGAY!$K$36+LUONGNGAY!$K$35)/2</f>
        <v>#VALUE!</v>
      </c>
      <c r="G392" s="539">
        <f>1*2</f>
        <v>2</v>
      </c>
      <c r="H392" s="474" t="e">
        <f t="shared" si="5"/>
        <v>#VALUE!</v>
      </c>
    </row>
    <row r="393" spans="1:8" ht="19.5" customHeight="1">
      <c r="A393" s="1201" t="s">
        <v>252</v>
      </c>
      <c r="B393" s="1202" t="s">
        <v>1081</v>
      </c>
      <c r="C393" s="1201" t="s">
        <v>979</v>
      </c>
      <c r="D393" s="1195" t="s">
        <v>811</v>
      </c>
      <c r="E393" s="539">
        <v>1</v>
      </c>
      <c r="F393" s="551" t="e">
        <f>(LUONGNGAY!$K$36+LUONGNGAY!$K$35)/2</f>
        <v>#VALUE!</v>
      </c>
      <c r="G393" s="539">
        <f>1*2</f>
        <v>2</v>
      </c>
      <c r="H393" s="474" t="e">
        <f t="shared" si="5"/>
        <v>#VALUE!</v>
      </c>
    </row>
    <row r="394" spans="1:8" ht="19.5" customHeight="1">
      <c r="A394" s="1201"/>
      <c r="B394" s="1202"/>
      <c r="C394" s="1201"/>
      <c r="D394" s="1196"/>
      <c r="E394" s="539">
        <v>2</v>
      </c>
      <c r="F394" s="551" t="e">
        <f>(LUONGNGAY!$K$36+LUONGNGAY!$K$35)/2</f>
        <v>#VALUE!</v>
      </c>
      <c r="G394" s="539">
        <f>1.1*2</f>
        <v>2.2000000000000002</v>
      </c>
      <c r="H394" s="474" t="e">
        <f t="shared" si="5"/>
        <v>#VALUE!</v>
      </c>
    </row>
    <row r="395" spans="1:8" ht="19.5" customHeight="1">
      <c r="A395" s="1201"/>
      <c r="B395" s="1202"/>
      <c r="C395" s="1201"/>
      <c r="D395" s="1196"/>
      <c r="E395" s="539">
        <v>3</v>
      </c>
      <c r="F395" s="551" t="e">
        <f>(LUONGNGAY!$K$36+LUONGNGAY!$K$35)/2</f>
        <v>#VALUE!</v>
      </c>
      <c r="G395" s="539">
        <f>1.21*2</f>
        <v>2.42</v>
      </c>
      <c r="H395" s="474" t="e">
        <f t="shared" si="5"/>
        <v>#VALUE!</v>
      </c>
    </row>
    <row r="396" spans="1:8" ht="19.5" customHeight="1">
      <c r="A396" s="1201"/>
      <c r="B396" s="1202"/>
      <c r="C396" s="1201"/>
      <c r="D396" s="1196"/>
      <c r="E396" s="539">
        <v>4</v>
      </c>
      <c r="F396" s="551" t="e">
        <f>(LUONGNGAY!$K$36+LUONGNGAY!$K$35)/2</f>
        <v>#VALUE!</v>
      </c>
      <c r="G396" s="539">
        <f>1.331*2</f>
        <v>2.6619999999999999</v>
      </c>
      <c r="H396" s="474" t="e">
        <f t="shared" si="5"/>
        <v>#VALUE!</v>
      </c>
    </row>
    <row r="397" spans="1:8" ht="19.5" customHeight="1">
      <c r="A397" s="1201"/>
      <c r="B397" s="1202"/>
      <c r="C397" s="1201"/>
      <c r="D397" s="1197"/>
      <c r="E397" s="539">
        <v>5</v>
      </c>
      <c r="F397" s="551" t="e">
        <f>(LUONGNGAY!$K$36+LUONGNGAY!$K$35)/2</f>
        <v>#VALUE!</v>
      </c>
      <c r="G397" s="539">
        <f>1.46*2</f>
        <v>2.92</v>
      </c>
      <c r="H397" s="474" t="e">
        <f t="shared" si="5"/>
        <v>#VALUE!</v>
      </c>
    </row>
    <row r="398" spans="1:8" ht="19.5" customHeight="1">
      <c r="A398" s="539" t="s">
        <v>1082</v>
      </c>
      <c r="B398" s="540" t="s">
        <v>1083</v>
      </c>
      <c r="C398" s="539" t="s">
        <v>627</v>
      </c>
      <c r="D398" s="539" t="s">
        <v>29</v>
      </c>
      <c r="E398" s="544" t="s">
        <v>881</v>
      </c>
      <c r="F398" s="551" t="e">
        <f>LUONGNGAY!$K$36</f>
        <v>#VALUE!</v>
      </c>
      <c r="G398" s="539">
        <v>3.0000000000000001E-3</v>
      </c>
      <c r="H398" s="474" t="e">
        <f t="shared" si="5"/>
        <v>#VALUE!</v>
      </c>
    </row>
    <row r="399" spans="1:8" ht="37.5" customHeight="1">
      <c r="A399" s="539" t="s">
        <v>1084</v>
      </c>
      <c r="B399" s="540" t="s">
        <v>1085</v>
      </c>
      <c r="C399" s="539"/>
      <c r="D399" s="539"/>
      <c r="E399" s="539"/>
      <c r="G399" s="539"/>
      <c r="H399" s="474">
        <f t="shared" si="5"/>
        <v>0</v>
      </c>
    </row>
    <row r="400" spans="1:8" ht="19.5" customHeight="1">
      <c r="A400" s="539" t="s">
        <v>1086</v>
      </c>
      <c r="B400" s="540" t="s">
        <v>33</v>
      </c>
      <c r="C400" s="539" t="s">
        <v>979</v>
      </c>
      <c r="D400" s="539" t="s">
        <v>34</v>
      </c>
      <c r="E400" s="544" t="s">
        <v>881</v>
      </c>
      <c r="F400" s="551" t="e">
        <f>LUONGNGAY!$K$35</f>
        <v>#VALUE!</v>
      </c>
      <c r="G400" s="539">
        <v>0</v>
      </c>
      <c r="H400" s="474" t="e">
        <f>F400*G400</f>
        <v>#VALUE!</v>
      </c>
    </row>
    <row r="401" spans="1:8" ht="19.5" customHeight="1">
      <c r="A401" s="539" t="s">
        <v>1087</v>
      </c>
      <c r="B401" s="540" t="s">
        <v>1088</v>
      </c>
      <c r="C401" s="539" t="s">
        <v>979</v>
      </c>
      <c r="D401" s="539" t="s">
        <v>34</v>
      </c>
      <c r="E401" s="544" t="s">
        <v>881</v>
      </c>
      <c r="F401" s="551" t="e">
        <f>LUONGNGAY!$K$35</f>
        <v>#VALUE!</v>
      </c>
      <c r="G401" s="539">
        <v>0</v>
      </c>
      <c r="H401" s="474" t="e">
        <f t="shared" si="5"/>
        <v>#VALUE!</v>
      </c>
    </row>
    <row r="402" spans="1:8" ht="48.75" customHeight="1">
      <c r="A402" s="539" t="s">
        <v>1089</v>
      </c>
      <c r="B402" s="540" t="s">
        <v>1090</v>
      </c>
      <c r="C402" s="539"/>
      <c r="D402" s="539"/>
      <c r="E402" s="539"/>
      <c r="G402" s="539"/>
      <c r="H402" s="474">
        <f t="shared" si="5"/>
        <v>0</v>
      </c>
    </row>
    <row r="403" spans="1:8" ht="19.5" customHeight="1">
      <c r="A403" s="539" t="s">
        <v>73</v>
      </c>
      <c r="B403" s="540" t="s">
        <v>770</v>
      </c>
      <c r="C403" s="539" t="s">
        <v>627</v>
      </c>
      <c r="D403" s="539" t="s">
        <v>34</v>
      </c>
      <c r="E403" s="544" t="s">
        <v>881</v>
      </c>
      <c r="F403" s="551" t="e">
        <f>LUONGNGAY!$K$35</f>
        <v>#VALUE!</v>
      </c>
      <c r="G403" s="539">
        <v>0.1</v>
      </c>
      <c r="H403" s="474" t="e">
        <f t="shared" si="5"/>
        <v>#VALUE!</v>
      </c>
    </row>
    <row r="404" spans="1:8" ht="19.5" customHeight="1">
      <c r="A404" s="539" t="s">
        <v>74</v>
      </c>
      <c r="B404" s="540" t="s">
        <v>771</v>
      </c>
      <c r="C404" s="539" t="s">
        <v>627</v>
      </c>
      <c r="D404" s="539" t="s">
        <v>34</v>
      </c>
      <c r="E404" s="544" t="s">
        <v>881</v>
      </c>
      <c r="F404" s="551" t="e">
        <f>LUONGNGAY!$K$35</f>
        <v>#VALUE!</v>
      </c>
      <c r="G404" s="539">
        <v>0.2</v>
      </c>
      <c r="H404" s="474" t="e">
        <f t="shared" si="5"/>
        <v>#VALUE!</v>
      </c>
    </row>
    <row r="405" spans="1:8" ht="35.25" customHeight="1">
      <c r="A405" s="539">
        <v>5</v>
      </c>
      <c r="B405" s="540" t="s">
        <v>772</v>
      </c>
      <c r="C405" s="539"/>
      <c r="D405" s="539"/>
      <c r="E405" s="539"/>
      <c r="G405" s="539"/>
      <c r="H405" s="474">
        <f t="shared" si="5"/>
        <v>0</v>
      </c>
    </row>
    <row r="406" spans="1:8" ht="19.5" customHeight="1">
      <c r="A406" s="539" t="s">
        <v>607</v>
      </c>
      <c r="B406" s="540" t="s">
        <v>773</v>
      </c>
      <c r="C406" s="539" t="s">
        <v>979</v>
      </c>
      <c r="D406" s="539" t="s">
        <v>29</v>
      </c>
      <c r="E406" s="544" t="s">
        <v>881</v>
      </c>
      <c r="F406" s="551" t="e">
        <f>LUONGNGAY!$K$36</f>
        <v>#VALUE!</v>
      </c>
      <c r="G406" s="539">
        <v>0.25</v>
      </c>
      <c r="H406" s="474" t="e">
        <f t="shared" si="5"/>
        <v>#VALUE!</v>
      </c>
    </row>
    <row r="407" spans="1:8" ht="19.5" customHeight="1">
      <c r="A407" s="539" t="s">
        <v>608</v>
      </c>
      <c r="B407" s="540" t="s">
        <v>774</v>
      </c>
      <c r="C407" s="539" t="s">
        <v>979</v>
      </c>
      <c r="D407" s="539" t="s">
        <v>29</v>
      </c>
      <c r="E407" s="544" t="s">
        <v>881</v>
      </c>
      <c r="F407" s="551" t="e">
        <f>LUONGNGAY!$K$36</f>
        <v>#VALUE!</v>
      </c>
      <c r="G407" s="539">
        <v>0.2</v>
      </c>
      <c r="H407" s="474" t="e">
        <f t="shared" si="5"/>
        <v>#VALUE!</v>
      </c>
    </row>
    <row r="408" spans="1:8" ht="19.5" customHeight="1">
      <c r="A408" s="539">
        <v>6</v>
      </c>
      <c r="B408" s="540" t="s">
        <v>211</v>
      </c>
      <c r="C408" s="539" t="s">
        <v>627</v>
      </c>
      <c r="D408" s="539" t="s">
        <v>29</v>
      </c>
      <c r="E408" s="544" t="s">
        <v>881</v>
      </c>
      <c r="F408" s="551" t="e">
        <f>LUONGNGAY!$K$36</f>
        <v>#VALUE!</v>
      </c>
      <c r="G408" s="539">
        <v>3.3000000000000002E-2</v>
      </c>
      <c r="H408" s="474" t="e">
        <f t="shared" si="5"/>
        <v>#VALUE!</v>
      </c>
    </row>
    <row r="409" spans="1:8" ht="19.5" customHeight="1">
      <c r="A409" s="539">
        <v>7</v>
      </c>
      <c r="B409" s="540" t="s">
        <v>978</v>
      </c>
      <c r="C409" s="539" t="s">
        <v>979</v>
      </c>
      <c r="D409" s="539" t="s">
        <v>29</v>
      </c>
      <c r="E409" s="544" t="s">
        <v>881</v>
      </c>
      <c r="F409" s="551" t="e">
        <f>LUONGNGAY!$K$36</f>
        <v>#VALUE!</v>
      </c>
      <c r="G409" s="539">
        <v>0.2</v>
      </c>
      <c r="H409" s="474" t="e">
        <f t="shared" si="5"/>
        <v>#VALUE!</v>
      </c>
    </row>
    <row r="410" spans="1:8" ht="19.5" customHeight="1">
      <c r="A410" s="539">
        <v>8</v>
      </c>
      <c r="B410" s="540" t="s">
        <v>213</v>
      </c>
      <c r="C410" s="539"/>
      <c r="D410" s="539"/>
      <c r="E410" s="539"/>
      <c r="G410" s="539"/>
      <c r="H410" s="474">
        <f t="shared" si="5"/>
        <v>0</v>
      </c>
    </row>
    <row r="411" spans="1:8" ht="19.5" customHeight="1">
      <c r="A411" s="539" t="s">
        <v>374</v>
      </c>
      <c r="B411" s="540" t="s">
        <v>215</v>
      </c>
      <c r="C411" s="539" t="s">
        <v>320</v>
      </c>
      <c r="D411" s="539" t="s">
        <v>34</v>
      </c>
      <c r="E411" s="544" t="s">
        <v>881</v>
      </c>
      <c r="F411" s="551" t="e">
        <f>LUONGNGAY!$K$35</f>
        <v>#VALUE!</v>
      </c>
      <c r="G411" s="539">
        <v>0.1</v>
      </c>
      <c r="H411" s="474" t="e">
        <f t="shared" si="5"/>
        <v>#VALUE!</v>
      </c>
    </row>
    <row r="412" spans="1:8" ht="19.5" customHeight="1">
      <c r="A412" s="539" t="s">
        <v>375</v>
      </c>
      <c r="B412" s="540" t="s">
        <v>217</v>
      </c>
      <c r="C412" s="539" t="s">
        <v>320</v>
      </c>
      <c r="D412" s="539" t="s">
        <v>34</v>
      </c>
      <c r="E412" s="544" t="s">
        <v>881</v>
      </c>
      <c r="F412" s="551" t="e">
        <f>LUONGNGAY!$K$35</f>
        <v>#VALUE!</v>
      </c>
      <c r="G412" s="539">
        <v>0.15</v>
      </c>
      <c r="H412" s="474" t="e">
        <f t="shared" si="5"/>
        <v>#VALUE!</v>
      </c>
    </row>
    <row r="413" spans="1:8" ht="19.5" customHeight="1">
      <c r="A413" s="539">
        <v>9</v>
      </c>
      <c r="B413" s="540" t="s">
        <v>218</v>
      </c>
      <c r="C413" s="539" t="s">
        <v>979</v>
      </c>
      <c r="D413" s="539" t="s">
        <v>34</v>
      </c>
      <c r="E413" s="544" t="s">
        <v>881</v>
      </c>
      <c r="F413" s="551" t="e">
        <f>LUONGNGAY!$K$35</f>
        <v>#VALUE!</v>
      </c>
      <c r="G413" s="539">
        <v>0.5</v>
      </c>
      <c r="H413" s="474" t="e">
        <f t="shared" si="5"/>
        <v>#VALUE!</v>
      </c>
    </row>
    <row r="414" spans="1:8" ht="31.5" customHeight="1">
      <c r="A414" s="539">
        <v>10</v>
      </c>
      <c r="B414" s="540" t="s">
        <v>75</v>
      </c>
      <c r="C414" s="539" t="s">
        <v>979</v>
      </c>
      <c r="D414" s="539" t="s">
        <v>34</v>
      </c>
      <c r="E414" s="544" t="s">
        <v>881</v>
      </c>
      <c r="F414" s="551" t="e">
        <f>LUONGNGAY!$K$35</f>
        <v>#VALUE!</v>
      </c>
      <c r="G414" s="539">
        <v>0.47</v>
      </c>
      <c r="H414" s="474" t="e">
        <f t="shared" si="5"/>
        <v>#VALUE!</v>
      </c>
    </row>
    <row r="415" spans="1:8" ht="19.5" customHeight="1">
      <c r="A415" s="539">
        <v>11</v>
      </c>
      <c r="B415" s="540" t="s">
        <v>220</v>
      </c>
      <c r="C415" s="539" t="s">
        <v>627</v>
      </c>
      <c r="D415" s="539" t="s">
        <v>29</v>
      </c>
      <c r="E415" s="544" t="s">
        <v>881</v>
      </c>
      <c r="F415" s="551" t="e">
        <f>LUONGNGAY!$K$36</f>
        <v>#VALUE!</v>
      </c>
      <c r="G415" s="539">
        <v>3.3000000000000002E-2</v>
      </c>
      <c r="H415" s="474" t="e">
        <f t="shared" si="5"/>
        <v>#VALUE!</v>
      </c>
    </row>
    <row r="416" spans="1:8" ht="19.5" customHeight="1">
      <c r="A416" s="539">
        <v>12</v>
      </c>
      <c r="B416" s="540" t="s">
        <v>221</v>
      </c>
      <c r="C416" s="539"/>
      <c r="D416" s="539"/>
      <c r="E416" s="539"/>
      <c r="G416" s="539"/>
      <c r="H416" s="474">
        <f t="shared" si="5"/>
        <v>0</v>
      </c>
    </row>
    <row r="417" spans="1:8" ht="38.25" customHeight="1">
      <c r="A417" s="539" t="s">
        <v>76</v>
      </c>
      <c r="B417" s="540" t="s">
        <v>931</v>
      </c>
      <c r="C417" s="539"/>
      <c r="D417" s="539"/>
      <c r="E417" s="539"/>
      <c r="G417" s="539"/>
      <c r="H417" s="474">
        <f t="shared" si="5"/>
        <v>0</v>
      </c>
    </row>
    <row r="418" spans="1:8" ht="19.5" customHeight="1">
      <c r="A418" s="539" t="s">
        <v>77</v>
      </c>
      <c r="B418" s="540" t="s">
        <v>933</v>
      </c>
      <c r="C418" s="539" t="s">
        <v>934</v>
      </c>
      <c r="D418" s="539" t="s">
        <v>935</v>
      </c>
      <c r="E418" s="544" t="s">
        <v>881</v>
      </c>
      <c r="F418" s="551" t="e">
        <f>LUONGNGAY!$K$34</f>
        <v>#VALUE!</v>
      </c>
      <c r="G418" s="539">
        <v>1.6E-2</v>
      </c>
      <c r="H418" s="474" t="e">
        <f t="shared" si="5"/>
        <v>#VALUE!</v>
      </c>
    </row>
    <row r="419" spans="1:8" ht="19.5" customHeight="1">
      <c r="A419" s="539" t="s">
        <v>78</v>
      </c>
      <c r="B419" s="540" t="s">
        <v>937</v>
      </c>
      <c r="C419" s="539" t="s">
        <v>934</v>
      </c>
      <c r="D419" s="539" t="s">
        <v>935</v>
      </c>
      <c r="E419" s="544" t="s">
        <v>881</v>
      </c>
      <c r="F419" s="551" t="e">
        <f>LUONGNGAY!$K$34</f>
        <v>#VALUE!</v>
      </c>
      <c r="G419" s="539">
        <v>8.0000000000000002E-3</v>
      </c>
      <c r="H419" s="474" t="e">
        <f t="shared" si="5"/>
        <v>#VALUE!</v>
      </c>
    </row>
    <row r="420" spans="1:8" ht="30.75" customHeight="1">
      <c r="A420" s="539" t="s">
        <v>79</v>
      </c>
      <c r="B420" s="540" t="s">
        <v>48</v>
      </c>
      <c r="C420" s="539" t="s">
        <v>934</v>
      </c>
      <c r="D420" s="539" t="s">
        <v>935</v>
      </c>
      <c r="E420" s="544" t="s">
        <v>881</v>
      </c>
      <c r="F420" s="551" t="e">
        <f>LUONGNGAY!$K$34</f>
        <v>#VALUE!</v>
      </c>
      <c r="G420" s="539">
        <v>4.0000000000000001E-3</v>
      </c>
      <c r="H420" s="474" t="e">
        <f t="shared" si="5"/>
        <v>#VALUE!</v>
      </c>
    </row>
    <row r="421" spans="1:8" ht="19.5" customHeight="1">
      <c r="A421" s="539" t="s">
        <v>80</v>
      </c>
      <c r="B421" s="540" t="s">
        <v>50</v>
      </c>
      <c r="C421" s="539" t="s">
        <v>627</v>
      </c>
      <c r="D421" s="539" t="s">
        <v>935</v>
      </c>
      <c r="E421" s="544" t="s">
        <v>881</v>
      </c>
      <c r="F421" s="551" t="e">
        <f>LUONGNGAY!$K$34</f>
        <v>#VALUE!</v>
      </c>
      <c r="G421" s="539">
        <v>0.01</v>
      </c>
      <c r="H421" s="474" t="e">
        <f t="shared" si="5"/>
        <v>#VALUE!</v>
      </c>
    </row>
    <row r="422" spans="1:8" ht="26.25" customHeight="1">
      <c r="A422" s="539">
        <v>13</v>
      </c>
      <c r="B422" s="540" t="s">
        <v>808</v>
      </c>
      <c r="C422" s="539" t="s">
        <v>979</v>
      </c>
      <c r="D422" s="539" t="s">
        <v>34</v>
      </c>
      <c r="E422" s="544" t="s">
        <v>881</v>
      </c>
      <c r="F422" s="551" t="e">
        <f>LUONGNGAY!$K$35</f>
        <v>#VALUE!</v>
      </c>
      <c r="G422" s="539">
        <v>0.2</v>
      </c>
      <c r="H422" s="474" t="e">
        <f t="shared" si="5"/>
        <v>#VALUE!</v>
      </c>
    </row>
    <row r="423" spans="1:8" ht="19.5" customHeight="1">
      <c r="A423" s="539">
        <v>14</v>
      </c>
      <c r="B423" s="540" t="s">
        <v>1072</v>
      </c>
      <c r="C423" s="539" t="s">
        <v>979</v>
      </c>
      <c r="D423" s="539" t="s">
        <v>34</v>
      </c>
      <c r="E423" s="544" t="s">
        <v>881</v>
      </c>
      <c r="F423" s="551" t="e">
        <f>LUONGNGAY!$K$35</f>
        <v>#VALUE!</v>
      </c>
      <c r="G423" s="539">
        <v>0.2</v>
      </c>
      <c r="H423" s="474" t="e">
        <f t="shared" si="5"/>
        <v>#VALUE!</v>
      </c>
    </row>
    <row r="424" spans="1:8" ht="19.5" customHeight="1">
      <c r="A424" s="545" t="s">
        <v>184</v>
      </c>
      <c r="B424" s="538" t="s">
        <v>92</v>
      </c>
      <c r="C424" s="539"/>
      <c r="D424" s="539"/>
      <c r="E424" s="539"/>
      <c r="G424" s="539"/>
      <c r="H424" s="474">
        <f t="shared" si="5"/>
        <v>0</v>
      </c>
    </row>
    <row r="425" spans="1:8" ht="19.5" customHeight="1">
      <c r="A425" s="539">
        <v>1</v>
      </c>
      <c r="B425" s="540" t="s">
        <v>809</v>
      </c>
      <c r="C425" s="539" t="s">
        <v>979</v>
      </c>
      <c r="D425" s="539" t="s">
        <v>29</v>
      </c>
      <c r="E425" s="544" t="s">
        <v>881</v>
      </c>
      <c r="F425" s="551" t="e">
        <f>LUONGNGAY!$K$36</f>
        <v>#VALUE!</v>
      </c>
      <c r="G425" s="539">
        <v>0.1</v>
      </c>
      <c r="H425" s="474" t="e">
        <f t="shared" si="5"/>
        <v>#VALUE!</v>
      </c>
    </row>
    <row r="426" spans="1:8" ht="19.5" customHeight="1">
      <c r="A426" s="545" t="s">
        <v>913</v>
      </c>
      <c r="B426" s="538" t="s">
        <v>93</v>
      </c>
      <c r="C426" s="539"/>
      <c r="D426" s="539"/>
      <c r="E426" s="539"/>
      <c r="G426" s="539"/>
      <c r="H426" s="474">
        <f t="shared" si="5"/>
        <v>0</v>
      </c>
    </row>
    <row r="427" spans="1:8" ht="38.25" customHeight="1">
      <c r="A427" s="539">
        <v>1</v>
      </c>
      <c r="B427" s="540" t="s">
        <v>810</v>
      </c>
      <c r="C427" s="539" t="s">
        <v>979</v>
      </c>
      <c r="D427" s="539" t="s">
        <v>34</v>
      </c>
      <c r="E427" s="544" t="s">
        <v>881</v>
      </c>
      <c r="F427" s="551" t="e">
        <f>LUONGNGAY!$K$35</f>
        <v>#VALUE!</v>
      </c>
      <c r="G427" s="539">
        <v>0.04</v>
      </c>
      <c r="H427" s="474" t="e">
        <f t="shared" si="5"/>
        <v>#VALUE!</v>
      </c>
    </row>
    <row r="428" spans="1:8" ht="14.25" customHeight="1">
      <c r="A428" s="552" t="s">
        <v>94</v>
      </c>
      <c r="B428" s="529"/>
      <c r="C428" s="529"/>
      <c r="D428" s="529"/>
      <c r="E428" s="529"/>
      <c r="F428" s="553"/>
      <c r="G428" s="554"/>
      <c r="H428" s="529"/>
    </row>
    <row r="429" spans="1:8" ht="31.15" customHeight="1">
      <c r="A429" s="1194" t="s">
        <v>490</v>
      </c>
      <c r="B429" s="1194"/>
      <c r="C429" s="1194"/>
      <c r="D429" s="1194"/>
      <c r="E429" s="1194"/>
      <c r="F429" s="1194"/>
      <c r="G429" s="1194"/>
      <c r="H429" s="1194"/>
    </row>
    <row r="430" spans="1:8">
      <c r="A430" s="459"/>
      <c r="B430" s="460"/>
      <c r="E430" s="462"/>
      <c r="F430" s="463"/>
      <c r="G430" s="462"/>
      <c r="H430" s="464"/>
    </row>
    <row r="431" spans="1:8" ht="49.5" customHeight="1">
      <c r="A431" s="467" t="s">
        <v>158</v>
      </c>
      <c r="B431" s="467" t="s">
        <v>381</v>
      </c>
      <c r="C431" s="468" t="s">
        <v>625</v>
      </c>
      <c r="D431" s="468" t="s">
        <v>624</v>
      </c>
      <c r="E431" s="468" t="s">
        <v>382</v>
      </c>
      <c r="F431" s="469" t="s">
        <v>629</v>
      </c>
      <c r="G431" s="468" t="s">
        <v>628</v>
      </c>
      <c r="H431" s="468" t="s">
        <v>383</v>
      </c>
    </row>
    <row r="432" spans="1:8" ht="30.75" customHeight="1">
      <c r="A432" s="545" t="s">
        <v>179</v>
      </c>
      <c r="B432" s="538" t="s">
        <v>91</v>
      </c>
      <c r="C432" s="539"/>
      <c r="D432" s="539"/>
      <c r="E432" s="539"/>
      <c r="F432" s="546"/>
      <c r="G432" s="539"/>
      <c r="H432" s="539"/>
    </row>
    <row r="433" spans="1:8" ht="22.5" customHeight="1">
      <c r="A433" s="539">
        <v>1</v>
      </c>
      <c r="B433" s="540" t="s">
        <v>31</v>
      </c>
      <c r="C433" s="539"/>
      <c r="D433" s="539"/>
      <c r="E433" s="539"/>
      <c r="F433" s="546"/>
      <c r="G433" s="539"/>
      <c r="H433" s="539"/>
    </row>
    <row r="434" spans="1:8" ht="22.5" customHeight="1">
      <c r="A434" s="539" t="s">
        <v>891</v>
      </c>
      <c r="B434" s="540" t="s">
        <v>33</v>
      </c>
      <c r="C434" s="539" t="s">
        <v>979</v>
      </c>
      <c r="D434" s="539" t="s">
        <v>34</v>
      </c>
      <c r="E434" s="544" t="s">
        <v>881</v>
      </c>
      <c r="F434" s="551" t="e">
        <f>LUONGNGAY!$K$35</f>
        <v>#VALUE!</v>
      </c>
      <c r="G434" s="539">
        <v>0.2</v>
      </c>
      <c r="H434" s="474" t="e">
        <f>F434*G434</f>
        <v>#VALUE!</v>
      </c>
    </row>
    <row r="435" spans="1:8" ht="22.5" customHeight="1">
      <c r="A435" s="539" t="s">
        <v>899</v>
      </c>
      <c r="B435" s="540" t="s">
        <v>36</v>
      </c>
      <c r="C435" s="539" t="s">
        <v>979</v>
      </c>
      <c r="D435" s="539" t="s">
        <v>34</v>
      </c>
      <c r="E435" s="544" t="s">
        <v>881</v>
      </c>
      <c r="F435" s="551" t="e">
        <f>LUONGNGAY!$K$35</f>
        <v>#VALUE!</v>
      </c>
      <c r="G435" s="539">
        <v>0.15</v>
      </c>
      <c r="H435" s="474" t="e">
        <f t="shared" ref="H435:H474" si="6">F435*G435</f>
        <v>#VALUE!</v>
      </c>
    </row>
    <row r="436" spans="1:8" ht="30.75" customHeight="1">
      <c r="A436" s="539">
        <v>2</v>
      </c>
      <c r="B436" s="540" t="s">
        <v>37</v>
      </c>
      <c r="C436" s="539" t="s">
        <v>979</v>
      </c>
      <c r="D436" s="539" t="s">
        <v>34</v>
      </c>
      <c r="E436" s="544" t="s">
        <v>881</v>
      </c>
      <c r="F436" s="551" t="e">
        <f>LUONGNGAY!$K$35</f>
        <v>#VALUE!</v>
      </c>
      <c r="G436" s="539">
        <v>0.5</v>
      </c>
      <c r="H436" s="474" t="e">
        <f t="shared" si="6"/>
        <v>#VALUE!</v>
      </c>
    </row>
    <row r="437" spans="1:8" ht="30.75" customHeight="1">
      <c r="A437" s="539">
        <v>3</v>
      </c>
      <c r="B437" s="540" t="s">
        <v>1078</v>
      </c>
      <c r="C437" s="539" t="s">
        <v>627</v>
      </c>
      <c r="D437" s="539" t="s">
        <v>29</v>
      </c>
      <c r="E437" s="544" t="s">
        <v>881</v>
      </c>
      <c r="F437" s="551" t="e">
        <f>LUONGNGAY!$K$36</f>
        <v>#VALUE!</v>
      </c>
      <c r="G437" s="539">
        <v>3.3000000000000002E-2</v>
      </c>
      <c r="H437" s="474" t="e">
        <f t="shared" si="6"/>
        <v>#VALUE!</v>
      </c>
    </row>
    <row r="438" spans="1:8" ht="30.75" customHeight="1">
      <c r="A438" s="539">
        <v>4</v>
      </c>
      <c r="B438" s="540" t="s">
        <v>1079</v>
      </c>
      <c r="C438" s="539"/>
      <c r="D438" s="539"/>
      <c r="E438" s="539"/>
      <c r="G438" s="539"/>
      <c r="H438" s="474">
        <f t="shared" si="6"/>
        <v>0</v>
      </c>
    </row>
    <row r="439" spans="1:8" ht="24" customHeight="1">
      <c r="A439" s="539" t="s">
        <v>251</v>
      </c>
      <c r="B439" s="540" t="s">
        <v>1080</v>
      </c>
      <c r="C439" s="539" t="s">
        <v>979</v>
      </c>
      <c r="D439" s="539" t="s">
        <v>811</v>
      </c>
      <c r="E439" s="544" t="s">
        <v>881</v>
      </c>
      <c r="F439" s="551" t="e">
        <f>(LUONGNGAY!$K$36+LUONGNGAY!$K$35)/2</f>
        <v>#VALUE!</v>
      </c>
      <c r="G439" s="539">
        <f>1*2</f>
        <v>2</v>
      </c>
      <c r="H439" s="474" t="e">
        <f t="shared" si="6"/>
        <v>#VALUE!</v>
      </c>
    </row>
    <row r="440" spans="1:8" ht="30.75" customHeight="1">
      <c r="A440" s="1201" t="s">
        <v>252</v>
      </c>
      <c r="B440" s="1202" t="s">
        <v>1081</v>
      </c>
      <c r="C440" s="1201" t="s">
        <v>979</v>
      </c>
      <c r="D440" s="1195" t="s">
        <v>811</v>
      </c>
      <c r="E440" s="539">
        <v>1</v>
      </c>
      <c r="F440" s="551" t="e">
        <f>(LUONGNGAY!$K$36+LUONGNGAY!$K$35)/2</f>
        <v>#VALUE!</v>
      </c>
      <c r="G440" s="539">
        <f>1*2</f>
        <v>2</v>
      </c>
      <c r="H440" s="474" t="e">
        <f t="shared" si="6"/>
        <v>#VALUE!</v>
      </c>
    </row>
    <row r="441" spans="1:8" ht="30.75" customHeight="1">
      <c r="A441" s="1201"/>
      <c r="B441" s="1202"/>
      <c r="C441" s="1201"/>
      <c r="D441" s="1196"/>
      <c r="E441" s="539">
        <f>2*2</f>
        <v>4</v>
      </c>
      <c r="F441" s="551" t="e">
        <f>(LUONGNGAY!$K$36+LUONGNGAY!$K$35)/2</f>
        <v>#VALUE!</v>
      </c>
      <c r="G441" s="539">
        <f>1.1*2</f>
        <v>2.2000000000000002</v>
      </c>
      <c r="H441" s="474" t="e">
        <f>F441*G441</f>
        <v>#VALUE!</v>
      </c>
    </row>
    <row r="442" spans="1:8" ht="30.75" customHeight="1">
      <c r="A442" s="1201"/>
      <c r="B442" s="1202"/>
      <c r="C442" s="1201"/>
      <c r="D442" s="1196"/>
      <c r="E442" s="539">
        <f>3*2</f>
        <v>6</v>
      </c>
      <c r="F442" s="551" t="e">
        <f>(LUONGNGAY!$K$36+LUONGNGAY!$K$35)/2</f>
        <v>#VALUE!</v>
      </c>
      <c r="G442" s="539">
        <f>1.21*2</f>
        <v>2.42</v>
      </c>
      <c r="H442" s="474" t="e">
        <f t="shared" si="6"/>
        <v>#VALUE!</v>
      </c>
    </row>
    <row r="443" spans="1:8" ht="30.75" customHeight="1">
      <c r="A443" s="1201"/>
      <c r="B443" s="1202"/>
      <c r="C443" s="1201"/>
      <c r="D443" s="1196"/>
      <c r="E443" s="539">
        <f>4*2</f>
        <v>8</v>
      </c>
      <c r="F443" s="551" t="e">
        <f>(LUONGNGAY!$K$36+LUONGNGAY!$K$35)/2</f>
        <v>#VALUE!</v>
      </c>
      <c r="G443" s="539">
        <f>1.33*2</f>
        <v>2.66</v>
      </c>
      <c r="H443" s="474" t="e">
        <f t="shared" si="6"/>
        <v>#VALUE!</v>
      </c>
    </row>
    <row r="444" spans="1:8" ht="30.75" customHeight="1">
      <c r="A444" s="1201"/>
      <c r="B444" s="1202"/>
      <c r="C444" s="1201"/>
      <c r="D444" s="1197"/>
      <c r="E444" s="539">
        <f>5*2</f>
        <v>10</v>
      </c>
      <c r="F444" s="551" t="e">
        <f>(LUONGNGAY!$K$36+LUONGNGAY!$K$35)/2</f>
        <v>#VALUE!</v>
      </c>
      <c r="G444" s="539">
        <f>1.46*2</f>
        <v>2.92</v>
      </c>
      <c r="H444" s="474" t="e">
        <f t="shared" si="6"/>
        <v>#VALUE!</v>
      </c>
    </row>
    <row r="445" spans="1:8" ht="24.75" customHeight="1">
      <c r="A445" s="539" t="s">
        <v>1082</v>
      </c>
      <c r="B445" s="540" t="s">
        <v>1083</v>
      </c>
      <c r="C445" s="539" t="s">
        <v>627</v>
      </c>
      <c r="D445" s="539" t="s">
        <v>29</v>
      </c>
      <c r="E445" s="544" t="s">
        <v>881</v>
      </c>
      <c r="F445" s="551" t="e">
        <f>LUONGNGAY!$K$36</f>
        <v>#VALUE!</v>
      </c>
      <c r="G445" s="539">
        <v>3.0000000000000001E-3</v>
      </c>
      <c r="H445" s="474" t="e">
        <f t="shared" si="6"/>
        <v>#VALUE!</v>
      </c>
    </row>
    <row r="446" spans="1:8" ht="24.75" customHeight="1">
      <c r="A446" s="539" t="s">
        <v>1084</v>
      </c>
      <c r="B446" s="540" t="s">
        <v>1085</v>
      </c>
      <c r="C446" s="539"/>
      <c r="D446" s="539"/>
      <c r="E446" s="539"/>
      <c r="G446" s="539"/>
      <c r="H446" s="474">
        <f t="shared" si="6"/>
        <v>0</v>
      </c>
    </row>
    <row r="447" spans="1:8" ht="24.75" customHeight="1">
      <c r="A447" s="539" t="s">
        <v>1086</v>
      </c>
      <c r="B447" s="540" t="s">
        <v>33</v>
      </c>
      <c r="C447" s="539" t="s">
        <v>979</v>
      </c>
      <c r="D447" s="539" t="s">
        <v>34</v>
      </c>
      <c r="E447" s="544" t="s">
        <v>881</v>
      </c>
      <c r="F447" s="551" t="e">
        <f>LUONGNGAY!$K$35</f>
        <v>#VALUE!</v>
      </c>
      <c r="G447" s="539">
        <v>1</v>
      </c>
      <c r="H447" s="474" t="e">
        <f t="shared" si="6"/>
        <v>#VALUE!</v>
      </c>
    </row>
    <row r="448" spans="1:8" ht="24.75" customHeight="1">
      <c r="A448" s="539" t="s">
        <v>1087</v>
      </c>
      <c r="B448" s="540" t="s">
        <v>1088</v>
      </c>
      <c r="C448" s="539" t="s">
        <v>979</v>
      </c>
      <c r="D448" s="539" t="s">
        <v>34</v>
      </c>
      <c r="E448" s="544" t="s">
        <v>881</v>
      </c>
      <c r="F448" s="551" t="e">
        <f>LUONGNGAY!$K$35</f>
        <v>#VALUE!</v>
      </c>
      <c r="G448" s="539">
        <v>1</v>
      </c>
      <c r="H448" s="474" t="e">
        <f t="shared" si="6"/>
        <v>#VALUE!</v>
      </c>
    </row>
    <row r="449" spans="1:8" ht="45" customHeight="1">
      <c r="A449" s="539" t="s">
        <v>1089</v>
      </c>
      <c r="B449" s="540" t="s">
        <v>1090</v>
      </c>
      <c r="C449" s="539"/>
      <c r="D449" s="539"/>
      <c r="E449" s="539"/>
      <c r="G449" s="539"/>
      <c r="H449" s="474">
        <f t="shared" si="6"/>
        <v>0</v>
      </c>
    </row>
    <row r="450" spans="1:8" ht="22.5" customHeight="1">
      <c r="A450" s="539" t="s">
        <v>73</v>
      </c>
      <c r="B450" s="540" t="s">
        <v>770</v>
      </c>
      <c r="C450" s="539" t="s">
        <v>627</v>
      </c>
      <c r="D450" s="539" t="s">
        <v>34</v>
      </c>
      <c r="E450" s="544" t="s">
        <v>881</v>
      </c>
      <c r="F450" s="551" t="e">
        <f>LUONGNGAY!$K$35</f>
        <v>#VALUE!</v>
      </c>
      <c r="G450" s="539">
        <v>0</v>
      </c>
      <c r="H450" s="474" t="e">
        <f t="shared" si="6"/>
        <v>#VALUE!</v>
      </c>
    </row>
    <row r="451" spans="1:8" ht="22.5" customHeight="1">
      <c r="A451" s="539" t="s">
        <v>74</v>
      </c>
      <c r="B451" s="540" t="s">
        <v>771</v>
      </c>
      <c r="C451" s="539" t="s">
        <v>627</v>
      </c>
      <c r="D451" s="539" t="s">
        <v>34</v>
      </c>
      <c r="E451" s="544" t="s">
        <v>881</v>
      </c>
      <c r="F451" s="551" t="e">
        <f>LUONGNGAY!$K$35</f>
        <v>#VALUE!</v>
      </c>
      <c r="G451" s="539">
        <v>0</v>
      </c>
      <c r="H451" s="474" t="e">
        <f t="shared" si="6"/>
        <v>#VALUE!</v>
      </c>
    </row>
    <row r="452" spans="1:8" ht="30.75" customHeight="1">
      <c r="A452" s="539">
        <v>5</v>
      </c>
      <c r="B452" s="540" t="s">
        <v>772</v>
      </c>
      <c r="C452" s="539"/>
      <c r="D452" s="539"/>
      <c r="E452" s="539"/>
      <c r="G452" s="539"/>
      <c r="H452" s="474">
        <f t="shared" si="6"/>
        <v>0</v>
      </c>
    </row>
    <row r="453" spans="1:8" ht="19.5" customHeight="1">
      <c r="A453" s="539" t="s">
        <v>607</v>
      </c>
      <c r="B453" s="540" t="s">
        <v>773</v>
      </c>
      <c r="C453" s="539" t="s">
        <v>979</v>
      </c>
      <c r="D453" s="539" t="s">
        <v>29</v>
      </c>
      <c r="E453" s="544" t="s">
        <v>881</v>
      </c>
      <c r="F453" s="551" t="e">
        <f>LUONGNGAY!$K$36</f>
        <v>#VALUE!</v>
      </c>
      <c r="G453" s="539">
        <v>0.25</v>
      </c>
      <c r="H453" s="474" t="e">
        <f t="shared" si="6"/>
        <v>#VALUE!</v>
      </c>
    </row>
    <row r="454" spans="1:8" ht="19.5" customHeight="1">
      <c r="A454" s="539" t="s">
        <v>608</v>
      </c>
      <c r="B454" s="540" t="s">
        <v>774</v>
      </c>
      <c r="C454" s="539" t="s">
        <v>979</v>
      </c>
      <c r="D454" s="539" t="s">
        <v>29</v>
      </c>
      <c r="E454" s="544" t="s">
        <v>881</v>
      </c>
      <c r="F454" s="551" t="e">
        <f>LUONGNGAY!$K$36</f>
        <v>#VALUE!</v>
      </c>
      <c r="G454" s="539">
        <v>0.2</v>
      </c>
      <c r="H454" s="474" t="e">
        <f t="shared" si="6"/>
        <v>#VALUE!</v>
      </c>
    </row>
    <row r="455" spans="1:8" ht="19.5" customHeight="1">
      <c r="A455" s="539">
        <v>6</v>
      </c>
      <c r="B455" s="540" t="s">
        <v>211</v>
      </c>
      <c r="C455" s="539" t="s">
        <v>627</v>
      </c>
      <c r="D455" s="539" t="s">
        <v>29</v>
      </c>
      <c r="E455" s="544" t="s">
        <v>881</v>
      </c>
      <c r="F455" s="551" t="e">
        <f>LUONGNGAY!$K$36</f>
        <v>#VALUE!</v>
      </c>
      <c r="G455" s="539">
        <v>3.3000000000000002E-2</v>
      </c>
      <c r="H455" s="474" t="e">
        <f t="shared" si="6"/>
        <v>#VALUE!</v>
      </c>
    </row>
    <row r="456" spans="1:8" ht="19.5" customHeight="1">
      <c r="A456" s="539">
        <v>7</v>
      </c>
      <c r="B456" s="540" t="s">
        <v>978</v>
      </c>
      <c r="C456" s="539" t="s">
        <v>979</v>
      </c>
      <c r="D456" s="539" t="s">
        <v>29</v>
      </c>
      <c r="E456" s="544" t="s">
        <v>881</v>
      </c>
      <c r="F456" s="551" t="e">
        <f>LUONGNGAY!$K$36</f>
        <v>#VALUE!</v>
      </c>
      <c r="G456" s="539">
        <v>0</v>
      </c>
      <c r="H456" s="474" t="e">
        <f t="shared" si="6"/>
        <v>#VALUE!</v>
      </c>
    </row>
    <row r="457" spans="1:8" ht="19.5" customHeight="1">
      <c r="A457" s="539">
        <v>8</v>
      </c>
      <c r="B457" s="540" t="s">
        <v>213</v>
      </c>
      <c r="C457" s="539"/>
      <c r="D457" s="539"/>
      <c r="E457" s="539"/>
      <c r="G457" s="539"/>
      <c r="H457" s="474">
        <f t="shared" si="6"/>
        <v>0</v>
      </c>
    </row>
    <row r="458" spans="1:8" ht="19.5" customHeight="1">
      <c r="A458" s="539" t="s">
        <v>374</v>
      </c>
      <c r="B458" s="540" t="s">
        <v>215</v>
      </c>
      <c r="C458" s="539" t="s">
        <v>320</v>
      </c>
      <c r="D458" s="539" t="s">
        <v>34</v>
      </c>
      <c r="E458" s="544" t="s">
        <v>881</v>
      </c>
      <c r="F458" s="551" t="e">
        <f>LUONGNGAY!$K$35</f>
        <v>#VALUE!</v>
      </c>
      <c r="G458" s="539">
        <v>0.1</v>
      </c>
      <c r="H458" s="474" t="e">
        <f t="shared" si="6"/>
        <v>#VALUE!</v>
      </c>
    </row>
    <row r="459" spans="1:8" ht="19.5" customHeight="1">
      <c r="A459" s="539" t="s">
        <v>375</v>
      </c>
      <c r="B459" s="540" t="s">
        <v>217</v>
      </c>
      <c r="C459" s="539" t="s">
        <v>320</v>
      </c>
      <c r="D459" s="539" t="s">
        <v>34</v>
      </c>
      <c r="E459" s="544" t="s">
        <v>881</v>
      </c>
      <c r="F459" s="551" t="e">
        <f>LUONGNGAY!$K$35</f>
        <v>#VALUE!</v>
      </c>
      <c r="G459" s="539">
        <v>0.2</v>
      </c>
      <c r="H459" s="474" t="e">
        <f t="shared" si="6"/>
        <v>#VALUE!</v>
      </c>
    </row>
    <row r="460" spans="1:8" ht="19.5" customHeight="1">
      <c r="A460" s="539">
        <v>9</v>
      </c>
      <c r="B460" s="540" t="s">
        <v>218</v>
      </c>
      <c r="C460" s="539" t="s">
        <v>979</v>
      </c>
      <c r="D460" s="539" t="s">
        <v>34</v>
      </c>
      <c r="E460" s="544" t="s">
        <v>881</v>
      </c>
      <c r="F460" s="551" t="e">
        <f>LUONGNGAY!$K$35</f>
        <v>#VALUE!</v>
      </c>
      <c r="G460" s="539">
        <v>0.5</v>
      </c>
      <c r="H460" s="474" t="e">
        <f t="shared" si="6"/>
        <v>#VALUE!</v>
      </c>
    </row>
    <row r="461" spans="1:8" ht="30.75" customHeight="1">
      <c r="A461" s="539">
        <v>10</v>
      </c>
      <c r="B461" s="540" t="s">
        <v>75</v>
      </c>
      <c r="C461" s="539" t="s">
        <v>979</v>
      </c>
      <c r="D461" s="539" t="s">
        <v>34</v>
      </c>
      <c r="E461" s="544" t="s">
        <v>881</v>
      </c>
      <c r="F461" s="551" t="e">
        <f>LUONGNGAY!$K$35</f>
        <v>#VALUE!</v>
      </c>
      <c r="G461" s="539">
        <v>0.47</v>
      </c>
      <c r="H461" s="474" t="e">
        <f t="shared" si="6"/>
        <v>#VALUE!</v>
      </c>
    </row>
    <row r="462" spans="1:8" ht="26.25" customHeight="1">
      <c r="A462" s="539">
        <v>11</v>
      </c>
      <c r="B462" s="540" t="s">
        <v>220</v>
      </c>
      <c r="C462" s="539" t="s">
        <v>627</v>
      </c>
      <c r="D462" s="539" t="s">
        <v>29</v>
      </c>
      <c r="E462" s="544" t="s">
        <v>881</v>
      </c>
      <c r="F462" s="551" t="e">
        <f>LUONGNGAY!$K$36</f>
        <v>#VALUE!</v>
      </c>
      <c r="G462" s="539">
        <v>3.3000000000000002E-2</v>
      </c>
      <c r="H462" s="474" t="e">
        <f t="shared" si="6"/>
        <v>#VALUE!</v>
      </c>
    </row>
    <row r="463" spans="1:8" ht="26.25" customHeight="1">
      <c r="A463" s="539">
        <v>12</v>
      </c>
      <c r="B463" s="540" t="s">
        <v>221</v>
      </c>
      <c r="C463" s="539"/>
      <c r="D463" s="539"/>
      <c r="E463" s="539"/>
      <c r="G463" s="539"/>
      <c r="H463" s="474">
        <f t="shared" si="6"/>
        <v>0</v>
      </c>
    </row>
    <row r="464" spans="1:8" ht="26.25" customHeight="1">
      <c r="A464" s="539" t="s">
        <v>76</v>
      </c>
      <c r="B464" s="540" t="s">
        <v>931</v>
      </c>
      <c r="C464" s="539"/>
      <c r="D464" s="539"/>
      <c r="E464" s="539"/>
      <c r="G464" s="539"/>
      <c r="H464" s="474">
        <f t="shared" si="6"/>
        <v>0</v>
      </c>
    </row>
    <row r="465" spans="1:9" ht="26.25" customHeight="1">
      <c r="A465" s="539" t="s">
        <v>77</v>
      </c>
      <c r="B465" s="540" t="s">
        <v>933</v>
      </c>
      <c r="C465" s="539" t="s">
        <v>934</v>
      </c>
      <c r="D465" s="539" t="s">
        <v>935</v>
      </c>
      <c r="E465" s="544" t="s">
        <v>881</v>
      </c>
      <c r="F465" s="551" t="e">
        <f>LUONGNGAY!$K$34</f>
        <v>#VALUE!</v>
      </c>
      <c r="G465" s="539">
        <v>1.6E-2</v>
      </c>
      <c r="H465" s="474" t="e">
        <f t="shared" si="6"/>
        <v>#VALUE!</v>
      </c>
    </row>
    <row r="466" spans="1:9" ht="26.25" customHeight="1">
      <c r="A466" s="539" t="s">
        <v>78</v>
      </c>
      <c r="B466" s="540" t="s">
        <v>937</v>
      </c>
      <c r="C466" s="539" t="s">
        <v>934</v>
      </c>
      <c r="D466" s="539" t="s">
        <v>935</v>
      </c>
      <c r="E466" s="544" t="s">
        <v>881</v>
      </c>
      <c r="F466" s="551" t="e">
        <f>LUONGNGAY!$K$34</f>
        <v>#VALUE!</v>
      </c>
      <c r="G466" s="539">
        <v>8.0000000000000002E-3</v>
      </c>
      <c r="H466" s="474" t="e">
        <f t="shared" si="6"/>
        <v>#VALUE!</v>
      </c>
    </row>
    <row r="467" spans="1:9" ht="30.75" customHeight="1">
      <c r="A467" s="539" t="s">
        <v>79</v>
      </c>
      <c r="B467" s="540" t="s">
        <v>48</v>
      </c>
      <c r="C467" s="539" t="s">
        <v>934</v>
      </c>
      <c r="D467" s="539" t="s">
        <v>935</v>
      </c>
      <c r="E467" s="544" t="s">
        <v>881</v>
      </c>
      <c r="F467" s="551" t="e">
        <f>LUONGNGAY!$K$34</f>
        <v>#VALUE!</v>
      </c>
      <c r="G467" s="539">
        <v>4.0000000000000001E-3</v>
      </c>
      <c r="H467" s="474" t="e">
        <f t="shared" si="6"/>
        <v>#VALUE!</v>
      </c>
    </row>
    <row r="468" spans="1:9" ht="30.75" customHeight="1">
      <c r="A468" s="539" t="s">
        <v>80</v>
      </c>
      <c r="B468" s="540" t="s">
        <v>50</v>
      </c>
      <c r="C468" s="539" t="s">
        <v>627</v>
      </c>
      <c r="D468" s="539" t="s">
        <v>935</v>
      </c>
      <c r="E468" s="544" t="s">
        <v>881</v>
      </c>
      <c r="F468" s="551" t="e">
        <f>LUONGNGAY!$K$34</f>
        <v>#VALUE!</v>
      </c>
      <c r="G468" s="539">
        <v>0.01</v>
      </c>
      <c r="H468" s="474" t="e">
        <f t="shared" si="6"/>
        <v>#VALUE!</v>
      </c>
    </row>
    <row r="469" spans="1:9" ht="30.75" customHeight="1">
      <c r="A469" s="539">
        <v>13</v>
      </c>
      <c r="B469" s="540" t="s">
        <v>808</v>
      </c>
      <c r="C469" s="539" t="s">
        <v>979</v>
      </c>
      <c r="D469" s="539" t="s">
        <v>34</v>
      </c>
      <c r="E469" s="544" t="s">
        <v>881</v>
      </c>
      <c r="F469" s="551" t="e">
        <f>LUONGNGAY!$K$35</f>
        <v>#VALUE!</v>
      </c>
      <c r="G469" s="539">
        <v>0.2</v>
      </c>
      <c r="H469" s="474" t="e">
        <f t="shared" si="6"/>
        <v>#VALUE!</v>
      </c>
    </row>
    <row r="470" spans="1:9" ht="22.5" customHeight="1">
      <c r="A470" s="539">
        <v>14</v>
      </c>
      <c r="B470" s="540" t="s">
        <v>1072</v>
      </c>
      <c r="C470" s="539" t="s">
        <v>979</v>
      </c>
      <c r="D470" s="539" t="s">
        <v>34</v>
      </c>
      <c r="E470" s="544" t="s">
        <v>881</v>
      </c>
      <c r="F470" s="551" t="e">
        <f>LUONGNGAY!$K$35</f>
        <v>#VALUE!</v>
      </c>
      <c r="G470" s="539">
        <v>0.2</v>
      </c>
      <c r="H470" s="474" t="e">
        <f t="shared" si="6"/>
        <v>#VALUE!</v>
      </c>
    </row>
    <row r="471" spans="1:9" ht="22.5" customHeight="1">
      <c r="A471" s="545" t="s">
        <v>184</v>
      </c>
      <c r="B471" s="538" t="s">
        <v>92</v>
      </c>
      <c r="C471" s="539"/>
      <c r="D471" s="539"/>
      <c r="E471" s="539"/>
      <c r="G471" s="539"/>
      <c r="H471" s="474">
        <f t="shared" si="6"/>
        <v>0</v>
      </c>
    </row>
    <row r="472" spans="1:9" ht="22.5" customHeight="1">
      <c r="A472" s="539">
        <v>1</v>
      </c>
      <c r="B472" s="540" t="s">
        <v>809</v>
      </c>
      <c r="C472" s="539" t="s">
        <v>979</v>
      </c>
      <c r="D472" s="539" t="s">
        <v>29</v>
      </c>
      <c r="E472" s="544" t="s">
        <v>881</v>
      </c>
      <c r="F472" s="551" t="e">
        <f>LUONGNGAY!$K$36</f>
        <v>#VALUE!</v>
      </c>
      <c r="G472" s="539">
        <v>0.1</v>
      </c>
      <c r="H472" s="474" t="e">
        <f t="shared" si="6"/>
        <v>#VALUE!</v>
      </c>
    </row>
    <row r="473" spans="1:9" ht="22.5" customHeight="1">
      <c r="A473" s="545" t="s">
        <v>913</v>
      </c>
      <c r="B473" s="538" t="s">
        <v>93</v>
      </c>
      <c r="C473" s="539"/>
      <c r="D473" s="539"/>
      <c r="E473" s="539"/>
      <c r="G473" s="539"/>
      <c r="H473" s="474">
        <f t="shared" si="6"/>
        <v>0</v>
      </c>
    </row>
    <row r="474" spans="1:9" ht="30.75" customHeight="1">
      <c r="A474" s="539">
        <v>1</v>
      </c>
      <c r="B474" s="540" t="s">
        <v>810</v>
      </c>
      <c r="C474" s="539" t="s">
        <v>979</v>
      </c>
      <c r="D474" s="539" t="s">
        <v>34</v>
      </c>
      <c r="E474" s="544" t="s">
        <v>881</v>
      </c>
      <c r="F474" s="551" t="e">
        <f>LUONGNGAY!$K$35</f>
        <v>#VALUE!</v>
      </c>
      <c r="G474" s="539">
        <v>0.04</v>
      </c>
      <c r="H474" s="474" t="e">
        <f t="shared" si="6"/>
        <v>#VALUE!</v>
      </c>
    </row>
    <row r="475" spans="1:9" ht="22.5" customHeight="1">
      <c r="A475" s="482"/>
      <c r="B475" s="490"/>
      <c r="C475" s="505"/>
      <c r="D475" s="505"/>
      <c r="E475" s="505"/>
      <c r="F475" s="506"/>
      <c r="G475" s="507"/>
      <c r="H475" s="505"/>
      <c r="I475" s="505"/>
    </row>
    <row r="476" spans="1:9" ht="34.15" customHeight="1">
      <c r="A476" s="1194" t="s">
        <v>868</v>
      </c>
      <c r="B476" s="1194"/>
      <c r="C476" s="1194"/>
      <c r="D476" s="1194"/>
      <c r="E476" s="1194"/>
      <c r="F476" s="1194"/>
      <c r="G476" s="1194"/>
      <c r="H476" s="1194"/>
    </row>
    <row r="477" spans="1:9">
      <c r="A477" s="459"/>
      <c r="B477" s="460"/>
      <c r="E477" s="462"/>
      <c r="F477" s="463"/>
      <c r="G477" s="462"/>
      <c r="H477" s="464"/>
    </row>
    <row r="478" spans="1:9" ht="49.5" customHeight="1">
      <c r="A478" s="467" t="s">
        <v>158</v>
      </c>
      <c r="B478" s="467" t="s">
        <v>381</v>
      </c>
      <c r="C478" s="468" t="s">
        <v>625</v>
      </c>
      <c r="D478" s="468" t="s">
        <v>624</v>
      </c>
      <c r="E478" s="468" t="s">
        <v>382</v>
      </c>
      <c r="F478" s="469" t="s">
        <v>629</v>
      </c>
      <c r="G478" s="468" t="s">
        <v>628</v>
      </c>
      <c r="H478" s="468" t="s">
        <v>383</v>
      </c>
    </row>
    <row r="479" spans="1:9" ht="27" customHeight="1">
      <c r="A479" s="545" t="s">
        <v>179</v>
      </c>
      <c r="B479" s="538" t="s">
        <v>91</v>
      </c>
      <c r="C479" s="539"/>
      <c r="D479" s="539"/>
      <c r="E479" s="539"/>
      <c r="F479" s="546"/>
      <c r="G479" s="539"/>
      <c r="H479" s="539"/>
    </row>
    <row r="480" spans="1:9" ht="27" customHeight="1">
      <c r="A480" s="539">
        <v>1</v>
      </c>
      <c r="B480" s="540" t="s">
        <v>31</v>
      </c>
      <c r="C480" s="539"/>
      <c r="D480" s="539"/>
      <c r="E480" s="539"/>
      <c r="F480" s="546"/>
      <c r="G480" s="539"/>
      <c r="H480" s="539"/>
    </row>
    <row r="481" spans="1:8" ht="27" customHeight="1">
      <c r="A481" s="539" t="s">
        <v>891</v>
      </c>
      <c r="B481" s="540" t="s">
        <v>33</v>
      </c>
      <c r="C481" s="539" t="s">
        <v>979</v>
      </c>
      <c r="D481" s="539" t="s">
        <v>34</v>
      </c>
      <c r="E481" s="544" t="s">
        <v>881</v>
      </c>
      <c r="F481" s="551" t="e">
        <f>LUONGNGAY!$K$35</f>
        <v>#VALUE!</v>
      </c>
      <c r="G481" s="539">
        <v>0.26</v>
      </c>
      <c r="H481" s="474" t="e">
        <f>F481*G481</f>
        <v>#VALUE!</v>
      </c>
    </row>
    <row r="482" spans="1:8" ht="27" customHeight="1">
      <c r="A482" s="539" t="s">
        <v>899</v>
      </c>
      <c r="B482" s="540" t="s">
        <v>36</v>
      </c>
      <c r="C482" s="539" t="s">
        <v>979</v>
      </c>
      <c r="D482" s="539" t="s">
        <v>34</v>
      </c>
      <c r="E482" s="544" t="s">
        <v>881</v>
      </c>
      <c r="F482" s="551" t="e">
        <f>LUONGNGAY!$K$35</f>
        <v>#VALUE!</v>
      </c>
      <c r="G482" s="539">
        <v>0.19</v>
      </c>
      <c r="H482" s="474" t="e">
        <f t="shared" ref="H482:H521" si="7">F482*G482</f>
        <v>#VALUE!</v>
      </c>
    </row>
    <row r="483" spans="1:8" ht="27" customHeight="1">
      <c r="A483" s="539">
        <v>2</v>
      </c>
      <c r="B483" s="540" t="s">
        <v>37</v>
      </c>
      <c r="C483" s="539" t="s">
        <v>979</v>
      </c>
      <c r="D483" s="539" t="s">
        <v>34</v>
      </c>
      <c r="E483" s="544" t="s">
        <v>881</v>
      </c>
      <c r="F483" s="551" t="e">
        <f>LUONGNGAY!$K$35</f>
        <v>#VALUE!</v>
      </c>
      <c r="G483" s="539">
        <v>0.65</v>
      </c>
      <c r="H483" s="474" t="e">
        <f t="shared" si="7"/>
        <v>#VALUE!</v>
      </c>
    </row>
    <row r="484" spans="1:8" ht="27" customHeight="1">
      <c r="A484" s="539">
        <v>3</v>
      </c>
      <c r="B484" s="540" t="s">
        <v>1078</v>
      </c>
      <c r="C484" s="539" t="s">
        <v>627</v>
      </c>
      <c r="D484" s="539" t="s">
        <v>29</v>
      </c>
      <c r="E484" s="544" t="s">
        <v>881</v>
      </c>
      <c r="F484" s="551" t="e">
        <f>LUONGNGAY!$K$36</f>
        <v>#VALUE!</v>
      </c>
      <c r="G484" s="539">
        <v>0.16700000000000001</v>
      </c>
      <c r="H484" s="474" t="e">
        <f t="shared" si="7"/>
        <v>#VALUE!</v>
      </c>
    </row>
    <row r="485" spans="1:8" ht="27" customHeight="1">
      <c r="A485" s="539">
        <v>4</v>
      </c>
      <c r="B485" s="540" t="s">
        <v>1079</v>
      </c>
      <c r="C485" s="539"/>
      <c r="D485" s="539"/>
      <c r="E485" s="539"/>
      <c r="G485" s="539"/>
      <c r="H485" s="474">
        <f t="shared" si="7"/>
        <v>0</v>
      </c>
    </row>
    <row r="486" spans="1:8" ht="27" customHeight="1">
      <c r="A486" s="539" t="s">
        <v>251</v>
      </c>
      <c r="B486" s="540" t="s">
        <v>1080</v>
      </c>
      <c r="C486" s="539" t="s">
        <v>979</v>
      </c>
      <c r="D486" s="539" t="s">
        <v>811</v>
      </c>
      <c r="E486" s="544" t="s">
        <v>881</v>
      </c>
      <c r="F486" s="551" t="e">
        <f>(LUONGNGAY!$K$36+LUONGNGAY!$K$35)/2</f>
        <v>#VALUE!</v>
      </c>
      <c r="G486" s="539">
        <f>1.3*2</f>
        <v>2.6</v>
      </c>
      <c r="H486" s="474" t="e">
        <f t="shared" si="7"/>
        <v>#VALUE!</v>
      </c>
    </row>
    <row r="487" spans="1:8" ht="36" customHeight="1">
      <c r="A487" s="1201" t="s">
        <v>252</v>
      </c>
      <c r="B487" s="1202" t="s">
        <v>1081</v>
      </c>
      <c r="C487" s="1201" t="s">
        <v>979</v>
      </c>
      <c r="D487" s="1195" t="s">
        <v>811</v>
      </c>
      <c r="E487" s="539">
        <v>1</v>
      </c>
      <c r="F487" s="551" t="e">
        <f>(LUONGNGAY!$K$36+LUONGNGAY!$K$35)/2</f>
        <v>#VALUE!</v>
      </c>
      <c r="G487" s="539">
        <f>1.3*2</f>
        <v>2.6</v>
      </c>
      <c r="H487" s="474" t="e">
        <f t="shared" si="7"/>
        <v>#VALUE!</v>
      </c>
    </row>
    <row r="488" spans="1:8" ht="36" customHeight="1">
      <c r="A488" s="1201"/>
      <c r="B488" s="1202"/>
      <c r="C488" s="1201"/>
      <c r="D488" s="1196"/>
      <c r="E488" s="539">
        <f>2*2</f>
        <v>4</v>
      </c>
      <c r="F488" s="551" t="e">
        <f>(LUONGNGAY!$K$36+LUONGNGAY!$K$35)/2</f>
        <v>#VALUE!</v>
      </c>
      <c r="G488" s="539">
        <f>1.43*2</f>
        <v>2.86</v>
      </c>
      <c r="H488" s="474" t="e">
        <f t="shared" si="7"/>
        <v>#VALUE!</v>
      </c>
    </row>
    <row r="489" spans="1:8" ht="36" customHeight="1">
      <c r="A489" s="1201"/>
      <c r="B489" s="1202"/>
      <c r="C489" s="1201"/>
      <c r="D489" s="1196"/>
      <c r="E489" s="539">
        <f>3*2</f>
        <v>6</v>
      </c>
      <c r="F489" s="551" t="e">
        <f>(LUONGNGAY!$K$36+LUONGNGAY!$K$35)/2</f>
        <v>#VALUE!</v>
      </c>
      <c r="G489" s="539">
        <f>1.573*2</f>
        <v>3.1459999999999999</v>
      </c>
      <c r="H489" s="474" t="e">
        <f t="shared" si="7"/>
        <v>#VALUE!</v>
      </c>
    </row>
    <row r="490" spans="1:8" ht="36" customHeight="1">
      <c r="A490" s="1201"/>
      <c r="B490" s="1202"/>
      <c r="C490" s="1201"/>
      <c r="D490" s="1196"/>
      <c r="E490" s="539">
        <f>4*2</f>
        <v>8</v>
      </c>
      <c r="F490" s="551" t="e">
        <f>(LUONGNGAY!$K$36+LUONGNGAY!$K$35)/2</f>
        <v>#VALUE!</v>
      </c>
      <c r="G490" s="539">
        <f>1.73*2</f>
        <v>3.46</v>
      </c>
      <c r="H490" s="474" t="e">
        <f t="shared" si="7"/>
        <v>#VALUE!</v>
      </c>
    </row>
    <row r="491" spans="1:8" ht="36" customHeight="1">
      <c r="A491" s="1201"/>
      <c r="B491" s="1202"/>
      <c r="C491" s="1201"/>
      <c r="D491" s="1197"/>
      <c r="E491" s="539">
        <f>5*2</f>
        <v>10</v>
      </c>
      <c r="F491" s="551" t="e">
        <f>(LUONGNGAY!$K$36+LUONGNGAY!$K$35)/2</f>
        <v>#VALUE!</v>
      </c>
      <c r="G491" s="539">
        <f>1.9*2</f>
        <v>3.8</v>
      </c>
      <c r="H491" s="474" t="e">
        <f t="shared" si="7"/>
        <v>#VALUE!</v>
      </c>
    </row>
    <row r="492" spans="1:8" ht="36" customHeight="1">
      <c r="A492" s="539" t="s">
        <v>1082</v>
      </c>
      <c r="B492" s="540" t="s">
        <v>1083</v>
      </c>
      <c r="C492" s="539" t="s">
        <v>627</v>
      </c>
      <c r="D492" s="539" t="s">
        <v>29</v>
      </c>
      <c r="E492" s="544" t="s">
        <v>881</v>
      </c>
      <c r="F492" s="551" t="e">
        <f>LUONGNGAY!$K$36</f>
        <v>#VALUE!</v>
      </c>
      <c r="G492" s="539">
        <v>3.0000000000000001E-3</v>
      </c>
      <c r="H492" s="474" t="e">
        <f t="shared" si="7"/>
        <v>#VALUE!</v>
      </c>
    </row>
    <row r="493" spans="1:8" ht="36" customHeight="1">
      <c r="A493" s="539" t="s">
        <v>1084</v>
      </c>
      <c r="B493" s="540" t="s">
        <v>1085</v>
      </c>
      <c r="C493" s="539"/>
      <c r="D493" s="539"/>
      <c r="E493" s="539"/>
      <c r="G493" s="539"/>
      <c r="H493" s="474">
        <f t="shared" si="7"/>
        <v>0</v>
      </c>
    </row>
    <row r="494" spans="1:8" ht="36" customHeight="1">
      <c r="A494" s="539" t="s">
        <v>1086</v>
      </c>
      <c r="B494" s="540" t="s">
        <v>33</v>
      </c>
      <c r="C494" s="539" t="s">
        <v>979</v>
      </c>
      <c r="D494" s="539" t="s">
        <v>34</v>
      </c>
      <c r="E494" s="544" t="s">
        <v>881</v>
      </c>
      <c r="F494" s="551" t="e">
        <f>LUONGNGAY!$K$35</f>
        <v>#VALUE!</v>
      </c>
      <c r="G494" s="539">
        <v>1.3</v>
      </c>
      <c r="H494" s="474" t="e">
        <f t="shared" si="7"/>
        <v>#VALUE!</v>
      </c>
    </row>
    <row r="495" spans="1:8" ht="36" customHeight="1">
      <c r="A495" s="539" t="s">
        <v>1087</v>
      </c>
      <c r="B495" s="540" t="s">
        <v>1088</v>
      </c>
      <c r="C495" s="539" t="s">
        <v>979</v>
      </c>
      <c r="D495" s="539" t="s">
        <v>34</v>
      </c>
      <c r="E495" s="544" t="s">
        <v>881</v>
      </c>
      <c r="F495" s="551" t="e">
        <f>LUONGNGAY!$K$35</f>
        <v>#VALUE!</v>
      </c>
      <c r="G495" s="539">
        <v>1.3</v>
      </c>
      <c r="H495" s="474" t="e">
        <f t="shared" si="7"/>
        <v>#VALUE!</v>
      </c>
    </row>
    <row r="496" spans="1:8" ht="36" customHeight="1">
      <c r="A496" s="539" t="s">
        <v>1089</v>
      </c>
      <c r="B496" s="540" t="s">
        <v>1090</v>
      </c>
      <c r="C496" s="539"/>
      <c r="D496" s="539"/>
      <c r="E496" s="539"/>
      <c r="G496" s="539"/>
      <c r="H496" s="474">
        <f t="shared" si="7"/>
        <v>0</v>
      </c>
    </row>
    <row r="497" spans="1:8" ht="36" customHeight="1">
      <c r="A497" s="539" t="s">
        <v>73</v>
      </c>
      <c r="B497" s="540" t="s">
        <v>770</v>
      </c>
      <c r="C497" s="539" t="s">
        <v>627</v>
      </c>
      <c r="D497" s="539" t="s">
        <v>34</v>
      </c>
      <c r="E497" s="544" t="s">
        <v>881</v>
      </c>
      <c r="F497" s="551" t="e">
        <f>LUONGNGAY!$K$35</f>
        <v>#VALUE!</v>
      </c>
      <c r="G497" s="539">
        <v>0.1</v>
      </c>
      <c r="H497" s="474" t="e">
        <f t="shared" si="7"/>
        <v>#VALUE!</v>
      </c>
    </row>
    <row r="498" spans="1:8" ht="36" customHeight="1">
      <c r="A498" s="539" t="s">
        <v>74</v>
      </c>
      <c r="B498" s="540" t="s">
        <v>771</v>
      </c>
      <c r="C498" s="539" t="s">
        <v>627</v>
      </c>
      <c r="D498" s="539" t="s">
        <v>34</v>
      </c>
      <c r="E498" s="544" t="s">
        <v>881</v>
      </c>
      <c r="F498" s="551" t="e">
        <f>LUONGNGAY!$K$35</f>
        <v>#VALUE!</v>
      </c>
      <c r="G498" s="539">
        <v>0.2</v>
      </c>
      <c r="H498" s="474" t="e">
        <f t="shared" si="7"/>
        <v>#VALUE!</v>
      </c>
    </row>
    <row r="499" spans="1:8" ht="36" customHeight="1">
      <c r="A499" s="539">
        <v>5</v>
      </c>
      <c r="B499" s="540" t="s">
        <v>772</v>
      </c>
      <c r="C499" s="539"/>
      <c r="D499" s="539"/>
      <c r="E499" s="539"/>
      <c r="G499" s="539"/>
      <c r="H499" s="474">
        <f t="shared" si="7"/>
        <v>0</v>
      </c>
    </row>
    <row r="500" spans="1:8" ht="36" customHeight="1">
      <c r="A500" s="539" t="s">
        <v>607</v>
      </c>
      <c r="B500" s="540" t="s">
        <v>773</v>
      </c>
      <c r="C500" s="539" t="s">
        <v>979</v>
      </c>
      <c r="D500" s="539" t="s">
        <v>29</v>
      </c>
      <c r="E500" s="544" t="s">
        <v>881</v>
      </c>
      <c r="F500" s="551" t="e">
        <f>LUONGNGAY!$K$36</f>
        <v>#VALUE!</v>
      </c>
      <c r="G500" s="539">
        <v>0.32500000000000001</v>
      </c>
      <c r="H500" s="474" t="e">
        <f t="shared" si="7"/>
        <v>#VALUE!</v>
      </c>
    </row>
    <row r="501" spans="1:8" ht="36" customHeight="1">
      <c r="A501" s="539" t="s">
        <v>608</v>
      </c>
      <c r="B501" s="540" t="s">
        <v>774</v>
      </c>
      <c r="C501" s="539" t="s">
        <v>979</v>
      </c>
      <c r="D501" s="539" t="s">
        <v>29</v>
      </c>
      <c r="E501" s="544" t="s">
        <v>881</v>
      </c>
      <c r="F501" s="551" t="e">
        <f>LUONGNGAY!$K$36</f>
        <v>#VALUE!</v>
      </c>
      <c r="G501" s="539">
        <v>0.26</v>
      </c>
      <c r="H501" s="474" t="e">
        <f t="shared" si="7"/>
        <v>#VALUE!</v>
      </c>
    </row>
    <row r="502" spans="1:8" ht="36" customHeight="1">
      <c r="A502" s="539">
        <v>6</v>
      </c>
      <c r="B502" s="540" t="s">
        <v>211</v>
      </c>
      <c r="C502" s="539" t="s">
        <v>627</v>
      </c>
      <c r="D502" s="539" t="s">
        <v>29</v>
      </c>
      <c r="E502" s="544" t="s">
        <v>881</v>
      </c>
      <c r="F502" s="551" t="e">
        <f>LUONGNGAY!$K$36</f>
        <v>#VALUE!</v>
      </c>
      <c r="G502" s="539">
        <v>3.3000000000000002E-2</v>
      </c>
      <c r="H502" s="474" t="e">
        <f t="shared" si="7"/>
        <v>#VALUE!</v>
      </c>
    </row>
    <row r="503" spans="1:8" ht="36" customHeight="1">
      <c r="A503" s="539">
        <v>7</v>
      </c>
      <c r="B503" s="540" t="s">
        <v>978</v>
      </c>
      <c r="C503" s="539" t="s">
        <v>979</v>
      </c>
      <c r="D503" s="539" t="s">
        <v>29</v>
      </c>
      <c r="E503" s="544" t="s">
        <v>881</v>
      </c>
      <c r="F503" s="551" t="e">
        <f>LUONGNGAY!$K$36</f>
        <v>#VALUE!</v>
      </c>
      <c r="G503" s="539">
        <v>0.2</v>
      </c>
      <c r="H503" s="474" t="e">
        <f t="shared" si="7"/>
        <v>#VALUE!</v>
      </c>
    </row>
    <row r="504" spans="1:8" ht="36" customHeight="1">
      <c r="A504" s="539">
        <v>8</v>
      </c>
      <c r="B504" s="540" t="s">
        <v>213</v>
      </c>
      <c r="C504" s="539"/>
      <c r="D504" s="539"/>
      <c r="E504" s="539"/>
      <c r="G504" s="539"/>
      <c r="H504" s="474">
        <f t="shared" si="7"/>
        <v>0</v>
      </c>
    </row>
    <row r="505" spans="1:8" ht="36" customHeight="1">
      <c r="A505" s="539" t="s">
        <v>374</v>
      </c>
      <c r="B505" s="540" t="s">
        <v>215</v>
      </c>
      <c r="C505" s="539" t="s">
        <v>320</v>
      </c>
      <c r="D505" s="539" t="s">
        <v>34</v>
      </c>
      <c r="E505" s="544" t="s">
        <v>881</v>
      </c>
      <c r="F505" s="551" t="e">
        <f>LUONGNGAY!$K$35</f>
        <v>#VALUE!</v>
      </c>
      <c r="G505" s="539">
        <v>0.1</v>
      </c>
      <c r="H505" s="474" t="e">
        <f t="shared" si="7"/>
        <v>#VALUE!</v>
      </c>
    </row>
    <row r="506" spans="1:8" ht="36" customHeight="1">
      <c r="A506" s="539" t="s">
        <v>375</v>
      </c>
      <c r="B506" s="540" t="s">
        <v>217</v>
      </c>
      <c r="C506" s="539" t="s">
        <v>320</v>
      </c>
      <c r="D506" s="539" t="s">
        <v>34</v>
      </c>
      <c r="E506" s="544" t="s">
        <v>881</v>
      </c>
      <c r="F506" s="551" t="e">
        <f>LUONGNGAY!$K$35</f>
        <v>#VALUE!</v>
      </c>
      <c r="G506" s="539">
        <v>0.2</v>
      </c>
      <c r="H506" s="474" t="e">
        <f t="shared" si="7"/>
        <v>#VALUE!</v>
      </c>
    </row>
    <row r="507" spans="1:8" ht="36" customHeight="1">
      <c r="A507" s="539">
        <v>9</v>
      </c>
      <c r="B507" s="540" t="s">
        <v>218</v>
      </c>
      <c r="C507" s="539" t="s">
        <v>979</v>
      </c>
      <c r="D507" s="539" t="s">
        <v>34</v>
      </c>
      <c r="E507" s="544" t="s">
        <v>881</v>
      </c>
      <c r="F507" s="551" t="e">
        <f>LUONGNGAY!$K$35</f>
        <v>#VALUE!</v>
      </c>
      <c r="G507" s="539">
        <v>0.65</v>
      </c>
      <c r="H507" s="474" t="e">
        <f t="shared" si="7"/>
        <v>#VALUE!</v>
      </c>
    </row>
    <row r="508" spans="1:8" ht="36" customHeight="1">
      <c r="A508" s="539">
        <v>10</v>
      </c>
      <c r="B508" s="540" t="s">
        <v>75</v>
      </c>
      <c r="C508" s="539" t="s">
        <v>979</v>
      </c>
      <c r="D508" s="539" t="s">
        <v>34</v>
      </c>
      <c r="E508" s="544" t="s">
        <v>881</v>
      </c>
      <c r="F508" s="551" t="e">
        <f>LUONGNGAY!$K$35</f>
        <v>#VALUE!</v>
      </c>
      <c r="G508" s="539">
        <v>0.61099999999999999</v>
      </c>
      <c r="H508" s="474" t="e">
        <f t="shared" si="7"/>
        <v>#VALUE!</v>
      </c>
    </row>
    <row r="509" spans="1:8" ht="36" customHeight="1">
      <c r="A509" s="539">
        <v>11</v>
      </c>
      <c r="B509" s="540" t="s">
        <v>220</v>
      </c>
      <c r="C509" s="539" t="s">
        <v>627</v>
      </c>
      <c r="D509" s="539" t="s">
        <v>29</v>
      </c>
      <c r="E509" s="544" t="s">
        <v>881</v>
      </c>
      <c r="F509" s="551" t="e">
        <f>LUONGNGAY!$K$36</f>
        <v>#VALUE!</v>
      </c>
      <c r="G509" s="539">
        <v>3.3000000000000002E-2</v>
      </c>
      <c r="H509" s="474" t="e">
        <f t="shared" si="7"/>
        <v>#VALUE!</v>
      </c>
    </row>
    <row r="510" spans="1:8" ht="36" customHeight="1">
      <c r="A510" s="539">
        <v>12</v>
      </c>
      <c r="B510" s="540" t="s">
        <v>221</v>
      </c>
      <c r="C510" s="539"/>
      <c r="D510" s="539"/>
      <c r="E510" s="539"/>
      <c r="G510" s="539"/>
      <c r="H510" s="474">
        <f t="shared" si="7"/>
        <v>0</v>
      </c>
    </row>
    <row r="511" spans="1:8" ht="36" customHeight="1">
      <c r="A511" s="539" t="s">
        <v>76</v>
      </c>
      <c r="B511" s="540" t="s">
        <v>931</v>
      </c>
      <c r="C511" s="539"/>
      <c r="D511" s="539"/>
      <c r="E511" s="539"/>
      <c r="G511" s="539"/>
      <c r="H511" s="474">
        <f t="shared" si="7"/>
        <v>0</v>
      </c>
    </row>
    <row r="512" spans="1:8" ht="24" customHeight="1">
      <c r="A512" s="539" t="s">
        <v>77</v>
      </c>
      <c r="B512" s="540" t="s">
        <v>933</v>
      </c>
      <c r="C512" s="539" t="s">
        <v>934</v>
      </c>
      <c r="D512" s="539" t="s">
        <v>935</v>
      </c>
      <c r="E512" s="544" t="s">
        <v>881</v>
      </c>
      <c r="F512" s="551" t="e">
        <f>LUONGNGAY!$K$34</f>
        <v>#VALUE!</v>
      </c>
      <c r="G512" s="539">
        <v>0.02</v>
      </c>
      <c r="H512" s="474" t="e">
        <f t="shared" si="7"/>
        <v>#VALUE!</v>
      </c>
    </row>
    <row r="513" spans="1:9" ht="24" customHeight="1">
      <c r="A513" s="539" t="s">
        <v>78</v>
      </c>
      <c r="B513" s="540" t="s">
        <v>937</v>
      </c>
      <c r="C513" s="539" t="s">
        <v>934</v>
      </c>
      <c r="D513" s="539" t="s">
        <v>935</v>
      </c>
      <c r="E513" s="544" t="s">
        <v>881</v>
      </c>
      <c r="F513" s="551" t="e">
        <f>LUONGNGAY!$K$34</f>
        <v>#VALUE!</v>
      </c>
      <c r="G513" s="539">
        <v>0.01</v>
      </c>
      <c r="H513" s="474" t="e">
        <f t="shared" si="7"/>
        <v>#VALUE!</v>
      </c>
    </row>
    <row r="514" spans="1:9" ht="29.25" customHeight="1">
      <c r="A514" s="539" t="s">
        <v>79</v>
      </c>
      <c r="B514" s="540" t="s">
        <v>48</v>
      </c>
      <c r="C514" s="539" t="s">
        <v>934</v>
      </c>
      <c r="D514" s="539" t="s">
        <v>935</v>
      </c>
      <c r="E514" s="544" t="s">
        <v>881</v>
      </c>
      <c r="F514" s="551" t="e">
        <f>LUONGNGAY!$K$34</f>
        <v>#VALUE!</v>
      </c>
      <c r="G514" s="539">
        <v>5.0000000000000001E-3</v>
      </c>
      <c r="H514" s="474" t="e">
        <f t="shared" si="7"/>
        <v>#VALUE!</v>
      </c>
    </row>
    <row r="515" spans="1:9" ht="30" customHeight="1">
      <c r="A515" s="539" t="s">
        <v>80</v>
      </c>
      <c r="B515" s="540" t="s">
        <v>50</v>
      </c>
      <c r="C515" s="539" t="s">
        <v>627</v>
      </c>
      <c r="D515" s="539" t="s">
        <v>935</v>
      </c>
      <c r="E515" s="544" t="s">
        <v>881</v>
      </c>
      <c r="F515" s="551" t="e">
        <f>LUONGNGAY!$K$34</f>
        <v>#VALUE!</v>
      </c>
      <c r="G515" s="539">
        <v>1.2999999999999999E-2</v>
      </c>
      <c r="H515" s="474" t="e">
        <f t="shared" si="7"/>
        <v>#VALUE!</v>
      </c>
    </row>
    <row r="516" spans="1:9" ht="30" customHeight="1">
      <c r="A516" s="539">
        <v>13</v>
      </c>
      <c r="B516" s="540" t="s">
        <v>808</v>
      </c>
      <c r="C516" s="539" t="s">
        <v>979</v>
      </c>
      <c r="D516" s="539" t="s">
        <v>34</v>
      </c>
      <c r="E516" s="544" t="s">
        <v>881</v>
      </c>
      <c r="F516" s="551" t="e">
        <f>LUONGNGAY!$K$35</f>
        <v>#VALUE!</v>
      </c>
      <c r="G516" s="539">
        <v>0.26</v>
      </c>
      <c r="H516" s="474" t="e">
        <f t="shared" si="7"/>
        <v>#VALUE!</v>
      </c>
    </row>
    <row r="517" spans="1:9" ht="24" customHeight="1">
      <c r="A517" s="539">
        <v>14</v>
      </c>
      <c r="B517" s="540" t="s">
        <v>1072</v>
      </c>
      <c r="C517" s="539" t="s">
        <v>979</v>
      </c>
      <c r="D517" s="539" t="s">
        <v>34</v>
      </c>
      <c r="E517" s="544" t="s">
        <v>881</v>
      </c>
      <c r="F517" s="551" t="e">
        <f>LUONGNGAY!$K$35</f>
        <v>#VALUE!</v>
      </c>
      <c r="G517" s="539">
        <v>0.26</v>
      </c>
      <c r="H517" s="474" t="e">
        <f t="shared" si="7"/>
        <v>#VALUE!</v>
      </c>
    </row>
    <row r="518" spans="1:9" ht="24" customHeight="1">
      <c r="A518" s="545" t="s">
        <v>184</v>
      </c>
      <c r="B518" s="538" t="s">
        <v>92</v>
      </c>
      <c r="C518" s="539"/>
      <c r="D518" s="539"/>
      <c r="E518" s="539"/>
      <c r="G518" s="539"/>
      <c r="H518" s="474">
        <f t="shared" si="7"/>
        <v>0</v>
      </c>
    </row>
    <row r="519" spans="1:9" ht="24" customHeight="1">
      <c r="A519" s="539">
        <v>1</v>
      </c>
      <c r="B519" s="540" t="s">
        <v>809</v>
      </c>
      <c r="C519" s="539" t="s">
        <v>979</v>
      </c>
      <c r="D519" s="539" t="s">
        <v>29</v>
      </c>
      <c r="E519" s="544" t="s">
        <v>881</v>
      </c>
      <c r="F519" s="551" t="e">
        <f>LUONGNGAY!$K$36</f>
        <v>#VALUE!</v>
      </c>
      <c r="G519" s="539">
        <v>0.13</v>
      </c>
      <c r="H519" s="474" t="e">
        <f t="shared" si="7"/>
        <v>#VALUE!</v>
      </c>
    </row>
    <row r="520" spans="1:9" ht="24" customHeight="1">
      <c r="A520" s="545" t="s">
        <v>913</v>
      </c>
      <c r="B520" s="538" t="s">
        <v>93</v>
      </c>
      <c r="C520" s="539"/>
      <c r="D520" s="539"/>
      <c r="E520" s="539"/>
      <c r="G520" s="539"/>
      <c r="H520" s="474">
        <f t="shared" si="7"/>
        <v>0</v>
      </c>
    </row>
    <row r="521" spans="1:9" ht="36" customHeight="1">
      <c r="A521" s="539">
        <v>1</v>
      </c>
      <c r="B521" s="540" t="s">
        <v>810</v>
      </c>
      <c r="C521" s="539" t="s">
        <v>979</v>
      </c>
      <c r="D521" s="539" t="s">
        <v>34</v>
      </c>
      <c r="E521" s="544" t="s">
        <v>881</v>
      </c>
      <c r="F521" s="551" t="e">
        <f>LUONGNGAY!$K$35</f>
        <v>#VALUE!</v>
      </c>
      <c r="G521" s="539">
        <v>5.1999999999999998E-2</v>
      </c>
      <c r="H521" s="474" t="e">
        <f t="shared" si="7"/>
        <v>#VALUE!</v>
      </c>
    </row>
    <row r="522" spans="1:9" ht="22.5" customHeight="1">
      <c r="A522" s="482"/>
      <c r="B522" s="490"/>
      <c r="C522" s="505"/>
      <c r="D522" s="505"/>
      <c r="E522" s="505"/>
      <c r="F522" s="506"/>
      <c r="G522" s="507"/>
      <c r="H522" s="505"/>
      <c r="I522" s="505"/>
    </row>
    <row r="523" spans="1:9" ht="30" customHeight="1">
      <c r="A523" s="1194" t="s">
        <v>869</v>
      </c>
      <c r="B523" s="1194"/>
      <c r="C523" s="1194"/>
      <c r="D523" s="1194"/>
      <c r="E523" s="1194"/>
      <c r="F523" s="1194"/>
      <c r="G523" s="1194"/>
      <c r="H523" s="1194"/>
    </row>
    <row r="524" spans="1:9" ht="15.75" customHeight="1">
      <c r="A524" s="459"/>
      <c r="B524" s="460"/>
      <c r="E524" s="462"/>
      <c r="F524" s="463"/>
      <c r="G524" s="462"/>
      <c r="H524" s="464"/>
    </row>
    <row r="525" spans="1:9" ht="51.75" customHeight="1">
      <c r="A525" s="467" t="s">
        <v>158</v>
      </c>
      <c r="B525" s="467" t="s">
        <v>381</v>
      </c>
      <c r="C525" s="468" t="s">
        <v>625</v>
      </c>
      <c r="D525" s="468" t="s">
        <v>624</v>
      </c>
      <c r="E525" s="468" t="s">
        <v>382</v>
      </c>
      <c r="F525" s="469" t="s">
        <v>629</v>
      </c>
      <c r="G525" s="468" t="s">
        <v>628</v>
      </c>
      <c r="H525" s="468" t="s">
        <v>383</v>
      </c>
    </row>
    <row r="526" spans="1:9" ht="26.25" customHeight="1">
      <c r="A526" s="545" t="s">
        <v>179</v>
      </c>
      <c r="B526" s="538" t="s">
        <v>606</v>
      </c>
      <c r="C526" s="539"/>
      <c r="D526" s="539"/>
      <c r="E526" s="539"/>
      <c r="F526" s="546"/>
      <c r="G526" s="468"/>
      <c r="H526" s="468"/>
    </row>
    <row r="527" spans="1:9" ht="26.25" customHeight="1">
      <c r="A527" s="539">
        <v>1</v>
      </c>
      <c r="B527" s="540" t="s">
        <v>599</v>
      </c>
      <c r="C527" s="539"/>
      <c r="D527" s="539"/>
      <c r="E527" s="539"/>
      <c r="F527" s="546"/>
      <c r="G527" s="468"/>
      <c r="H527" s="468"/>
    </row>
    <row r="528" spans="1:9" ht="25.5" customHeight="1">
      <c r="A528" s="1193" t="s">
        <v>891</v>
      </c>
      <c r="B528" s="1218" t="s">
        <v>21</v>
      </c>
      <c r="C528" s="1193" t="s">
        <v>22</v>
      </c>
      <c r="D528" s="1193" t="s">
        <v>23</v>
      </c>
      <c r="E528" s="1192" t="s">
        <v>370</v>
      </c>
      <c r="F528" s="471" t="e">
        <f>(LUONGNGAY!$K$35+LUONGNGAY!$K$44)/2</f>
        <v>#VALUE!</v>
      </c>
      <c r="G528" s="549">
        <f>2*2</f>
        <v>4</v>
      </c>
      <c r="H528" s="474" t="e">
        <f>F528*G528</f>
        <v>#VALUE!</v>
      </c>
    </row>
    <row r="529" spans="1:8" ht="26.25" customHeight="1">
      <c r="A529" s="1193"/>
      <c r="B529" s="1218"/>
      <c r="C529" s="1193"/>
      <c r="D529" s="1193"/>
      <c r="E529" s="1192"/>
      <c r="F529" s="471">
        <f>'He so chung'!$D$11</f>
        <v>131000</v>
      </c>
      <c r="G529" s="539">
        <v>2</v>
      </c>
      <c r="H529" s="474">
        <f t="shared" ref="H529:H592" si="8">F529*G529</f>
        <v>262000</v>
      </c>
    </row>
    <row r="530" spans="1:8" ht="26.25" customHeight="1">
      <c r="A530" s="539" t="s">
        <v>899</v>
      </c>
      <c r="B530" s="540" t="s">
        <v>24</v>
      </c>
      <c r="C530" s="539" t="s">
        <v>25</v>
      </c>
      <c r="D530" s="539" t="s">
        <v>26</v>
      </c>
      <c r="E530" s="544" t="s">
        <v>370</v>
      </c>
      <c r="F530" s="471" t="e">
        <f>(LUONGNGAY!$K$36+LUONGNGAY!K35+LUONGNGAY!K44)/3</f>
        <v>#VALUE!</v>
      </c>
      <c r="G530" s="539">
        <v>16</v>
      </c>
      <c r="H530" s="474" t="e">
        <f t="shared" si="8"/>
        <v>#VALUE!</v>
      </c>
    </row>
    <row r="531" spans="1:8" ht="26.25" customHeight="1">
      <c r="A531" s="1193" t="s">
        <v>892</v>
      </c>
      <c r="B531" s="1218" t="s">
        <v>812</v>
      </c>
      <c r="C531" s="1193" t="s">
        <v>28</v>
      </c>
      <c r="D531" s="1193" t="s">
        <v>29</v>
      </c>
      <c r="E531" s="1192" t="s">
        <v>370</v>
      </c>
      <c r="F531" s="551" t="e">
        <f>LUONGNGAY!$K$36</f>
        <v>#VALUE!</v>
      </c>
      <c r="G531" s="549">
        <v>2.5</v>
      </c>
      <c r="H531" s="474" t="e">
        <f t="shared" si="8"/>
        <v>#VALUE!</v>
      </c>
    </row>
    <row r="532" spans="1:8" ht="26.25" customHeight="1">
      <c r="A532" s="1193"/>
      <c r="B532" s="1218"/>
      <c r="C532" s="1193"/>
      <c r="D532" s="1193"/>
      <c r="E532" s="1192"/>
      <c r="F532" s="471">
        <f>'He so chung'!$D$11</f>
        <v>131000</v>
      </c>
      <c r="G532" s="539">
        <v>2.5</v>
      </c>
      <c r="H532" s="474">
        <f t="shared" si="8"/>
        <v>327500</v>
      </c>
    </row>
    <row r="533" spans="1:8" ht="26.25" customHeight="1">
      <c r="A533" s="539" t="s">
        <v>30</v>
      </c>
      <c r="B533" s="540" t="s">
        <v>813</v>
      </c>
      <c r="C533" s="539"/>
      <c r="D533" s="539"/>
      <c r="E533" s="539"/>
      <c r="F533" s="469"/>
      <c r="G533" s="539"/>
      <c r="H533" s="474">
        <f t="shared" si="8"/>
        <v>0</v>
      </c>
    </row>
    <row r="534" spans="1:8" ht="26.25" customHeight="1">
      <c r="A534" s="539" t="s">
        <v>32</v>
      </c>
      <c r="B534" s="540" t="s">
        <v>33</v>
      </c>
      <c r="C534" s="539" t="s">
        <v>979</v>
      </c>
      <c r="D534" s="539" t="s">
        <v>34</v>
      </c>
      <c r="E534" s="544" t="s">
        <v>370</v>
      </c>
      <c r="F534" s="551" t="e">
        <f>LUONGNGAY!$K$35</f>
        <v>#VALUE!</v>
      </c>
      <c r="G534" s="539">
        <v>0.05</v>
      </c>
      <c r="H534" s="474" t="e">
        <f t="shared" si="8"/>
        <v>#VALUE!</v>
      </c>
    </row>
    <row r="535" spans="1:8" ht="26.25" customHeight="1">
      <c r="A535" s="539" t="s">
        <v>35</v>
      </c>
      <c r="B535" s="540" t="s">
        <v>36</v>
      </c>
      <c r="C535" s="539" t="s">
        <v>979</v>
      </c>
      <c r="D535" s="539" t="s">
        <v>34</v>
      </c>
      <c r="E535" s="544" t="s">
        <v>370</v>
      </c>
      <c r="F535" s="551" t="e">
        <f>LUONGNGAY!$K$35</f>
        <v>#VALUE!</v>
      </c>
      <c r="G535" s="539">
        <v>2.5000000000000001E-2</v>
      </c>
      <c r="H535" s="474" t="e">
        <f t="shared" si="8"/>
        <v>#VALUE!</v>
      </c>
    </row>
    <row r="536" spans="1:8" ht="26.25" customHeight="1">
      <c r="A536" s="539">
        <v>2</v>
      </c>
      <c r="B536" s="540" t="s">
        <v>953</v>
      </c>
      <c r="C536" s="539" t="s">
        <v>979</v>
      </c>
      <c r="D536" s="539" t="s">
        <v>34</v>
      </c>
      <c r="E536" s="544" t="s">
        <v>370</v>
      </c>
      <c r="F536" s="551" t="e">
        <f>LUONGNGAY!$K$35</f>
        <v>#VALUE!</v>
      </c>
      <c r="G536" s="539">
        <v>0.05</v>
      </c>
      <c r="H536" s="474" t="e">
        <f t="shared" si="8"/>
        <v>#VALUE!</v>
      </c>
    </row>
    <row r="537" spans="1:8" ht="26.25" customHeight="1">
      <c r="A537" s="539">
        <v>3</v>
      </c>
      <c r="B537" s="540" t="s">
        <v>38</v>
      </c>
      <c r="C537" s="539" t="s">
        <v>627</v>
      </c>
      <c r="D537" s="539" t="s">
        <v>29</v>
      </c>
      <c r="E537" s="544" t="s">
        <v>370</v>
      </c>
      <c r="F537" s="551" t="e">
        <f>LUONGNGAY!$K$36</f>
        <v>#VALUE!</v>
      </c>
      <c r="G537" s="539">
        <v>0.107</v>
      </c>
      <c r="H537" s="474" t="e">
        <f t="shared" si="8"/>
        <v>#VALUE!</v>
      </c>
    </row>
    <row r="538" spans="1:8" ht="26.25" customHeight="1">
      <c r="A538" s="1193">
        <v>4</v>
      </c>
      <c r="B538" s="1218" t="s">
        <v>814</v>
      </c>
      <c r="C538" s="1193" t="s">
        <v>979</v>
      </c>
      <c r="D538" s="1193" t="s">
        <v>23</v>
      </c>
      <c r="E538" s="1193">
        <v>1</v>
      </c>
      <c r="F538" s="471" t="e">
        <f>(LUONGNGAY!$K$35+LUONGNGAY!$K$44)/2</f>
        <v>#VALUE!</v>
      </c>
      <c r="G538" s="549">
        <f>0.125*2</f>
        <v>0.25</v>
      </c>
      <c r="H538" s="474" t="e">
        <f t="shared" si="8"/>
        <v>#VALUE!</v>
      </c>
    </row>
    <row r="539" spans="1:8" ht="26.25" customHeight="1">
      <c r="A539" s="1193"/>
      <c r="B539" s="1218"/>
      <c r="C539" s="1193"/>
      <c r="D539" s="1193"/>
      <c r="E539" s="1193"/>
      <c r="F539" s="471">
        <f>'He so chung'!$D$11</f>
        <v>131000</v>
      </c>
      <c r="G539" s="539">
        <v>0.125</v>
      </c>
      <c r="H539" s="474">
        <f t="shared" si="8"/>
        <v>16375</v>
      </c>
    </row>
    <row r="540" spans="1:8" ht="26.25" customHeight="1">
      <c r="A540" s="1193"/>
      <c r="B540" s="1218"/>
      <c r="C540" s="1193"/>
      <c r="D540" s="1193"/>
      <c r="E540" s="1193">
        <v>2</v>
      </c>
      <c r="F540" s="471" t="e">
        <f>(LUONGNGAY!$K$35+LUONGNGAY!$K$44)/2</f>
        <v>#VALUE!</v>
      </c>
      <c r="G540" s="549">
        <f>0.15*2</f>
        <v>0.3</v>
      </c>
      <c r="H540" s="474" t="e">
        <f t="shared" si="8"/>
        <v>#VALUE!</v>
      </c>
    </row>
    <row r="541" spans="1:8" ht="26.25" customHeight="1">
      <c r="A541" s="1193"/>
      <c r="B541" s="1218"/>
      <c r="C541" s="1193"/>
      <c r="D541" s="1193"/>
      <c r="E541" s="1193"/>
      <c r="F541" s="471">
        <f>'He so chung'!$D$11</f>
        <v>131000</v>
      </c>
      <c r="G541" s="539">
        <v>0.15</v>
      </c>
      <c r="H541" s="474">
        <f t="shared" si="8"/>
        <v>19650</v>
      </c>
    </row>
    <row r="542" spans="1:8" ht="26.25" customHeight="1">
      <c r="A542" s="1193"/>
      <c r="B542" s="1218"/>
      <c r="C542" s="1193"/>
      <c r="D542" s="1193"/>
      <c r="E542" s="1193">
        <v>3</v>
      </c>
      <c r="F542" s="471" t="e">
        <f>(LUONGNGAY!$K$35+LUONGNGAY!$K$44)/2</f>
        <v>#VALUE!</v>
      </c>
      <c r="G542" s="549">
        <f>0.18*2</f>
        <v>0.36</v>
      </c>
      <c r="H542" s="474" t="e">
        <f t="shared" si="8"/>
        <v>#VALUE!</v>
      </c>
    </row>
    <row r="543" spans="1:8" ht="26.25" customHeight="1">
      <c r="A543" s="1193"/>
      <c r="B543" s="1218"/>
      <c r="C543" s="1193"/>
      <c r="D543" s="1193"/>
      <c r="E543" s="1193"/>
      <c r="F543" s="471">
        <f>'He so chung'!$D$11</f>
        <v>131000</v>
      </c>
      <c r="G543" s="539">
        <v>0.18</v>
      </c>
      <c r="H543" s="474">
        <f t="shared" si="8"/>
        <v>23580</v>
      </c>
    </row>
    <row r="544" spans="1:8" ht="26.25" customHeight="1">
      <c r="A544" s="539">
        <v>5</v>
      </c>
      <c r="B544" s="540" t="s">
        <v>348</v>
      </c>
      <c r="C544" s="539"/>
      <c r="D544" s="539"/>
      <c r="E544" s="539"/>
      <c r="F544" s="469"/>
      <c r="G544" s="539"/>
      <c r="H544" s="474">
        <f t="shared" si="8"/>
        <v>0</v>
      </c>
    </row>
    <row r="545" spans="1:8" ht="26.25" customHeight="1">
      <c r="A545" s="539" t="s">
        <v>607</v>
      </c>
      <c r="B545" s="540" t="s">
        <v>33</v>
      </c>
      <c r="C545" s="539" t="s">
        <v>979</v>
      </c>
      <c r="D545" s="539" t="s">
        <v>29</v>
      </c>
      <c r="E545" s="544" t="s">
        <v>370</v>
      </c>
      <c r="F545" s="551" t="e">
        <f>LUONGNGAY!$K$36</f>
        <v>#VALUE!</v>
      </c>
      <c r="G545" s="539">
        <v>1.4999999999999999E-2</v>
      </c>
      <c r="H545" s="474" t="e">
        <f t="shared" si="8"/>
        <v>#VALUE!</v>
      </c>
    </row>
    <row r="546" spans="1:8" ht="26.25" customHeight="1">
      <c r="A546" s="539" t="s">
        <v>608</v>
      </c>
      <c r="B546" s="540" t="s">
        <v>36</v>
      </c>
      <c r="C546" s="539" t="s">
        <v>979</v>
      </c>
      <c r="D546" s="539" t="s">
        <v>29</v>
      </c>
      <c r="E546" s="544" t="s">
        <v>370</v>
      </c>
      <c r="F546" s="551" t="e">
        <f>LUONGNGAY!$K$36</f>
        <v>#VALUE!</v>
      </c>
      <c r="G546" s="539">
        <v>0.01</v>
      </c>
      <c r="H546" s="474" t="e">
        <f t="shared" si="8"/>
        <v>#VALUE!</v>
      </c>
    </row>
    <row r="547" spans="1:8" ht="26.25" customHeight="1">
      <c r="A547" s="539">
        <v>6</v>
      </c>
      <c r="B547" s="540" t="s">
        <v>815</v>
      </c>
      <c r="C547" s="539"/>
      <c r="D547" s="539"/>
      <c r="E547" s="539"/>
      <c r="F547" s="469"/>
      <c r="G547" s="539"/>
      <c r="H547" s="474">
        <f t="shared" si="8"/>
        <v>0</v>
      </c>
    </row>
    <row r="548" spans="1:8" ht="26.25" customHeight="1">
      <c r="A548" s="539" t="s">
        <v>444</v>
      </c>
      <c r="B548" s="540" t="s">
        <v>33</v>
      </c>
      <c r="C548" s="539" t="s">
        <v>979</v>
      </c>
      <c r="D548" s="539" t="s">
        <v>29</v>
      </c>
      <c r="E548" s="544" t="s">
        <v>370</v>
      </c>
      <c r="F548" s="551" t="e">
        <f>LUONGNGAY!$K$36</f>
        <v>#VALUE!</v>
      </c>
      <c r="G548" s="539">
        <v>0.05</v>
      </c>
      <c r="H548" s="474" t="e">
        <f t="shared" si="8"/>
        <v>#VALUE!</v>
      </c>
    </row>
    <row r="549" spans="1:8" ht="26.25" customHeight="1">
      <c r="A549" s="539" t="s">
        <v>445</v>
      </c>
      <c r="B549" s="540" t="s">
        <v>36</v>
      </c>
      <c r="C549" s="539" t="s">
        <v>979</v>
      </c>
      <c r="D549" s="539" t="s">
        <v>29</v>
      </c>
      <c r="E549" s="544" t="s">
        <v>370</v>
      </c>
      <c r="F549" s="551" t="e">
        <f>LUONGNGAY!$K$36</f>
        <v>#VALUE!</v>
      </c>
      <c r="G549" s="539">
        <v>0.04</v>
      </c>
      <c r="H549" s="474" t="e">
        <f t="shared" si="8"/>
        <v>#VALUE!</v>
      </c>
    </row>
    <row r="550" spans="1:8" ht="26.25" customHeight="1">
      <c r="A550" s="539">
        <v>7</v>
      </c>
      <c r="B550" s="540" t="s">
        <v>949</v>
      </c>
      <c r="C550" s="539" t="s">
        <v>627</v>
      </c>
      <c r="D550" s="539" t="s">
        <v>29</v>
      </c>
      <c r="E550" s="544" t="s">
        <v>370</v>
      </c>
      <c r="F550" s="551" t="e">
        <f>LUONGNGAY!$K$36</f>
        <v>#VALUE!</v>
      </c>
      <c r="G550" s="539">
        <v>3.0000000000000001E-3</v>
      </c>
      <c r="H550" s="474" t="e">
        <f t="shared" si="8"/>
        <v>#VALUE!</v>
      </c>
    </row>
    <row r="551" spans="1:8" ht="26.25" customHeight="1">
      <c r="A551" s="539">
        <v>8</v>
      </c>
      <c r="B551" s="540" t="s">
        <v>257</v>
      </c>
      <c r="C551" s="539"/>
      <c r="D551" s="539"/>
      <c r="E551" s="539"/>
      <c r="F551" s="469"/>
      <c r="G551" s="539"/>
      <c r="H551" s="474">
        <f t="shared" si="8"/>
        <v>0</v>
      </c>
    </row>
    <row r="552" spans="1:8" ht="26.25" customHeight="1">
      <c r="A552" s="539" t="s">
        <v>374</v>
      </c>
      <c r="B552" s="540" t="s">
        <v>33</v>
      </c>
      <c r="C552" s="539" t="s">
        <v>979</v>
      </c>
      <c r="D552" s="539" t="s">
        <v>29</v>
      </c>
      <c r="E552" s="544" t="s">
        <v>370</v>
      </c>
      <c r="F552" s="551" t="e">
        <f>LUONGNGAY!$K$36</f>
        <v>#VALUE!</v>
      </c>
      <c r="G552" s="539">
        <v>5.0000000000000001E-3</v>
      </c>
      <c r="H552" s="474" t="e">
        <f t="shared" si="8"/>
        <v>#VALUE!</v>
      </c>
    </row>
    <row r="553" spans="1:8" ht="26.25" customHeight="1">
      <c r="A553" s="539" t="s">
        <v>375</v>
      </c>
      <c r="B553" s="540" t="s">
        <v>36</v>
      </c>
      <c r="C553" s="539" t="s">
        <v>979</v>
      </c>
      <c r="D553" s="539" t="s">
        <v>29</v>
      </c>
      <c r="E553" s="544" t="s">
        <v>370</v>
      </c>
      <c r="F553" s="551" t="e">
        <f>LUONGNGAY!$K$36</f>
        <v>#VALUE!</v>
      </c>
      <c r="G553" s="539">
        <v>4.0000000000000001E-3</v>
      </c>
      <c r="H553" s="474" t="e">
        <f t="shared" si="8"/>
        <v>#VALUE!</v>
      </c>
    </row>
    <row r="554" spans="1:8" ht="26.25" customHeight="1">
      <c r="A554" s="539">
        <v>9</v>
      </c>
      <c r="B554" s="540" t="s">
        <v>950</v>
      </c>
      <c r="C554" s="539" t="s">
        <v>979</v>
      </c>
      <c r="D554" s="539" t="s">
        <v>34</v>
      </c>
      <c r="E554" s="544" t="s">
        <v>370</v>
      </c>
      <c r="F554" s="551" t="e">
        <f>LUONGNGAY!$K$35</f>
        <v>#VALUE!</v>
      </c>
      <c r="G554" s="539">
        <v>0.02</v>
      </c>
      <c r="H554" s="474" t="e">
        <f t="shared" si="8"/>
        <v>#VALUE!</v>
      </c>
    </row>
    <row r="555" spans="1:8" ht="26.25" customHeight="1">
      <c r="A555" s="539">
        <v>10</v>
      </c>
      <c r="B555" s="540" t="s">
        <v>764</v>
      </c>
      <c r="C555" s="539" t="s">
        <v>979</v>
      </c>
      <c r="D555" s="539" t="s">
        <v>34</v>
      </c>
      <c r="E555" s="544" t="s">
        <v>370</v>
      </c>
      <c r="F555" s="551" t="e">
        <f>LUONGNGAY!$K$35</f>
        <v>#VALUE!</v>
      </c>
      <c r="G555" s="539">
        <v>0.02</v>
      </c>
      <c r="H555" s="474" t="e">
        <f t="shared" si="8"/>
        <v>#VALUE!</v>
      </c>
    </row>
    <row r="556" spans="1:8" ht="26.25" customHeight="1">
      <c r="A556" s="545" t="s">
        <v>184</v>
      </c>
      <c r="B556" s="538" t="s">
        <v>765</v>
      </c>
      <c r="C556" s="539"/>
      <c r="D556" s="539"/>
      <c r="E556" s="539"/>
      <c r="F556" s="469"/>
      <c r="G556" s="539"/>
      <c r="H556" s="474">
        <f t="shared" si="8"/>
        <v>0</v>
      </c>
    </row>
    <row r="557" spans="1:8" ht="26.25" customHeight="1">
      <c r="A557" s="539">
        <v>1</v>
      </c>
      <c r="B557" s="540" t="s">
        <v>258</v>
      </c>
      <c r="C557" s="539"/>
      <c r="D557" s="539"/>
      <c r="E557" s="539"/>
      <c r="F557" s="469"/>
      <c r="G557" s="539"/>
      <c r="H557" s="474">
        <f t="shared" si="8"/>
        <v>0</v>
      </c>
    </row>
    <row r="558" spans="1:8" ht="26.25" customHeight="1">
      <c r="A558" s="539" t="s">
        <v>891</v>
      </c>
      <c r="B558" s="540" t="s">
        <v>33</v>
      </c>
      <c r="C558" s="539" t="s">
        <v>979</v>
      </c>
      <c r="D558" s="539" t="s">
        <v>34</v>
      </c>
      <c r="E558" s="544" t="s">
        <v>370</v>
      </c>
      <c r="F558" s="551" t="e">
        <f>LUONGNGAY!$K$35</f>
        <v>#VALUE!</v>
      </c>
      <c r="G558" s="539">
        <v>2.5000000000000001E-2</v>
      </c>
      <c r="H558" s="474" t="e">
        <f t="shared" si="8"/>
        <v>#VALUE!</v>
      </c>
    </row>
    <row r="559" spans="1:8" ht="26.25" customHeight="1">
      <c r="A559" s="539" t="s">
        <v>899</v>
      </c>
      <c r="B559" s="540" t="s">
        <v>36</v>
      </c>
      <c r="C559" s="539" t="s">
        <v>979</v>
      </c>
      <c r="D559" s="539" t="s">
        <v>34</v>
      </c>
      <c r="E559" s="544" t="s">
        <v>370</v>
      </c>
      <c r="F559" s="551" t="e">
        <f>LUONGNGAY!$K$35</f>
        <v>#VALUE!</v>
      </c>
      <c r="G559" s="539">
        <v>0.02</v>
      </c>
      <c r="H559" s="474" t="e">
        <f t="shared" si="8"/>
        <v>#VALUE!</v>
      </c>
    </row>
    <row r="560" spans="1:8" ht="26.25" customHeight="1">
      <c r="A560" s="539">
        <v>2</v>
      </c>
      <c r="B560" s="540" t="s">
        <v>231</v>
      </c>
      <c r="C560" s="539" t="s">
        <v>979</v>
      </c>
      <c r="D560" s="539" t="s">
        <v>29</v>
      </c>
      <c r="E560" s="544" t="s">
        <v>370</v>
      </c>
      <c r="F560" s="551" t="e">
        <f>LUONGNGAY!$K$36</f>
        <v>#VALUE!</v>
      </c>
      <c r="G560" s="539">
        <v>0.1</v>
      </c>
      <c r="H560" s="474" t="e">
        <f t="shared" si="8"/>
        <v>#VALUE!</v>
      </c>
    </row>
    <row r="561" spans="1:8" ht="26.25" customHeight="1">
      <c r="A561" s="539">
        <v>3</v>
      </c>
      <c r="B561" s="540" t="s">
        <v>69</v>
      </c>
      <c r="C561" s="539" t="s">
        <v>627</v>
      </c>
      <c r="D561" s="539" t="s">
        <v>29</v>
      </c>
      <c r="E561" s="544" t="s">
        <v>370</v>
      </c>
      <c r="F561" s="551" t="e">
        <f>LUONGNGAY!$K$36</f>
        <v>#VALUE!</v>
      </c>
      <c r="G561" s="539">
        <v>6.0000000000000001E-3</v>
      </c>
      <c r="H561" s="474" t="e">
        <f t="shared" si="8"/>
        <v>#VALUE!</v>
      </c>
    </row>
    <row r="562" spans="1:8" ht="26.25" customHeight="1">
      <c r="A562" s="539">
        <v>4</v>
      </c>
      <c r="B562" s="540" t="s">
        <v>660</v>
      </c>
      <c r="C562" s="539"/>
      <c r="D562" s="539"/>
      <c r="E562" s="539"/>
      <c r="F562" s="469"/>
      <c r="G562" s="539"/>
      <c r="H562" s="474">
        <f t="shared" si="8"/>
        <v>0</v>
      </c>
    </row>
    <row r="563" spans="1:8" ht="26.25" customHeight="1">
      <c r="A563" s="539" t="s">
        <v>251</v>
      </c>
      <c r="B563" s="540" t="s">
        <v>770</v>
      </c>
      <c r="C563" s="539" t="s">
        <v>979</v>
      </c>
      <c r="D563" s="539" t="s">
        <v>34</v>
      </c>
      <c r="E563" s="544" t="s">
        <v>370</v>
      </c>
      <c r="F563" s="551" t="e">
        <f>LUONGNGAY!$K$35</f>
        <v>#VALUE!</v>
      </c>
      <c r="G563" s="539">
        <v>2.5000000000000001E-2</v>
      </c>
      <c r="H563" s="474" t="e">
        <f t="shared" si="8"/>
        <v>#VALUE!</v>
      </c>
    </row>
    <row r="564" spans="1:8" ht="26.25" customHeight="1">
      <c r="A564" s="539" t="s">
        <v>252</v>
      </c>
      <c r="B564" s="540" t="s">
        <v>771</v>
      </c>
      <c r="C564" s="539" t="s">
        <v>979</v>
      </c>
      <c r="D564" s="539" t="s">
        <v>34</v>
      </c>
      <c r="E564" s="544" t="s">
        <v>370</v>
      </c>
      <c r="F564" s="551" t="e">
        <f>LUONGNGAY!$K$35</f>
        <v>#VALUE!</v>
      </c>
      <c r="G564" s="539">
        <v>0.05</v>
      </c>
      <c r="H564" s="474" t="e">
        <f t="shared" si="8"/>
        <v>#VALUE!</v>
      </c>
    </row>
    <row r="565" spans="1:8" ht="26.25" customHeight="1">
      <c r="A565" s="539">
        <v>5</v>
      </c>
      <c r="B565" s="540" t="s">
        <v>232</v>
      </c>
      <c r="C565" s="539"/>
      <c r="D565" s="539"/>
      <c r="E565" s="539"/>
      <c r="F565" s="469"/>
      <c r="G565" s="539"/>
      <c r="H565" s="474">
        <f t="shared" si="8"/>
        <v>0</v>
      </c>
    </row>
    <row r="566" spans="1:8" ht="26.25" customHeight="1">
      <c r="A566" s="539" t="s">
        <v>607</v>
      </c>
      <c r="B566" s="540" t="s">
        <v>773</v>
      </c>
      <c r="C566" s="539" t="s">
        <v>979</v>
      </c>
      <c r="D566" s="539" t="s">
        <v>29</v>
      </c>
      <c r="E566" s="544" t="s">
        <v>370</v>
      </c>
      <c r="F566" s="551" t="e">
        <f>LUONGNGAY!$K$36</f>
        <v>#VALUE!</v>
      </c>
      <c r="G566" s="539">
        <v>0.03</v>
      </c>
      <c r="H566" s="474" t="e">
        <f t="shared" si="8"/>
        <v>#VALUE!</v>
      </c>
    </row>
    <row r="567" spans="1:8" ht="26.25" customHeight="1">
      <c r="A567" s="539" t="s">
        <v>608</v>
      </c>
      <c r="B567" s="540" t="s">
        <v>774</v>
      </c>
      <c r="C567" s="539" t="s">
        <v>979</v>
      </c>
      <c r="D567" s="539" t="s">
        <v>29</v>
      </c>
      <c r="E567" s="544" t="s">
        <v>370</v>
      </c>
      <c r="F567" s="551" t="e">
        <f>LUONGNGAY!$K$36</f>
        <v>#VALUE!</v>
      </c>
      <c r="G567" s="539">
        <v>0.04</v>
      </c>
      <c r="H567" s="474" t="e">
        <f t="shared" si="8"/>
        <v>#VALUE!</v>
      </c>
    </row>
    <row r="568" spans="1:8" ht="26.25" customHeight="1">
      <c r="A568" s="539">
        <v>6</v>
      </c>
      <c r="B568" s="540" t="s">
        <v>233</v>
      </c>
      <c r="C568" s="539"/>
      <c r="D568" s="539"/>
      <c r="E568" s="539"/>
      <c r="F568" s="469"/>
      <c r="G568" s="539"/>
      <c r="H568" s="474">
        <f t="shared" si="8"/>
        <v>0</v>
      </c>
    </row>
    <row r="569" spans="1:8" ht="26.25" customHeight="1">
      <c r="A569" s="539" t="s">
        <v>444</v>
      </c>
      <c r="B569" s="540" t="s">
        <v>776</v>
      </c>
      <c r="C569" s="539" t="s">
        <v>979</v>
      </c>
      <c r="D569" s="539" t="s">
        <v>34</v>
      </c>
      <c r="E569" s="544" t="s">
        <v>370</v>
      </c>
      <c r="F569" s="551" t="e">
        <f>LUONGNGAY!$K$35</f>
        <v>#VALUE!</v>
      </c>
      <c r="G569" s="539">
        <v>0.04</v>
      </c>
      <c r="H569" s="474" t="e">
        <f t="shared" si="8"/>
        <v>#VALUE!</v>
      </c>
    </row>
    <row r="570" spans="1:8" ht="26.25" customHeight="1">
      <c r="A570" s="539" t="s">
        <v>445</v>
      </c>
      <c r="B570" s="540" t="s">
        <v>777</v>
      </c>
      <c r="C570" s="539" t="s">
        <v>979</v>
      </c>
      <c r="D570" s="539" t="s">
        <v>34</v>
      </c>
      <c r="E570" s="544" t="s">
        <v>370</v>
      </c>
      <c r="F570" s="551" t="e">
        <f>LUONGNGAY!$K$35</f>
        <v>#VALUE!</v>
      </c>
      <c r="G570" s="539">
        <v>0.03</v>
      </c>
      <c r="H570" s="474" t="e">
        <f t="shared" si="8"/>
        <v>#VALUE!</v>
      </c>
    </row>
    <row r="571" spans="1:8" ht="26.25" customHeight="1">
      <c r="A571" s="539">
        <v>7</v>
      </c>
      <c r="B571" s="540" t="s">
        <v>211</v>
      </c>
      <c r="C571" s="539" t="s">
        <v>627</v>
      </c>
      <c r="D571" s="539" t="s">
        <v>29</v>
      </c>
      <c r="E571" s="544" t="s">
        <v>370</v>
      </c>
      <c r="F571" s="551" t="e">
        <f>LUONGNGAY!$K$36</f>
        <v>#VALUE!</v>
      </c>
      <c r="G571" s="539">
        <v>3.3000000000000002E-2</v>
      </c>
      <c r="H571" s="474" t="e">
        <f t="shared" si="8"/>
        <v>#VALUE!</v>
      </c>
    </row>
    <row r="572" spans="1:8" ht="26.25" customHeight="1">
      <c r="A572" s="539">
        <v>8</v>
      </c>
      <c r="B572" s="540" t="s">
        <v>978</v>
      </c>
      <c r="C572" s="539" t="s">
        <v>979</v>
      </c>
      <c r="D572" s="539" t="s">
        <v>29</v>
      </c>
      <c r="E572" s="544" t="s">
        <v>370</v>
      </c>
      <c r="F572" s="551" t="e">
        <f>LUONGNGAY!$K$36</f>
        <v>#VALUE!</v>
      </c>
      <c r="G572" s="539">
        <v>0.2</v>
      </c>
      <c r="H572" s="474" t="e">
        <f t="shared" si="8"/>
        <v>#VALUE!</v>
      </c>
    </row>
    <row r="573" spans="1:8" ht="26.25" customHeight="1">
      <c r="A573" s="539">
        <v>9</v>
      </c>
      <c r="B573" s="540" t="s">
        <v>213</v>
      </c>
      <c r="C573" s="539"/>
      <c r="D573" s="539"/>
      <c r="E573" s="539"/>
      <c r="F573" s="469"/>
      <c r="G573" s="539"/>
      <c r="H573" s="474">
        <f t="shared" si="8"/>
        <v>0</v>
      </c>
    </row>
    <row r="574" spans="1:8" ht="26.25" customHeight="1">
      <c r="A574" s="539" t="s">
        <v>446</v>
      </c>
      <c r="B574" s="540" t="s">
        <v>215</v>
      </c>
      <c r="C574" s="539" t="s">
        <v>320</v>
      </c>
      <c r="D574" s="539" t="s">
        <v>34</v>
      </c>
      <c r="E574" s="544" t="s">
        <v>370</v>
      </c>
      <c r="F574" s="551" t="e">
        <f>LUONGNGAY!$K$35</f>
        <v>#VALUE!</v>
      </c>
      <c r="G574" s="539">
        <v>0.05</v>
      </c>
      <c r="H574" s="474" t="e">
        <f t="shared" si="8"/>
        <v>#VALUE!</v>
      </c>
    </row>
    <row r="575" spans="1:8" ht="26.25" customHeight="1">
      <c r="A575" s="539" t="s">
        <v>447</v>
      </c>
      <c r="B575" s="540" t="s">
        <v>217</v>
      </c>
      <c r="C575" s="539" t="s">
        <v>320</v>
      </c>
      <c r="D575" s="539" t="s">
        <v>34</v>
      </c>
      <c r="E575" s="544" t="s">
        <v>370</v>
      </c>
      <c r="F575" s="551" t="e">
        <f>LUONGNGAY!$K$35</f>
        <v>#VALUE!</v>
      </c>
      <c r="G575" s="539">
        <v>0.1</v>
      </c>
      <c r="H575" s="474" t="e">
        <f t="shared" si="8"/>
        <v>#VALUE!</v>
      </c>
    </row>
    <row r="576" spans="1:8" ht="26.25" customHeight="1">
      <c r="A576" s="539">
        <v>10</v>
      </c>
      <c r="B576" s="540" t="s">
        <v>218</v>
      </c>
      <c r="C576" s="539" t="s">
        <v>979</v>
      </c>
      <c r="D576" s="539" t="s">
        <v>34</v>
      </c>
      <c r="E576" s="544" t="s">
        <v>370</v>
      </c>
      <c r="F576" s="551" t="e">
        <f>LUONGNGAY!$K$35</f>
        <v>#VALUE!</v>
      </c>
      <c r="G576" s="539">
        <v>0.04</v>
      </c>
      <c r="H576" s="474" t="e">
        <f t="shared" si="8"/>
        <v>#VALUE!</v>
      </c>
    </row>
    <row r="577" spans="1:8" ht="26.25" customHeight="1">
      <c r="A577" s="539">
        <v>11</v>
      </c>
      <c r="B577" s="540" t="s">
        <v>234</v>
      </c>
      <c r="C577" s="539"/>
      <c r="D577" s="539"/>
      <c r="E577" s="539"/>
      <c r="F577" s="469"/>
      <c r="G577" s="539"/>
      <c r="H577" s="474">
        <f t="shared" si="8"/>
        <v>0</v>
      </c>
    </row>
    <row r="578" spans="1:8" ht="26.25" customHeight="1">
      <c r="A578" s="539" t="s">
        <v>877</v>
      </c>
      <c r="B578" s="540" t="s">
        <v>235</v>
      </c>
      <c r="C578" s="539" t="s">
        <v>979</v>
      </c>
      <c r="D578" s="539" t="s">
        <v>34</v>
      </c>
      <c r="E578" s="544" t="s">
        <v>370</v>
      </c>
      <c r="F578" s="551" t="e">
        <f>LUONGNGAY!$K$35</f>
        <v>#VALUE!</v>
      </c>
      <c r="G578" s="539">
        <v>0.05</v>
      </c>
      <c r="H578" s="474" t="e">
        <f t="shared" si="8"/>
        <v>#VALUE!</v>
      </c>
    </row>
    <row r="579" spans="1:8" ht="26.25" customHeight="1">
      <c r="A579" s="539" t="s">
        <v>878</v>
      </c>
      <c r="B579" s="540" t="s">
        <v>236</v>
      </c>
      <c r="C579" s="539" t="s">
        <v>979</v>
      </c>
      <c r="D579" s="539" t="s">
        <v>34</v>
      </c>
      <c r="E579" s="544" t="s">
        <v>370</v>
      </c>
      <c r="F579" s="551" t="e">
        <f>LUONGNGAY!$K$35</f>
        <v>#VALUE!</v>
      </c>
      <c r="G579" s="539">
        <v>0.05</v>
      </c>
      <c r="H579" s="474" t="e">
        <f t="shared" si="8"/>
        <v>#VALUE!</v>
      </c>
    </row>
    <row r="580" spans="1:8" ht="26.25" customHeight="1">
      <c r="A580" s="539">
        <v>12</v>
      </c>
      <c r="B580" s="540" t="s">
        <v>220</v>
      </c>
      <c r="C580" s="539" t="s">
        <v>627</v>
      </c>
      <c r="D580" s="539" t="s">
        <v>29</v>
      </c>
      <c r="E580" s="544" t="s">
        <v>370</v>
      </c>
      <c r="F580" s="551" t="e">
        <f>LUONGNGAY!$K$36</f>
        <v>#VALUE!</v>
      </c>
      <c r="G580" s="539">
        <v>3.3000000000000002E-2</v>
      </c>
      <c r="H580" s="474" t="e">
        <f t="shared" si="8"/>
        <v>#VALUE!</v>
      </c>
    </row>
    <row r="581" spans="1:8" ht="26.25" customHeight="1">
      <c r="A581" s="539">
        <v>13</v>
      </c>
      <c r="B581" s="540" t="s">
        <v>221</v>
      </c>
      <c r="C581" s="539"/>
      <c r="D581" s="539"/>
      <c r="E581" s="539"/>
      <c r="F581" s="469"/>
      <c r="G581" s="539"/>
      <c r="H581" s="474">
        <f t="shared" si="8"/>
        <v>0</v>
      </c>
    </row>
    <row r="582" spans="1:8" ht="26.25" customHeight="1">
      <c r="A582" s="539" t="s">
        <v>237</v>
      </c>
      <c r="B582" s="540" t="s">
        <v>931</v>
      </c>
      <c r="C582" s="539"/>
      <c r="D582" s="539"/>
      <c r="E582" s="539"/>
      <c r="F582" s="469"/>
      <c r="G582" s="539"/>
      <c r="H582" s="474">
        <f t="shared" si="8"/>
        <v>0</v>
      </c>
    </row>
    <row r="583" spans="1:8" ht="26.25" customHeight="1">
      <c r="A583" s="539" t="s">
        <v>238</v>
      </c>
      <c r="B583" s="540" t="s">
        <v>933</v>
      </c>
      <c r="C583" s="539" t="s">
        <v>934</v>
      </c>
      <c r="D583" s="539" t="s">
        <v>935</v>
      </c>
      <c r="E583" s="544" t="s">
        <v>370</v>
      </c>
      <c r="F583" s="471" t="e">
        <f>LUONGNGAY!$K$34</f>
        <v>#VALUE!</v>
      </c>
      <c r="G583" s="539">
        <v>1.6E-2</v>
      </c>
      <c r="H583" s="474" t="e">
        <f>F583*G583</f>
        <v>#VALUE!</v>
      </c>
    </row>
    <row r="584" spans="1:8" ht="26.25" customHeight="1">
      <c r="A584" s="539" t="s">
        <v>239</v>
      </c>
      <c r="B584" s="540" t="s">
        <v>937</v>
      </c>
      <c r="C584" s="539" t="s">
        <v>934</v>
      </c>
      <c r="D584" s="539" t="s">
        <v>935</v>
      </c>
      <c r="E584" s="544" t="s">
        <v>370</v>
      </c>
      <c r="F584" s="471" t="e">
        <f>LUONGNGAY!$K$34</f>
        <v>#VALUE!</v>
      </c>
      <c r="G584" s="539">
        <v>8.0000000000000002E-3</v>
      </c>
      <c r="H584" s="474" t="e">
        <f t="shared" si="8"/>
        <v>#VALUE!</v>
      </c>
    </row>
    <row r="585" spans="1:8" ht="26.25" customHeight="1">
      <c r="A585" s="539" t="s">
        <v>240</v>
      </c>
      <c r="B585" s="540" t="s">
        <v>48</v>
      </c>
      <c r="C585" s="539" t="s">
        <v>934</v>
      </c>
      <c r="D585" s="539" t="s">
        <v>935</v>
      </c>
      <c r="E585" s="544" t="s">
        <v>370</v>
      </c>
      <c r="F585" s="471" t="e">
        <f>LUONGNGAY!$K$34</f>
        <v>#VALUE!</v>
      </c>
      <c r="G585" s="539">
        <v>4.0000000000000001E-3</v>
      </c>
      <c r="H585" s="474" t="e">
        <f t="shared" si="8"/>
        <v>#VALUE!</v>
      </c>
    </row>
    <row r="586" spans="1:8" ht="26.25" customHeight="1">
      <c r="A586" s="539" t="s">
        <v>241</v>
      </c>
      <c r="B586" s="540" t="s">
        <v>50</v>
      </c>
      <c r="C586" s="539" t="s">
        <v>627</v>
      </c>
      <c r="D586" s="539" t="s">
        <v>935</v>
      </c>
      <c r="E586" s="544" t="s">
        <v>370</v>
      </c>
      <c r="F586" s="471" t="e">
        <f>LUONGNGAY!$K$34</f>
        <v>#VALUE!</v>
      </c>
      <c r="G586" s="539">
        <v>0.01</v>
      </c>
      <c r="H586" s="474" t="e">
        <f t="shared" si="8"/>
        <v>#VALUE!</v>
      </c>
    </row>
    <row r="587" spans="1:8" ht="26.25" customHeight="1">
      <c r="A587" s="539">
        <v>14</v>
      </c>
      <c r="B587" s="540" t="s">
        <v>1075</v>
      </c>
      <c r="C587" s="539" t="s">
        <v>979</v>
      </c>
      <c r="D587" s="539" t="s">
        <v>34</v>
      </c>
      <c r="E587" s="544" t="s">
        <v>370</v>
      </c>
      <c r="F587" s="551" t="e">
        <f>LUONGNGAY!$K$35</f>
        <v>#VALUE!</v>
      </c>
      <c r="G587" s="539">
        <v>0.02</v>
      </c>
      <c r="H587" s="474" t="e">
        <f t="shared" si="8"/>
        <v>#VALUE!</v>
      </c>
    </row>
    <row r="588" spans="1:8" ht="26.25" customHeight="1">
      <c r="A588" s="539">
        <v>15</v>
      </c>
      <c r="B588" s="540" t="s">
        <v>242</v>
      </c>
      <c r="C588" s="539" t="s">
        <v>243</v>
      </c>
      <c r="D588" s="539" t="s">
        <v>34</v>
      </c>
      <c r="E588" s="544" t="s">
        <v>370</v>
      </c>
      <c r="F588" s="551" t="e">
        <f>LUONGNGAY!$K$35</f>
        <v>#VALUE!</v>
      </c>
      <c r="G588" s="539">
        <v>8</v>
      </c>
      <c r="H588" s="474" t="e">
        <f t="shared" si="8"/>
        <v>#VALUE!</v>
      </c>
    </row>
    <row r="589" spans="1:8" ht="26.25" customHeight="1">
      <c r="A589" s="545" t="s">
        <v>913</v>
      </c>
      <c r="B589" s="538" t="s">
        <v>1057</v>
      </c>
      <c r="C589" s="539"/>
      <c r="D589" s="539"/>
      <c r="E589" s="539"/>
      <c r="F589" s="469"/>
      <c r="G589" s="539"/>
      <c r="H589" s="474">
        <f t="shared" si="8"/>
        <v>0</v>
      </c>
    </row>
    <row r="590" spans="1:8" ht="26.25" customHeight="1">
      <c r="A590" s="539">
        <v>1</v>
      </c>
      <c r="B590" s="540" t="s">
        <v>279</v>
      </c>
      <c r="C590" s="539"/>
      <c r="D590" s="539"/>
      <c r="E590" s="539"/>
      <c r="F590" s="469"/>
      <c r="G590" s="539"/>
      <c r="H590" s="474">
        <f t="shared" si="8"/>
        <v>0</v>
      </c>
    </row>
    <row r="591" spans="1:8" ht="26.25" customHeight="1">
      <c r="A591" s="539" t="s">
        <v>891</v>
      </c>
      <c r="B591" s="540" t="s">
        <v>1058</v>
      </c>
      <c r="C591" s="539" t="s">
        <v>276</v>
      </c>
      <c r="D591" s="539" t="s">
        <v>1060</v>
      </c>
      <c r="E591" s="544" t="s">
        <v>370</v>
      </c>
      <c r="F591" s="508" t="e">
        <f>LUONGNGAY!$K$37</f>
        <v>#VALUE!</v>
      </c>
      <c r="G591" s="539">
        <v>300</v>
      </c>
      <c r="H591" s="474" t="e">
        <f t="shared" si="8"/>
        <v>#VALUE!</v>
      </c>
    </row>
    <row r="592" spans="1:8" ht="26.25" customHeight="1">
      <c r="A592" s="539" t="s">
        <v>899</v>
      </c>
      <c r="B592" s="540" t="s">
        <v>491</v>
      </c>
      <c r="C592" s="539" t="s">
        <v>627</v>
      </c>
      <c r="D592" s="539" t="s">
        <v>1060</v>
      </c>
      <c r="E592" s="544" t="s">
        <v>370</v>
      </c>
      <c r="F592" s="508" t="e">
        <f>LUONGNGAY!$K$37</f>
        <v>#VALUE!</v>
      </c>
      <c r="G592" s="539">
        <v>0.01</v>
      </c>
      <c r="H592" s="474" t="e">
        <f t="shared" si="8"/>
        <v>#VALUE!</v>
      </c>
    </row>
    <row r="593" spans="1:8" ht="26.25" customHeight="1">
      <c r="A593" s="539">
        <v>2</v>
      </c>
      <c r="B593" s="540" t="s">
        <v>492</v>
      </c>
      <c r="C593" s="539"/>
      <c r="D593" s="539"/>
      <c r="E593" s="539"/>
      <c r="F593" s="469"/>
      <c r="G593" s="539"/>
      <c r="H593" s="474">
        <f>F593*G593</f>
        <v>0</v>
      </c>
    </row>
    <row r="594" spans="1:8" ht="26.25" customHeight="1">
      <c r="A594" s="539" t="s">
        <v>900</v>
      </c>
      <c r="B594" s="540" t="s">
        <v>493</v>
      </c>
      <c r="C594" s="539" t="s">
        <v>760</v>
      </c>
      <c r="D594" s="539" t="s">
        <v>1060</v>
      </c>
      <c r="E594" s="544" t="s">
        <v>370</v>
      </c>
      <c r="F594" s="508" t="e">
        <f>LUONGNGAY!$K$37</f>
        <v>#VALUE!</v>
      </c>
      <c r="G594" s="539">
        <v>2.5000000000000001E-2</v>
      </c>
      <c r="H594" s="474" t="e">
        <f>F594*G594</f>
        <v>#VALUE!</v>
      </c>
    </row>
    <row r="595" spans="1:8" ht="26.25" customHeight="1">
      <c r="A595" s="539" t="s">
        <v>901</v>
      </c>
      <c r="B595" s="540" t="s">
        <v>244</v>
      </c>
      <c r="C595" s="539" t="s">
        <v>276</v>
      </c>
      <c r="D595" s="539" t="s">
        <v>1060</v>
      </c>
      <c r="E595" s="544" t="s">
        <v>370</v>
      </c>
      <c r="F595" s="508" t="e">
        <f>LUONGNGAY!$K$37</f>
        <v>#VALUE!</v>
      </c>
      <c r="G595" s="539">
        <v>2</v>
      </c>
      <c r="H595" s="474" t="e">
        <f>F595*G595</f>
        <v>#VALUE!</v>
      </c>
    </row>
    <row r="596" spans="1:8" ht="26.25" customHeight="1">
      <c r="A596" s="539">
        <v>3</v>
      </c>
      <c r="B596" s="540" t="s">
        <v>245</v>
      </c>
      <c r="C596" s="539" t="s">
        <v>243</v>
      </c>
      <c r="D596" s="539" t="s">
        <v>1060</v>
      </c>
      <c r="E596" s="544" t="s">
        <v>370</v>
      </c>
      <c r="F596" s="508" t="e">
        <f>LUONGNGAY!$K$37</f>
        <v>#VALUE!</v>
      </c>
      <c r="G596" s="539">
        <v>8</v>
      </c>
      <c r="H596" s="474" t="e">
        <f>F596*G596</f>
        <v>#VALUE!</v>
      </c>
    </row>
    <row r="597" spans="1:8" ht="18" customHeight="1">
      <c r="A597" s="507"/>
      <c r="B597" s="490"/>
      <c r="C597" s="484"/>
      <c r="D597" s="484"/>
      <c r="E597" s="507"/>
      <c r="F597" s="485"/>
      <c r="G597" s="509"/>
      <c r="H597" s="487"/>
    </row>
    <row r="598" spans="1:8" ht="45" customHeight="1">
      <c r="A598" s="1194" t="s">
        <v>5</v>
      </c>
      <c r="B598" s="1194"/>
      <c r="C598" s="1194"/>
      <c r="D598" s="1194"/>
      <c r="E598" s="1194"/>
      <c r="F598" s="1194"/>
      <c r="G598" s="1194"/>
      <c r="H598" s="1194"/>
    </row>
    <row r="599" spans="1:8" ht="15.75" customHeight="1">
      <c r="A599" s="459"/>
      <c r="B599" s="460"/>
      <c r="E599" s="462"/>
      <c r="F599" s="463"/>
      <c r="G599" s="462"/>
      <c r="H599" s="464"/>
    </row>
    <row r="600" spans="1:8" ht="51.75" customHeight="1">
      <c r="A600" s="467" t="s">
        <v>158</v>
      </c>
      <c r="B600" s="467" t="s">
        <v>381</v>
      </c>
      <c r="C600" s="468" t="s">
        <v>625</v>
      </c>
      <c r="D600" s="468" t="s">
        <v>624</v>
      </c>
      <c r="E600" s="468" t="s">
        <v>382</v>
      </c>
      <c r="F600" s="469" t="s">
        <v>629</v>
      </c>
      <c r="G600" s="468" t="s">
        <v>628</v>
      </c>
      <c r="H600" s="468" t="s">
        <v>383</v>
      </c>
    </row>
    <row r="601" spans="1:8" ht="24.75" customHeight="1">
      <c r="A601" s="555">
        <v>1</v>
      </c>
      <c r="B601" s="556" t="s">
        <v>599</v>
      </c>
      <c r="C601" s="555"/>
      <c r="D601" s="555"/>
      <c r="E601" s="555"/>
      <c r="F601" s="555"/>
      <c r="G601" s="510"/>
      <c r="H601" s="510"/>
    </row>
    <row r="602" spans="1:8" ht="24.75" customHeight="1">
      <c r="A602" s="1232" t="s">
        <v>891</v>
      </c>
      <c r="B602" s="1234" t="s">
        <v>21</v>
      </c>
      <c r="C602" s="1232" t="s">
        <v>828</v>
      </c>
      <c r="D602" s="557" t="s">
        <v>498</v>
      </c>
      <c r="E602" s="558" t="s">
        <v>880</v>
      </c>
      <c r="F602" s="508" t="e">
        <f>(LUONGNGAY!$K$35+LUONGNGAY!$K$44)/2</f>
        <v>#VALUE!</v>
      </c>
      <c r="G602" s="559">
        <v>2</v>
      </c>
      <c r="H602" s="511" t="e">
        <f>F602*G602</f>
        <v>#VALUE!</v>
      </c>
    </row>
    <row r="603" spans="1:8" ht="24.75" customHeight="1">
      <c r="A603" s="1232"/>
      <c r="B603" s="1234"/>
      <c r="C603" s="1232"/>
      <c r="D603" s="560" t="s">
        <v>502</v>
      </c>
      <c r="E603" s="558"/>
      <c r="F603" s="471">
        <f>'He so chung'!$D$11</f>
        <v>131000</v>
      </c>
      <c r="G603" s="561">
        <v>2</v>
      </c>
      <c r="H603" s="511">
        <f t="shared" ref="H603:H666" si="9">F603*G603</f>
        <v>262000</v>
      </c>
    </row>
    <row r="604" spans="1:8" ht="24.75" customHeight="1">
      <c r="A604" s="1232" t="s">
        <v>899</v>
      </c>
      <c r="B604" s="1234" t="s">
        <v>65</v>
      </c>
      <c r="C604" s="1232" t="s">
        <v>25</v>
      </c>
      <c r="D604" s="557" t="s">
        <v>499</v>
      </c>
      <c r="E604" s="1200" t="s">
        <v>880</v>
      </c>
      <c r="F604" s="1236" t="e">
        <f>(LUONGNGAY!$K$36+LUONGNGAY!$K$35+LUONGNGAY!$K$44)/3</f>
        <v>#VALUE!</v>
      </c>
      <c r="G604" s="1238">
        <f>16*3</f>
        <v>48</v>
      </c>
      <c r="H604" s="1198" t="e">
        <f t="shared" si="9"/>
        <v>#VALUE!</v>
      </c>
    </row>
    <row r="605" spans="1:8" ht="24.75" customHeight="1">
      <c r="A605" s="1232"/>
      <c r="B605" s="1234"/>
      <c r="C605" s="1232"/>
      <c r="D605" s="560" t="s">
        <v>500</v>
      </c>
      <c r="E605" s="1200"/>
      <c r="F605" s="1237"/>
      <c r="G605" s="1239"/>
      <c r="H605" s="1199"/>
    </row>
    <row r="606" spans="1:8" ht="24.75" customHeight="1">
      <c r="A606" s="1232" t="s">
        <v>892</v>
      </c>
      <c r="B606" s="1234" t="s">
        <v>27</v>
      </c>
      <c r="C606" s="1232" t="s">
        <v>28</v>
      </c>
      <c r="D606" s="1232" t="s">
        <v>29</v>
      </c>
      <c r="E606" s="1200" t="s">
        <v>880</v>
      </c>
      <c r="F606" s="551" t="e">
        <f>LUONGNGAY!$K$36</f>
        <v>#VALUE!</v>
      </c>
      <c r="G606" s="559">
        <v>2.5</v>
      </c>
      <c r="H606" s="511" t="e">
        <f t="shared" si="9"/>
        <v>#VALUE!</v>
      </c>
    </row>
    <row r="607" spans="1:8" ht="24.75" customHeight="1">
      <c r="A607" s="1232"/>
      <c r="B607" s="1234"/>
      <c r="C607" s="1232"/>
      <c r="D607" s="1232"/>
      <c r="E607" s="1200"/>
      <c r="F607" s="471">
        <f>'He so chung'!$D$11</f>
        <v>131000</v>
      </c>
      <c r="G607" s="561">
        <v>2.5</v>
      </c>
      <c r="H607" s="511">
        <f t="shared" si="9"/>
        <v>327500</v>
      </c>
    </row>
    <row r="608" spans="1:8" ht="24.75" customHeight="1">
      <c r="A608" s="561" t="s">
        <v>30</v>
      </c>
      <c r="B608" s="562" t="s">
        <v>813</v>
      </c>
      <c r="C608" s="561"/>
      <c r="D608" s="561"/>
      <c r="E608" s="561"/>
      <c r="F608" s="512"/>
      <c r="G608" s="561"/>
      <c r="H608" s="511">
        <f t="shared" si="9"/>
        <v>0</v>
      </c>
    </row>
    <row r="609" spans="1:8" ht="24.75" customHeight="1">
      <c r="A609" s="561" t="s">
        <v>32</v>
      </c>
      <c r="B609" s="562" t="s">
        <v>33</v>
      </c>
      <c r="C609" s="561" t="s">
        <v>979</v>
      </c>
      <c r="D609" s="561" t="s">
        <v>34</v>
      </c>
      <c r="E609" s="563" t="s">
        <v>880</v>
      </c>
      <c r="F609" s="551" t="e">
        <f>LUONGNGAY!$K$35</f>
        <v>#VALUE!</v>
      </c>
      <c r="G609" s="561">
        <v>0.05</v>
      </c>
      <c r="H609" s="511" t="e">
        <f t="shared" si="9"/>
        <v>#VALUE!</v>
      </c>
    </row>
    <row r="610" spans="1:8" ht="24.75" customHeight="1">
      <c r="A610" s="561" t="s">
        <v>35</v>
      </c>
      <c r="B610" s="562" t="s">
        <v>36</v>
      </c>
      <c r="C610" s="561" t="s">
        <v>979</v>
      </c>
      <c r="D610" s="561" t="s">
        <v>34</v>
      </c>
      <c r="E610" s="563" t="s">
        <v>880</v>
      </c>
      <c r="F610" s="551" t="e">
        <f>LUONGNGAY!$K$35</f>
        <v>#VALUE!</v>
      </c>
      <c r="G610" s="561">
        <v>2.5000000000000001E-2</v>
      </c>
      <c r="H610" s="511" t="e">
        <f t="shared" si="9"/>
        <v>#VALUE!</v>
      </c>
    </row>
    <row r="611" spans="1:8" ht="24.75" customHeight="1">
      <c r="A611" s="561">
        <v>2</v>
      </c>
      <c r="B611" s="562" t="s">
        <v>953</v>
      </c>
      <c r="C611" s="561" t="s">
        <v>979</v>
      </c>
      <c r="D611" s="561" t="s">
        <v>34</v>
      </c>
      <c r="E611" s="563" t="s">
        <v>880</v>
      </c>
      <c r="F611" s="551" t="e">
        <f>LUONGNGAY!$K$35</f>
        <v>#VALUE!</v>
      </c>
      <c r="G611" s="561">
        <v>0.05</v>
      </c>
      <c r="H611" s="511" t="e">
        <f t="shared" si="9"/>
        <v>#VALUE!</v>
      </c>
    </row>
    <row r="612" spans="1:8" ht="24.75" customHeight="1">
      <c r="A612" s="561">
        <v>3</v>
      </c>
      <c r="B612" s="562" t="s">
        <v>38</v>
      </c>
      <c r="C612" s="561" t="s">
        <v>627</v>
      </c>
      <c r="D612" s="561" t="s">
        <v>29</v>
      </c>
      <c r="E612" s="563" t="s">
        <v>880</v>
      </c>
      <c r="F612" s="551" t="e">
        <f>LUONGNGAY!$K$36</f>
        <v>#VALUE!</v>
      </c>
      <c r="G612" s="561">
        <v>0.107</v>
      </c>
      <c r="H612" s="511" t="e">
        <f t="shared" si="9"/>
        <v>#VALUE!</v>
      </c>
    </row>
    <row r="613" spans="1:8" ht="24.75" customHeight="1">
      <c r="A613" s="1203">
        <v>4</v>
      </c>
      <c r="B613" s="1206" t="s">
        <v>814</v>
      </c>
      <c r="C613" s="1203" t="s">
        <v>979</v>
      </c>
      <c r="D613" s="513"/>
      <c r="E613" s="1209">
        <v>2</v>
      </c>
      <c r="F613" s="551" t="e">
        <f>(LUONGNGAY!$K$35+LUONGNGAY!$K$44)/2</f>
        <v>#VALUE!</v>
      </c>
      <c r="G613" s="559">
        <f>0.15*2</f>
        <v>0.3</v>
      </c>
      <c r="H613" s="511" t="e">
        <f t="shared" si="9"/>
        <v>#VALUE!</v>
      </c>
    </row>
    <row r="614" spans="1:8" ht="24.75" customHeight="1">
      <c r="A614" s="1204"/>
      <c r="B614" s="1207"/>
      <c r="C614" s="1204"/>
      <c r="D614" s="514"/>
      <c r="E614" s="1209"/>
      <c r="F614" s="471">
        <f>'He so chung'!$D$11</f>
        <v>131000</v>
      </c>
      <c r="G614" s="561">
        <v>0.15</v>
      </c>
      <c r="H614" s="511">
        <f t="shared" si="9"/>
        <v>19650</v>
      </c>
    </row>
    <row r="615" spans="1:8" ht="24.75" customHeight="1">
      <c r="A615" s="1204"/>
      <c r="B615" s="1207"/>
      <c r="C615" s="1204"/>
      <c r="D615" s="564" t="s">
        <v>501</v>
      </c>
      <c r="E615" s="1209">
        <v>3</v>
      </c>
      <c r="F615" s="551" t="e">
        <f>(LUONGNGAY!$K$35+LUONGNGAY!$K$44)/2</f>
        <v>#VALUE!</v>
      </c>
      <c r="G615" s="559">
        <f>0.18*2</f>
        <v>0.36</v>
      </c>
      <c r="H615" s="511" t="e">
        <f>F615*G615</f>
        <v>#VALUE!</v>
      </c>
    </row>
    <row r="616" spans="1:8" ht="24.75" customHeight="1">
      <c r="A616" s="1204"/>
      <c r="B616" s="1207"/>
      <c r="C616" s="1204"/>
      <c r="D616" s="564" t="s">
        <v>502</v>
      </c>
      <c r="E616" s="1209"/>
      <c r="F616" s="471">
        <f>'He so chung'!$D$11</f>
        <v>131000</v>
      </c>
      <c r="G616" s="561">
        <f>0.18</f>
        <v>0.18</v>
      </c>
      <c r="H616" s="511">
        <f t="shared" si="9"/>
        <v>23580</v>
      </c>
    </row>
    <row r="617" spans="1:8" ht="24.75" customHeight="1">
      <c r="A617" s="1204"/>
      <c r="B617" s="1207"/>
      <c r="C617" s="1204"/>
      <c r="D617" s="565"/>
      <c r="E617" s="1209">
        <v>4</v>
      </c>
      <c r="F617" s="551" t="e">
        <f>(LUONGNGAY!$K$35+LUONGNGAY!$K$44)/2</f>
        <v>#VALUE!</v>
      </c>
      <c r="G617" s="559">
        <f>0.216*2</f>
        <v>0.432</v>
      </c>
      <c r="H617" s="511" t="e">
        <f t="shared" si="9"/>
        <v>#VALUE!</v>
      </c>
    </row>
    <row r="618" spans="1:8" ht="24.75" customHeight="1">
      <c r="A618" s="1204"/>
      <c r="B618" s="1207"/>
      <c r="C618" s="1204"/>
      <c r="D618" s="565"/>
      <c r="E618" s="1209"/>
      <c r="F618" s="471">
        <f>'He so chung'!$D$11</f>
        <v>131000</v>
      </c>
      <c r="G618" s="561">
        <v>0.216</v>
      </c>
      <c r="H618" s="511">
        <f t="shared" si="9"/>
        <v>28296</v>
      </c>
    </row>
    <row r="619" spans="1:8" ht="24.75" customHeight="1">
      <c r="A619" s="1204"/>
      <c r="B619" s="1207"/>
      <c r="C619" s="1204"/>
      <c r="D619" s="565"/>
      <c r="E619" s="1209">
        <v>5</v>
      </c>
      <c r="F619" s="551" t="e">
        <f>(LUONGNGAY!$K$35+LUONGNGAY!$K$44)/2</f>
        <v>#VALUE!</v>
      </c>
      <c r="G619" s="559">
        <f>0.259*2</f>
        <v>0.51800000000000002</v>
      </c>
      <c r="H619" s="511" t="e">
        <f t="shared" si="9"/>
        <v>#VALUE!</v>
      </c>
    </row>
    <row r="620" spans="1:8" ht="24.75" customHeight="1">
      <c r="A620" s="1205"/>
      <c r="B620" s="1208"/>
      <c r="C620" s="1205"/>
      <c r="D620" s="566"/>
      <c r="E620" s="1209"/>
      <c r="F620" s="471">
        <f>'He so chung'!$D$11</f>
        <v>131000</v>
      </c>
      <c r="G620" s="561">
        <v>0.25900000000000001</v>
      </c>
      <c r="H620" s="511">
        <f t="shared" si="9"/>
        <v>33929</v>
      </c>
    </row>
    <row r="621" spans="1:8" ht="24.75" customHeight="1">
      <c r="A621" s="561">
        <v>5</v>
      </c>
      <c r="B621" s="562" t="s">
        <v>348</v>
      </c>
      <c r="C621" s="561"/>
      <c r="D621" s="561"/>
      <c r="E621" s="561"/>
      <c r="F621" s="512"/>
      <c r="G621" s="561"/>
      <c r="H621" s="511">
        <f t="shared" si="9"/>
        <v>0</v>
      </c>
    </row>
    <row r="622" spans="1:8" ht="24.75" customHeight="1">
      <c r="A622" s="561" t="s">
        <v>607</v>
      </c>
      <c r="B622" s="562" t="s">
        <v>33</v>
      </c>
      <c r="C622" s="561" t="s">
        <v>979</v>
      </c>
      <c r="D622" s="561" t="s">
        <v>29</v>
      </c>
      <c r="E622" s="563" t="s">
        <v>880</v>
      </c>
      <c r="F622" s="551" t="e">
        <f>LUONGNGAY!$K$36</f>
        <v>#VALUE!</v>
      </c>
      <c r="G622" s="561">
        <v>1.4999999999999999E-2</v>
      </c>
      <c r="H622" s="511" t="e">
        <f t="shared" si="9"/>
        <v>#VALUE!</v>
      </c>
    </row>
    <row r="623" spans="1:8" ht="24.75" customHeight="1">
      <c r="A623" s="561" t="s">
        <v>608</v>
      </c>
      <c r="B623" s="562" t="s">
        <v>36</v>
      </c>
      <c r="C623" s="561" t="s">
        <v>979</v>
      </c>
      <c r="D623" s="561" t="s">
        <v>29</v>
      </c>
      <c r="E623" s="563" t="s">
        <v>880</v>
      </c>
      <c r="F623" s="551" t="e">
        <f>LUONGNGAY!$K$36</f>
        <v>#VALUE!</v>
      </c>
      <c r="G623" s="561">
        <v>0.01</v>
      </c>
      <c r="H623" s="511" t="e">
        <f t="shared" si="9"/>
        <v>#VALUE!</v>
      </c>
    </row>
    <row r="624" spans="1:8" ht="24.75" customHeight="1">
      <c r="A624" s="561">
        <v>6</v>
      </c>
      <c r="B624" s="562" t="s">
        <v>815</v>
      </c>
      <c r="C624" s="561"/>
      <c r="D624" s="561"/>
      <c r="E624" s="561"/>
      <c r="F624" s="512"/>
      <c r="G624" s="561"/>
      <c r="H624" s="511">
        <f t="shared" si="9"/>
        <v>0</v>
      </c>
    </row>
    <row r="625" spans="1:8" ht="24.75" customHeight="1">
      <c r="A625" s="561" t="s">
        <v>444</v>
      </c>
      <c r="B625" s="562" t="s">
        <v>33</v>
      </c>
      <c r="C625" s="561" t="s">
        <v>979</v>
      </c>
      <c r="D625" s="561" t="s">
        <v>29</v>
      </c>
      <c r="E625" s="563" t="s">
        <v>880</v>
      </c>
      <c r="F625" s="551" t="e">
        <f>LUONGNGAY!$K$36</f>
        <v>#VALUE!</v>
      </c>
      <c r="G625" s="561">
        <v>0.05</v>
      </c>
      <c r="H625" s="511" t="e">
        <f t="shared" si="9"/>
        <v>#VALUE!</v>
      </c>
    </row>
    <row r="626" spans="1:8" ht="24.75" customHeight="1">
      <c r="A626" s="561" t="s">
        <v>445</v>
      </c>
      <c r="B626" s="562" t="s">
        <v>36</v>
      </c>
      <c r="C626" s="561" t="s">
        <v>979</v>
      </c>
      <c r="D626" s="561" t="s">
        <v>29</v>
      </c>
      <c r="E626" s="563" t="s">
        <v>880</v>
      </c>
      <c r="F626" s="551" t="e">
        <f>LUONGNGAY!$K$36</f>
        <v>#VALUE!</v>
      </c>
      <c r="G626" s="561">
        <v>0.04</v>
      </c>
      <c r="H626" s="511" t="e">
        <f t="shared" si="9"/>
        <v>#VALUE!</v>
      </c>
    </row>
    <row r="627" spans="1:8" ht="24.75" customHeight="1">
      <c r="A627" s="561">
        <v>7</v>
      </c>
      <c r="B627" s="562" t="s">
        <v>949</v>
      </c>
      <c r="C627" s="561" t="s">
        <v>627</v>
      </c>
      <c r="D627" s="561" t="s">
        <v>29</v>
      </c>
      <c r="E627" s="563" t="s">
        <v>880</v>
      </c>
      <c r="F627" s="551" t="e">
        <f>LUONGNGAY!$K$36</f>
        <v>#VALUE!</v>
      </c>
      <c r="G627" s="561">
        <v>3.0000000000000001E-3</v>
      </c>
      <c r="H627" s="511" t="e">
        <f t="shared" si="9"/>
        <v>#VALUE!</v>
      </c>
    </row>
    <row r="628" spans="1:8" ht="24.75" customHeight="1">
      <c r="A628" s="561">
        <v>8</v>
      </c>
      <c r="B628" s="562" t="s">
        <v>257</v>
      </c>
      <c r="C628" s="561"/>
      <c r="D628" s="561"/>
      <c r="E628" s="561"/>
      <c r="F628" s="512"/>
      <c r="G628" s="561"/>
      <c r="H628" s="511">
        <f t="shared" si="9"/>
        <v>0</v>
      </c>
    </row>
    <row r="629" spans="1:8" ht="24.75" customHeight="1">
      <c r="A629" s="561" t="s">
        <v>374</v>
      </c>
      <c r="B629" s="562" t="s">
        <v>33</v>
      </c>
      <c r="C629" s="561" t="s">
        <v>979</v>
      </c>
      <c r="D629" s="561" t="s">
        <v>29</v>
      </c>
      <c r="E629" s="563" t="s">
        <v>880</v>
      </c>
      <c r="F629" s="551" t="e">
        <f>LUONGNGAY!$K$36</f>
        <v>#VALUE!</v>
      </c>
      <c r="G629" s="561">
        <v>5.0000000000000001E-3</v>
      </c>
      <c r="H629" s="511" t="e">
        <f t="shared" si="9"/>
        <v>#VALUE!</v>
      </c>
    </row>
    <row r="630" spans="1:8" ht="24.75" customHeight="1">
      <c r="A630" s="561" t="s">
        <v>375</v>
      </c>
      <c r="B630" s="562" t="s">
        <v>36</v>
      </c>
      <c r="C630" s="561" t="s">
        <v>979</v>
      </c>
      <c r="D630" s="561" t="s">
        <v>29</v>
      </c>
      <c r="E630" s="563" t="s">
        <v>880</v>
      </c>
      <c r="F630" s="551" t="e">
        <f>LUONGNGAY!$K$36</f>
        <v>#VALUE!</v>
      </c>
      <c r="G630" s="561">
        <v>4.0000000000000001E-3</v>
      </c>
      <c r="H630" s="511" t="e">
        <f t="shared" si="9"/>
        <v>#VALUE!</v>
      </c>
    </row>
    <row r="631" spans="1:8" ht="24.75" customHeight="1">
      <c r="A631" s="561">
        <v>9</v>
      </c>
      <c r="B631" s="562" t="s">
        <v>503</v>
      </c>
      <c r="C631" s="561" t="s">
        <v>979</v>
      </c>
      <c r="D631" s="561" t="s">
        <v>34</v>
      </c>
      <c r="E631" s="563" t="s">
        <v>880</v>
      </c>
      <c r="F631" s="551" t="e">
        <f>LUONGNGAY!$K$35</f>
        <v>#VALUE!</v>
      </c>
      <c r="G631" s="561">
        <v>0.02</v>
      </c>
      <c r="H631" s="511" t="e">
        <f t="shared" si="9"/>
        <v>#VALUE!</v>
      </c>
    </row>
    <row r="632" spans="1:8" ht="24.75" customHeight="1">
      <c r="A632" s="561">
        <v>10</v>
      </c>
      <c r="B632" s="562" t="s">
        <v>764</v>
      </c>
      <c r="C632" s="561" t="s">
        <v>979</v>
      </c>
      <c r="D632" s="561" t="s">
        <v>34</v>
      </c>
      <c r="E632" s="563" t="s">
        <v>880</v>
      </c>
      <c r="F632" s="551" t="e">
        <f>LUONGNGAY!$K$35</f>
        <v>#VALUE!</v>
      </c>
      <c r="G632" s="561">
        <v>0.02</v>
      </c>
      <c r="H632" s="511" t="e">
        <f t="shared" si="9"/>
        <v>#VALUE!</v>
      </c>
    </row>
    <row r="633" spans="1:8" ht="24.75" customHeight="1">
      <c r="A633" s="567" t="s">
        <v>184</v>
      </c>
      <c r="B633" s="568" t="s">
        <v>504</v>
      </c>
      <c r="C633" s="561"/>
      <c r="D633" s="561"/>
      <c r="E633" s="561"/>
      <c r="F633" s="512"/>
      <c r="G633" s="561"/>
      <c r="H633" s="511">
        <f t="shared" si="9"/>
        <v>0</v>
      </c>
    </row>
    <row r="634" spans="1:8" ht="24.75" customHeight="1">
      <c r="A634" s="561">
        <v>1</v>
      </c>
      <c r="B634" s="562" t="s">
        <v>505</v>
      </c>
      <c r="C634" s="561"/>
      <c r="D634" s="561"/>
      <c r="E634" s="561"/>
      <c r="F634" s="512"/>
      <c r="G634" s="561"/>
      <c r="H634" s="511">
        <f t="shared" si="9"/>
        <v>0</v>
      </c>
    </row>
    <row r="635" spans="1:8" ht="24.75" customHeight="1">
      <c r="A635" s="561" t="s">
        <v>891</v>
      </c>
      <c r="B635" s="562" t="s">
        <v>33</v>
      </c>
      <c r="C635" s="561" t="s">
        <v>979</v>
      </c>
      <c r="D635" s="561" t="s">
        <v>34</v>
      </c>
      <c r="E635" s="563" t="s">
        <v>880</v>
      </c>
      <c r="F635" s="551" t="e">
        <f>LUONGNGAY!$K$35</f>
        <v>#VALUE!</v>
      </c>
      <c r="G635" s="561">
        <v>2.5000000000000001E-2</v>
      </c>
      <c r="H635" s="511" t="e">
        <f t="shared" si="9"/>
        <v>#VALUE!</v>
      </c>
    </row>
    <row r="636" spans="1:8" ht="24.75" customHeight="1">
      <c r="A636" s="561" t="s">
        <v>899</v>
      </c>
      <c r="B636" s="562" t="s">
        <v>36</v>
      </c>
      <c r="C636" s="561" t="s">
        <v>979</v>
      </c>
      <c r="D636" s="561" t="s">
        <v>34</v>
      </c>
      <c r="E636" s="563" t="s">
        <v>880</v>
      </c>
      <c r="F636" s="551" t="e">
        <f>LUONGNGAY!$K$35</f>
        <v>#VALUE!</v>
      </c>
      <c r="G636" s="561">
        <v>0.02</v>
      </c>
      <c r="H636" s="511" t="e">
        <f t="shared" si="9"/>
        <v>#VALUE!</v>
      </c>
    </row>
    <row r="637" spans="1:8" ht="24.75" customHeight="1">
      <c r="A637" s="561">
        <v>2</v>
      </c>
      <c r="B637" s="562" t="s">
        <v>231</v>
      </c>
      <c r="C637" s="561" t="s">
        <v>979</v>
      </c>
      <c r="D637" s="561" t="s">
        <v>29</v>
      </c>
      <c r="E637" s="563" t="s">
        <v>880</v>
      </c>
      <c r="F637" s="551" t="e">
        <f>LUONGNGAY!$K$36</f>
        <v>#VALUE!</v>
      </c>
      <c r="G637" s="561">
        <v>0.1</v>
      </c>
      <c r="H637" s="511" t="e">
        <f t="shared" si="9"/>
        <v>#VALUE!</v>
      </c>
    </row>
    <row r="638" spans="1:8" ht="24.75" customHeight="1">
      <c r="A638" s="561">
        <v>3</v>
      </c>
      <c r="B638" s="562" t="s">
        <v>69</v>
      </c>
      <c r="C638" s="561" t="s">
        <v>627</v>
      </c>
      <c r="D638" s="561" t="s">
        <v>29</v>
      </c>
      <c r="E638" s="563" t="s">
        <v>880</v>
      </c>
      <c r="F638" s="551" t="e">
        <f>LUONGNGAY!$K$36</f>
        <v>#VALUE!</v>
      </c>
      <c r="G638" s="561">
        <v>6.0000000000000001E-3</v>
      </c>
      <c r="H638" s="511" t="e">
        <f t="shared" si="9"/>
        <v>#VALUE!</v>
      </c>
    </row>
    <row r="639" spans="1:8" ht="24.75" customHeight="1">
      <c r="A639" s="561">
        <v>4</v>
      </c>
      <c r="B639" s="562" t="s">
        <v>660</v>
      </c>
      <c r="C639" s="561"/>
      <c r="D639" s="561"/>
      <c r="E639" s="561"/>
      <c r="F639" s="512"/>
      <c r="G639" s="561"/>
      <c r="H639" s="511">
        <f t="shared" si="9"/>
        <v>0</v>
      </c>
    </row>
    <row r="640" spans="1:8" ht="24.75" customHeight="1">
      <c r="A640" s="561" t="s">
        <v>251</v>
      </c>
      <c r="B640" s="562" t="s">
        <v>770</v>
      </c>
      <c r="C640" s="561" t="s">
        <v>979</v>
      </c>
      <c r="D640" s="561" t="s">
        <v>34</v>
      </c>
      <c r="E640" s="563" t="s">
        <v>880</v>
      </c>
      <c r="F640" s="551" t="e">
        <f>LUONGNGAY!$K$35</f>
        <v>#VALUE!</v>
      </c>
      <c r="G640" s="561">
        <v>2.5000000000000001E-2</v>
      </c>
      <c r="H640" s="511" t="e">
        <f t="shared" si="9"/>
        <v>#VALUE!</v>
      </c>
    </row>
    <row r="641" spans="1:8" ht="24.75" customHeight="1">
      <c r="A641" s="561" t="s">
        <v>252</v>
      </c>
      <c r="B641" s="562" t="s">
        <v>771</v>
      </c>
      <c r="C641" s="561" t="s">
        <v>979</v>
      </c>
      <c r="D641" s="561" t="s">
        <v>34</v>
      </c>
      <c r="E641" s="563" t="s">
        <v>880</v>
      </c>
      <c r="F641" s="551" t="e">
        <f>LUONGNGAY!$K$35</f>
        <v>#VALUE!</v>
      </c>
      <c r="G641" s="561">
        <v>0.05</v>
      </c>
      <c r="H641" s="511" t="e">
        <f t="shared" si="9"/>
        <v>#VALUE!</v>
      </c>
    </row>
    <row r="642" spans="1:8" ht="24.75" customHeight="1">
      <c r="A642" s="561">
        <v>5</v>
      </c>
      <c r="B642" s="562" t="s">
        <v>232</v>
      </c>
      <c r="C642" s="561"/>
      <c r="D642" s="561"/>
      <c r="E642" s="561"/>
      <c r="F642" s="512"/>
      <c r="G642" s="561"/>
      <c r="H642" s="511">
        <f t="shared" si="9"/>
        <v>0</v>
      </c>
    </row>
    <row r="643" spans="1:8" ht="24.75" customHeight="1">
      <c r="A643" s="561" t="s">
        <v>607</v>
      </c>
      <c r="B643" s="562" t="s">
        <v>773</v>
      </c>
      <c r="C643" s="561" t="s">
        <v>979</v>
      </c>
      <c r="D643" s="561" t="s">
        <v>29</v>
      </c>
      <c r="E643" s="563" t="s">
        <v>880</v>
      </c>
      <c r="F643" s="551" t="e">
        <f>LUONGNGAY!$K$36</f>
        <v>#VALUE!</v>
      </c>
      <c r="G643" s="561">
        <v>0.03</v>
      </c>
      <c r="H643" s="511" t="e">
        <f t="shared" si="9"/>
        <v>#VALUE!</v>
      </c>
    </row>
    <row r="644" spans="1:8" ht="24.75" customHeight="1">
      <c r="A644" s="561" t="s">
        <v>608</v>
      </c>
      <c r="B644" s="562" t="s">
        <v>774</v>
      </c>
      <c r="C644" s="561" t="s">
        <v>979</v>
      </c>
      <c r="D644" s="561" t="s">
        <v>29</v>
      </c>
      <c r="E644" s="563" t="s">
        <v>880</v>
      </c>
      <c r="F644" s="551" t="e">
        <f>LUONGNGAY!$K$36</f>
        <v>#VALUE!</v>
      </c>
      <c r="G644" s="561">
        <v>0.04</v>
      </c>
      <c r="H644" s="511" t="e">
        <f t="shared" si="9"/>
        <v>#VALUE!</v>
      </c>
    </row>
    <row r="645" spans="1:8" ht="24.75" customHeight="1">
      <c r="A645" s="561">
        <v>6</v>
      </c>
      <c r="B645" s="562" t="s">
        <v>233</v>
      </c>
      <c r="C645" s="561"/>
      <c r="D645" s="561"/>
      <c r="E645" s="561"/>
      <c r="F645" s="512"/>
      <c r="G645" s="561"/>
      <c r="H645" s="511">
        <f t="shared" si="9"/>
        <v>0</v>
      </c>
    </row>
    <row r="646" spans="1:8" ht="24.75" customHeight="1">
      <c r="A646" s="561" t="s">
        <v>444</v>
      </c>
      <c r="B646" s="562" t="s">
        <v>70</v>
      </c>
      <c r="C646" s="561" t="s">
        <v>979</v>
      </c>
      <c r="D646" s="561" t="s">
        <v>34</v>
      </c>
      <c r="E646" s="563" t="s">
        <v>880</v>
      </c>
      <c r="F646" s="551" t="e">
        <f>LUONGNGAY!$K$35</f>
        <v>#VALUE!</v>
      </c>
      <c r="G646" s="561">
        <v>0.04</v>
      </c>
      <c r="H646" s="511" t="e">
        <f t="shared" si="9"/>
        <v>#VALUE!</v>
      </c>
    </row>
    <row r="647" spans="1:8" ht="24.75" customHeight="1">
      <c r="A647" s="561" t="s">
        <v>445</v>
      </c>
      <c r="B647" s="562" t="s">
        <v>777</v>
      </c>
      <c r="C647" s="561" t="s">
        <v>979</v>
      </c>
      <c r="D647" s="561" t="s">
        <v>34</v>
      </c>
      <c r="E647" s="563" t="s">
        <v>880</v>
      </c>
      <c r="F647" s="551" t="e">
        <f>LUONGNGAY!$K$35</f>
        <v>#VALUE!</v>
      </c>
      <c r="G647" s="561">
        <v>0.03</v>
      </c>
      <c r="H647" s="511" t="e">
        <f t="shared" si="9"/>
        <v>#VALUE!</v>
      </c>
    </row>
    <row r="648" spans="1:8" ht="24.75" customHeight="1">
      <c r="A648" s="561">
        <v>7</v>
      </c>
      <c r="B648" s="562" t="s">
        <v>211</v>
      </c>
      <c r="C648" s="561" t="s">
        <v>627</v>
      </c>
      <c r="D648" s="561" t="s">
        <v>29</v>
      </c>
      <c r="E648" s="563" t="s">
        <v>880</v>
      </c>
      <c r="F648" s="551" t="e">
        <f>LUONGNGAY!$K$36</f>
        <v>#VALUE!</v>
      </c>
      <c r="G648" s="561">
        <v>3.3000000000000002E-2</v>
      </c>
      <c r="H648" s="511" t="e">
        <f t="shared" si="9"/>
        <v>#VALUE!</v>
      </c>
    </row>
    <row r="649" spans="1:8" ht="24.75" customHeight="1">
      <c r="A649" s="561">
        <v>8</v>
      </c>
      <c r="B649" s="562" t="s">
        <v>978</v>
      </c>
      <c r="C649" s="561" t="s">
        <v>979</v>
      </c>
      <c r="D649" s="561" t="s">
        <v>29</v>
      </c>
      <c r="E649" s="563" t="s">
        <v>880</v>
      </c>
      <c r="F649" s="551" t="e">
        <f>LUONGNGAY!$K$36</f>
        <v>#VALUE!</v>
      </c>
      <c r="G649" s="561">
        <v>0.2</v>
      </c>
      <c r="H649" s="511" t="e">
        <f t="shared" si="9"/>
        <v>#VALUE!</v>
      </c>
    </row>
    <row r="650" spans="1:8" ht="24.75" customHeight="1">
      <c r="A650" s="561">
        <v>9</v>
      </c>
      <c r="B650" s="562" t="s">
        <v>213</v>
      </c>
      <c r="C650" s="561"/>
      <c r="D650" s="561"/>
      <c r="E650" s="561"/>
      <c r="F650" s="512"/>
      <c r="G650" s="561"/>
      <c r="H650" s="511">
        <f t="shared" si="9"/>
        <v>0</v>
      </c>
    </row>
    <row r="651" spans="1:8" ht="24.75" customHeight="1">
      <c r="A651" s="561" t="s">
        <v>446</v>
      </c>
      <c r="B651" s="562" t="s">
        <v>215</v>
      </c>
      <c r="C651" s="561" t="s">
        <v>320</v>
      </c>
      <c r="D651" s="561" t="s">
        <v>34</v>
      </c>
      <c r="E651" s="563" t="s">
        <v>880</v>
      </c>
      <c r="F651" s="551" t="e">
        <f>LUONGNGAY!$K$35</f>
        <v>#VALUE!</v>
      </c>
      <c r="G651" s="561">
        <v>0.05</v>
      </c>
      <c r="H651" s="511" t="e">
        <f t="shared" si="9"/>
        <v>#VALUE!</v>
      </c>
    </row>
    <row r="652" spans="1:8" ht="24.75" customHeight="1">
      <c r="A652" s="561" t="s">
        <v>447</v>
      </c>
      <c r="B652" s="562" t="s">
        <v>217</v>
      </c>
      <c r="C652" s="561" t="s">
        <v>320</v>
      </c>
      <c r="D652" s="561" t="s">
        <v>34</v>
      </c>
      <c r="E652" s="563" t="s">
        <v>880</v>
      </c>
      <c r="F652" s="551" t="e">
        <f>LUONGNGAY!$K$35</f>
        <v>#VALUE!</v>
      </c>
      <c r="G652" s="561">
        <v>0.1</v>
      </c>
      <c r="H652" s="511" t="e">
        <f t="shared" si="9"/>
        <v>#VALUE!</v>
      </c>
    </row>
    <row r="653" spans="1:8" ht="24.75" customHeight="1">
      <c r="A653" s="561">
        <v>10</v>
      </c>
      <c r="B653" s="562" t="s">
        <v>218</v>
      </c>
      <c r="C653" s="561" t="s">
        <v>979</v>
      </c>
      <c r="D653" s="561" t="s">
        <v>34</v>
      </c>
      <c r="E653" s="563" t="s">
        <v>880</v>
      </c>
      <c r="F653" s="551" t="e">
        <f>LUONGNGAY!$K$35</f>
        <v>#VALUE!</v>
      </c>
      <c r="G653" s="561">
        <v>0.04</v>
      </c>
      <c r="H653" s="511" t="e">
        <f t="shared" si="9"/>
        <v>#VALUE!</v>
      </c>
    </row>
    <row r="654" spans="1:8" ht="24.75" customHeight="1">
      <c r="A654" s="561">
        <v>11</v>
      </c>
      <c r="B654" s="562" t="s">
        <v>234</v>
      </c>
      <c r="C654" s="561"/>
      <c r="D654" s="561"/>
      <c r="E654" s="561"/>
      <c r="F654" s="512"/>
      <c r="G654" s="561"/>
      <c r="H654" s="511">
        <f t="shared" si="9"/>
        <v>0</v>
      </c>
    </row>
    <row r="655" spans="1:8" ht="24.75" customHeight="1">
      <c r="A655" s="561" t="s">
        <v>877</v>
      </c>
      <c r="B655" s="562" t="s">
        <v>235</v>
      </c>
      <c r="C655" s="561" t="s">
        <v>979</v>
      </c>
      <c r="D655" s="561" t="s">
        <v>34</v>
      </c>
      <c r="E655" s="563" t="s">
        <v>880</v>
      </c>
      <c r="F655" s="551" t="e">
        <f>LUONGNGAY!$K$35</f>
        <v>#VALUE!</v>
      </c>
      <c r="G655" s="561">
        <v>0.05</v>
      </c>
      <c r="H655" s="511" t="e">
        <f t="shared" si="9"/>
        <v>#VALUE!</v>
      </c>
    </row>
    <row r="656" spans="1:8" ht="24.75" customHeight="1">
      <c r="A656" s="561" t="s">
        <v>878</v>
      </c>
      <c r="B656" s="562" t="s">
        <v>236</v>
      </c>
      <c r="C656" s="561" t="s">
        <v>979</v>
      </c>
      <c r="D656" s="561" t="s">
        <v>34</v>
      </c>
      <c r="E656" s="563" t="s">
        <v>880</v>
      </c>
      <c r="F656" s="551" t="e">
        <f>LUONGNGAY!$K$35</f>
        <v>#VALUE!</v>
      </c>
      <c r="G656" s="561">
        <v>0.05</v>
      </c>
      <c r="H656" s="511" t="e">
        <f t="shared" si="9"/>
        <v>#VALUE!</v>
      </c>
    </row>
    <row r="657" spans="1:8" ht="24.75" customHeight="1">
      <c r="A657" s="561">
        <v>12</v>
      </c>
      <c r="B657" s="562" t="s">
        <v>220</v>
      </c>
      <c r="C657" s="561" t="s">
        <v>627</v>
      </c>
      <c r="D657" s="561" t="s">
        <v>29</v>
      </c>
      <c r="E657" s="563" t="s">
        <v>880</v>
      </c>
      <c r="F657" s="551" t="e">
        <f>LUONGNGAY!$K$36</f>
        <v>#VALUE!</v>
      </c>
      <c r="G657" s="561">
        <v>3.3000000000000002E-2</v>
      </c>
      <c r="H657" s="511" t="e">
        <f t="shared" si="9"/>
        <v>#VALUE!</v>
      </c>
    </row>
    <row r="658" spans="1:8" ht="24.75" customHeight="1">
      <c r="A658" s="561">
        <v>13</v>
      </c>
      <c r="B658" s="562" t="s">
        <v>221</v>
      </c>
      <c r="C658" s="561"/>
      <c r="D658" s="561"/>
      <c r="E658" s="561"/>
      <c r="F658" s="512"/>
      <c r="G658" s="561"/>
      <c r="H658" s="511">
        <f t="shared" si="9"/>
        <v>0</v>
      </c>
    </row>
    <row r="659" spans="1:8" ht="24.75" customHeight="1">
      <c r="A659" s="561" t="s">
        <v>237</v>
      </c>
      <c r="B659" s="562" t="s">
        <v>931</v>
      </c>
      <c r="C659" s="561"/>
      <c r="D659" s="561"/>
      <c r="E659" s="561"/>
      <c r="F659" s="512"/>
      <c r="G659" s="561"/>
      <c r="H659" s="511">
        <f t="shared" si="9"/>
        <v>0</v>
      </c>
    </row>
    <row r="660" spans="1:8" ht="24.75" customHeight="1">
      <c r="A660" s="561" t="s">
        <v>238</v>
      </c>
      <c r="B660" s="562" t="s">
        <v>933</v>
      </c>
      <c r="C660" s="561" t="s">
        <v>934</v>
      </c>
      <c r="D660" s="561" t="s">
        <v>935</v>
      </c>
      <c r="E660" s="563" t="s">
        <v>880</v>
      </c>
      <c r="F660" s="471" t="e">
        <f>LUONGNGAY!$K$34</f>
        <v>#VALUE!</v>
      </c>
      <c r="G660" s="561">
        <v>1.6E-2</v>
      </c>
      <c r="H660" s="511" t="e">
        <f t="shared" si="9"/>
        <v>#VALUE!</v>
      </c>
    </row>
    <row r="661" spans="1:8" ht="24.75" customHeight="1">
      <c r="A661" s="561" t="s">
        <v>239</v>
      </c>
      <c r="B661" s="562" t="s">
        <v>937</v>
      </c>
      <c r="C661" s="561" t="s">
        <v>934</v>
      </c>
      <c r="D661" s="561" t="s">
        <v>935</v>
      </c>
      <c r="E661" s="563" t="s">
        <v>880</v>
      </c>
      <c r="F661" s="471" t="e">
        <f>LUONGNGAY!$K$34</f>
        <v>#VALUE!</v>
      </c>
      <c r="G661" s="561">
        <v>8.0000000000000002E-3</v>
      </c>
      <c r="H661" s="511" t="e">
        <f t="shared" si="9"/>
        <v>#VALUE!</v>
      </c>
    </row>
    <row r="662" spans="1:8" ht="24.75" customHeight="1">
      <c r="A662" s="561" t="s">
        <v>240</v>
      </c>
      <c r="B662" s="562" t="s">
        <v>48</v>
      </c>
      <c r="C662" s="561" t="s">
        <v>934</v>
      </c>
      <c r="D662" s="561" t="s">
        <v>935</v>
      </c>
      <c r="E662" s="563" t="s">
        <v>880</v>
      </c>
      <c r="F662" s="471" t="e">
        <f>LUONGNGAY!$K$34</f>
        <v>#VALUE!</v>
      </c>
      <c r="G662" s="561">
        <v>4.0000000000000001E-3</v>
      </c>
      <c r="H662" s="511" t="e">
        <f t="shared" si="9"/>
        <v>#VALUE!</v>
      </c>
    </row>
    <row r="663" spans="1:8" ht="24.75" customHeight="1">
      <c r="A663" s="561" t="s">
        <v>241</v>
      </c>
      <c r="B663" s="562" t="s">
        <v>50</v>
      </c>
      <c r="C663" s="561" t="s">
        <v>627</v>
      </c>
      <c r="D663" s="561" t="s">
        <v>935</v>
      </c>
      <c r="E663" s="563" t="s">
        <v>880</v>
      </c>
      <c r="F663" s="471" t="e">
        <f>LUONGNGAY!$K$34</f>
        <v>#VALUE!</v>
      </c>
      <c r="G663" s="561">
        <v>0.01</v>
      </c>
      <c r="H663" s="511" t="e">
        <f t="shared" si="9"/>
        <v>#VALUE!</v>
      </c>
    </row>
    <row r="664" spans="1:8" ht="24.75" customHeight="1">
      <c r="A664" s="561">
        <v>14</v>
      </c>
      <c r="B664" s="562" t="s">
        <v>273</v>
      </c>
      <c r="C664" s="561" t="s">
        <v>979</v>
      </c>
      <c r="D664" s="561" t="s">
        <v>34</v>
      </c>
      <c r="E664" s="563" t="s">
        <v>880</v>
      </c>
      <c r="F664" s="551" t="e">
        <f>LUONGNGAY!$K$35</f>
        <v>#VALUE!</v>
      </c>
      <c r="G664" s="561">
        <v>0.02</v>
      </c>
      <c r="H664" s="511" t="e">
        <f t="shared" si="9"/>
        <v>#VALUE!</v>
      </c>
    </row>
    <row r="665" spans="1:8" ht="24.75" customHeight="1">
      <c r="A665" s="561">
        <v>15</v>
      </c>
      <c r="B665" s="562" t="s">
        <v>274</v>
      </c>
      <c r="C665" s="561" t="s">
        <v>506</v>
      </c>
      <c r="D665" s="561" t="s">
        <v>34</v>
      </c>
      <c r="E665" s="563" t="s">
        <v>880</v>
      </c>
      <c r="F665" s="551" t="e">
        <f>LUONGNGAY!$K$35</f>
        <v>#VALUE!</v>
      </c>
      <c r="G665" s="561">
        <v>8</v>
      </c>
      <c r="H665" s="511" t="e">
        <f t="shared" si="9"/>
        <v>#VALUE!</v>
      </c>
    </row>
    <row r="666" spans="1:8" ht="24.75" customHeight="1">
      <c r="A666" s="567" t="s">
        <v>913</v>
      </c>
      <c r="B666" s="568" t="s">
        <v>507</v>
      </c>
      <c r="C666" s="561"/>
      <c r="D666" s="561"/>
      <c r="E666" s="561"/>
      <c r="F666" s="512"/>
      <c r="G666" s="561"/>
      <c r="H666" s="511">
        <f t="shared" si="9"/>
        <v>0</v>
      </c>
    </row>
    <row r="667" spans="1:8" ht="24.75" customHeight="1">
      <c r="A667" s="561">
        <v>1</v>
      </c>
      <c r="B667" s="562" t="s">
        <v>279</v>
      </c>
      <c r="C667" s="561"/>
      <c r="D667" s="561"/>
      <c r="E667" s="561"/>
      <c r="F667" s="512"/>
      <c r="G667" s="561"/>
      <c r="H667" s="511">
        <f t="shared" ref="H667:H673" si="10">F667*G667</f>
        <v>0</v>
      </c>
    </row>
    <row r="668" spans="1:8" ht="24.75" customHeight="1">
      <c r="A668" s="561" t="s">
        <v>891</v>
      </c>
      <c r="B668" s="562" t="s">
        <v>1058</v>
      </c>
      <c r="C668" s="561" t="s">
        <v>1059</v>
      </c>
      <c r="D668" s="561" t="s">
        <v>1060</v>
      </c>
      <c r="E668" s="563" t="s">
        <v>880</v>
      </c>
      <c r="F668" s="508" t="e">
        <f>LUONGNGAY!$K$37</f>
        <v>#VALUE!</v>
      </c>
      <c r="G668" s="561">
        <v>300</v>
      </c>
      <c r="H668" s="511" t="e">
        <f t="shared" si="10"/>
        <v>#VALUE!</v>
      </c>
    </row>
    <row r="669" spans="1:8" ht="24.75" customHeight="1">
      <c r="A669" s="561" t="s">
        <v>899</v>
      </c>
      <c r="B669" s="562" t="s">
        <v>491</v>
      </c>
      <c r="C669" s="561" t="s">
        <v>627</v>
      </c>
      <c r="D669" s="561" t="s">
        <v>1060</v>
      </c>
      <c r="E669" s="563" t="s">
        <v>880</v>
      </c>
      <c r="F669" s="508" t="e">
        <f>LUONGNGAY!$K$37</f>
        <v>#VALUE!</v>
      </c>
      <c r="G669" s="561">
        <v>0.01</v>
      </c>
      <c r="H669" s="511" t="e">
        <f t="shared" si="10"/>
        <v>#VALUE!</v>
      </c>
    </row>
    <row r="670" spans="1:8" ht="24.75" customHeight="1">
      <c r="A670" s="561">
        <v>2</v>
      </c>
      <c r="B670" s="562" t="s">
        <v>277</v>
      </c>
      <c r="C670" s="561"/>
      <c r="D670" s="561"/>
      <c r="E670" s="561"/>
      <c r="F670" s="512"/>
      <c r="G670" s="561"/>
      <c r="H670" s="511">
        <f t="shared" si="10"/>
        <v>0</v>
      </c>
    </row>
    <row r="671" spans="1:8" ht="24.75" customHeight="1">
      <c r="A671" s="561" t="s">
        <v>900</v>
      </c>
      <c r="B671" s="562" t="s">
        <v>493</v>
      </c>
      <c r="C671" s="561" t="s">
        <v>760</v>
      </c>
      <c r="D671" s="561" t="s">
        <v>1060</v>
      </c>
      <c r="E671" s="563" t="s">
        <v>880</v>
      </c>
      <c r="F671" s="508" t="e">
        <f>LUONGNGAY!$K$37</f>
        <v>#VALUE!</v>
      </c>
      <c r="G671" s="561">
        <v>2.5000000000000001E-2</v>
      </c>
      <c r="H671" s="511" t="e">
        <f t="shared" si="10"/>
        <v>#VALUE!</v>
      </c>
    </row>
    <row r="672" spans="1:8" ht="24.75" customHeight="1">
      <c r="A672" s="561" t="s">
        <v>901</v>
      </c>
      <c r="B672" s="562" t="s">
        <v>244</v>
      </c>
      <c r="C672" s="561" t="s">
        <v>1059</v>
      </c>
      <c r="D672" s="561" t="s">
        <v>1060</v>
      </c>
      <c r="E672" s="563" t="s">
        <v>880</v>
      </c>
      <c r="F672" s="508" t="e">
        <f>LUONGNGAY!$K$37</f>
        <v>#VALUE!</v>
      </c>
      <c r="G672" s="561">
        <v>2</v>
      </c>
      <c r="H672" s="511" t="e">
        <f t="shared" si="10"/>
        <v>#VALUE!</v>
      </c>
    </row>
    <row r="673" spans="1:8" ht="24.75" customHeight="1">
      <c r="A673" s="561">
        <v>3</v>
      </c>
      <c r="B673" s="562" t="s">
        <v>278</v>
      </c>
      <c r="C673" s="561" t="s">
        <v>275</v>
      </c>
      <c r="D673" s="561" t="s">
        <v>1060</v>
      </c>
      <c r="E673" s="563" t="s">
        <v>880</v>
      </c>
      <c r="F673" s="508" t="e">
        <f>LUONGNGAY!$K$37</f>
        <v>#VALUE!</v>
      </c>
      <c r="G673" s="561">
        <v>8</v>
      </c>
      <c r="H673" s="511" t="e">
        <f t="shared" si="10"/>
        <v>#VALUE!</v>
      </c>
    </row>
    <row r="674" spans="1:8">
      <c r="A674" s="507"/>
      <c r="B674" s="490"/>
      <c r="C674" s="484"/>
      <c r="D674" s="484"/>
      <c r="E674" s="507"/>
      <c r="F674" s="485"/>
      <c r="G674" s="509"/>
      <c r="H674" s="487"/>
    </row>
    <row r="675" spans="1:8" ht="31.15" customHeight="1">
      <c r="A675" s="1194" t="s">
        <v>6</v>
      </c>
      <c r="B675" s="1194"/>
      <c r="C675" s="1194"/>
      <c r="D675" s="1194"/>
      <c r="E675" s="1194"/>
      <c r="F675" s="1194"/>
      <c r="G675" s="1194"/>
      <c r="H675" s="1194"/>
    </row>
    <row r="676" spans="1:8">
      <c r="A676" s="459"/>
      <c r="B676" s="460"/>
      <c r="E676" s="462"/>
      <c r="F676" s="463"/>
      <c r="G676" s="462"/>
      <c r="H676" s="464"/>
    </row>
    <row r="677" spans="1:8" ht="49.5" customHeight="1">
      <c r="A677" s="467" t="s">
        <v>158</v>
      </c>
      <c r="B677" s="467" t="s">
        <v>381</v>
      </c>
      <c r="C677" s="468" t="s">
        <v>625</v>
      </c>
      <c r="D677" s="468" t="s">
        <v>624</v>
      </c>
      <c r="E677" s="468" t="s">
        <v>382</v>
      </c>
      <c r="F677" s="469" t="s">
        <v>629</v>
      </c>
      <c r="G677" s="468" t="s">
        <v>628</v>
      </c>
      <c r="H677" s="468" t="s">
        <v>383</v>
      </c>
    </row>
    <row r="678" spans="1:8" ht="28.5" customHeight="1">
      <c r="A678" s="545" t="s">
        <v>179</v>
      </c>
      <c r="B678" s="538" t="s">
        <v>765</v>
      </c>
      <c r="C678" s="539"/>
      <c r="D678" s="539"/>
      <c r="E678" s="539"/>
      <c r="F678" s="539"/>
      <c r="G678" s="539"/>
      <c r="H678" s="539"/>
    </row>
    <row r="679" spans="1:8" ht="28.5" customHeight="1">
      <c r="A679" s="539">
        <v>1</v>
      </c>
      <c r="B679" s="540" t="s">
        <v>508</v>
      </c>
      <c r="C679" s="539"/>
      <c r="D679" s="539"/>
      <c r="E679" s="539"/>
      <c r="F679" s="539"/>
      <c r="G679" s="539"/>
      <c r="H679" s="539"/>
    </row>
    <row r="680" spans="1:8" ht="28.5" customHeight="1">
      <c r="A680" s="539" t="s">
        <v>891</v>
      </c>
      <c r="B680" s="540" t="s">
        <v>33</v>
      </c>
      <c r="C680" s="539" t="s">
        <v>979</v>
      </c>
      <c r="D680" s="539" t="s">
        <v>34</v>
      </c>
      <c r="E680" s="544" t="s">
        <v>881</v>
      </c>
      <c r="F680" s="551" t="e">
        <f>LUONGNGAY!$K$35</f>
        <v>#VALUE!</v>
      </c>
      <c r="G680" s="539">
        <v>0.15</v>
      </c>
      <c r="H680" s="511" t="e">
        <f>F680*G680</f>
        <v>#VALUE!</v>
      </c>
    </row>
    <row r="681" spans="1:8" ht="28.5" customHeight="1">
      <c r="A681" s="539" t="s">
        <v>899</v>
      </c>
      <c r="B681" s="540" t="s">
        <v>36</v>
      </c>
      <c r="C681" s="539" t="s">
        <v>979</v>
      </c>
      <c r="D681" s="539" t="s">
        <v>34</v>
      </c>
      <c r="E681" s="544" t="s">
        <v>881</v>
      </c>
      <c r="F681" s="551" t="e">
        <f>LUONGNGAY!$K$35</f>
        <v>#VALUE!</v>
      </c>
      <c r="G681" s="539">
        <v>0.1</v>
      </c>
      <c r="H681" s="511" t="e">
        <f t="shared" ref="H681:H704" si="11">F681*G681</f>
        <v>#VALUE!</v>
      </c>
    </row>
    <row r="682" spans="1:8" ht="26.25" customHeight="1">
      <c r="A682" s="539">
        <v>2</v>
      </c>
      <c r="B682" s="540" t="s">
        <v>953</v>
      </c>
      <c r="C682" s="539" t="s">
        <v>979</v>
      </c>
      <c r="D682" s="539" t="s">
        <v>34</v>
      </c>
      <c r="E682" s="544" t="s">
        <v>881</v>
      </c>
      <c r="F682" s="551" t="e">
        <f>LUONGNGAY!$K$35</f>
        <v>#VALUE!</v>
      </c>
      <c r="G682" s="539">
        <v>0.2</v>
      </c>
      <c r="H682" s="511" t="e">
        <f t="shared" si="11"/>
        <v>#VALUE!</v>
      </c>
    </row>
    <row r="683" spans="1:8" ht="26.25" customHeight="1">
      <c r="A683" s="539">
        <v>3</v>
      </c>
      <c r="B683" s="540" t="s">
        <v>38</v>
      </c>
      <c r="C683" s="539" t="s">
        <v>627</v>
      </c>
      <c r="D683" s="539" t="s">
        <v>29</v>
      </c>
      <c r="E683" s="544" t="s">
        <v>881</v>
      </c>
      <c r="F683" s="551" t="e">
        <f>LUONGNGAY!$K$36</f>
        <v>#VALUE!</v>
      </c>
      <c r="G683" s="539">
        <v>0.107</v>
      </c>
      <c r="H683" s="511" t="e">
        <f t="shared" si="11"/>
        <v>#VALUE!</v>
      </c>
    </row>
    <row r="684" spans="1:8" ht="26.25" customHeight="1">
      <c r="A684" s="539">
        <v>4</v>
      </c>
      <c r="B684" s="540" t="s">
        <v>509</v>
      </c>
      <c r="C684" s="539" t="s">
        <v>979</v>
      </c>
      <c r="D684" s="539" t="s">
        <v>29</v>
      </c>
      <c r="E684" s="544" t="s">
        <v>881</v>
      </c>
      <c r="F684" s="551" t="e">
        <f>LUONGNGAY!$K$36</f>
        <v>#VALUE!</v>
      </c>
      <c r="G684" s="539">
        <v>0.5</v>
      </c>
      <c r="H684" s="511" t="e">
        <f t="shared" si="11"/>
        <v>#VALUE!</v>
      </c>
    </row>
    <row r="685" spans="1:8" ht="26.25" customHeight="1">
      <c r="A685" s="539">
        <v>5</v>
      </c>
      <c r="B685" s="540" t="s">
        <v>69</v>
      </c>
      <c r="C685" s="539" t="s">
        <v>627</v>
      </c>
      <c r="D685" s="539" t="s">
        <v>29</v>
      </c>
      <c r="E685" s="544" t="s">
        <v>881</v>
      </c>
      <c r="F685" s="551" t="e">
        <f>LUONGNGAY!$K$36</f>
        <v>#VALUE!</v>
      </c>
      <c r="G685" s="539">
        <v>6.0000000000000001E-3</v>
      </c>
      <c r="H685" s="511" t="e">
        <f t="shared" si="11"/>
        <v>#VALUE!</v>
      </c>
    </row>
    <row r="686" spans="1:8" ht="26.25" customHeight="1">
      <c r="A686" s="539">
        <v>6</v>
      </c>
      <c r="B686" s="540" t="s">
        <v>958</v>
      </c>
      <c r="C686" s="539"/>
      <c r="D686" s="539"/>
      <c r="E686" s="539"/>
      <c r="F686" s="539"/>
      <c r="G686" s="539"/>
      <c r="H686" s="511">
        <f t="shared" si="11"/>
        <v>0</v>
      </c>
    </row>
    <row r="687" spans="1:8" ht="26.25" customHeight="1">
      <c r="A687" s="539" t="s">
        <v>444</v>
      </c>
      <c r="B687" s="540" t="s">
        <v>770</v>
      </c>
      <c r="C687" s="539" t="s">
        <v>979</v>
      </c>
      <c r="D687" s="539" t="s">
        <v>34</v>
      </c>
      <c r="E687" s="544" t="s">
        <v>881</v>
      </c>
      <c r="F687" s="551" t="e">
        <f>LUONGNGAY!$K$35</f>
        <v>#VALUE!</v>
      </c>
      <c r="G687" s="539">
        <v>0.05</v>
      </c>
      <c r="H687" s="511" t="e">
        <f t="shared" si="11"/>
        <v>#VALUE!</v>
      </c>
    </row>
    <row r="688" spans="1:8" ht="26.25" customHeight="1">
      <c r="A688" s="539" t="s">
        <v>445</v>
      </c>
      <c r="B688" s="540" t="s">
        <v>771</v>
      </c>
      <c r="C688" s="539" t="s">
        <v>979</v>
      </c>
      <c r="D688" s="539" t="s">
        <v>34</v>
      </c>
      <c r="E688" s="544" t="s">
        <v>881</v>
      </c>
      <c r="F688" s="551" t="e">
        <f>LUONGNGAY!$K$35</f>
        <v>#VALUE!</v>
      </c>
      <c r="G688" s="539">
        <v>0.1</v>
      </c>
      <c r="H688" s="511" t="e">
        <f t="shared" si="11"/>
        <v>#VALUE!</v>
      </c>
    </row>
    <row r="689" spans="1:8" ht="26.25" customHeight="1">
      <c r="A689" s="539">
        <v>7</v>
      </c>
      <c r="B689" s="540" t="s">
        <v>510</v>
      </c>
      <c r="C689" s="539" t="s">
        <v>627</v>
      </c>
      <c r="D689" s="539" t="s">
        <v>29</v>
      </c>
      <c r="E689" s="544" t="s">
        <v>881</v>
      </c>
      <c r="F689" s="551" t="e">
        <f>LUONGNGAY!$K$36</f>
        <v>#VALUE!</v>
      </c>
      <c r="G689" s="539">
        <v>0.107</v>
      </c>
      <c r="H689" s="511" t="e">
        <f t="shared" si="11"/>
        <v>#VALUE!</v>
      </c>
    </row>
    <row r="690" spans="1:8" ht="26.25" customHeight="1">
      <c r="A690" s="539">
        <v>8</v>
      </c>
      <c r="B690" s="540" t="s">
        <v>213</v>
      </c>
      <c r="C690" s="539"/>
      <c r="D690" s="539"/>
      <c r="E690" s="539"/>
      <c r="F690" s="539"/>
      <c r="G690" s="539"/>
      <c r="H690" s="511">
        <f t="shared" si="11"/>
        <v>0</v>
      </c>
    </row>
    <row r="691" spans="1:8" ht="26.25" customHeight="1">
      <c r="A691" s="539" t="s">
        <v>374</v>
      </c>
      <c r="B691" s="540" t="s">
        <v>215</v>
      </c>
      <c r="C691" s="539" t="s">
        <v>320</v>
      </c>
      <c r="D691" s="539" t="s">
        <v>34</v>
      </c>
      <c r="E691" s="544" t="s">
        <v>881</v>
      </c>
      <c r="F691" s="551" t="e">
        <f>LUONGNGAY!$K$35</f>
        <v>#VALUE!</v>
      </c>
      <c r="G691" s="539">
        <v>0.1</v>
      </c>
      <c r="H691" s="511" t="e">
        <f t="shared" si="11"/>
        <v>#VALUE!</v>
      </c>
    </row>
    <row r="692" spans="1:8" ht="26.25" customHeight="1">
      <c r="A692" s="539" t="s">
        <v>375</v>
      </c>
      <c r="B692" s="540" t="s">
        <v>217</v>
      </c>
      <c r="C692" s="539" t="s">
        <v>320</v>
      </c>
      <c r="D692" s="539" t="s">
        <v>34</v>
      </c>
      <c r="E692" s="544" t="s">
        <v>881</v>
      </c>
      <c r="F692" s="551" t="e">
        <f>LUONGNGAY!$K$35</f>
        <v>#VALUE!</v>
      </c>
      <c r="G692" s="539">
        <v>0.15</v>
      </c>
      <c r="H692" s="511" t="e">
        <f t="shared" si="11"/>
        <v>#VALUE!</v>
      </c>
    </row>
    <row r="693" spans="1:8" ht="26.25" customHeight="1">
      <c r="A693" s="539">
        <v>9</v>
      </c>
      <c r="B693" s="540" t="s">
        <v>511</v>
      </c>
      <c r="C693" s="539" t="s">
        <v>979</v>
      </c>
      <c r="D693" s="539" t="s">
        <v>29</v>
      </c>
      <c r="E693" s="544" t="s">
        <v>881</v>
      </c>
      <c r="F693" s="551" t="e">
        <f>LUONGNGAY!$K$36</f>
        <v>#VALUE!</v>
      </c>
      <c r="G693" s="539">
        <v>0.4</v>
      </c>
      <c r="H693" s="511" t="e">
        <f t="shared" si="11"/>
        <v>#VALUE!</v>
      </c>
    </row>
    <row r="694" spans="1:8" ht="26.25" customHeight="1">
      <c r="A694" s="539">
        <v>10</v>
      </c>
      <c r="B694" s="540" t="s">
        <v>512</v>
      </c>
      <c r="C694" s="539" t="s">
        <v>979</v>
      </c>
      <c r="D694" s="539" t="s">
        <v>34</v>
      </c>
      <c r="E694" s="544" t="s">
        <v>881</v>
      </c>
      <c r="F694" s="551" t="e">
        <f>LUONGNGAY!$K$35</f>
        <v>#VALUE!</v>
      </c>
      <c r="G694" s="539">
        <v>0.37</v>
      </c>
      <c r="H694" s="511" t="e">
        <f t="shared" si="11"/>
        <v>#VALUE!</v>
      </c>
    </row>
    <row r="695" spans="1:8" ht="26.25" customHeight="1">
      <c r="A695" s="539">
        <v>11</v>
      </c>
      <c r="B695" s="540" t="s">
        <v>221</v>
      </c>
      <c r="C695" s="539"/>
      <c r="D695" s="539"/>
      <c r="E695" s="539"/>
      <c r="F695" s="539"/>
      <c r="G695" s="539"/>
      <c r="H695" s="511">
        <f t="shared" si="11"/>
        <v>0</v>
      </c>
    </row>
    <row r="696" spans="1:8" ht="26.25" customHeight="1">
      <c r="A696" s="539" t="s">
        <v>877</v>
      </c>
      <c r="B696" s="540" t="s">
        <v>931</v>
      </c>
      <c r="C696" s="539"/>
      <c r="D696" s="539"/>
      <c r="E696" s="539"/>
      <c r="F696" s="539"/>
      <c r="G696" s="539"/>
      <c r="H696" s="511">
        <f t="shared" si="11"/>
        <v>0</v>
      </c>
    </row>
    <row r="697" spans="1:8" ht="26.25" customHeight="1">
      <c r="A697" s="539" t="s">
        <v>513</v>
      </c>
      <c r="B697" s="540" t="s">
        <v>933</v>
      </c>
      <c r="C697" s="539" t="s">
        <v>934</v>
      </c>
      <c r="D697" s="539" t="s">
        <v>935</v>
      </c>
      <c r="E697" s="544" t="s">
        <v>881</v>
      </c>
      <c r="F697" s="471" t="e">
        <f>LUONGNGAY!$K$34</f>
        <v>#VALUE!</v>
      </c>
      <c r="G697" s="539">
        <v>1.6E-2</v>
      </c>
      <c r="H697" s="511" t="e">
        <f t="shared" si="11"/>
        <v>#VALUE!</v>
      </c>
    </row>
    <row r="698" spans="1:8" ht="26.25" customHeight="1">
      <c r="A698" s="539" t="s">
        <v>514</v>
      </c>
      <c r="B698" s="540" t="s">
        <v>937</v>
      </c>
      <c r="C698" s="539" t="s">
        <v>934</v>
      </c>
      <c r="D698" s="539" t="s">
        <v>935</v>
      </c>
      <c r="E698" s="544" t="s">
        <v>881</v>
      </c>
      <c r="F698" s="471" t="e">
        <f>LUONGNGAY!$K$34</f>
        <v>#VALUE!</v>
      </c>
      <c r="G698" s="539">
        <v>8.0000000000000002E-3</v>
      </c>
      <c r="H698" s="511" t="e">
        <f t="shared" si="11"/>
        <v>#VALUE!</v>
      </c>
    </row>
    <row r="699" spans="1:8" ht="26.25" customHeight="1">
      <c r="A699" s="539" t="s">
        <v>878</v>
      </c>
      <c r="B699" s="540" t="s">
        <v>48</v>
      </c>
      <c r="C699" s="539" t="s">
        <v>934</v>
      </c>
      <c r="D699" s="539" t="s">
        <v>935</v>
      </c>
      <c r="E699" s="544" t="s">
        <v>881</v>
      </c>
      <c r="F699" s="471" t="e">
        <f>LUONGNGAY!$K$34</f>
        <v>#VALUE!</v>
      </c>
      <c r="G699" s="539">
        <v>4.0000000000000001E-3</v>
      </c>
      <c r="H699" s="511" t="e">
        <f t="shared" si="11"/>
        <v>#VALUE!</v>
      </c>
    </row>
    <row r="700" spans="1:8" ht="26.25" customHeight="1">
      <c r="A700" s="539" t="s">
        <v>879</v>
      </c>
      <c r="B700" s="540" t="s">
        <v>50</v>
      </c>
      <c r="C700" s="539" t="s">
        <v>627</v>
      </c>
      <c r="D700" s="539" t="s">
        <v>935</v>
      </c>
      <c r="E700" s="544" t="s">
        <v>881</v>
      </c>
      <c r="F700" s="471" t="e">
        <f>LUONGNGAY!$K$34</f>
        <v>#VALUE!</v>
      </c>
      <c r="G700" s="539">
        <v>0.01</v>
      </c>
      <c r="H700" s="511" t="e">
        <f t="shared" si="11"/>
        <v>#VALUE!</v>
      </c>
    </row>
    <row r="701" spans="1:8" ht="26.25" customHeight="1">
      <c r="A701" s="539">
        <v>12</v>
      </c>
      <c r="B701" s="540" t="s">
        <v>235</v>
      </c>
      <c r="C701" s="539" t="s">
        <v>979</v>
      </c>
      <c r="D701" s="539" t="s">
        <v>34</v>
      </c>
      <c r="E701" s="544" t="s">
        <v>881</v>
      </c>
      <c r="F701" s="551" t="e">
        <f>LUONGNGAY!$K$35</f>
        <v>#VALUE!</v>
      </c>
      <c r="G701" s="539">
        <v>0.05</v>
      </c>
      <c r="H701" s="511" t="e">
        <f t="shared" si="11"/>
        <v>#VALUE!</v>
      </c>
    </row>
    <row r="702" spans="1:8" ht="26.25" customHeight="1">
      <c r="A702" s="539">
        <v>13</v>
      </c>
      <c r="B702" s="540" t="s">
        <v>236</v>
      </c>
      <c r="C702" s="539" t="s">
        <v>979</v>
      </c>
      <c r="D702" s="539" t="s">
        <v>34</v>
      </c>
      <c r="E702" s="544" t="s">
        <v>881</v>
      </c>
      <c r="F702" s="551" t="e">
        <f>LUONGNGAY!$K$35</f>
        <v>#VALUE!</v>
      </c>
      <c r="G702" s="539">
        <v>0.05</v>
      </c>
      <c r="H702" s="511" t="e">
        <f t="shared" si="11"/>
        <v>#VALUE!</v>
      </c>
    </row>
    <row r="703" spans="1:8" ht="26.25" customHeight="1">
      <c r="A703" s="545" t="s">
        <v>184</v>
      </c>
      <c r="B703" s="538" t="s">
        <v>606</v>
      </c>
      <c r="C703" s="539"/>
      <c r="D703" s="539"/>
      <c r="E703" s="539"/>
      <c r="F703" s="539"/>
      <c r="G703" s="539"/>
      <c r="H703" s="511">
        <f t="shared" si="11"/>
        <v>0</v>
      </c>
    </row>
    <row r="704" spans="1:8" ht="26.25" customHeight="1">
      <c r="A704" s="539">
        <v>1</v>
      </c>
      <c r="B704" s="540" t="s">
        <v>515</v>
      </c>
      <c r="C704" s="539" t="s">
        <v>979</v>
      </c>
      <c r="D704" s="539" t="s">
        <v>34</v>
      </c>
      <c r="E704" s="544" t="s">
        <v>881</v>
      </c>
      <c r="F704" s="551" t="e">
        <f>LUONGNGAY!$K$35</f>
        <v>#VALUE!</v>
      </c>
      <c r="G704" s="539">
        <v>0.02</v>
      </c>
      <c r="H704" s="511" t="e">
        <f t="shared" si="11"/>
        <v>#VALUE!</v>
      </c>
    </row>
    <row r="705" spans="1:8" ht="15" customHeight="1">
      <c r="A705" s="507"/>
      <c r="B705" s="490"/>
      <c r="C705" s="484"/>
      <c r="D705" s="484"/>
      <c r="E705" s="507"/>
      <c r="F705" s="485"/>
      <c r="G705" s="496"/>
      <c r="H705" s="487"/>
    </row>
    <row r="706" spans="1:8" ht="15" customHeight="1">
      <c r="A706" s="507"/>
      <c r="B706" s="490"/>
      <c r="C706" s="484"/>
      <c r="D706" s="484"/>
      <c r="E706" s="507"/>
      <c r="F706" s="485"/>
      <c r="G706" s="496"/>
      <c r="H706" s="487"/>
    </row>
    <row r="707" spans="1:8" ht="29.25" customHeight="1">
      <c r="A707" s="1194" t="s">
        <v>7</v>
      </c>
      <c r="B707" s="1194"/>
      <c r="C707" s="1194"/>
      <c r="D707" s="1194"/>
      <c r="E707" s="1194"/>
      <c r="F707" s="1194"/>
      <c r="G707" s="1194"/>
      <c r="H707" s="1194"/>
    </row>
    <row r="708" spans="1:8" ht="15" customHeight="1">
      <c r="A708" s="459"/>
      <c r="B708" s="460"/>
      <c r="E708" s="462"/>
      <c r="F708" s="463"/>
      <c r="G708" s="462"/>
      <c r="H708" s="464"/>
    </row>
    <row r="709" spans="1:8" ht="28.5" customHeight="1">
      <c r="A709" s="467" t="s">
        <v>158</v>
      </c>
      <c r="B709" s="467" t="s">
        <v>381</v>
      </c>
      <c r="C709" s="468" t="s">
        <v>625</v>
      </c>
      <c r="D709" s="468" t="s">
        <v>624</v>
      </c>
      <c r="E709" s="468" t="s">
        <v>382</v>
      </c>
      <c r="F709" s="469" t="s">
        <v>629</v>
      </c>
      <c r="G709" s="468" t="s">
        <v>628</v>
      </c>
      <c r="H709" s="468" t="s">
        <v>383</v>
      </c>
    </row>
    <row r="710" spans="1:8" ht="28.5" customHeight="1">
      <c r="A710" s="545" t="s">
        <v>179</v>
      </c>
      <c r="B710" s="538" t="s">
        <v>765</v>
      </c>
      <c r="C710" s="539"/>
      <c r="D710" s="539"/>
      <c r="E710" s="539"/>
      <c r="F710" s="539"/>
      <c r="G710" s="539"/>
      <c r="H710" s="539"/>
    </row>
    <row r="711" spans="1:8" ht="28.5" customHeight="1">
      <c r="A711" s="539">
        <v>1</v>
      </c>
      <c r="B711" s="540" t="s">
        <v>508</v>
      </c>
      <c r="C711" s="539"/>
      <c r="D711" s="539"/>
      <c r="E711" s="539"/>
      <c r="F711" s="539"/>
      <c r="G711" s="539"/>
      <c r="H711" s="539"/>
    </row>
    <row r="712" spans="1:8" ht="28.5" customHeight="1">
      <c r="A712" s="539" t="s">
        <v>891</v>
      </c>
      <c r="B712" s="540" t="s">
        <v>33</v>
      </c>
      <c r="C712" s="539" t="s">
        <v>979</v>
      </c>
      <c r="D712" s="539" t="s">
        <v>34</v>
      </c>
      <c r="E712" s="544" t="s">
        <v>881</v>
      </c>
      <c r="F712" s="551" t="e">
        <f>LUONGNGAY!$K$35</f>
        <v>#VALUE!</v>
      </c>
      <c r="G712" s="539">
        <v>0.15</v>
      </c>
      <c r="H712" s="511" t="e">
        <f>F712*G712</f>
        <v>#VALUE!</v>
      </c>
    </row>
    <row r="713" spans="1:8" ht="28.5" customHeight="1">
      <c r="A713" s="539" t="s">
        <v>899</v>
      </c>
      <c r="B713" s="540" t="s">
        <v>36</v>
      </c>
      <c r="C713" s="539" t="s">
        <v>979</v>
      </c>
      <c r="D713" s="539" t="s">
        <v>34</v>
      </c>
      <c r="E713" s="544" t="s">
        <v>881</v>
      </c>
      <c r="F713" s="551" t="e">
        <f>LUONGNGAY!$K$35</f>
        <v>#VALUE!</v>
      </c>
      <c r="G713" s="539">
        <v>0.1</v>
      </c>
      <c r="H713" s="511" t="e">
        <f t="shared" ref="H713:H736" si="12">F713*G713</f>
        <v>#VALUE!</v>
      </c>
    </row>
    <row r="714" spans="1:8" ht="28.5" customHeight="1">
      <c r="A714" s="539">
        <v>2</v>
      </c>
      <c r="B714" s="540" t="s">
        <v>953</v>
      </c>
      <c r="C714" s="539" t="s">
        <v>979</v>
      </c>
      <c r="D714" s="539" t="s">
        <v>34</v>
      </c>
      <c r="E714" s="544" t="s">
        <v>881</v>
      </c>
      <c r="F714" s="551" t="e">
        <f>LUONGNGAY!$K$35</f>
        <v>#VALUE!</v>
      </c>
      <c r="G714" s="539">
        <v>0.2</v>
      </c>
      <c r="H714" s="511" t="e">
        <f t="shared" si="12"/>
        <v>#VALUE!</v>
      </c>
    </row>
    <row r="715" spans="1:8" ht="28.5" customHeight="1">
      <c r="A715" s="539">
        <v>3</v>
      </c>
      <c r="B715" s="540" t="s">
        <v>38</v>
      </c>
      <c r="C715" s="539" t="s">
        <v>627</v>
      </c>
      <c r="D715" s="539" t="s">
        <v>29</v>
      </c>
      <c r="E715" s="544" t="s">
        <v>881</v>
      </c>
      <c r="F715" s="551" t="e">
        <f>LUONGNGAY!$K$36</f>
        <v>#VALUE!</v>
      </c>
      <c r="G715" s="539">
        <v>3.3000000000000002E-2</v>
      </c>
      <c r="H715" s="511" t="e">
        <f t="shared" si="12"/>
        <v>#VALUE!</v>
      </c>
    </row>
    <row r="716" spans="1:8" ht="28.5" customHeight="1">
      <c r="A716" s="539">
        <v>4</v>
      </c>
      <c r="B716" s="540" t="s">
        <v>509</v>
      </c>
      <c r="C716" s="539" t="s">
        <v>979</v>
      </c>
      <c r="D716" s="539" t="s">
        <v>29</v>
      </c>
      <c r="E716" s="544" t="s">
        <v>881</v>
      </c>
      <c r="F716" s="551" t="e">
        <f>LUONGNGAY!$K$36</f>
        <v>#VALUE!</v>
      </c>
      <c r="G716" s="539">
        <v>0.5</v>
      </c>
      <c r="H716" s="511" t="e">
        <f t="shared" si="12"/>
        <v>#VALUE!</v>
      </c>
    </row>
    <row r="717" spans="1:8" ht="28.5" customHeight="1">
      <c r="A717" s="539">
        <v>5</v>
      </c>
      <c r="B717" s="540" t="s">
        <v>69</v>
      </c>
      <c r="C717" s="539" t="s">
        <v>627</v>
      </c>
      <c r="D717" s="539" t="s">
        <v>29</v>
      </c>
      <c r="E717" s="544" t="s">
        <v>881</v>
      </c>
      <c r="F717" s="551" t="e">
        <f>LUONGNGAY!$K$36</f>
        <v>#VALUE!</v>
      </c>
      <c r="G717" s="539">
        <v>6.0000000000000001E-3</v>
      </c>
      <c r="H717" s="511" t="e">
        <f t="shared" si="12"/>
        <v>#VALUE!</v>
      </c>
    </row>
    <row r="718" spans="1:8" ht="28.5" customHeight="1">
      <c r="A718" s="539">
        <v>6</v>
      </c>
      <c r="B718" s="540" t="s">
        <v>958</v>
      </c>
      <c r="C718" s="539"/>
      <c r="D718" s="539"/>
      <c r="E718" s="539"/>
      <c r="F718" s="539"/>
      <c r="G718" s="539"/>
      <c r="H718" s="511">
        <f t="shared" si="12"/>
        <v>0</v>
      </c>
    </row>
    <row r="719" spans="1:8" ht="28.5" customHeight="1">
      <c r="A719" s="539" t="s">
        <v>444</v>
      </c>
      <c r="B719" s="540" t="s">
        <v>770</v>
      </c>
      <c r="C719" s="539" t="s">
        <v>979</v>
      </c>
      <c r="D719" s="539" t="s">
        <v>34</v>
      </c>
      <c r="E719" s="544" t="s">
        <v>881</v>
      </c>
      <c r="F719" s="551" t="e">
        <f>LUONGNGAY!$K$35</f>
        <v>#VALUE!</v>
      </c>
      <c r="G719" s="539">
        <v>0</v>
      </c>
      <c r="H719" s="511" t="e">
        <f t="shared" si="12"/>
        <v>#VALUE!</v>
      </c>
    </row>
    <row r="720" spans="1:8" ht="28.5" customHeight="1">
      <c r="A720" s="539" t="s">
        <v>445</v>
      </c>
      <c r="B720" s="540" t="s">
        <v>771</v>
      </c>
      <c r="C720" s="539" t="s">
        <v>979</v>
      </c>
      <c r="D720" s="539" t="s">
        <v>34</v>
      </c>
      <c r="E720" s="544" t="s">
        <v>881</v>
      </c>
      <c r="F720" s="551" t="e">
        <f>LUONGNGAY!$K$35</f>
        <v>#VALUE!</v>
      </c>
      <c r="G720" s="539">
        <v>0</v>
      </c>
      <c r="H720" s="511" t="e">
        <f t="shared" si="12"/>
        <v>#VALUE!</v>
      </c>
    </row>
    <row r="721" spans="1:8" ht="28.5" customHeight="1">
      <c r="A721" s="539">
        <v>7</v>
      </c>
      <c r="B721" s="540" t="s">
        <v>510</v>
      </c>
      <c r="C721" s="539" t="s">
        <v>627</v>
      </c>
      <c r="D721" s="539" t="s">
        <v>29</v>
      </c>
      <c r="E721" s="544" t="s">
        <v>881</v>
      </c>
      <c r="F721" s="551" t="e">
        <f>LUONGNGAY!$K$36</f>
        <v>#VALUE!</v>
      </c>
      <c r="G721" s="539">
        <v>3.3000000000000002E-2</v>
      </c>
      <c r="H721" s="511" t="e">
        <f t="shared" si="12"/>
        <v>#VALUE!</v>
      </c>
    </row>
    <row r="722" spans="1:8" ht="28.5" customHeight="1">
      <c r="A722" s="539">
        <v>8</v>
      </c>
      <c r="B722" s="540" t="s">
        <v>213</v>
      </c>
      <c r="C722" s="539"/>
      <c r="D722" s="539"/>
      <c r="E722" s="539"/>
      <c r="F722" s="539"/>
      <c r="G722" s="539"/>
      <c r="H722" s="511">
        <f t="shared" si="12"/>
        <v>0</v>
      </c>
    </row>
    <row r="723" spans="1:8" ht="28.5" customHeight="1">
      <c r="A723" s="539" t="s">
        <v>374</v>
      </c>
      <c r="B723" s="540" t="s">
        <v>215</v>
      </c>
      <c r="C723" s="539" t="s">
        <v>320</v>
      </c>
      <c r="D723" s="539" t="s">
        <v>34</v>
      </c>
      <c r="E723" s="544" t="s">
        <v>881</v>
      </c>
      <c r="F723" s="551" t="e">
        <f>LUONGNGAY!$K$35</f>
        <v>#VALUE!</v>
      </c>
      <c r="G723" s="539">
        <v>0.1</v>
      </c>
      <c r="H723" s="511" t="e">
        <f t="shared" si="12"/>
        <v>#VALUE!</v>
      </c>
    </row>
    <row r="724" spans="1:8" ht="28.5" customHeight="1">
      <c r="A724" s="539" t="s">
        <v>375</v>
      </c>
      <c r="B724" s="540" t="s">
        <v>217</v>
      </c>
      <c r="C724" s="539" t="s">
        <v>320</v>
      </c>
      <c r="D724" s="539" t="s">
        <v>34</v>
      </c>
      <c r="E724" s="544" t="s">
        <v>881</v>
      </c>
      <c r="F724" s="551" t="e">
        <f>LUONGNGAY!$K$35</f>
        <v>#VALUE!</v>
      </c>
      <c r="G724" s="539">
        <v>0.2</v>
      </c>
      <c r="H724" s="511" t="e">
        <f t="shared" si="12"/>
        <v>#VALUE!</v>
      </c>
    </row>
    <row r="725" spans="1:8" ht="28.5" customHeight="1">
      <c r="A725" s="539">
        <v>9</v>
      </c>
      <c r="B725" s="540" t="s">
        <v>511</v>
      </c>
      <c r="C725" s="539" t="s">
        <v>979</v>
      </c>
      <c r="D725" s="539" t="s">
        <v>29</v>
      </c>
      <c r="E725" s="544" t="s">
        <v>881</v>
      </c>
      <c r="F725" s="551" t="e">
        <f>LUONGNGAY!$K$36</f>
        <v>#VALUE!</v>
      </c>
      <c r="G725" s="539">
        <v>0.4</v>
      </c>
      <c r="H725" s="511" t="e">
        <f t="shared" si="12"/>
        <v>#VALUE!</v>
      </c>
    </row>
    <row r="726" spans="1:8" ht="28.5" customHeight="1">
      <c r="A726" s="539">
        <v>10</v>
      </c>
      <c r="B726" s="540" t="s">
        <v>512</v>
      </c>
      <c r="C726" s="539" t="s">
        <v>979</v>
      </c>
      <c r="D726" s="539" t="s">
        <v>34</v>
      </c>
      <c r="E726" s="544" t="s">
        <v>881</v>
      </c>
      <c r="F726" s="551" t="e">
        <f>LUONGNGAY!$K$35</f>
        <v>#VALUE!</v>
      </c>
      <c r="G726" s="539">
        <v>0.37</v>
      </c>
      <c r="H726" s="511" t="e">
        <f t="shared" si="12"/>
        <v>#VALUE!</v>
      </c>
    </row>
    <row r="727" spans="1:8" ht="28.5" customHeight="1">
      <c r="A727" s="539">
        <v>11</v>
      </c>
      <c r="B727" s="540" t="s">
        <v>221</v>
      </c>
      <c r="C727" s="539"/>
      <c r="D727" s="539"/>
      <c r="E727" s="539"/>
      <c r="F727" s="539"/>
      <c r="G727" s="539"/>
      <c r="H727" s="511">
        <f t="shared" si="12"/>
        <v>0</v>
      </c>
    </row>
    <row r="728" spans="1:8" ht="28.5" customHeight="1">
      <c r="A728" s="539" t="s">
        <v>877</v>
      </c>
      <c r="B728" s="540" t="s">
        <v>931</v>
      </c>
      <c r="C728" s="539"/>
      <c r="D728" s="539"/>
      <c r="E728" s="539"/>
      <c r="F728" s="539"/>
      <c r="G728" s="539"/>
      <c r="H728" s="511">
        <f t="shared" si="12"/>
        <v>0</v>
      </c>
    </row>
    <row r="729" spans="1:8" ht="28.5" customHeight="1">
      <c r="A729" s="539" t="s">
        <v>513</v>
      </c>
      <c r="B729" s="540" t="s">
        <v>933</v>
      </c>
      <c r="C729" s="539" t="s">
        <v>934</v>
      </c>
      <c r="D729" s="539" t="s">
        <v>935</v>
      </c>
      <c r="E729" s="544" t="s">
        <v>881</v>
      </c>
      <c r="F729" s="471" t="e">
        <f>LUONGNGAY!$K$34</f>
        <v>#VALUE!</v>
      </c>
      <c r="G729" s="539">
        <v>1.6E-2</v>
      </c>
      <c r="H729" s="511" t="e">
        <f t="shared" si="12"/>
        <v>#VALUE!</v>
      </c>
    </row>
    <row r="730" spans="1:8" ht="28.5" customHeight="1">
      <c r="A730" s="539" t="s">
        <v>514</v>
      </c>
      <c r="B730" s="540" t="s">
        <v>937</v>
      </c>
      <c r="C730" s="539" t="s">
        <v>934</v>
      </c>
      <c r="D730" s="539" t="s">
        <v>935</v>
      </c>
      <c r="E730" s="544" t="s">
        <v>881</v>
      </c>
      <c r="F730" s="471" t="e">
        <f>LUONGNGAY!$K$34</f>
        <v>#VALUE!</v>
      </c>
      <c r="G730" s="539">
        <v>8.0000000000000002E-3</v>
      </c>
      <c r="H730" s="511" t="e">
        <f t="shared" si="12"/>
        <v>#VALUE!</v>
      </c>
    </row>
    <row r="731" spans="1:8" ht="28.5" customHeight="1">
      <c r="A731" s="539" t="s">
        <v>878</v>
      </c>
      <c r="B731" s="540" t="s">
        <v>48</v>
      </c>
      <c r="C731" s="539" t="s">
        <v>934</v>
      </c>
      <c r="D731" s="539" t="s">
        <v>935</v>
      </c>
      <c r="E731" s="544" t="s">
        <v>881</v>
      </c>
      <c r="F731" s="471" t="e">
        <f>LUONGNGAY!$K$34</f>
        <v>#VALUE!</v>
      </c>
      <c r="G731" s="539">
        <v>4.0000000000000001E-3</v>
      </c>
      <c r="H731" s="511" t="e">
        <f t="shared" si="12"/>
        <v>#VALUE!</v>
      </c>
    </row>
    <row r="732" spans="1:8" ht="28.5" customHeight="1">
      <c r="A732" s="539" t="s">
        <v>879</v>
      </c>
      <c r="B732" s="540" t="s">
        <v>50</v>
      </c>
      <c r="C732" s="539" t="s">
        <v>627</v>
      </c>
      <c r="D732" s="539" t="s">
        <v>935</v>
      </c>
      <c r="E732" s="544" t="s">
        <v>881</v>
      </c>
      <c r="F732" s="471" t="e">
        <f>LUONGNGAY!$K$34</f>
        <v>#VALUE!</v>
      </c>
      <c r="G732" s="539">
        <v>0.01</v>
      </c>
      <c r="H732" s="511" t="e">
        <f t="shared" si="12"/>
        <v>#VALUE!</v>
      </c>
    </row>
    <row r="733" spans="1:8" ht="28.5" customHeight="1">
      <c r="A733" s="539">
        <v>12</v>
      </c>
      <c r="B733" s="540" t="s">
        <v>235</v>
      </c>
      <c r="C733" s="539" t="s">
        <v>979</v>
      </c>
      <c r="D733" s="539" t="s">
        <v>34</v>
      </c>
      <c r="E733" s="544" t="s">
        <v>881</v>
      </c>
      <c r="F733" s="551" t="e">
        <f>LUONGNGAY!$K$35</f>
        <v>#VALUE!</v>
      </c>
      <c r="G733" s="539">
        <v>0.05</v>
      </c>
      <c r="H733" s="511" t="e">
        <f t="shared" si="12"/>
        <v>#VALUE!</v>
      </c>
    </row>
    <row r="734" spans="1:8" ht="28.5" customHeight="1">
      <c r="A734" s="539">
        <v>13</v>
      </c>
      <c r="B734" s="540" t="s">
        <v>236</v>
      </c>
      <c r="C734" s="539" t="s">
        <v>979</v>
      </c>
      <c r="D734" s="539" t="s">
        <v>34</v>
      </c>
      <c r="E734" s="544" t="s">
        <v>881</v>
      </c>
      <c r="F734" s="551" t="e">
        <f>LUONGNGAY!$K$35</f>
        <v>#VALUE!</v>
      </c>
      <c r="G734" s="539">
        <v>0.05</v>
      </c>
      <c r="H734" s="511" t="e">
        <f t="shared" si="12"/>
        <v>#VALUE!</v>
      </c>
    </row>
    <row r="735" spans="1:8" ht="28.5" customHeight="1">
      <c r="A735" s="545" t="s">
        <v>184</v>
      </c>
      <c r="B735" s="538" t="s">
        <v>606</v>
      </c>
      <c r="C735" s="539"/>
      <c r="D735" s="539"/>
      <c r="E735" s="539"/>
      <c r="F735" s="539"/>
      <c r="G735" s="539"/>
      <c r="H735" s="511">
        <f t="shared" si="12"/>
        <v>0</v>
      </c>
    </row>
    <row r="736" spans="1:8" ht="28.5" customHeight="1">
      <c r="A736" s="539">
        <v>1</v>
      </c>
      <c r="B736" s="540" t="s">
        <v>515</v>
      </c>
      <c r="C736" s="539" t="s">
        <v>979</v>
      </c>
      <c r="D736" s="539" t="s">
        <v>34</v>
      </c>
      <c r="E736" s="544" t="s">
        <v>881</v>
      </c>
      <c r="F736" s="551" t="e">
        <f>LUONGNGAY!$K$35</f>
        <v>#VALUE!</v>
      </c>
      <c r="G736" s="539">
        <v>0.02</v>
      </c>
      <c r="H736" s="511" t="e">
        <f t="shared" si="12"/>
        <v>#VALUE!</v>
      </c>
    </row>
    <row r="737" spans="1:8" ht="15" customHeight="1">
      <c r="A737" s="507"/>
      <c r="B737" s="490"/>
      <c r="C737" s="484"/>
      <c r="D737" s="484"/>
      <c r="E737" s="507"/>
      <c r="F737" s="485"/>
      <c r="G737" s="496"/>
      <c r="H737" s="487"/>
    </row>
    <row r="738" spans="1:8" ht="34.15" customHeight="1">
      <c r="A738" s="1194" t="s">
        <v>8</v>
      </c>
      <c r="B738" s="1194"/>
      <c r="C738" s="1194"/>
      <c r="D738" s="1194"/>
      <c r="E738" s="1194"/>
      <c r="F738" s="1194"/>
      <c r="G738" s="1194"/>
      <c r="H738" s="1194"/>
    </row>
    <row r="739" spans="1:8">
      <c r="A739" s="459"/>
      <c r="B739" s="460"/>
      <c r="E739" s="462"/>
      <c r="F739" s="463"/>
      <c r="G739" s="462"/>
      <c r="H739" s="464"/>
    </row>
    <row r="740" spans="1:8" ht="49.5" customHeight="1">
      <c r="A740" s="467" t="s">
        <v>158</v>
      </c>
      <c r="B740" s="467" t="s">
        <v>381</v>
      </c>
      <c r="C740" s="468" t="s">
        <v>625</v>
      </c>
      <c r="D740" s="468" t="s">
        <v>624</v>
      </c>
      <c r="E740" s="468" t="s">
        <v>382</v>
      </c>
      <c r="F740" s="469" t="s">
        <v>629</v>
      </c>
      <c r="G740" s="468" t="s">
        <v>628</v>
      </c>
      <c r="H740" s="468" t="s">
        <v>383</v>
      </c>
    </row>
    <row r="741" spans="1:8" ht="21" customHeight="1">
      <c r="A741" s="545" t="s">
        <v>179</v>
      </c>
      <c r="B741" s="538" t="s">
        <v>765</v>
      </c>
      <c r="C741" s="539"/>
      <c r="D741" s="539"/>
      <c r="E741" s="539"/>
      <c r="F741" s="539"/>
      <c r="G741" s="539"/>
      <c r="H741" s="539"/>
    </row>
    <row r="742" spans="1:8" ht="21" customHeight="1">
      <c r="A742" s="539">
        <v>1</v>
      </c>
      <c r="B742" s="540" t="s">
        <v>508</v>
      </c>
      <c r="C742" s="539"/>
      <c r="D742" s="539"/>
      <c r="E742" s="539"/>
      <c r="F742" s="539"/>
      <c r="G742" s="539"/>
      <c r="H742" s="539"/>
    </row>
    <row r="743" spans="1:8" ht="21" customHeight="1">
      <c r="A743" s="539" t="s">
        <v>891</v>
      </c>
      <c r="B743" s="540" t="s">
        <v>33</v>
      </c>
      <c r="C743" s="539" t="s">
        <v>979</v>
      </c>
      <c r="D743" s="539" t="s">
        <v>34</v>
      </c>
      <c r="E743" s="544" t="s">
        <v>881</v>
      </c>
      <c r="F743" s="551" t="e">
        <f>LUONGNGAY!$K$35</f>
        <v>#VALUE!</v>
      </c>
      <c r="G743" s="539">
        <v>0.19500000000000001</v>
      </c>
      <c r="H743" s="511" t="e">
        <f>F743*G743</f>
        <v>#VALUE!</v>
      </c>
    </row>
    <row r="744" spans="1:8" ht="21" customHeight="1">
      <c r="A744" s="539" t="s">
        <v>899</v>
      </c>
      <c r="B744" s="540" t="s">
        <v>36</v>
      </c>
      <c r="C744" s="539" t="s">
        <v>979</v>
      </c>
      <c r="D744" s="539" t="s">
        <v>34</v>
      </c>
      <c r="E744" s="544" t="s">
        <v>881</v>
      </c>
      <c r="F744" s="551" t="e">
        <f>LUONGNGAY!$K$35</f>
        <v>#VALUE!</v>
      </c>
      <c r="G744" s="539">
        <v>0.13</v>
      </c>
      <c r="H744" s="511" t="e">
        <f t="shared" ref="H744:H767" si="13">F744*G744</f>
        <v>#VALUE!</v>
      </c>
    </row>
    <row r="745" spans="1:8" ht="31.5" customHeight="1">
      <c r="A745" s="539">
        <v>2</v>
      </c>
      <c r="B745" s="540" t="s">
        <v>953</v>
      </c>
      <c r="C745" s="539" t="s">
        <v>979</v>
      </c>
      <c r="D745" s="539" t="s">
        <v>34</v>
      </c>
      <c r="E745" s="544" t="s">
        <v>881</v>
      </c>
      <c r="F745" s="551" t="e">
        <f>LUONGNGAY!$K$35</f>
        <v>#VALUE!</v>
      </c>
      <c r="G745" s="539">
        <v>0.26</v>
      </c>
      <c r="H745" s="511" t="e">
        <f t="shared" si="13"/>
        <v>#VALUE!</v>
      </c>
    </row>
    <row r="746" spans="1:8" ht="31.5" customHeight="1">
      <c r="A746" s="539">
        <v>3</v>
      </c>
      <c r="B746" s="540" t="s">
        <v>38</v>
      </c>
      <c r="C746" s="539" t="s">
        <v>627</v>
      </c>
      <c r="D746" s="539" t="s">
        <v>29</v>
      </c>
      <c r="E746" s="544" t="s">
        <v>881</v>
      </c>
      <c r="F746" s="551" t="e">
        <f>LUONGNGAY!$K$36</f>
        <v>#VALUE!</v>
      </c>
      <c r="G746" s="539">
        <v>0.16700000000000001</v>
      </c>
      <c r="H746" s="511" t="e">
        <f t="shared" si="13"/>
        <v>#VALUE!</v>
      </c>
    </row>
    <row r="747" spans="1:8" ht="31.5" customHeight="1">
      <c r="A747" s="539">
        <v>4</v>
      </c>
      <c r="B747" s="540" t="s">
        <v>509</v>
      </c>
      <c r="C747" s="539" t="s">
        <v>979</v>
      </c>
      <c r="D747" s="539" t="s">
        <v>29</v>
      </c>
      <c r="E747" s="544" t="s">
        <v>881</v>
      </c>
      <c r="F747" s="551" t="e">
        <f>LUONGNGAY!$K$36</f>
        <v>#VALUE!</v>
      </c>
      <c r="G747" s="539">
        <v>0.65</v>
      </c>
      <c r="H747" s="511" t="e">
        <f t="shared" si="13"/>
        <v>#VALUE!</v>
      </c>
    </row>
    <row r="748" spans="1:8" ht="31.5" customHeight="1">
      <c r="A748" s="539">
        <v>5</v>
      </c>
      <c r="B748" s="540" t="s">
        <v>69</v>
      </c>
      <c r="C748" s="539" t="s">
        <v>627</v>
      </c>
      <c r="D748" s="539" t="s">
        <v>29</v>
      </c>
      <c r="E748" s="544" t="s">
        <v>881</v>
      </c>
      <c r="F748" s="551" t="e">
        <f>LUONGNGAY!$K$36</f>
        <v>#VALUE!</v>
      </c>
      <c r="G748" s="539">
        <v>6.0000000000000001E-3</v>
      </c>
      <c r="H748" s="511" t="e">
        <f t="shared" si="13"/>
        <v>#VALUE!</v>
      </c>
    </row>
    <row r="749" spans="1:8" ht="31.5" customHeight="1">
      <c r="A749" s="539">
        <v>6</v>
      </c>
      <c r="B749" s="540" t="s">
        <v>958</v>
      </c>
      <c r="C749" s="539"/>
      <c r="D749" s="539"/>
      <c r="E749" s="539"/>
      <c r="F749" s="539"/>
      <c r="G749" s="539"/>
      <c r="H749" s="511">
        <f t="shared" si="13"/>
        <v>0</v>
      </c>
    </row>
    <row r="750" spans="1:8" ht="21" customHeight="1">
      <c r="A750" s="539" t="s">
        <v>444</v>
      </c>
      <c r="B750" s="540" t="s">
        <v>770</v>
      </c>
      <c r="C750" s="539" t="s">
        <v>979</v>
      </c>
      <c r="D750" s="539" t="s">
        <v>34</v>
      </c>
      <c r="E750" s="544" t="s">
        <v>881</v>
      </c>
      <c r="F750" s="551" t="e">
        <f>LUONGNGAY!$K$35</f>
        <v>#VALUE!</v>
      </c>
      <c r="G750" s="539">
        <v>0.05</v>
      </c>
      <c r="H750" s="511" t="e">
        <f t="shared" si="13"/>
        <v>#VALUE!</v>
      </c>
    </row>
    <row r="751" spans="1:8" ht="21" customHeight="1">
      <c r="A751" s="539" t="s">
        <v>445</v>
      </c>
      <c r="B751" s="540" t="s">
        <v>771</v>
      </c>
      <c r="C751" s="539" t="s">
        <v>979</v>
      </c>
      <c r="D751" s="539" t="s">
        <v>34</v>
      </c>
      <c r="E751" s="544" t="s">
        <v>881</v>
      </c>
      <c r="F751" s="551" t="e">
        <f>LUONGNGAY!$K$35</f>
        <v>#VALUE!</v>
      </c>
      <c r="G751" s="539">
        <v>0.1</v>
      </c>
      <c r="H751" s="511" t="e">
        <f t="shared" si="13"/>
        <v>#VALUE!</v>
      </c>
    </row>
    <row r="752" spans="1:8" ht="21" customHeight="1">
      <c r="A752" s="539">
        <v>7</v>
      </c>
      <c r="B752" s="540" t="s">
        <v>510</v>
      </c>
      <c r="C752" s="539" t="s">
        <v>627</v>
      </c>
      <c r="D752" s="539" t="s">
        <v>29</v>
      </c>
      <c r="E752" s="544" t="s">
        <v>881</v>
      </c>
      <c r="F752" s="551" t="e">
        <f>LUONGNGAY!$K$36</f>
        <v>#VALUE!</v>
      </c>
      <c r="G752" s="539">
        <v>0.16700000000000001</v>
      </c>
      <c r="H752" s="511" t="e">
        <f t="shared" si="13"/>
        <v>#VALUE!</v>
      </c>
    </row>
    <row r="753" spans="1:8" ht="21" customHeight="1">
      <c r="A753" s="539">
        <v>8</v>
      </c>
      <c r="B753" s="540" t="s">
        <v>213</v>
      </c>
      <c r="C753" s="539"/>
      <c r="D753" s="539"/>
      <c r="E753" s="539"/>
      <c r="F753" s="539"/>
      <c r="G753" s="539"/>
      <c r="H753" s="511">
        <f t="shared" si="13"/>
        <v>0</v>
      </c>
    </row>
    <row r="754" spans="1:8" ht="21" customHeight="1">
      <c r="A754" s="539" t="s">
        <v>374</v>
      </c>
      <c r="B754" s="540" t="s">
        <v>215</v>
      </c>
      <c r="C754" s="539" t="s">
        <v>320</v>
      </c>
      <c r="D754" s="539" t="s">
        <v>34</v>
      </c>
      <c r="E754" s="544" t="s">
        <v>881</v>
      </c>
      <c r="F754" s="551" t="e">
        <f>LUONGNGAY!$K$35</f>
        <v>#VALUE!</v>
      </c>
      <c r="G754" s="539">
        <v>0.1</v>
      </c>
      <c r="H754" s="511" t="e">
        <f t="shared" si="13"/>
        <v>#VALUE!</v>
      </c>
    </row>
    <row r="755" spans="1:8" ht="21" customHeight="1">
      <c r="A755" s="539" t="s">
        <v>375</v>
      </c>
      <c r="B755" s="540" t="s">
        <v>217</v>
      </c>
      <c r="C755" s="539" t="s">
        <v>320</v>
      </c>
      <c r="D755" s="539" t="s">
        <v>34</v>
      </c>
      <c r="E755" s="544" t="s">
        <v>881</v>
      </c>
      <c r="F755" s="551" t="e">
        <f>LUONGNGAY!$K$35</f>
        <v>#VALUE!</v>
      </c>
      <c r="G755" s="539">
        <v>0.2</v>
      </c>
      <c r="H755" s="511" t="e">
        <f t="shared" si="13"/>
        <v>#VALUE!</v>
      </c>
    </row>
    <row r="756" spans="1:8" ht="44.25" customHeight="1">
      <c r="A756" s="539">
        <v>9</v>
      </c>
      <c r="B756" s="540" t="s">
        <v>511</v>
      </c>
      <c r="C756" s="539" t="s">
        <v>979</v>
      </c>
      <c r="D756" s="539" t="s">
        <v>29</v>
      </c>
      <c r="E756" s="544" t="s">
        <v>881</v>
      </c>
      <c r="F756" s="551" t="e">
        <f>LUONGNGAY!$K$36</f>
        <v>#VALUE!</v>
      </c>
      <c r="G756" s="539">
        <v>0.52</v>
      </c>
      <c r="H756" s="511" t="e">
        <f t="shared" si="13"/>
        <v>#VALUE!</v>
      </c>
    </row>
    <row r="757" spans="1:8" ht="32.25" customHeight="1">
      <c r="A757" s="539">
        <v>10</v>
      </c>
      <c r="B757" s="540" t="s">
        <v>512</v>
      </c>
      <c r="C757" s="539" t="s">
        <v>979</v>
      </c>
      <c r="D757" s="539" t="s">
        <v>34</v>
      </c>
      <c r="E757" s="544" t="s">
        <v>881</v>
      </c>
      <c r="F757" s="551" t="e">
        <f>LUONGNGAY!$K$35</f>
        <v>#VALUE!</v>
      </c>
      <c r="G757" s="539">
        <v>0.44400000000000001</v>
      </c>
      <c r="H757" s="511" t="e">
        <f t="shared" si="13"/>
        <v>#VALUE!</v>
      </c>
    </row>
    <row r="758" spans="1:8" ht="21" customHeight="1">
      <c r="A758" s="539">
        <v>11</v>
      </c>
      <c r="B758" s="540" t="s">
        <v>221</v>
      </c>
      <c r="C758" s="539"/>
      <c r="D758" s="539"/>
      <c r="E758" s="539"/>
      <c r="F758" s="539"/>
      <c r="G758" s="539"/>
      <c r="H758" s="511">
        <f t="shared" si="13"/>
        <v>0</v>
      </c>
    </row>
    <row r="759" spans="1:8" ht="30" customHeight="1">
      <c r="A759" s="539" t="s">
        <v>877</v>
      </c>
      <c r="B759" s="540" t="s">
        <v>931</v>
      </c>
      <c r="C759" s="539"/>
      <c r="D759" s="539"/>
      <c r="E759" s="539"/>
      <c r="F759" s="539"/>
      <c r="G759" s="539"/>
      <c r="H759" s="511">
        <f t="shared" si="13"/>
        <v>0</v>
      </c>
    </row>
    <row r="760" spans="1:8" ht="21" customHeight="1">
      <c r="A760" s="539" t="s">
        <v>513</v>
      </c>
      <c r="B760" s="540" t="s">
        <v>933</v>
      </c>
      <c r="C760" s="539" t="s">
        <v>934</v>
      </c>
      <c r="D760" s="539" t="s">
        <v>935</v>
      </c>
      <c r="E760" s="544" t="s">
        <v>881</v>
      </c>
      <c r="F760" s="471" t="e">
        <f>LUONGNGAY!$K$34</f>
        <v>#VALUE!</v>
      </c>
      <c r="G760" s="539">
        <v>1.6E-2</v>
      </c>
      <c r="H760" s="511" t="e">
        <f t="shared" si="13"/>
        <v>#VALUE!</v>
      </c>
    </row>
    <row r="761" spans="1:8" ht="21" customHeight="1">
      <c r="A761" s="539" t="s">
        <v>514</v>
      </c>
      <c r="B761" s="540" t="s">
        <v>937</v>
      </c>
      <c r="C761" s="539" t="s">
        <v>934</v>
      </c>
      <c r="D761" s="539" t="s">
        <v>935</v>
      </c>
      <c r="E761" s="544" t="s">
        <v>881</v>
      </c>
      <c r="F761" s="471" t="e">
        <f>LUONGNGAY!$K$34</f>
        <v>#VALUE!</v>
      </c>
      <c r="G761" s="539">
        <v>8.0000000000000002E-3</v>
      </c>
      <c r="H761" s="511" t="e">
        <f t="shared" si="13"/>
        <v>#VALUE!</v>
      </c>
    </row>
    <row r="762" spans="1:8" ht="36.75" customHeight="1">
      <c r="A762" s="539" t="s">
        <v>878</v>
      </c>
      <c r="B762" s="540" t="s">
        <v>48</v>
      </c>
      <c r="C762" s="539" t="s">
        <v>934</v>
      </c>
      <c r="D762" s="539" t="s">
        <v>935</v>
      </c>
      <c r="E762" s="544" t="s">
        <v>881</v>
      </c>
      <c r="F762" s="471" t="e">
        <f>LUONGNGAY!$K$34</f>
        <v>#VALUE!</v>
      </c>
      <c r="G762" s="539">
        <v>4.0000000000000001E-3</v>
      </c>
      <c r="H762" s="511" t="e">
        <f t="shared" si="13"/>
        <v>#VALUE!</v>
      </c>
    </row>
    <row r="763" spans="1:8" ht="21" customHeight="1">
      <c r="A763" s="539" t="s">
        <v>879</v>
      </c>
      <c r="B763" s="540" t="s">
        <v>50</v>
      </c>
      <c r="C763" s="539" t="s">
        <v>627</v>
      </c>
      <c r="D763" s="539" t="s">
        <v>935</v>
      </c>
      <c r="E763" s="544" t="s">
        <v>881</v>
      </c>
      <c r="F763" s="471" t="e">
        <f>LUONGNGAY!$K$34</f>
        <v>#VALUE!</v>
      </c>
      <c r="G763" s="539">
        <v>0.01</v>
      </c>
      <c r="H763" s="511" t="e">
        <f t="shared" si="13"/>
        <v>#VALUE!</v>
      </c>
    </row>
    <row r="764" spans="1:8" ht="37.5" customHeight="1">
      <c r="A764" s="539">
        <v>12</v>
      </c>
      <c r="B764" s="540" t="s">
        <v>235</v>
      </c>
      <c r="C764" s="539" t="s">
        <v>979</v>
      </c>
      <c r="D764" s="539" t="s">
        <v>34</v>
      </c>
      <c r="E764" s="544" t="s">
        <v>881</v>
      </c>
      <c r="F764" s="551" t="e">
        <f>LUONGNGAY!$K$35</f>
        <v>#VALUE!</v>
      </c>
      <c r="G764" s="539">
        <v>6.5000000000000002E-2</v>
      </c>
      <c r="H764" s="511" t="e">
        <f t="shared" si="13"/>
        <v>#VALUE!</v>
      </c>
    </row>
    <row r="765" spans="1:8" ht="37.5" customHeight="1">
      <c r="A765" s="539">
        <v>13</v>
      </c>
      <c r="B765" s="540" t="s">
        <v>236</v>
      </c>
      <c r="C765" s="539" t="s">
        <v>979</v>
      </c>
      <c r="D765" s="539" t="s">
        <v>34</v>
      </c>
      <c r="E765" s="544" t="s">
        <v>881</v>
      </c>
      <c r="F765" s="551" t="e">
        <f>LUONGNGAY!$K$35</f>
        <v>#VALUE!</v>
      </c>
      <c r="G765" s="539">
        <v>6.5000000000000002E-2</v>
      </c>
      <c r="H765" s="511" t="e">
        <f t="shared" si="13"/>
        <v>#VALUE!</v>
      </c>
    </row>
    <row r="766" spans="1:8" ht="21" customHeight="1">
      <c r="A766" s="545" t="s">
        <v>184</v>
      </c>
      <c r="B766" s="538" t="s">
        <v>606</v>
      </c>
      <c r="C766" s="539"/>
      <c r="D766" s="539"/>
      <c r="E766" s="539"/>
      <c r="F766" s="539"/>
      <c r="G766" s="539"/>
      <c r="H766" s="511">
        <f t="shared" si="13"/>
        <v>0</v>
      </c>
    </row>
    <row r="767" spans="1:8" ht="21" customHeight="1">
      <c r="A767" s="539">
        <v>1</v>
      </c>
      <c r="B767" s="540" t="s">
        <v>515</v>
      </c>
      <c r="C767" s="539" t="s">
        <v>979</v>
      </c>
      <c r="D767" s="539" t="s">
        <v>34</v>
      </c>
      <c r="E767" s="544" t="s">
        <v>881</v>
      </c>
      <c r="F767" s="551" t="e">
        <f>LUONGNGAY!$K$35</f>
        <v>#VALUE!</v>
      </c>
      <c r="G767" s="539">
        <v>2.5999999999999999E-2</v>
      </c>
      <c r="H767" s="511" t="e">
        <f t="shared" si="13"/>
        <v>#VALUE!</v>
      </c>
    </row>
    <row r="768" spans="1:8">
      <c r="A768" s="507"/>
      <c r="B768" s="490"/>
      <c r="C768" s="484"/>
      <c r="D768" s="484"/>
      <c r="E768" s="507"/>
      <c r="F768" s="485"/>
      <c r="G768" s="509"/>
      <c r="H768" s="487"/>
    </row>
    <row r="769" spans="1:8" ht="24.6" customHeight="1">
      <c r="A769" s="1194" t="s">
        <v>903</v>
      </c>
      <c r="B769" s="1194"/>
      <c r="C769" s="1194"/>
      <c r="D769" s="1194"/>
      <c r="E769" s="1194"/>
      <c r="F769" s="1194"/>
      <c r="G769" s="1194"/>
      <c r="H769" s="1194"/>
    </row>
    <row r="770" spans="1:8" ht="11.45" customHeight="1">
      <c r="A770" s="459"/>
      <c r="B770" s="460"/>
      <c r="E770" s="462"/>
      <c r="F770" s="463"/>
      <c r="G770" s="462"/>
      <c r="H770" s="464"/>
    </row>
    <row r="771" spans="1:8" ht="42.6" customHeight="1">
      <c r="A771" s="467" t="s">
        <v>158</v>
      </c>
      <c r="B771" s="467" t="s">
        <v>381</v>
      </c>
      <c r="C771" s="468" t="s">
        <v>625</v>
      </c>
      <c r="D771" s="468" t="s">
        <v>624</v>
      </c>
      <c r="E771" s="468" t="s">
        <v>382</v>
      </c>
      <c r="F771" s="469" t="s">
        <v>629</v>
      </c>
      <c r="G771" s="468" t="s">
        <v>628</v>
      </c>
      <c r="H771" s="468" t="s">
        <v>383</v>
      </c>
    </row>
    <row r="772" spans="1:8" ht="24.75" customHeight="1">
      <c r="A772" s="545" t="s">
        <v>179</v>
      </c>
      <c r="B772" s="538" t="s">
        <v>1057</v>
      </c>
      <c r="C772" s="539"/>
      <c r="D772" s="539"/>
      <c r="E772" s="539"/>
      <c r="F772" s="539"/>
      <c r="G772" s="539"/>
      <c r="H772" s="539"/>
    </row>
    <row r="773" spans="1:8" ht="24.75" customHeight="1">
      <c r="A773" s="539">
        <v>1</v>
      </c>
      <c r="B773" s="540" t="s">
        <v>516</v>
      </c>
      <c r="C773" s="539"/>
      <c r="D773" s="539"/>
      <c r="E773" s="539"/>
      <c r="F773" s="539"/>
      <c r="G773" s="539"/>
      <c r="H773" s="539"/>
    </row>
    <row r="774" spans="1:8" ht="24.75" customHeight="1">
      <c r="A774" s="539" t="s">
        <v>891</v>
      </c>
      <c r="B774" s="540" t="s">
        <v>33</v>
      </c>
      <c r="C774" s="539" t="s">
        <v>979</v>
      </c>
      <c r="D774" s="539" t="s">
        <v>34</v>
      </c>
      <c r="E774" s="544" t="s">
        <v>881</v>
      </c>
      <c r="F774" s="551" t="e">
        <f>LUONGNGAY!$K$35</f>
        <v>#VALUE!</v>
      </c>
      <c r="G774" s="539">
        <v>0.25</v>
      </c>
      <c r="H774" s="511" t="e">
        <f>F774*G774</f>
        <v>#VALUE!</v>
      </c>
    </row>
    <row r="775" spans="1:8" ht="24.75" customHeight="1">
      <c r="A775" s="539" t="s">
        <v>899</v>
      </c>
      <c r="B775" s="540" t="s">
        <v>36</v>
      </c>
      <c r="C775" s="539" t="s">
        <v>979</v>
      </c>
      <c r="D775" s="539" t="s">
        <v>34</v>
      </c>
      <c r="E775" s="544" t="s">
        <v>881</v>
      </c>
      <c r="F775" s="551" t="e">
        <f>LUONGNGAY!$K$35</f>
        <v>#VALUE!</v>
      </c>
      <c r="G775" s="539">
        <v>0.2</v>
      </c>
      <c r="H775" s="511" t="e">
        <f t="shared" ref="H775:H800" si="14">F775*G775</f>
        <v>#VALUE!</v>
      </c>
    </row>
    <row r="776" spans="1:8" ht="30.75" customHeight="1">
      <c r="A776" s="539">
        <v>2</v>
      </c>
      <c r="B776" s="540" t="s">
        <v>953</v>
      </c>
      <c r="C776" s="539" t="s">
        <v>979</v>
      </c>
      <c r="D776" s="539" t="s">
        <v>34</v>
      </c>
      <c r="E776" s="544" t="s">
        <v>881</v>
      </c>
      <c r="F776" s="551" t="e">
        <f>LUONGNGAY!$K$35</f>
        <v>#VALUE!</v>
      </c>
      <c r="G776" s="539">
        <v>0.2</v>
      </c>
      <c r="H776" s="511" t="e">
        <f t="shared" si="14"/>
        <v>#VALUE!</v>
      </c>
    </row>
    <row r="777" spans="1:8" ht="30.75" customHeight="1">
      <c r="A777" s="539">
        <v>3</v>
      </c>
      <c r="B777" s="540" t="s">
        <v>517</v>
      </c>
      <c r="C777" s="539" t="s">
        <v>627</v>
      </c>
      <c r="D777" s="539" t="s">
        <v>29</v>
      </c>
      <c r="E777" s="544" t="s">
        <v>881</v>
      </c>
      <c r="F777" s="551" t="e">
        <f>LUONGNGAY!$K$36</f>
        <v>#VALUE!</v>
      </c>
      <c r="G777" s="539">
        <v>0.107</v>
      </c>
      <c r="H777" s="511" t="e">
        <f t="shared" si="14"/>
        <v>#VALUE!</v>
      </c>
    </row>
    <row r="778" spans="1:8" ht="30.75" customHeight="1">
      <c r="A778" s="539">
        <v>4</v>
      </c>
      <c r="B778" s="540" t="s">
        <v>518</v>
      </c>
      <c r="C778" s="539" t="s">
        <v>979</v>
      </c>
      <c r="D778" s="539" t="s">
        <v>1060</v>
      </c>
      <c r="E778" s="544" t="s">
        <v>881</v>
      </c>
      <c r="F778" s="508" t="e">
        <f>LUONGNGAY!$K$37</f>
        <v>#VALUE!</v>
      </c>
      <c r="G778" s="539">
        <v>1</v>
      </c>
      <c r="H778" s="511" t="e">
        <f t="shared" si="14"/>
        <v>#VALUE!</v>
      </c>
    </row>
    <row r="779" spans="1:8" ht="30.75" customHeight="1">
      <c r="A779" s="539">
        <v>5</v>
      </c>
      <c r="B779" s="540" t="s">
        <v>519</v>
      </c>
      <c r="C779" s="539" t="s">
        <v>627</v>
      </c>
      <c r="D779" s="539" t="s">
        <v>29</v>
      </c>
      <c r="E779" s="544" t="s">
        <v>881</v>
      </c>
      <c r="F779" s="551" t="e">
        <f>LUONGNGAY!$K$36</f>
        <v>#VALUE!</v>
      </c>
      <c r="G779" s="539">
        <v>6.0000000000000001E-3</v>
      </c>
      <c r="H779" s="511" t="e">
        <f t="shared" si="14"/>
        <v>#VALUE!</v>
      </c>
    </row>
    <row r="780" spans="1:8" ht="37.5" customHeight="1">
      <c r="A780" s="539">
        <v>6</v>
      </c>
      <c r="B780" s="540" t="s">
        <v>958</v>
      </c>
      <c r="C780" s="539"/>
      <c r="D780" s="539"/>
      <c r="E780" s="539"/>
      <c r="G780" s="539"/>
      <c r="H780" s="511">
        <f t="shared" si="14"/>
        <v>0</v>
      </c>
    </row>
    <row r="781" spans="1:8" ht="22.5" customHeight="1">
      <c r="A781" s="539" t="s">
        <v>444</v>
      </c>
      <c r="B781" s="540" t="s">
        <v>770</v>
      </c>
      <c r="C781" s="539" t="s">
        <v>979</v>
      </c>
      <c r="D781" s="539" t="s">
        <v>34</v>
      </c>
      <c r="E781" s="544" t="s">
        <v>881</v>
      </c>
      <c r="F781" s="551" t="e">
        <f>LUONGNGAY!$K$35</f>
        <v>#VALUE!</v>
      </c>
      <c r="G781" s="539">
        <v>0.05</v>
      </c>
      <c r="H781" s="511" t="e">
        <f t="shared" si="14"/>
        <v>#VALUE!</v>
      </c>
    </row>
    <row r="782" spans="1:8" ht="22.5" customHeight="1">
      <c r="A782" s="539" t="s">
        <v>445</v>
      </c>
      <c r="B782" s="540" t="s">
        <v>771</v>
      </c>
      <c r="C782" s="539" t="s">
        <v>979</v>
      </c>
      <c r="D782" s="539" t="s">
        <v>34</v>
      </c>
      <c r="E782" s="544" t="s">
        <v>881</v>
      </c>
      <c r="F782" s="551" t="e">
        <f>LUONGNGAY!$K$35</f>
        <v>#VALUE!</v>
      </c>
      <c r="G782" s="539">
        <v>0.1</v>
      </c>
      <c r="H782" s="511" t="e">
        <f t="shared" si="14"/>
        <v>#VALUE!</v>
      </c>
    </row>
    <row r="783" spans="1:8" ht="22.5" customHeight="1">
      <c r="A783" s="539">
        <v>7</v>
      </c>
      <c r="B783" s="540" t="s">
        <v>510</v>
      </c>
      <c r="C783" s="539" t="s">
        <v>627</v>
      </c>
      <c r="D783" s="539" t="s">
        <v>29</v>
      </c>
      <c r="E783" s="544" t="s">
        <v>881</v>
      </c>
      <c r="F783" s="551" t="e">
        <f>LUONGNGAY!$K$36</f>
        <v>#VALUE!</v>
      </c>
      <c r="G783" s="539">
        <v>0.107</v>
      </c>
      <c r="H783" s="511" t="e">
        <f t="shared" si="14"/>
        <v>#VALUE!</v>
      </c>
    </row>
    <row r="784" spans="1:8" ht="22.5" customHeight="1">
      <c r="A784" s="539">
        <v>8</v>
      </c>
      <c r="B784" s="540" t="s">
        <v>213</v>
      </c>
      <c r="C784" s="539"/>
      <c r="D784" s="539"/>
      <c r="E784" s="539"/>
      <c r="G784" s="539"/>
      <c r="H784" s="511">
        <f t="shared" si="14"/>
        <v>0</v>
      </c>
    </row>
    <row r="785" spans="1:8" ht="22.5" customHeight="1">
      <c r="A785" s="539" t="s">
        <v>374</v>
      </c>
      <c r="B785" s="540" t="s">
        <v>215</v>
      </c>
      <c r="C785" s="539" t="s">
        <v>320</v>
      </c>
      <c r="D785" s="539" t="s">
        <v>34</v>
      </c>
      <c r="E785" s="544" t="s">
        <v>881</v>
      </c>
      <c r="F785" s="551" t="e">
        <f>LUONGNGAY!$K$35</f>
        <v>#VALUE!</v>
      </c>
      <c r="G785" s="539">
        <v>0.1</v>
      </c>
      <c r="H785" s="511" t="e">
        <f t="shared" si="14"/>
        <v>#VALUE!</v>
      </c>
    </row>
    <row r="786" spans="1:8" ht="22.5" customHeight="1">
      <c r="A786" s="539" t="s">
        <v>375</v>
      </c>
      <c r="B786" s="540" t="s">
        <v>217</v>
      </c>
      <c r="C786" s="539" t="s">
        <v>320</v>
      </c>
      <c r="D786" s="539" t="s">
        <v>34</v>
      </c>
      <c r="E786" s="544" t="s">
        <v>881</v>
      </c>
      <c r="F786" s="551" t="e">
        <f>LUONGNGAY!$K$35</f>
        <v>#VALUE!</v>
      </c>
      <c r="G786" s="539">
        <v>0.15</v>
      </c>
      <c r="H786" s="511" t="e">
        <f t="shared" si="14"/>
        <v>#VALUE!</v>
      </c>
    </row>
    <row r="787" spans="1:8" ht="37.5" customHeight="1">
      <c r="A787" s="539">
        <v>9</v>
      </c>
      <c r="B787" s="540" t="s">
        <v>520</v>
      </c>
      <c r="C787" s="539" t="s">
        <v>979</v>
      </c>
      <c r="D787" s="539" t="s">
        <v>29</v>
      </c>
      <c r="E787" s="544" t="s">
        <v>881</v>
      </c>
      <c r="F787" s="551" t="e">
        <f>LUONGNGAY!$K$36</f>
        <v>#VALUE!</v>
      </c>
      <c r="G787" s="539">
        <v>0.5</v>
      </c>
      <c r="H787" s="511" t="e">
        <f t="shared" si="14"/>
        <v>#VALUE!</v>
      </c>
    </row>
    <row r="788" spans="1:8" ht="37.5" customHeight="1">
      <c r="A788" s="539">
        <v>10</v>
      </c>
      <c r="B788" s="540" t="s">
        <v>480</v>
      </c>
      <c r="C788" s="539" t="s">
        <v>979</v>
      </c>
      <c r="D788" s="539" t="s">
        <v>29</v>
      </c>
      <c r="E788" s="544" t="s">
        <v>881</v>
      </c>
      <c r="F788" s="551" t="e">
        <f>LUONGNGAY!$K$36</f>
        <v>#VALUE!</v>
      </c>
      <c r="G788" s="539">
        <v>0.47</v>
      </c>
      <c r="H788" s="511" t="e">
        <f t="shared" si="14"/>
        <v>#VALUE!</v>
      </c>
    </row>
    <row r="789" spans="1:8" ht="30.75" customHeight="1">
      <c r="A789" s="539">
        <v>11</v>
      </c>
      <c r="B789" s="540" t="s">
        <v>221</v>
      </c>
      <c r="C789" s="539"/>
      <c r="D789" s="539"/>
      <c r="E789" s="539"/>
      <c r="F789" s="539"/>
      <c r="G789" s="539"/>
      <c r="H789" s="511"/>
    </row>
    <row r="790" spans="1:8" ht="30.75" customHeight="1">
      <c r="A790" s="539" t="s">
        <v>877</v>
      </c>
      <c r="B790" s="540" t="s">
        <v>931</v>
      </c>
      <c r="C790" s="539"/>
      <c r="D790" s="539"/>
      <c r="E790" s="539"/>
      <c r="F790" s="539"/>
      <c r="G790" s="539"/>
      <c r="H790" s="511"/>
    </row>
    <row r="791" spans="1:8" ht="30.75" customHeight="1">
      <c r="A791" s="539" t="s">
        <v>513</v>
      </c>
      <c r="B791" s="540" t="s">
        <v>933</v>
      </c>
      <c r="C791" s="539" t="s">
        <v>934</v>
      </c>
      <c r="D791" s="539" t="s">
        <v>935</v>
      </c>
      <c r="E791" s="544" t="s">
        <v>881</v>
      </c>
      <c r="F791" s="471" t="e">
        <f>LUONGNGAY!$K$34</f>
        <v>#VALUE!</v>
      </c>
      <c r="G791" s="539">
        <v>1.6E-2</v>
      </c>
      <c r="H791" s="511" t="e">
        <f t="shared" si="14"/>
        <v>#VALUE!</v>
      </c>
    </row>
    <row r="792" spans="1:8" ht="30.75" customHeight="1">
      <c r="A792" s="539" t="s">
        <v>514</v>
      </c>
      <c r="B792" s="540" t="s">
        <v>937</v>
      </c>
      <c r="C792" s="539" t="s">
        <v>934</v>
      </c>
      <c r="D792" s="539" t="s">
        <v>935</v>
      </c>
      <c r="E792" s="544" t="s">
        <v>881</v>
      </c>
      <c r="F792" s="471" t="e">
        <f>LUONGNGAY!$K$34</f>
        <v>#VALUE!</v>
      </c>
      <c r="G792" s="539">
        <v>8.0000000000000002E-3</v>
      </c>
      <c r="H792" s="511" t="e">
        <f t="shared" si="14"/>
        <v>#VALUE!</v>
      </c>
    </row>
    <row r="793" spans="1:8" ht="30.75" customHeight="1">
      <c r="A793" s="539" t="s">
        <v>878</v>
      </c>
      <c r="B793" s="540" t="s">
        <v>48</v>
      </c>
      <c r="C793" s="539" t="s">
        <v>934</v>
      </c>
      <c r="D793" s="539" t="s">
        <v>935</v>
      </c>
      <c r="E793" s="544" t="s">
        <v>881</v>
      </c>
      <c r="F793" s="471" t="e">
        <f>LUONGNGAY!$K$34</f>
        <v>#VALUE!</v>
      </c>
      <c r="G793" s="539">
        <v>4.0000000000000001E-3</v>
      </c>
      <c r="H793" s="511" t="e">
        <f t="shared" si="14"/>
        <v>#VALUE!</v>
      </c>
    </row>
    <row r="794" spans="1:8" ht="30.75" customHeight="1">
      <c r="A794" s="539" t="s">
        <v>879</v>
      </c>
      <c r="B794" s="540" t="s">
        <v>50</v>
      </c>
      <c r="C794" s="539" t="s">
        <v>627</v>
      </c>
      <c r="D794" s="539" t="s">
        <v>935</v>
      </c>
      <c r="E794" s="544" t="s">
        <v>881</v>
      </c>
      <c r="F794" s="471" t="e">
        <f>LUONGNGAY!$K$34</f>
        <v>#VALUE!</v>
      </c>
      <c r="G794" s="539">
        <v>0.01</v>
      </c>
      <c r="H794" s="511" t="e">
        <f t="shared" si="14"/>
        <v>#VALUE!</v>
      </c>
    </row>
    <row r="795" spans="1:8" ht="51" customHeight="1">
      <c r="A795" s="539">
        <v>12</v>
      </c>
      <c r="B795" s="540" t="s">
        <v>235</v>
      </c>
      <c r="C795" s="539" t="s">
        <v>979</v>
      </c>
      <c r="D795" s="539" t="s">
        <v>34</v>
      </c>
      <c r="E795" s="544" t="s">
        <v>881</v>
      </c>
      <c r="F795" s="551" t="e">
        <f>LUONGNGAY!$K$35</f>
        <v>#VALUE!</v>
      </c>
      <c r="G795" s="539">
        <v>0.05</v>
      </c>
      <c r="H795" s="511" t="e">
        <f t="shared" si="14"/>
        <v>#VALUE!</v>
      </c>
    </row>
    <row r="796" spans="1:8" ht="30.75" customHeight="1">
      <c r="A796" s="539">
        <v>13</v>
      </c>
      <c r="B796" s="540" t="s">
        <v>236</v>
      </c>
      <c r="C796" s="539" t="s">
        <v>979</v>
      </c>
      <c r="D796" s="539" t="s">
        <v>34</v>
      </c>
      <c r="E796" s="544" t="s">
        <v>881</v>
      </c>
      <c r="F796" s="551" t="e">
        <f>LUONGNGAY!$K$35</f>
        <v>#VALUE!</v>
      </c>
      <c r="G796" s="539">
        <v>0.05</v>
      </c>
      <c r="H796" s="511" t="e">
        <f t="shared" si="14"/>
        <v>#VALUE!</v>
      </c>
    </row>
    <row r="797" spans="1:8" ht="30.75" customHeight="1">
      <c r="A797" s="545" t="s">
        <v>184</v>
      </c>
      <c r="B797" s="538" t="s">
        <v>765</v>
      </c>
      <c r="C797" s="539"/>
      <c r="D797" s="539"/>
      <c r="E797" s="539"/>
      <c r="G797" s="539"/>
      <c r="H797" s="511">
        <f t="shared" si="14"/>
        <v>0</v>
      </c>
    </row>
    <row r="798" spans="1:8" ht="30.75" customHeight="1">
      <c r="A798" s="539">
        <v>1</v>
      </c>
      <c r="B798" s="540" t="s">
        <v>809</v>
      </c>
      <c r="C798" s="539" t="s">
        <v>979</v>
      </c>
      <c r="D798" s="539" t="s">
        <v>34</v>
      </c>
      <c r="E798" s="544" t="s">
        <v>881</v>
      </c>
      <c r="F798" s="551" t="e">
        <f>LUONGNGAY!$K$35</f>
        <v>#VALUE!</v>
      </c>
      <c r="G798" s="539">
        <v>0.02</v>
      </c>
      <c r="H798" s="511" t="e">
        <f t="shared" si="14"/>
        <v>#VALUE!</v>
      </c>
    </row>
    <row r="799" spans="1:8" ht="30.75" customHeight="1">
      <c r="A799" s="545" t="s">
        <v>913</v>
      </c>
      <c r="B799" s="538" t="s">
        <v>606</v>
      </c>
      <c r="C799" s="539"/>
      <c r="D799" s="539"/>
      <c r="E799" s="539"/>
      <c r="G799" s="539"/>
      <c r="H799" s="511">
        <f t="shared" si="14"/>
        <v>0</v>
      </c>
    </row>
    <row r="800" spans="1:8" ht="30.75" customHeight="1">
      <c r="A800" s="539">
        <v>1</v>
      </c>
      <c r="B800" s="540" t="s">
        <v>810</v>
      </c>
      <c r="C800" s="539" t="s">
        <v>979</v>
      </c>
      <c r="D800" s="539" t="s">
        <v>34</v>
      </c>
      <c r="E800" s="544" t="s">
        <v>881</v>
      </c>
      <c r="F800" s="551" t="e">
        <f>LUONGNGAY!$K$35</f>
        <v>#VALUE!</v>
      </c>
      <c r="G800" s="539">
        <v>0.02</v>
      </c>
      <c r="H800" s="511" t="e">
        <f t="shared" si="14"/>
        <v>#VALUE!</v>
      </c>
    </row>
    <row r="801" spans="1:8" ht="15" customHeight="1">
      <c r="A801" s="515"/>
      <c r="B801" s="516"/>
      <c r="C801" s="517"/>
      <c r="D801" s="517"/>
      <c r="E801" s="515"/>
      <c r="F801" s="518"/>
      <c r="G801" s="519"/>
      <c r="H801" s="520"/>
    </row>
    <row r="802" spans="1:8" ht="15" customHeight="1">
      <c r="A802" s="507"/>
      <c r="B802" s="490"/>
      <c r="C802" s="484"/>
      <c r="D802" s="484"/>
      <c r="E802" s="507"/>
      <c r="F802" s="485"/>
      <c r="G802" s="496"/>
      <c r="H802" s="487"/>
    </row>
    <row r="803" spans="1:8" ht="27.75" customHeight="1">
      <c r="A803" s="1194" t="s">
        <v>837</v>
      </c>
      <c r="B803" s="1194"/>
      <c r="C803" s="1194"/>
      <c r="D803" s="1194"/>
      <c r="E803" s="1194"/>
      <c r="F803" s="1194"/>
      <c r="G803" s="1194"/>
      <c r="H803" s="1194"/>
    </row>
    <row r="804" spans="1:8" ht="10.15" customHeight="1">
      <c r="A804" s="459"/>
      <c r="B804" s="460"/>
      <c r="E804" s="462"/>
      <c r="F804" s="463"/>
      <c r="G804" s="462"/>
      <c r="H804" s="464"/>
    </row>
    <row r="805" spans="1:8" ht="41.45" customHeight="1">
      <c r="A805" s="467" t="s">
        <v>158</v>
      </c>
      <c r="B805" s="467" t="s">
        <v>381</v>
      </c>
      <c r="C805" s="468" t="s">
        <v>625</v>
      </c>
      <c r="D805" s="468" t="s">
        <v>624</v>
      </c>
      <c r="E805" s="468" t="s">
        <v>382</v>
      </c>
      <c r="F805" s="469" t="s">
        <v>629</v>
      </c>
      <c r="G805" s="468" t="s">
        <v>628</v>
      </c>
      <c r="H805" s="468" t="s">
        <v>383</v>
      </c>
    </row>
    <row r="806" spans="1:8" ht="41.45" customHeight="1">
      <c r="A806" s="545" t="s">
        <v>179</v>
      </c>
      <c r="B806" s="538" t="s">
        <v>1057</v>
      </c>
      <c r="C806" s="539"/>
      <c r="D806" s="539"/>
      <c r="E806" s="539"/>
      <c r="F806" s="539"/>
      <c r="G806" s="539"/>
      <c r="H806" s="539"/>
    </row>
    <row r="807" spans="1:8" ht="41.45" customHeight="1">
      <c r="A807" s="539">
        <v>1</v>
      </c>
      <c r="B807" s="540" t="s">
        <v>516</v>
      </c>
      <c r="C807" s="539"/>
      <c r="D807" s="539"/>
      <c r="E807" s="539"/>
      <c r="F807" s="539"/>
      <c r="G807" s="539"/>
      <c r="H807" s="539"/>
    </row>
    <row r="808" spans="1:8" ht="41.45" customHeight="1">
      <c r="A808" s="539" t="s">
        <v>891</v>
      </c>
      <c r="B808" s="540" t="s">
        <v>33</v>
      </c>
      <c r="C808" s="539" t="s">
        <v>979</v>
      </c>
      <c r="D808" s="539" t="s">
        <v>34</v>
      </c>
      <c r="E808" s="544" t="s">
        <v>881</v>
      </c>
      <c r="F808" s="551" t="e">
        <f>LUONGNGAY!$K$35</f>
        <v>#VALUE!</v>
      </c>
      <c r="G808" s="539">
        <v>0.25</v>
      </c>
      <c r="H808" s="511" t="e">
        <f>F808*G808</f>
        <v>#VALUE!</v>
      </c>
    </row>
    <row r="809" spans="1:8" ht="41.45" customHeight="1">
      <c r="A809" s="539" t="s">
        <v>899</v>
      </c>
      <c r="B809" s="540" t="s">
        <v>36</v>
      </c>
      <c r="C809" s="539" t="s">
        <v>979</v>
      </c>
      <c r="D809" s="539" t="s">
        <v>34</v>
      </c>
      <c r="E809" s="544" t="s">
        <v>881</v>
      </c>
      <c r="F809" s="551" t="e">
        <f>LUONGNGAY!$K$35</f>
        <v>#VALUE!</v>
      </c>
      <c r="G809" s="539">
        <v>0.2</v>
      </c>
      <c r="H809" s="511" t="e">
        <f t="shared" ref="H809:H834" si="15">F809*G809</f>
        <v>#VALUE!</v>
      </c>
    </row>
    <row r="810" spans="1:8" ht="41.45" customHeight="1">
      <c r="A810" s="539">
        <v>2</v>
      </c>
      <c r="B810" s="540" t="s">
        <v>953</v>
      </c>
      <c r="C810" s="539" t="s">
        <v>979</v>
      </c>
      <c r="D810" s="539" t="s">
        <v>34</v>
      </c>
      <c r="E810" s="544" t="s">
        <v>881</v>
      </c>
      <c r="F810" s="551" t="e">
        <f>LUONGNGAY!$K$35</f>
        <v>#VALUE!</v>
      </c>
      <c r="G810" s="539">
        <v>0.2</v>
      </c>
      <c r="H810" s="511" t="e">
        <f t="shared" si="15"/>
        <v>#VALUE!</v>
      </c>
    </row>
    <row r="811" spans="1:8" ht="41.45" customHeight="1">
      <c r="A811" s="539">
        <v>3</v>
      </c>
      <c r="B811" s="540" t="s">
        <v>517</v>
      </c>
      <c r="C811" s="539" t="s">
        <v>627</v>
      </c>
      <c r="D811" s="539" t="s">
        <v>29</v>
      </c>
      <c r="E811" s="544" t="s">
        <v>881</v>
      </c>
      <c r="F811" s="551" t="e">
        <f>LUONGNGAY!$K$36</f>
        <v>#VALUE!</v>
      </c>
      <c r="G811" s="539">
        <v>3.3000000000000002E-2</v>
      </c>
      <c r="H811" s="511" t="e">
        <f t="shared" si="15"/>
        <v>#VALUE!</v>
      </c>
    </row>
    <row r="812" spans="1:8" ht="41.45" customHeight="1">
      <c r="A812" s="539">
        <v>4</v>
      </c>
      <c r="B812" s="540" t="s">
        <v>518</v>
      </c>
      <c r="C812" s="539" t="s">
        <v>979</v>
      </c>
      <c r="D812" s="539" t="s">
        <v>1060</v>
      </c>
      <c r="E812" s="544" t="s">
        <v>881</v>
      </c>
      <c r="F812" s="508" t="e">
        <f>LUONGNGAY!$K$37</f>
        <v>#VALUE!</v>
      </c>
      <c r="G812" s="539">
        <v>1</v>
      </c>
      <c r="H812" s="511" t="e">
        <f t="shared" si="15"/>
        <v>#VALUE!</v>
      </c>
    </row>
    <row r="813" spans="1:8" ht="41.45" customHeight="1">
      <c r="A813" s="539">
        <v>5</v>
      </c>
      <c r="B813" s="540" t="s">
        <v>519</v>
      </c>
      <c r="C813" s="539" t="s">
        <v>627</v>
      </c>
      <c r="D813" s="539" t="s">
        <v>29</v>
      </c>
      <c r="E813" s="544" t="s">
        <v>881</v>
      </c>
      <c r="F813" s="551" t="e">
        <f>LUONGNGAY!$K$36</f>
        <v>#VALUE!</v>
      </c>
      <c r="G813" s="539">
        <v>6.0000000000000001E-3</v>
      </c>
      <c r="H813" s="511" t="e">
        <f t="shared" si="15"/>
        <v>#VALUE!</v>
      </c>
    </row>
    <row r="814" spans="1:8" ht="41.45" customHeight="1">
      <c r="A814" s="539">
        <v>6</v>
      </c>
      <c r="B814" s="540" t="s">
        <v>958</v>
      </c>
      <c r="C814" s="539"/>
      <c r="D814" s="539"/>
      <c r="E814" s="539"/>
      <c r="G814" s="539"/>
      <c r="H814" s="511">
        <f t="shared" si="15"/>
        <v>0</v>
      </c>
    </row>
    <row r="815" spans="1:8" ht="41.45" customHeight="1">
      <c r="A815" s="539" t="s">
        <v>444</v>
      </c>
      <c r="B815" s="540" t="s">
        <v>770</v>
      </c>
      <c r="C815" s="539" t="s">
        <v>979</v>
      </c>
      <c r="D815" s="539" t="s">
        <v>34</v>
      </c>
      <c r="E815" s="544" t="s">
        <v>881</v>
      </c>
      <c r="F815" s="551" t="e">
        <f>LUONGNGAY!$K$35</f>
        <v>#VALUE!</v>
      </c>
      <c r="G815" s="539">
        <v>0</v>
      </c>
      <c r="H815" s="511" t="e">
        <f t="shared" si="15"/>
        <v>#VALUE!</v>
      </c>
    </row>
    <row r="816" spans="1:8" ht="41.45" customHeight="1">
      <c r="A816" s="539" t="s">
        <v>445</v>
      </c>
      <c r="B816" s="540" t="s">
        <v>771</v>
      </c>
      <c r="C816" s="539" t="s">
        <v>979</v>
      </c>
      <c r="D816" s="539" t="s">
        <v>34</v>
      </c>
      <c r="E816" s="544" t="s">
        <v>881</v>
      </c>
      <c r="F816" s="551" t="e">
        <f>LUONGNGAY!$K$35</f>
        <v>#VALUE!</v>
      </c>
      <c r="G816" s="539">
        <v>0</v>
      </c>
      <c r="H816" s="511" t="e">
        <f t="shared" si="15"/>
        <v>#VALUE!</v>
      </c>
    </row>
    <row r="817" spans="1:8" ht="41.45" customHeight="1">
      <c r="A817" s="539">
        <v>7</v>
      </c>
      <c r="B817" s="540" t="s">
        <v>510</v>
      </c>
      <c r="C817" s="539" t="s">
        <v>627</v>
      </c>
      <c r="D817" s="539" t="s">
        <v>29</v>
      </c>
      <c r="E817" s="544" t="s">
        <v>881</v>
      </c>
      <c r="F817" s="551" t="e">
        <f>LUONGNGAY!$K$36</f>
        <v>#VALUE!</v>
      </c>
      <c r="G817" s="539">
        <v>3.3000000000000002E-2</v>
      </c>
      <c r="H817" s="511" t="e">
        <f t="shared" si="15"/>
        <v>#VALUE!</v>
      </c>
    </row>
    <row r="818" spans="1:8" ht="41.45" customHeight="1">
      <c r="A818" s="539">
        <v>8</v>
      </c>
      <c r="B818" s="540" t="s">
        <v>213</v>
      </c>
      <c r="C818" s="539"/>
      <c r="D818" s="539"/>
      <c r="E818" s="539"/>
      <c r="G818" s="539"/>
      <c r="H818" s="511">
        <f t="shared" si="15"/>
        <v>0</v>
      </c>
    </row>
    <row r="819" spans="1:8" ht="41.45" customHeight="1">
      <c r="A819" s="539" t="s">
        <v>374</v>
      </c>
      <c r="B819" s="540" t="s">
        <v>215</v>
      </c>
      <c r="C819" s="539" t="s">
        <v>320</v>
      </c>
      <c r="D819" s="539" t="s">
        <v>34</v>
      </c>
      <c r="E819" s="544" t="s">
        <v>881</v>
      </c>
      <c r="F819" s="551" t="e">
        <f>LUONGNGAY!$K$35</f>
        <v>#VALUE!</v>
      </c>
      <c r="G819" s="539">
        <v>0.1</v>
      </c>
      <c r="H819" s="511" t="e">
        <f t="shared" si="15"/>
        <v>#VALUE!</v>
      </c>
    </row>
    <row r="820" spans="1:8" ht="41.45" customHeight="1">
      <c r="A820" s="539" t="s">
        <v>375</v>
      </c>
      <c r="B820" s="540" t="s">
        <v>217</v>
      </c>
      <c r="C820" s="539" t="s">
        <v>320</v>
      </c>
      <c r="D820" s="539" t="s">
        <v>34</v>
      </c>
      <c r="E820" s="544" t="s">
        <v>881</v>
      </c>
      <c r="F820" s="551" t="e">
        <f>LUONGNGAY!$K$35</f>
        <v>#VALUE!</v>
      </c>
      <c r="G820" s="539">
        <v>0.2</v>
      </c>
      <c r="H820" s="511" t="e">
        <f t="shared" si="15"/>
        <v>#VALUE!</v>
      </c>
    </row>
    <row r="821" spans="1:8" ht="41.45" customHeight="1">
      <c r="A821" s="539">
        <v>9</v>
      </c>
      <c r="B821" s="540" t="s">
        <v>520</v>
      </c>
      <c r="C821" s="539" t="s">
        <v>979</v>
      </c>
      <c r="D821" s="539" t="s">
        <v>29</v>
      </c>
      <c r="E821" s="544" t="s">
        <v>881</v>
      </c>
      <c r="F821" s="551" t="e">
        <f>LUONGNGAY!$K$36</f>
        <v>#VALUE!</v>
      </c>
      <c r="G821" s="539">
        <v>0.5</v>
      </c>
      <c r="H821" s="511" t="e">
        <f t="shared" si="15"/>
        <v>#VALUE!</v>
      </c>
    </row>
    <row r="822" spans="1:8" ht="41.45" customHeight="1">
      <c r="A822" s="539">
        <v>10</v>
      </c>
      <c r="B822" s="540" t="s">
        <v>480</v>
      </c>
      <c r="C822" s="539" t="s">
        <v>979</v>
      </c>
      <c r="D822" s="539" t="s">
        <v>29</v>
      </c>
      <c r="E822" s="544" t="s">
        <v>881</v>
      </c>
      <c r="F822" s="551" t="e">
        <f>LUONGNGAY!$K$36</f>
        <v>#VALUE!</v>
      </c>
      <c r="G822" s="539">
        <v>0.47</v>
      </c>
      <c r="H822" s="511" t="e">
        <f t="shared" si="15"/>
        <v>#VALUE!</v>
      </c>
    </row>
    <row r="823" spans="1:8" ht="41.45" customHeight="1">
      <c r="A823" s="539">
        <v>11</v>
      </c>
      <c r="B823" s="540" t="s">
        <v>221</v>
      </c>
      <c r="C823" s="539"/>
      <c r="D823" s="539"/>
      <c r="E823" s="539"/>
      <c r="F823" s="539"/>
      <c r="G823" s="539"/>
      <c r="H823" s="511">
        <f t="shared" si="15"/>
        <v>0</v>
      </c>
    </row>
    <row r="824" spans="1:8" ht="23.45" customHeight="1">
      <c r="A824" s="539" t="s">
        <v>877</v>
      </c>
      <c r="B824" s="540" t="s">
        <v>931</v>
      </c>
      <c r="C824" s="539"/>
      <c r="D824" s="539"/>
      <c r="E824" s="539"/>
      <c r="F824" s="539"/>
      <c r="G824" s="539"/>
      <c r="H824" s="511">
        <f t="shared" si="15"/>
        <v>0</v>
      </c>
    </row>
    <row r="825" spans="1:8" ht="46.15" customHeight="1">
      <c r="A825" s="539" t="s">
        <v>513</v>
      </c>
      <c r="B825" s="540" t="s">
        <v>933</v>
      </c>
      <c r="C825" s="539" t="s">
        <v>934</v>
      </c>
      <c r="D825" s="539" t="s">
        <v>935</v>
      </c>
      <c r="E825" s="544" t="s">
        <v>881</v>
      </c>
      <c r="F825" s="471" t="e">
        <f>LUONGNGAY!$K$34</f>
        <v>#VALUE!</v>
      </c>
      <c r="G825" s="539">
        <v>1.6E-2</v>
      </c>
      <c r="H825" s="511" t="e">
        <f t="shared" si="15"/>
        <v>#VALUE!</v>
      </c>
    </row>
    <row r="826" spans="1:8" ht="76.900000000000006" customHeight="1">
      <c r="A826" s="539" t="s">
        <v>514</v>
      </c>
      <c r="B826" s="540" t="s">
        <v>937</v>
      </c>
      <c r="C826" s="539" t="s">
        <v>934</v>
      </c>
      <c r="D826" s="539" t="s">
        <v>935</v>
      </c>
      <c r="E826" s="544" t="s">
        <v>881</v>
      </c>
      <c r="F826" s="471" t="e">
        <f>LUONGNGAY!$K$34</f>
        <v>#VALUE!</v>
      </c>
      <c r="G826" s="539">
        <v>8.0000000000000002E-3</v>
      </c>
      <c r="H826" s="511" t="e">
        <f t="shared" si="15"/>
        <v>#VALUE!</v>
      </c>
    </row>
    <row r="827" spans="1:8" ht="48.6" customHeight="1">
      <c r="A827" s="539" t="s">
        <v>878</v>
      </c>
      <c r="B827" s="540" t="s">
        <v>48</v>
      </c>
      <c r="C827" s="539" t="s">
        <v>934</v>
      </c>
      <c r="D827" s="539" t="s">
        <v>935</v>
      </c>
      <c r="E827" s="544" t="s">
        <v>881</v>
      </c>
      <c r="F827" s="471" t="e">
        <f>LUONGNGAY!$K$34</f>
        <v>#VALUE!</v>
      </c>
      <c r="G827" s="539">
        <v>4.0000000000000001E-3</v>
      </c>
      <c r="H827" s="511" t="e">
        <f t="shared" si="15"/>
        <v>#VALUE!</v>
      </c>
    </row>
    <row r="828" spans="1:8" ht="20.45" customHeight="1">
      <c r="A828" s="539" t="s">
        <v>879</v>
      </c>
      <c r="B828" s="540" t="s">
        <v>50</v>
      </c>
      <c r="C828" s="539" t="s">
        <v>627</v>
      </c>
      <c r="D828" s="539" t="s">
        <v>935</v>
      </c>
      <c r="E828" s="544" t="s">
        <v>881</v>
      </c>
      <c r="F828" s="471" t="e">
        <f>LUONGNGAY!$K$34</f>
        <v>#VALUE!</v>
      </c>
      <c r="G828" s="539">
        <v>0.01</v>
      </c>
      <c r="H828" s="511" t="e">
        <f t="shared" si="15"/>
        <v>#VALUE!</v>
      </c>
    </row>
    <row r="829" spans="1:8" ht="20.45" customHeight="1">
      <c r="A829" s="539">
        <v>12</v>
      </c>
      <c r="B829" s="540" t="s">
        <v>235</v>
      </c>
      <c r="C829" s="539" t="s">
        <v>979</v>
      </c>
      <c r="D829" s="539" t="s">
        <v>34</v>
      </c>
      <c r="E829" s="544" t="s">
        <v>881</v>
      </c>
      <c r="F829" s="551" t="e">
        <f>LUONGNGAY!$K$35</f>
        <v>#VALUE!</v>
      </c>
      <c r="G829" s="539">
        <v>0.05</v>
      </c>
      <c r="H829" s="511" t="e">
        <f t="shared" si="15"/>
        <v>#VALUE!</v>
      </c>
    </row>
    <row r="830" spans="1:8" ht="34.15" customHeight="1">
      <c r="A830" s="539">
        <v>13</v>
      </c>
      <c r="B830" s="540" t="s">
        <v>236</v>
      </c>
      <c r="C830" s="539" t="s">
        <v>979</v>
      </c>
      <c r="D830" s="539" t="s">
        <v>34</v>
      </c>
      <c r="E830" s="544" t="s">
        <v>881</v>
      </c>
      <c r="F830" s="551" t="e">
        <f>LUONGNGAY!$K$35</f>
        <v>#VALUE!</v>
      </c>
      <c r="G830" s="539">
        <v>0.05</v>
      </c>
      <c r="H830" s="511" t="e">
        <f t="shared" si="15"/>
        <v>#VALUE!</v>
      </c>
    </row>
    <row r="831" spans="1:8" ht="21" customHeight="1">
      <c r="A831" s="545" t="s">
        <v>184</v>
      </c>
      <c r="B831" s="538" t="s">
        <v>765</v>
      </c>
      <c r="C831" s="539"/>
      <c r="D831" s="539"/>
      <c r="E831" s="539"/>
      <c r="G831" s="539"/>
      <c r="H831" s="511">
        <f t="shared" si="15"/>
        <v>0</v>
      </c>
    </row>
    <row r="832" spans="1:8" ht="21" customHeight="1">
      <c r="A832" s="539">
        <v>1</v>
      </c>
      <c r="B832" s="540" t="s">
        <v>809</v>
      </c>
      <c r="C832" s="539" t="s">
        <v>979</v>
      </c>
      <c r="D832" s="539" t="s">
        <v>34</v>
      </c>
      <c r="E832" s="544" t="s">
        <v>881</v>
      </c>
      <c r="F832" s="551" t="e">
        <f>LUONGNGAY!$K$35</f>
        <v>#VALUE!</v>
      </c>
      <c r="G832" s="539">
        <v>0.02</v>
      </c>
      <c r="H832" s="511" t="e">
        <f t="shared" si="15"/>
        <v>#VALUE!</v>
      </c>
    </row>
    <row r="833" spans="1:8" ht="21" customHeight="1">
      <c r="A833" s="545" t="s">
        <v>913</v>
      </c>
      <c r="B833" s="538" t="s">
        <v>606</v>
      </c>
      <c r="C833" s="539"/>
      <c r="D833" s="539"/>
      <c r="E833" s="539"/>
      <c r="G833" s="539"/>
      <c r="H833" s="511">
        <f t="shared" si="15"/>
        <v>0</v>
      </c>
    </row>
    <row r="834" spans="1:8" ht="21" customHeight="1">
      <c r="A834" s="539">
        <v>1</v>
      </c>
      <c r="B834" s="540" t="s">
        <v>810</v>
      </c>
      <c r="C834" s="539" t="s">
        <v>979</v>
      </c>
      <c r="D834" s="539" t="s">
        <v>34</v>
      </c>
      <c r="E834" s="544" t="s">
        <v>881</v>
      </c>
      <c r="F834" s="551" t="e">
        <f>LUONGNGAY!$K$35</f>
        <v>#VALUE!</v>
      </c>
      <c r="G834" s="539">
        <v>0.02</v>
      </c>
      <c r="H834" s="511" t="e">
        <f t="shared" si="15"/>
        <v>#VALUE!</v>
      </c>
    </row>
    <row r="835" spans="1:8" ht="11.45" customHeight="1">
      <c r="A835" s="515"/>
      <c r="B835" s="516"/>
      <c r="C835" s="517"/>
      <c r="D835" s="517"/>
      <c r="E835" s="515"/>
      <c r="F835" s="518"/>
      <c r="G835" s="519"/>
      <c r="H835" s="520"/>
    </row>
    <row r="836" spans="1:8" ht="30.6" customHeight="1">
      <c r="A836" s="1194" t="s">
        <v>838</v>
      </c>
      <c r="B836" s="1194"/>
      <c r="C836" s="1194"/>
      <c r="D836" s="1194"/>
      <c r="E836" s="1194"/>
      <c r="F836" s="1194"/>
      <c r="G836" s="1194"/>
      <c r="H836" s="1194"/>
    </row>
    <row r="837" spans="1:8" ht="25.5" customHeight="1">
      <c r="A837" s="467" t="s">
        <v>158</v>
      </c>
      <c r="B837" s="467" t="s">
        <v>381</v>
      </c>
      <c r="C837" s="468" t="s">
        <v>625</v>
      </c>
      <c r="D837" s="468" t="s">
        <v>624</v>
      </c>
      <c r="E837" s="468" t="s">
        <v>382</v>
      </c>
      <c r="F837" s="469" t="s">
        <v>629</v>
      </c>
      <c r="G837" s="468" t="s">
        <v>628</v>
      </c>
      <c r="H837" s="468" t="s">
        <v>383</v>
      </c>
    </row>
    <row r="838" spans="1:8" ht="19.5" customHeight="1">
      <c r="A838" s="545" t="s">
        <v>179</v>
      </c>
      <c r="B838" s="538" t="s">
        <v>1057</v>
      </c>
      <c r="C838" s="539"/>
      <c r="D838" s="539"/>
      <c r="E838" s="539"/>
      <c r="F838" s="539"/>
      <c r="G838" s="539"/>
      <c r="H838" s="539"/>
    </row>
    <row r="839" spans="1:8" ht="19.5" customHeight="1">
      <c r="A839" s="539">
        <v>1</v>
      </c>
      <c r="B839" s="540" t="s">
        <v>516</v>
      </c>
      <c r="C839" s="539"/>
      <c r="D839" s="539"/>
      <c r="E839" s="539"/>
      <c r="F839" s="539"/>
      <c r="G839" s="539"/>
      <c r="H839" s="539"/>
    </row>
    <row r="840" spans="1:8" ht="19.5" customHeight="1">
      <c r="A840" s="539" t="s">
        <v>891</v>
      </c>
      <c r="B840" s="540" t="s">
        <v>33</v>
      </c>
      <c r="C840" s="539" t="s">
        <v>979</v>
      </c>
      <c r="D840" s="539" t="s">
        <v>34</v>
      </c>
      <c r="E840" s="544" t="s">
        <v>881</v>
      </c>
      <c r="F840" s="551" t="e">
        <f>LUONGNGAY!$K$35</f>
        <v>#VALUE!</v>
      </c>
      <c r="G840" s="539">
        <v>0.32500000000000001</v>
      </c>
      <c r="H840" s="511" t="e">
        <f>F840*G840</f>
        <v>#VALUE!</v>
      </c>
    </row>
    <row r="841" spans="1:8" ht="19.5" customHeight="1">
      <c r="A841" s="539" t="s">
        <v>899</v>
      </c>
      <c r="B841" s="540" t="s">
        <v>36</v>
      </c>
      <c r="C841" s="539" t="s">
        <v>979</v>
      </c>
      <c r="D841" s="539" t="s">
        <v>34</v>
      </c>
      <c r="E841" s="544" t="s">
        <v>881</v>
      </c>
      <c r="F841" s="551" t="e">
        <f>LUONGNGAY!$K$35</f>
        <v>#VALUE!</v>
      </c>
      <c r="G841" s="539">
        <v>0.26</v>
      </c>
      <c r="H841" s="511" t="e">
        <f t="shared" ref="H841:H866" si="16">F841*G841</f>
        <v>#VALUE!</v>
      </c>
    </row>
    <row r="842" spans="1:8" ht="30.75" customHeight="1">
      <c r="A842" s="539">
        <v>2</v>
      </c>
      <c r="B842" s="540" t="s">
        <v>953</v>
      </c>
      <c r="C842" s="539" t="s">
        <v>979</v>
      </c>
      <c r="D842" s="539" t="s">
        <v>34</v>
      </c>
      <c r="E842" s="544" t="s">
        <v>881</v>
      </c>
      <c r="F842" s="551" t="e">
        <f>LUONGNGAY!$K$35</f>
        <v>#VALUE!</v>
      </c>
      <c r="G842" s="539">
        <v>0.26</v>
      </c>
      <c r="H842" s="511" t="e">
        <f t="shared" si="16"/>
        <v>#VALUE!</v>
      </c>
    </row>
    <row r="843" spans="1:8" ht="30.75" customHeight="1">
      <c r="A843" s="539">
        <v>3</v>
      </c>
      <c r="B843" s="540" t="s">
        <v>517</v>
      </c>
      <c r="C843" s="539" t="s">
        <v>627</v>
      </c>
      <c r="D843" s="539" t="s">
        <v>29</v>
      </c>
      <c r="E843" s="544" t="s">
        <v>881</v>
      </c>
      <c r="F843" s="551" t="e">
        <f>LUONGNGAY!$K$36</f>
        <v>#VALUE!</v>
      </c>
      <c r="G843" s="539">
        <v>0.16700000000000001</v>
      </c>
      <c r="H843" s="511" t="e">
        <f t="shared" si="16"/>
        <v>#VALUE!</v>
      </c>
    </row>
    <row r="844" spans="1:8" ht="30.75" customHeight="1">
      <c r="A844" s="539">
        <v>4</v>
      </c>
      <c r="B844" s="540" t="s">
        <v>518</v>
      </c>
      <c r="C844" s="539" t="s">
        <v>979</v>
      </c>
      <c r="D844" s="539" t="s">
        <v>1060</v>
      </c>
      <c r="E844" s="544" t="s">
        <v>881</v>
      </c>
      <c r="F844" s="508" t="e">
        <f>LUONGNGAY!$K$37</f>
        <v>#VALUE!</v>
      </c>
      <c r="G844" s="539">
        <v>1.3</v>
      </c>
      <c r="H844" s="511" t="e">
        <f t="shared" si="16"/>
        <v>#VALUE!</v>
      </c>
    </row>
    <row r="845" spans="1:8" ht="30.75" customHeight="1">
      <c r="A845" s="539">
        <v>5</v>
      </c>
      <c r="B845" s="540" t="s">
        <v>519</v>
      </c>
      <c r="C845" s="539" t="s">
        <v>627</v>
      </c>
      <c r="D845" s="539" t="s">
        <v>29</v>
      </c>
      <c r="E845" s="544" t="s">
        <v>881</v>
      </c>
      <c r="F845" s="551" t="e">
        <f>LUONGNGAY!$K$36</f>
        <v>#VALUE!</v>
      </c>
      <c r="G845" s="539">
        <v>6.0000000000000001E-3</v>
      </c>
      <c r="H845" s="511" t="e">
        <f t="shared" si="16"/>
        <v>#VALUE!</v>
      </c>
    </row>
    <row r="846" spans="1:8" ht="42.75" customHeight="1">
      <c r="A846" s="539">
        <v>6</v>
      </c>
      <c r="B846" s="540" t="s">
        <v>958</v>
      </c>
      <c r="C846" s="539"/>
      <c r="D846" s="539"/>
      <c r="E846" s="539"/>
      <c r="G846" s="539"/>
      <c r="H846" s="511">
        <f t="shared" si="16"/>
        <v>0</v>
      </c>
    </row>
    <row r="847" spans="1:8" ht="19.5" customHeight="1">
      <c r="A847" s="539" t="s">
        <v>444</v>
      </c>
      <c r="B847" s="540" t="s">
        <v>770</v>
      </c>
      <c r="C847" s="539" t="s">
        <v>979</v>
      </c>
      <c r="D847" s="539" t="s">
        <v>34</v>
      </c>
      <c r="E847" s="544" t="s">
        <v>881</v>
      </c>
      <c r="F847" s="551" t="e">
        <f>LUONGNGAY!$K$35</f>
        <v>#VALUE!</v>
      </c>
      <c r="G847" s="539">
        <v>0.05</v>
      </c>
      <c r="H847" s="511" t="e">
        <f t="shared" si="16"/>
        <v>#VALUE!</v>
      </c>
    </row>
    <row r="848" spans="1:8" ht="19.5" customHeight="1">
      <c r="A848" s="539" t="s">
        <v>445</v>
      </c>
      <c r="B848" s="540" t="s">
        <v>771</v>
      </c>
      <c r="C848" s="539" t="s">
        <v>979</v>
      </c>
      <c r="D848" s="539" t="s">
        <v>34</v>
      </c>
      <c r="E848" s="544" t="s">
        <v>881</v>
      </c>
      <c r="F848" s="551" t="e">
        <f>LUONGNGAY!$K$35</f>
        <v>#VALUE!</v>
      </c>
      <c r="G848" s="539">
        <v>0.1</v>
      </c>
      <c r="H848" s="511" t="e">
        <f t="shared" si="16"/>
        <v>#VALUE!</v>
      </c>
    </row>
    <row r="849" spans="1:8" ht="19.5" customHeight="1">
      <c r="A849" s="539">
        <v>7</v>
      </c>
      <c r="B849" s="540" t="s">
        <v>510</v>
      </c>
      <c r="C849" s="539" t="s">
        <v>627</v>
      </c>
      <c r="D849" s="539" t="s">
        <v>29</v>
      </c>
      <c r="E849" s="544" t="s">
        <v>881</v>
      </c>
      <c r="F849" s="551" t="e">
        <f>LUONGNGAY!$K$36</f>
        <v>#VALUE!</v>
      </c>
      <c r="G849" s="539">
        <v>0.16700000000000001</v>
      </c>
      <c r="H849" s="511" t="e">
        <f t="shared" si="16"/>
        <v>#VALUE!</v>
      </c>
    </row>
    <row r="850" spans="1:8" ht="19.5" customHeight="1">
      <c r="A850" s="539">
        <v>8</v>
      </c>
      <c r="B850" s="540" t="s">
        <v>213</v>
      </c>
      <c r="C850" s="539"/>
      <c r="D850" s="539"/>
      <c r="E850" s="539"/>
      <c r="G850" s="539"/>
      <c r="H850" s="511">
        <f t="shared" si="16"/>
        <v>0</v>
      </c>
    </row>
    <row r="851" spans="1:8" ht="19.5" customHeight="1">
      <c r="A851" s="539" t="s">
        <v>374</v>
      </c>
      <c r="B851" s="540" t="s">
        <v>215</v>
      </c>
      <c r="C851" s="539" t="s">
        <v>320</v>
      </c>
      <c r="D851" s="539" t="s">
        <v>34</v>
      </c>
      <c r="E851" s="544" t="s">
        <v>881</v>
      </c>
      <c r="F851" s="551" t="e">
        <f>LUONGNGAY!$K$35</f>
        <v>#VALUE!</v>
      </c>
      <c r="G851" s="539">
        <v>0.1</v>
      </c>
      <c r="H851" s="511" t="e">
        <f t="shared" si="16"/>
        <v>#VALUE!</v>
      </c>
    </row>
    <row r="852" spans="1:8" ht="19.5" customHeight="1">
      <c r="A852" s="539" t="s">
        <v>375</v>
      </c>
      <c r="B852" s="540" t="s">
        <v>217</v>
      </c>
      <c r="C852" s="539" t="s">
        <v>320</v>
      </c>
      <c r="D852" s="539" t="s">
        <v>34</v>
      </c>
      <c r="E852" s="544" t="s">
        <v>881</v>
      </c>
      <c r="F852" s="551" t="e">
        <f>LUONGNGAY!$K$35</f>
        <v>#VALUE!</v>
      </c>
      <c r="G852" s="539">
        <v>0.2</v>
      </c>
      <c r="H852" s="511" t="e">
        <f t="shared" si="16"/>
        <v>#VALUE!</v>
      </c>
    </row>
    <row r="853" spans="1:8" ht="27" customHeight="1">
      <c r="A853" s="539">
        <v>9</v>
      </c>
      <c r="B853" s="540" t="s">
        <v>520</v>
      </c>
      <c r="C853" s="539" t="s">
        <v>979</v>
      </c>
      <c r="D853" s="539" t="s">
        <v>29</v>
      </c>
      <c r="E853" s="544" t="s">
        <v>881</v>
      </c>
      <c r="F853" s="551" t="e">
        <f>LUONGNGAY!$K$36</f>
        <v>#VALUE!</v>
      </c>
      <c r="G853" s="539">
        <v>0.65</v>
      </c>
      <c r="H853" s="511" t="e">
        <f t="shared" si="16"/>
        <v>#VALUE!</v>
      </c>
    </row>
    <row r="854" spans="1:8" ht="40.9" customHeight="1">
      <c r="A854" s="539">
        <v>10</v>
      </c>
      <c r="B854" s="540" t="s">
        <v>480</v>
      </c>
      <c r="C854" s="539" t="s">
        <v>979</v>
      </c>
      <c r="D854" s="539" t="s">
        <v>29</v>
      </c>
      <c r="E854" s="544" t="s">
        <v>881</v>
      </c>
      <c r="F854" s="551" t="e">
        <f>LUONGNGAY!$K$36</f>
        <v>#VALUE!</v>
      </c>
      <c r="G854" s="539">
        <v>0.61099999999999999</v>
      </c>
      <c r="H854" s="511" t="e">
        <f t="shared" si="16"/>
        <v>#VALUE!</v>
      </c>
    </row>
    <row r="855" spans="1:8" ht="23.45" customHeight="1">
      <c r="A855" s="539">
        <v>11</v>
      </c>
      <c r="B855" s="540" t="s">
        <v>221</v>
      </c>
      <c r="C855" s="539"/>
      <c r="D855" s="539"/>
      <c r="E855" s="539"/>
      <c r="F855" s="539"/>
      <c r="G855" s="539"/>
      <c r="H855" s="511">
        <f t="shared" si="16"/>
        <v>0</v>
      </c>
    </row>
    <row r="856" spans="1:8" ht="46.15" customHeight="1">
      <c r="A856" s="539" t="s">
        <v>877</v>
      </c>
      <c r="B856" s="540" t="s">
        <v>931</v>
      </c>
      <c r="C856" s="539"/>
      <c r="D856" s="539"/>
      <c r="E856" s="539"/>
      <c r="F856" s="539"/>
      <c r="G856" s="539"/>
      <c r="H856" s="511">
        <f t="shared" si="16"/>
        <v>0</v>
      </c>
    </row>
    <row r="857" spans="1:8" ht="25.5" customHeight="1">
      <c r="A857" s="539" t="s">
        <v>513</v>
      </c>
      <c r="B857" s="540" t="s">
        <v>933</v>
      </c>
      <c r="C857" s="539" t="s">
        <v>934</v>
      </c>
      <c r="D857" s="539" t="s">
        <v>935</v>
      </c>
      <c r="E857" s="544" t="s">
        <v>881</v>
      </c>
      <c r="F857" s="471" t="e">
        <f>LUONGNGAY!$K$34</f>
        <v>#VALUE!</v>
      </c>
      <c r="G857" s="539">
        <v>1.6E-2</v>
      </c>
      <c r="H857" s="511" t="e">
        <f t="shared" si="16"/>
        <v>#VALUE!</v>
      </c>
    </row>
    <row r="858" spans="1:8" ht="25.5" customHeight="1">
      <c r="A858" s="539" t="s">
        <v>514</v>
      </c>
      <c r="B858" s="540" t="s">
        <v>937</v>
      </c>
      <c r="C858" s="539" t="s">
        <v>934</v>
      </c>
      <c r="D858" s="539" t="s">
        <v>935</v>
      </c>
      <c r="E858" s="544" t="s">
        <v>881</v>
      </c>
      <c r="F858" s="471" t="e">
        <f>LUONGNGAY!$K$34</f>
        <v>#VALUE!</v>
      </c>
      <c r="G858" s="539">
        <v>8.0000000000000002E-3</v>
      </c>
      <c r="H858" s="511" t="e">
        <f t="shared" si="16"/>
        <v>#VALUE!</v>
      </c>
    </row>
    <row r="859" spans="1:8" ht="34.5" customHeight="1">
      <c r="A859" s="539" t="s">
        <v>878</v>
      </c>
      <c r="B859" s="540" t="s">
        <v>48</v>
      </c>
      <c r="C859" s="539" t="s">
        <v>934</v>
      </c>
      <c r="D859" s="539" t="s">
        <v>935</v>
      </c>
      <c r="E859" s="544" t="s">
        <v>881</v>
      </c>
      <c r="F859" s="471" t="e">
        <f>LUONGNGAY!$K$34</f>
        <v>#VALUE!</v>
      </c>
      <c r="G859" s="539">
        <v>4.0000000000000001E-3</v>
      </c>
      <c r="H859" s="511" t="e">
        <f t="shared" si="16"/>
        <v>#VALUE!</v>
      </c>
    </row>
    <row r="860" spans="1:8" ht="20.45" customHeight="1">
      <c r="A860" s="539" t="s">
        <v>879</v>
      </c>
      <c r="B860" s="540" t="s">
        <v>50</v>
      </c>
      <c r="C860" s="539" t="s">
        <v>627</v>
      </c>
      <c r="D860" s="539" t="s">
        <v>935</v>
      </c>
      <c r="E860" s="544" t="s">
        <v>881</v>
      </c>
      <c r="F860" s="471" t="e">
        <f>LUONGNGAY!$K$34</f>
        <v>#VALUE!</v>
      </c>
      <c r="G860" s="539">
        <v>0.01</v>
      </c>
      <c r="H860" s="511" t="e">
        <f t="shared" si="16"/>
        <v>#VALUE!</v>
      </c>
    </row>
    <row r="861" spans="1:8" ht="39.75" customHeight="1">
      <c r="A861" s="539">
        <v>12</v>
      </c>
      <c r="B861" s="540" t="s">
        <v>235</v>
      </c>
      <c r="C861" s="539" t="s">
        <v>979</v>
      </c>
      <c r="D861" s="539" t="s">
        <v>34</v>
      </c>
      <c r="E861" s="544" t="s">
        <v>881</v>
      </c>
      <c r="F861" s="551" t="e">
        <f>LUONGNGAY!$K$35</f>
        <v>#VALUE!</v>
      </c>
      <c r="G861" s="539">
        <v>6.5000000000000002E-2</v>
      </c>
      <c r="H861" s="511" t="e">
        <f t="shared" si="16"/>
        <v>#VALUE!</v>
      </c>
    </row>
    <row r="862" spans="1:8" ht="39.75" customHeight="1">
      <c r="A862" s="539">
        <v>13</v>
      </c>
      <c r="B862" s="540" t="s">
        <v>236</v>
      </c>
      <c r="C862" s="539" t="s">
        <v>979</v>
      </c>
      <c r="D862" s="539" t="s">
        <v>34</v>
      </c>
      <c r="E862" s="544" t="s">
        <v>881</v>
      </c>
      <c r="F862" s="551" t="e">
        <f>LUONGNGAY!$K$35</f>
        <v>#VALUE!</v>
      </c>
      <c r="G862" s="539">
        <v>6.5000000000000002E-2</v>
      </c>
      <c r="H862" s="511" t="e">
        <f t="shared" si="16"/>
        <v>#VALUE!</v>
      </c>
    </row>
    <row r="863" spans="1:8" ht="19.899999999999999" customHeight="1">
      <c r="A863" s="545" t="s">
        <v>184</v>
      </c>
      <c r="B863" s="538" t="s">
        <v>765</v>
      </c>
      <c r="C863" s="539"/>
      <c r="D863" s="539"/>
      <c r="E863" s="539"/>
      <c r="G863" s="539"/>
      <c r="H863" s="511">
        <f t="shared" si="16"/>
        <v>0</v>
      </c>
    </row>
    <row r="864" spans="1:8" ht="19.899999999999999" customHeight="1">
      <c r="A864" s="539">
        <v>1</v>
      </c>
      <c r="B864" s="540" t="s">
        <v>809</v>
      </c>
      <c r="C864" s="539" t="s">
        <v>979</v>
      </c>
      <c r="D864" s="539" t="s">
        <v>34</v>
      </c>
      <c r="E864" s="544" t="s">
        <v>881</v>
      </c>
      <c r="F864" s="551" t="e">
        <f>LUONGNGAY!$K$35</f>
        <v>#VALUE!</v>
      </c>
      <c r="G864" s="539">
        <v>2.5999999999999999E-2</v>
      </c>
      <c r="H864" s="511" t="e">
        <f t="shared" si="16"/>
        <v>#VALUE!</v>
      </c>
    </row>
    <row r="865" spans="1:8" ht="19.899999999999999" customHeight="1">
      <c r="A865" s="545" t="s">
        <v>913</v>
      </c>
      <c r="B865" s="538" t="s">
        <v>606</v>
      </c>
      <c r="C865" s="539"/>
      <c r="D865" s="539"/>
      <c r="E865" s="539"/>
      <c r="G865" s="539"/>
      <c r="H865" s="511">
        <f t="shared" si="16"/>
        <v>0</v>
      </c>
    </row>
    <row r="866" spans="1:8" ht="30" customHeight="1">
      <c r="A866" s="539">
        <v>1</v>
      </c>
      <c r="B866" s="540" t="s">
        <v>810</v>
      </c>
      <c r="C866" s="539" t="s">
        <v>979</v>
      </c>
      <c r="D866" s="539" t="s">
        <v>34</v>
      </c>
      <c r="E866" s="544" t="s">
        <v>881</v>
      </c>
      <c r="F866" s="551" t="e">
        <f>LUONGNGAY!$K$35</f>
        <v>#VALUE!</v>
      </c>
      <c r="G866" s="539">
        <v>2.5999999999999999E-2</v>
      </c>
      <c r="H866" s="511" t="e">
        <f t="shared" si="16"/>
        <v>#VALUE!</v>
      </c>
    </row>
    <row r="867" spans="1:8" ht="12.6" customHeight="1">
      <c r="A867" s="515"/>
      <c r="B867" s="516"/>
      <c r="C867" s="517"/>
      <c r="D867" s="517"/>
      <c r="E867" s="515"/>
      <c r="F867" s="518"/>
      <c r="G867" s="519"/>
      <c r="H867" s="520"/>
    </row>
    <row r="868" spans="1:8" ht="31.15" customHeight="1">
      <c r="A868" s="1194" t="s">
        <v>9</v>
      </c>
      <c r="B868" s="1194"/>
      <c r="C868" s="1194"/>
      <c r="D868" s="1194"/>
      <c r="E868" s="1194"/>
      <c r="F868" s="1194"/>
      <c r="G868" s="1194"/>
      <c r="H868" s="1194"/>
    </row>
    <row r="869" spans="1:8" ht="11.45" customHeight="1">
      <c r="A869" s="459"/>
      <c r="B869" s="460"/>
      <c r="E869" s="462"/>
      <c r="F869" s="463"/>
      <c r="G869" s="462"/>
      <c r="H869" s="464"/>
    </row>
    <row r="870" spans="1:8" ht="49.5" customHeight="1">
      <c r="A870" s="467" t="s">
        <v>158</v>
      </c>
      <c r="B870" s="467" t="s">
        <v>381</v>
      </c>
      <c r="C870" s="468" t="s">
        <v>625</v>
      </c>
      <c r="D870" s="468" t="s">
        <v>624</v>
      </c>
      <c r="E870" s="468" t="s">
        <v>382</v>
      </c>
      <c r="F870" s="469" t="s">
        <v>629</v>
      </c>
      <c r="G870" s="468" t="s">
        <v>628</v>
      </c>
      <c r="H870" s="468" t="s">
        <v>383</v>
      </c>
    </row>
    <row r="871" spans="1:8" ht="19.5" customHeight="1">
      <c r="A871" s="569" t="s">
        <v>179</v>
      </c>
      <c r="B871" s="538" t="s">
        <v>765</v>
      </c>
      <c r="C871" s="539"/>
      <c r="D871" s="539"/>
      <c r="E871" s="539"/>
      <c r="F871" s="539"/>
      <c r="G871" s="539"/>
      <c r="H871" s="539"/>
    </row>
    <row r="872" spans="1:8" ht="19.5" customHeight="1">
      <c r="A872" s="569">
        <v>1</v>
      </c>
      <c r="B872" s="540" t="s">
        <v>4</v>
      </c>
      <c r="C872" s="539"/>
      <c r="D872" s="539"/>
      <c r="E872" s="539"/>
      <c r="F872" s="539"/>
      <c r="G872" s="539"/>
      <c r="H872" s="539"/>
    </row>
    <row r="873" spans="1:8" ht="19.5" customHeight="1">
      <c r="A873" s="539" t="s">
        <v>891</v>
      </c>
      <c r="B873" s="540" t="s">
        <v>33</v>
      </c>
      <c r="C873" s="539" t="s">
        <v>979</v>
      </c>
      <c r="D873" s="539" t="s">
        <v>34</v>
      </c>
      <c r="E873" s="544" t="s">
        <v>881</v>
      </c>
      <c r="F873" s="551" t="e">
        <f>LUONGNGAY!$K$35</f>
        <v>#VALUE!</v>
      </c>
      <c r="G873" s="539">
        <v>0.2</v>
      </c>
      <c r="H873" s="511" t="e">
        <f>F873*G873</f>
        <v>#VALUE!</v>
      </c>
    </row>
    <row r="874" spans="1:8" ht="19.5" customHeight="1">
      <c r="A874" s="539" t="s">
        <v>899</v>
      </c>
      <c r="B874" s="540" t="s">
        <v>36</v>
      </c>
      <c r="C874" s="539" t="s">
        <v>979</v>
      </c>
      <c r="D874" s="539" t="s">
        <v>34</v>
      </c>
      <c r="E874" s="544" t="s">
        <v>881</v>
      </c>
      <c r="F874" s="551" t="e">
        <f>LUONGNGAY!$K$35</f>
        <v>#VALUE!</v>
      </c>
      <c r="G874" s="539">
        <v>0.15</v>
      </c>
      <c r="H874" s="511" t="e">
        <f t="shared" ref="H874:H900" si="17">F874*G874</f>
        <v>#VALUE!</v>
      </c>
    </row>
    <row r="875" spans="1:8" ht="26.25" customHeight="1">
      <c r="A875" s="539">
        <v>2</v>
      </c>
      <c r="B875" s="540" t="s">
        <v>953</v>
      </c>
      <c r="C875" s="539" t="s">
        <v>979</v>
      </c>
      <c r="D875" s="539" t="s">
        <v>34</v>
      </c>
      <c r="E875" s="544" t="s">
        <v>881</v>
      </c>
      <c r="F875" s="551" t="e">
        <f>LUONGNGAY!$K$35</f>
        <v>#VALUE!</v>
      </c>
      <c r="G875" s="539">
        <v>0.25</v>
      </c>
      <c r="H875" s="511" t="e">
        <f t="shared" si="17"/>
        <v>#VALUE!</v>
      </c>
    </row>
    <row r="876" spans="1:8" ht="26.25" customHeight="1">
      <c r="A876" s="539">
        <v>3</v>
      </c>
      <c r="B876" s="540" t="s">
        <v>38</v>
      </c>
      <c r="C876" s="539" t="s">
        <v>627</v>
      </c>
      <c r="D876" s="539" t="s">
        <v>29</v>
      </c>
      <c r="E876" s="544" t="s">
        <v>881</v>
      </c>
      <c r="F876" s="551" t="e">
        <f>LUONGNGAY!$K$36</f>
        <v>#VALUE!</v>
      </c>
      <c r="G876" s="539">
        <v>0.107</v>
      </c>
      <c r="H876" s="511" t="e">
        <f t="shared" si="17"/>
        <v>#VALUE!</v>
      </c>
    </row>
    <row r="877" spans="1:8" ht="26.25" customHeight="1">
      <c r="A877" s="539">
        <v>4</v>
      </c>
      <c r="B877" s="540" t="s">
        <v>481</v>
      </c>
      <c r="C877" s="539" t="s">
        <v>979</v>
      </c>
      <c r="D877" s="539" t="s">
        <v>482</v>
      </c>
      <c r="E877" s="544" t="s">
        <v>881</v>
      </c>
      <c r="F877" s="551" t="e">
        <f>(LUONGNGAY!$K$35+LUONGNGAY!$K$44)/2</f>
        <v>#VALUE!</v>
      </c>
      <c r="G877" s="539">
        <f>0.6*2</f>
        <v>1.2</v>
      </c>
      <c r="H877" s="511" t="e">
        <f t="shared" si="17"/>
        <v>#VALUE!</v>
      </c>
    </row>
    <row r="878" spans="1:8" ht="26.25" customHeight="1">
      <c r="A878" s="539">
        <v>5</v>
      </c>
      <c r="B878" s="540" t="s">
        <v>69</v>
      </c>
      <c r="C878" s="539" t="s">
        <v>627</v>
      </c>
      <c r="D878" s="539" t="s">
        <v>29</v>
      </c>
      <c r="E878" s="544" t="s">
        <v>881</v>
      </c>
      <c r="F878" s="551" t="e">
        <f>LUONGNGAY!$K$36</f>
        <v>#VALUE!</v>
      </c>
      <c r="G878" s="539">
        <v>6.0000000000000001E-3</v>
      </c>
      <c r="H878" s="511" t="e">
        <f t="shared" si="17"/>
        <v>#VALUE!</v>
      </c>
    </row>
    <row r="879" spans="1:8" ht="26.25" customHeight="1">
      <c r="A879" s="539">
        <v>6</v>
      </c>
      <c r="B879" s="540" t="s">
        <v>483</v>
      </c>
      <c r="C879" s="539"/>
      <c r="D879" s="539"/>
      <c r="E879" s="539"/>
      <c r="G879" s="539"/>
      <c r="H879" s="511">
        <f t="shared" si="17"/>
        <v>0</v>
      </c>
    </row>
    <row r="880" spans="1:8" ht="26.25" customHeight="1">
      <c r="A880" s="539" t="s">
        <v>444</v>
      </c>
      <c r="B880" s="540" t="s">
        <v>770</v>
      </c>
      <c r="C880" s="539" t="s">
        <v>979</v>
      </c>
      <c r="D880" s="539" t="s">
        <v>34</v>
      </c>
      <c r="E880" s="544" t="s">
        <v>881</v>
      </c>
      <c r="F880" s="551" t="e">
        <f>LUONGNGAY!$K$35</f>
        <v>#VALUE!</v>
      </c>
      <c r="G880" s="539">
        <v>0.05</v>
      </c>
      <c r="H880" s="511" t="e">
        <f t="shared" si="17"/>
        <v>#VALUE!</v>
      </c>
    </row>
    <row r="881" spans="1:8" ht="26.25" customHeight="1">
      <c r="A881" s="539" t="s">
        <v>445</v>
      </c>
      <c r="B881" s="540" t="s">
        <v>771</v>
      </c>
      <c r="C881" s="539" t="s">
        <v>979</v>
      </c>
      <c r="D881" s="539" t="s">
        <v>34</v>
      </c>
      <c r="E881" s="544" t="s">
        <v>881</v>
      </c>
      <c r="F881" s="551" t="e">
        <f>LUONGNGAY!$K$35</f>
        <v>#VALUE!</v>
      </c>
      <c r="G881" s="539">
        <v>0.1</v>
      </c>
      <c r="H881" s="511" t="e">
        <f t="shared" si="17"/>
        <v>#VALUE!</v>
      </c>
    </row>
    <row r="882" spans="1:8" ht="26.25" customHeight="1">
      <c r="A882" s="539">
        <v>7</v>
      </c>
      <c r="B882" s="540" t="s">
        <v>554</v>
      </c>
      <c r="C882" s="539" t="s">
        <v>979</v>
      </c>
      <c r="D882" s="539" t="s">
        <v>29</v>
      </c>
      <c r="E882" s="544" t="s">
        <v>881</v>
      </c>
      <c r="F882" s="551" t="e">
        <f>LUONGNGAY!$K$36</f>
        <v>#VALUE!</v>
      </c>
      <c r="G882" s="539">
        <v>0.2</v>
      </c>
      <c r="H882" s="511" t="e">
        <f t="shared" si="17"/>
        <v>#VALUE!</v>
      </c>
    </row>
    <row r="883" spans="1:8" ht="26.25" customHeight="1">
      <c r="A883" s="539">
        <v>8</v>
      </c>
      <c r="B883" s="540" t="s">
        <v>211</v>
      </c>
      <c r="C883" s="539" t="s">
        <v>627</v>
      </c>
      <c r="D883" s="539" t="s">
        <v>29</v>
      </c>
      <c r="E883" s="544" t="s">
        <v>881</v>
      </c>
      <c r="F883" s="551" t="e">
        <f>LUONGNGAY!$K$36</f>
        <v>#VALUE!</v>
      </c>
      <c r="G883" s="539">
        <v>0.03</v>
      </c>
      <c r="H883" s="511" t="e">
        <f t="shared" si="17"/>
        <v>#VALUE!</v>
      </c>
    </row>
    <row r="884" spans="1:8" ht="26.25" customHeight="1">
      <c r="A884" s="539">
        <v>9</v>
      </c>
      <c r="B884" s="540" t="s">
        <v>213</v>
      </c>
      <c r="C884" s="539"/>
      <c r="D884" s="539"/>
      <c r="E884" s="539"/>
      <c r="G884" s="539"/>
      <c r="H884" s="511">
        <f t="shared" si="17"/>
        <v>0</v>
      </c>
    </row>
    <row r="885" spans="1:8" ht="26.25" customHeight="1">
      <c r="A885" s="539" t="s">
        <v>446</v>
      </c>
      <c r="B885" s="540" t="s">
        <v>215</v>
      </c>
      <c r="C885" s="539" t="s">
        <v>320</v>
      </c>
      <c r="D885" s="539" t="s">
        <v>34</v>
      </c>
      <c r="E885" s="544" t="s">
        <v>881</v>
      </c>
      <c r="F885" s="551" t="e">
        <f>LUONGNGAY!$K$35</f>
        <v>#VALUE!</v>
      </c>
      <c r="G885" s="539">
        <v>0.1</v>
      </c>
      <c r="H885" s="511" t="e">
        <f t="shared" si="17"/>
        <v>#VALUE!</v>
      </c>
    </row>
    <row r="886" spans="1:8" ht="26.25" customHeight="1">
      <c r="A886" s="539" t="s">
        <v>447</v>
      </c>
      <c r="B886" s="540" t="s">
        <v>217</v>
      </c>
      <c r="C886" s="539" t="s">
        <v>320</v>
      </c>
      <c r="D886" s="539" t="s">
        <v>34</v>
      </c>
      <c r="E886" s="544" t="s">
        <v>881</v>
      </c>
      <c r="F886" s="551" t="e">
        <f>LUONGNGAY!$K$35</f>
        <v>#VALUE!</v>
      </c>
      <c r="G886" s="539">
        <v>0.15</v>
      </c>
      <c r="H886" s="511" t="e">
        <f t="shared" si="17"/>
        <v>#VALUE!</v>
      </c>
    </row>
    <row r="887" spans="1:8" ht="26.25" customHeight="1">
      <c r="A887" s="539" t="s">
        <v>555</v>
      </c>
      <c r="B887" s="540" t="s">
        <v>556</v>
      </c>
      <c r="C887" s="539" t="s">
        <v>320</v>
      </c>
      <c r="D887" s="539" t="s">
        <v>34</v>
      </c>
      <c r="E887" s="544" t="s">
        <v>881</v>
      </c>
      <c r="F887" s="551" t="e">
        <f>LUONGNGAY!$K$35</f>
        <v>#VALUE!</v>
      </c>
      <c r="G887" s="539">
        <v>0.1</v>
      </c>
      <c r="H887" s="511" t="e">
        <f t="shared" si="17"/>
        <v>#VALUE!</v>
      </c>
    </row>
    <row r="888" spans="1:8" ht="26.25" customHeight="1">
      <c r="A888" s="539">
        <v>10</v>
      </c>
      <c r="B888" s="540" t="s">
        <v>557</v>
      </c>
      <c r="C888" s="539" t="s">
        <v>979</v>
      </c>
      <c r="D888" s="539" t="s">
        <v>34</v>
      </c>
      <c r="E888" s="544" t="s">
        <v>881</v>
      </c>
      <c r="F888" s="551" t="e">
        <f>LUONGNGAY!$K$35</f>
        <v>#VALUE!</v>
      </c>
      <c r="G888" s="539">
        <v>0.4</v>
      </c>
      <c r="H888" s="511" t="e">
        <f t="shared" si="17"/>
        <v>#VALUE!</v>
      </c>
    </row>
    <row r="889" spans="1:8" ht="26.25" customHeight="1">
      <c r="A889" s="539">
        <v>11</v>
      </c>
      <c r="B889" s="540" t="s">
        <v>1</v>
      </c>
      <c r="C889" s="539" t="s">
        <v>979</v>
      </c>
      <c r="D889" s="539" t="s">
        <v>34</v>
      </c>
      <c r="E889" s="544" t="s">
        <v>881</v>
      </c>
      <c r="F889" s="551" t="e">
        <f>LUONGNGAY!$K$35</f>
        <v>#VALUE!</v>
      </c>
      <c r="G889" s="539">
        <v>0.37</v>
      </c>
      <c r="H889" s="511" t="e">
        <f t="shared" si="17"/>
        <v>#VALUE!</v>
      </c>
    </row>
    <row r="890" spans="1:8" ht="26.25" customHeight="1">
      <c r="A890" s="539">
        <v>12</v>
      </c>
      <c r="B890" s="540" t="s">
        <v>220</v>
      </c>
      <c r="C890" s="539" t="s">
        <v>627</v>
      </c>
      <c r="D890" s="539" t="s">
        <v>29</v>
      </c>
      <c r="E890" s="544" t="s">
        <v>881</v>
      </c>
      <c r="F890" s="551" t="e">
        <f>LUONGNGAY!$K$36</f>
        <v>#VALUE!</v>
      </c>
      <c r="G890" s="539">
        <v>3.3000000000000002E-2</v>
      </c>
      <c r="H890" s="511" t="e">
        <f t="shared" si="17"/>
        <v>#VALUE!</v>
      </c>
    </row>
    <row r="891" spans="1:8" ht="26.25" customHeight="1">
      <c r="A891" s="539">
        <v>13</v>
      </c>
      <c r="B891" s="540" t="s">
        <v>221</v>
      </c>
      <c r="C891" s="539"/>
      <c r="D891" s="539"/>
      <c r="E891" s="539"/>
      <c r="G891" s="539"/>
      <c r="H891" s="511">
        <f t="shared" si="17"/>
        <v>0</v>
      </c>
    </row>
    <row r="892" spans="1:8" ht="26.25" customHeight="1">
      <c r="A892" s="539" t="s">
        <v>237</v>
      </c>
      <c r="B892" s="540" t="s">
        <v>931</v>
      </c>
      <c r="C892" s="539"/>
      <c r="D892" s="539"/>
      <c r="E892" s="539"/>
      <c r="G892" s="539"/>
      <c r="H892" s="511">
        <f t="shared" si="17"/>
        <v>0</v>
      </c>
    </row>
    <row r="893" spans="1:8" ht="26.25" customHeight="1">
      <c r="A893" s="539" t="s">
        <v>238</v>
      </c>
      <c r="B893" s="540" t="s">
        <v>933</v>
      </c>
      <c r="C893" s="539" t="s">
        <v>934</v>
      </c>
      <c r="D893" s="539" t="s">
        <v>935</v>
      </c>
      <c r="E893" s="544" t="s">
        <v>881</v>
      </c>
      <c r="F893" s="471" t="e">
        <f>LUONGNGAY!$K$34</f>
        <v>#VALUE!</v>
      </c>
      <c r="G893" s="539">
        <v>1.6E-2</v>
      </c>
      <c r="H893" s="511" t="e">
        <f t="shared" si="17"/>
        <v>#VALUE!</v>
      </c>
    </row>
    <row r="894" spans="1:8" ht="26.25" customHeight="1">
      <c r="A894" s="539" t="s">
        <v>239</v>
      </c>
      <c r="B894" s="540" t="s">
        <v>937</v>
      </c>
      <c r="C894" s="539" t="s">
        <v>934</v>
      </c>
      <c r="D894" s="539" t="s">
        <v>935</v>
      </c>
      <c r="E894" s="544" t="s">
        <v>881</v>
      </c>
      <c r="F894" s="471" t="e">
        <f>LUONGNGAY!$K$34</f>
        <v>#VALUE!</v>
      </c>
      <c r="G894" s="539">
        <v>8.0000000000000002E-3</v>
      </c>
      <c r="H894" s="511" t="e">
        <f t="shared" si="17"/>
        <v>#VALUE!</v>
      </c>
    </row>
    <row r="895" spans="1:8" ht="26.25" customHeight="1">
      <c r="A895" s="539" t="s">
        <v>240</v>
      </c>
      <c r="B895" s="540" t="s">
        <v>48</v>
      </c>
      <c r="C895" s="539" t="s">
        <v>934</v>
      </c>
      <c r="D895" s="539" t="s">
        <v>935</v>
      </c>
      <c r="E895" s="544" t="s">
        <v>881</v>
      </c>
      <c r="F895" s="471" t="e">
        <f>LUONGNGAY!$K$34</f>
        <v>#VALUE!</v>
      </c>
      <c r="G895" s="539">
        <v>4.0000000000000001E-3</v>
      </c>
      <c r="H895" s="511" t="e">
        <f t="shared" si="17"/>
        <v>#VALUE!</v>
      </c>
    </row>
    <row r="896" spans="1:8" ht="26.25" customHeight="1">
      <c r="A896" s="539" t="s">
        <v>241</v>
      </c>
      <c r="B896" s="540" t="s">
        <v>50</v>
      </c>
      <c r="C896" s="539" t="s">
        <v>627</v>
      </c>
      <c r="D896" s="539" t="s">
        <v>935</v>
      </c>
      <c r="E896" s="544" t="s">
        <v>881</v>
      </c>
      <c r="F896" s="471" t="e">
        <f>LUONGNGAY!$K$34</f>
        <v>#VALUE!</v>
      </c>
      <c r="G896" s="539">
        <v>0.01</v>
      </c>
      <c r="H896" s="511" t="e">
        <f t="shared" si="17"/>
        <v>#VALUE!</v>
      </c>
    </row>
    <row r="897" spans="1:8" ht="26.25" customHeight="1">
      <c r="A897" s="545" t="s">
        <v>184</v>
      </c>
      <c r="B897" s="538" t="s">
        <v>91</v>
      </c>
      <c r="C897" s="539"/>
      <c r="D897" s="539"/>
      <c r="E897" s="539"/>
      <c r="G897" s="539"/>
      <c r="H897" s="511">
        <f t="shared" si="17"/>
        <v>0</v>
      </c>
    </row>
    <row r="898" spans="1:8" ht="26.25" customHeight="1">
      <c r="A898" s="539">
        <v>1</v>
      </c>
      <c r="B898" s="540" t="s">
        <v>2</v>
      </c>
      <c r="C898" s="539" t="s">
        <v>979</v>
      </c>
      <c r="D898" s="539" t="s">
        <v>29</v>
      </c>
      <c r="E898" s="544" t="s">
        <v>881</v>
      </c>
      <c r="F898" s="551" t="e">
        <f>LUONGNGAY!$K$36</f>
        <v>#VALUE!</v>
      </c>
      <c r="G898" s="539">
        <v>0.4</v>
      </c>
      <c r="H898" s="511" t="e">
        <f t="shared" si="17"/>
        <v>#VALUE!</v>
      </c>
    </row>
    <row r="899" spans="1:8" ht="26.25" customHeight="1">
      <c r="A899" s="545" t="s">
        <v>913</v>
      </c>
      <c r="B899" s="538" t="s">
        <v>93</v>
      </c>
      <c r="C899" s="539"/>
      <c r="D899" s="539"/>
      <c r="E899" s="539"/>
      <c r="G899" s="539"/>
      <c r="H899" s="511">
        <f t="shared" si="17"/>
        <v>0</v>
      </c>
    </row>
    <row r="900" spans="1:8" ht="26.25" customHeight="1">
      <c r="A900" s="539">
        <v>1</v>
      </c>
      <c r="B900" s="540" t="s">
        <v>3</v>
      </c>
      <c r="C900" s="539" t="s">
        <v>979</v>
      </c>
      <c r="D900" s="539" t="s">
        <v>34</v>
      </c>
      <c r="E900" s="544" t="s">
        <v>881</v>
      </c>
      <c r="F900" s="551" t="e">
        <f>LUONGNGAY!$K$35</f>
        <v>#VALUE!</v>
      </c>
      <c r="G900" s="539">
        <v>0.1</v>
      </c>
      <c r="H900" s="511" t="e">
        <f t="shared" si="17"/>
        <v>#VALUE!</v>
      </c>
    </row>
    <row r="901" spans="1:8" ht="18" customHeight="1">
      <c r="A901" s="515"/>
      <c r="B901" s="516"/>
      <c r="C901" s="517"/>
      <c r="D901" s="517"/>
      <c r="E901" s="515"/>
      <c r="F901" s="518"/>
      <c r="G901" s="519"/>
      <c r="H901" s="520"/>
    </row>
    <row r="902" spans="1:8" ht="31.15" customHeight="1">
      <c r="A902" s="1194" t="s">
        <v>10</v>
      </c>
      <c r="B902" s="1194"/>
      <c r="C902" s="1194"/>
      <c r="D902" s="1194"/>
      <c r="E902" s="1194"/>
      <c r="F902" s="1194"/>
      <c r="G902" s="1194"/>
      <c r="H902" s="1194"/>
    </row>
    <row r="903" spans="1:8" ht="12" customHeight="1">
      <c r="A903" s="459"/>
      <c r="B903" s="460"/>
      <c r="E903" s="462"/>
      <c r="F903" s="463"/>
      <c r="G903" s="462"/>
      <c r="H903" s="464"/>
    </row>
    <row r="904" spans="1:8" ht="49.5" customHeight="1">
      <c r="A904" s="467" t="s">
        <v>158</v>
      </c>
      <c r="B904" s="467" t="s">
        <v>381</v>
      </c>
      <c r="C904" s="468" t="s">
        <v>625</v>
      </c>
      <c r="D904" s="468" t="s">
        <v>624</v>
      </c>
      <c r="E904" s="468" t="s">
        <v>382</v>
      </c>
      <c r="F904" s="469" t="s">
        <v>629</v>
      </c>
      <c r="G904" s="468" t="s">
        <v>628</v>
      </c>
      <c r="H904" s="468" t="s">
        <v>383</v>
      </c>
    </row>
    <row r="905" spans="1:8" ht="24.75" customHeight="1">
      <c r="A905" s="569" t="s">
        <v>179</v>
      </c>
      <c r="B905" s="538" t="s">
        <v>765</v>
      </c>
      <c r="C905" s="539"/>
      <c r="D905" s="539"/>
      <c r="E905" s="539"/>
      <c r="F905" s="539"/>
      <c r="G905" s="539"/>
      <c r="H905" s="539"/>
    </row>
    <row r="906" spans="1:8" ht="24.75" customHeight="1">
      <c r="A906" s="569">
        <v>1</v>
      </c>
      <c r="B906" s="540" t="s">
        <v>4</v>
      </c>
      <c r="C906" s="539"/>
      <c r="D906" s="539"/>
      <c r="E906" s="539"/>
      <c r="F906" s="539"/>
      <c r="G906" s="539"/>
      <c r="H906" s="539"/>
    </row>
    <row r="907" spans="1:8" ht="24.75" customHeight="1">
      <c r="A907" s="539" t="s">
        <v>891</v>
      </c>
      <c r="B907" s="540" t="s">
        <v>33</v>
      </c>
      <c r="C907" s="539" t="s">
        <v>979</v>
      </c>
      <c r="D907" s="539" t="s">
        <v>34</v>
      </c>
      <c r="E907" s="544" t="s">
        <v>881</v>
      </c>
      <c r="F907" s="551" t="e">
        <f>LUONGNGAY!$K$35</f>
        <v>#VALUE!</v>
      </c>
      <c r="G907" s="539">
        <v>0.2</v>
      </c>
      <c r="H907" s="511" t="e">
        <f>F907*G907</f>
        <v>#VALUE!</v>
      </c>
    </row>
    <row r="908" spans="1:8" ht="24.75" customHeight="1">
      <c r="A908" s="539" t="s">
        <v>899</v>
      </c>
      <c r="B908" s="540" t="s">
        <v>36</v>
      </c>
      <c r="C908" s="539" t="s">
        <v>979</v>
      </c>
      <c r="D908" s="539" t="s">
        <v>34</v>
      </c>
      <c r="E908" s="544" t="s">
        <v>881</v>
      </c>
      <c r="F908" s="551" t="e">
        <f>LUONGNGAY!$K$35</f>
        <v>#VALUE!</v>
      </c>
      <c r="G908" s="539">
        <v>0.15</v>
      </c>
      <c r="H908" s="511" t="e">
        <f t="shared" ref="H908:H934" si="18">F908*G908</f>
        <v>#VALUE!</v>
      </c>
    </row>
    <row r="909" spans="1:8" ht="24.75" customHeight="1">
      <c r="A909" s="539">
        <v>2</v>
      </c>
      <c r="B909" s="540" t="s">
        <v>953</v>
      </c>
      <c r="C909" s="539" t="s">
        <v>979</v>
      </c>
      <c r="D909" s="539" t="s">
        <v>34</v>
      </c>
      <c r="E909" s="544" t="s">
        <v>881</v>
      </c>
      <c r="F909" s="551" t="e">
        <f>LUONGNGAY!$K$35</f>
        <v>#VALUE!</v>
      </c>
      <c r="G909" s="539">
        <v>0.25</v>
      </c>
      <c r="H909" s="511" t="e">
        <f t="shared" si="18"/>
        <v>#VALUE!</v>
      </c>
    </row>
    <row r="910" spans="1:8" ht="24.75" customHeight="1">
      <c r="A910" s="539">
        <v>3</v>
      </c>
      <c r="B910" s="540" t="s">
        <v>38</v>
      </c>
      <c r="C910" s="539" t="s">
        <v>627</v>
      </c>
      <c r="D910" s="539" t="s">
        <v>29</v>
      </c>
      <c r="E910" s="544" t="s">
        <v>881</v>
      </c>
      <c r="F910" s="551" t="e">
        <f>LUONGNGAY!$K$36</f>
        <v>#VALUE!</v>
      </c>
      <c r="G910" s="539">
        <v>3.3000000000000002E-2</v>
      </c>
      <c r="H910" s="511" t="e">
        <f t="shared" si="18"/>
        <v>#VALUE!</v>
      </c>
    </row>
    <row r="911" spans="1:8" ht="24.75" customHeight="1">
      <c r="A911" s="539">
        <v>4</v>
      </c>
      <c r="B911" s="540" t="s">
        <v>481</v>
      </c>
      <c r="C911" s="539" t="s">
        <v>979</v>
      </c>
      <c r="D911" s="539" t="s">
        <v>482</v>
      </c>
      <c r="E911" s="544" t="s">
        <v>881</v>
      </c>
      <c r="F911" s="551" t="e">
        <f>(LUONGNGAY!$K$35+LUONGNGAY!$K$44)/2</f>
        <v>#VALUE!</v>
      </c>
      <c r="G911" s="539">
        <f>0.9*2</f>
        <v>1.8</v>
      </c>
      <c r="H911" s="511" t="e">
        <f t="shared" si="18"/>
        <v>#VALUE!</v>
      </c>
    </row>
    <row r="912" spans="1:8" ht="24.75" customHeight="1">
      <c r="A912" s="539">
        <v>5</v>
      </c>
      <c r="B912" s="540" t="s">
        <v>69</v>
      </c>
      <c r="C912" s="539" t="s">
        <v>627</v>
      </c>
      <c r="D912" s="539" t="s">
        <v>29</v>
      </c>
      <c r="E912" s="544" t="s">
        <v>881</v>
      </c>
      <c r="F912" s="551" t="e">
        <f>LUONGNGAY!$K$36</f>
        <v>#VALUE!</v>
      </c>
      <c r="G912" s="539">
        <v>6.0000000000000001E-3</v>
      </c>
      <c r="H912" s="511" t="e">
        <f t="shared" si="18"/>
        <v>#VALUE!</v>
      </c>
    </row>
    <row r="913" spans="1:8" ht="24.75" customHeight="1">
      <c r="A913" s="539">
        <v>6</v>
      </c>
      <c r="B913" s="540" t="s">
        <v>483</v>
      </c>
      <c r="C913" s="539"/>
      <c r="D913" s="539"/>
      <c r="E913" s="539"/>
      <c r="G913" s="539"/>
      <c r="H913" s="511">
        <f t="shared" si="18"/>
        <v>0</v>
      </c>
    </row>
    <row r="914" spans="1:8" ht="24.75" customHeight="1">
      <c r="A914" s="539" t="s">
        <v>444</v>
      </c>
      <c r="B914" s="540" t="s">
        <v>770</v>
      </c>
      <c r="C914" s="539" t="s">
        <v>979</v>
      </c>
      <c r="D914" s="539" t="s">
        <v>34</v>
      </c>
      <c r="E914" s="544" t="s">
        <v>881</v>
      </c>
      <c r="F914" s="551" t="e">
        <f>LUONGNGAY!$K$35</f>
        <v>#VALUE!</v>
      </c>
      <c r="G914" s="539">
        <v>0</v>
      </c>
      <c r="H914" s="511" t="e">
        <f t="shared" si="18"/>
        <v>#VALUE!</v>
      </c>
    </row>
    <row r="915" spans="1:8" ht="24.75" customHeight="1">
      <c r="A915" s="539" t="s">
        <v>445</v>
      </c>
      <c r="B915" s="540" t="s">
        <v>771</v>
      </c>
      <c r="C915" s="539" t="s">
        <v>979</v>
      </c>
      <c r="D915" s="539" t="s">
        <v>34</v>
      </c>
      <c r="E915" s="544" t="s">
        <v>881</v>
      </c>
      <c r="F915" s="551" t="e">
        <f>LUONGNGAY!$K$35</f>
        <v>#VALUE!</v>
      </c>
      <c r="G915" s="539">
        <v>0</v>
      </c>
      <c r="H915" s="511" t="e">
        <f t="shared" si="18"/>
        <v>#VALUE!</v>
      </c>
    </row>
    <row r="916" spans="1:8" ht="24.75" customHeight="1">
      <c r="A916" s="539">
        <v>7</v>
      </c>
      <c r="B916" s="540" t="s">
        <v>554</v>
      </c>
      <c r="C916" s="539" t="s">
        <v>979</v>
      </c>
      <c r="D916" s="539" t="s">
        <v>29</v>
      </c>
      <c r="E916" s="544" t="s">
        <v>881</v>
      </c>
      <c r="F916" s="551" t="e">
        <f>LUONGNGAY!$K$36</f>
        <v>#VALUE!</v>
      </c>
      <c r="G916" s="539">
        <v>0.2</v>
      </c>
      <c r="H916" s="511" t="e">
        <f t="shared" si="18"/>
        <v>#VALUE!</v>
      </c>
    </row>
    <row r="917" spans="1:8" ht="24.75" customHeight="1">
      <c r="A917" s="539">
        <v>8</v>
      </c>
      <c r="B917" s="540" t="s">
        <v>211</v>
      </c>
      <c r="C917" s="539" t="s">
        <v>627</v>
      </c>
      <c r="D917" s="539" t="s">
        <v>29</v>
      </c>
      <c r="E917" s="544" t="s">
        <v>881</v>
      </c>
      <c r="F917" s="551" t="e">
        <f>LUONGNGAY!$K$36</f>
        <v>#VALUE!</v>
      </c>
      <c r="G917" s="539">
        <v>0.17100000000000001</v>
      </c>
      <c r="H917" s="511" t="e">
        <f t="shared" si="18"/>
        <v>#VALUE!</v>
      </c>
    </row>
    <row r="918" spans="1:8" ht="24.75" customHeight="1">
      <c r="A918" s="539">
        <v>9</v>
      </c>
      <c r="B918" s="540" t="s">
        <v>213</v>
      </c>
      <c r="C918" s="539"/>
      <c r="D918" s="539"/>
      <c r="E918" s="539"/>
      <c r="G918" s="539"/>
      <c r="H918" s="511">
        <f t="shared" si="18"/>
        <v>0</v>
      </c>
    </row>
    <row r="919" spans="1:8" ht="24.75" customHeight="1">
      <c r="A919" s="539" t="s">
        <v>446</v>
      </c>
      <c r="B919" s="540" t="s">
        <v>215</v>
      </c>
      <c r="C919" s="539" t="s">
        <v>320</v>
      </c>
      <c r="D919" s="539" t="s">
        <v>34</v>
      </c>
      <c r="E919" s="544" t="s">
        <v>881</v>
      </c>
      <c r="F919" s="551" t="e">
        <f>LUONGNGAY!$K$35</f>
        <v>#VALUE!</v>
      </c>
      <c r="G919" s="539">
        <v>0.1</v>
      </c>
      <c r="H919" s="511" t="e">
        <f t="shared" si="18"/>
        <v>#VALUE!</v>
      </c>
    </row>
    <row r="920" spans="1:8" ht="24.75" customHeight="1">
      <c r="A920" s="539" t="s">
        <v>447</v>
      </c>
      <c r="B920" s="540" t="s">
        <v>217</v>
      </c>
      <c r="C920" s="539" t="s">
        <v>320</v>
      </c>
      <c r="D920" s="539" t="s">
        <v>34</v>
      </c>
      <c r="E920" s="544" t="s">
        <v>881</v>
      </c>
      <c r="F920" s="551" t="e">
        <f>LUONGNGAY!$K$35</f>
        <v>#VALUE!</v>
      </c>
      <c r="G920" s="539">
        <v>0.2</v>
      </c>
      <c r="H920" s="511" t="e">
        <f t="shared" si="18"/>
        <v>#VALUE!</v>
      </c>
    </row>
    <row r="921" spans="1:8" ht="24.75" customHeight="1">
      <c r="A921" s="539" t="s">
        <v>555</v>
      </c>
      <c r="B921" s="540" t="s">
        <v>556</v>
      </c>
      <c r="C921" s="539" t="s">
        <v>320</v>
      </c>
      <c r="D921" s="539" t="s">
        <v>34</v>
      </c>
      <c r="E921" s="544" t="s">
        <v>881</v>
      </c>
      <c r="F921" s="551" t="e">
        <f>LUONGNGAY!$K$35</f>
        <v>#VALUE!</v>
      </c>
      <c r="G921" s="539">
        <v>0.1</v>
      </c>
      <c r="H921" s="511" t="e">
        <f t="shared" si="18"/>
        <v>#VALUE!</v>
      </c>
    </row>
    <row r="922" spans="1:8" ht="24.75" customHeight="1">
      <c r="A922" s="539">
        <v>10</v>
      </c>
      <c r="B922" s="540" t="s">
        <v>557</v>
      </c>
      <c r="C922" s="539" t="s">
        <v>979</v>
      </c>
      <c r="D922" s="539" t="s">
        <v>34</v>
      </c>
      <c r="E922" s="544" t="s">
        <v>881</v>
      </c>
      <c r="F922" s="551" t="e">
        <f>LUONGNGAY!$K$35</f>
        <v>#VALUE!</v>
      </c>
      <c r="G922" s="539">
        <v>0.4</v>
      </c>
      <c r="H922" s="511" t="e">
        <f t="shared" si="18"/>
        <v>#VALUE!</v>
      </c>
    </row>
    <row r="923" spans="1:8" ht="24.75" customHeight="1">
      <c r="A923" s="539">
        <v>11</v>
      </c>
      <c r="B923" s="540" t="s">
        <v>1</v>
      </c>
      <c r="C923" s="539" t="s">
        <v>979</v>
      </c>
      <c r="D923" s="539" t="s">
        <v>34</v>
      </c>
      <c r="E923" s="544" t="s">
        <v>881</v>
      </c>
      <c r="F923" s="551" t="e">
        <f>LUONGNGAY!$K$35</f>
        <v>#VALUE!</v>
      </c>
      <c r="G923" s="539">
        <v>0.37</v>
      </c>
      <c r="H923" s="511" t="e">
        <f t="shared" si="18"/>
        <v>#VALUE!</v>
      </c>
    </row>
    <row r="924" spans="1:8" ht="24.75" customHeight="1">
      <c r="A924" s="539">
        <v>12</v>
      </c>
      <c r="B924" s="540" t="s">
        <v>220</v>
      </c>
      <c r="C924" s="539" t="s">
        <v>627</v>
      </c>
      <c r="D924" s="539" t="s">
        <v>29</v>
      </c>
      <c r="E924" s="544" t="s">
        <v>881</v>
      </c>
      <c r="F924" s="551" t="e">
        <f>LUONGNGAY!$K$36</f>
        <v>#VALUE!</v>
      </c>
      <c r="G924" s="539">
        <v>3.3000000000000002E-2</v>
      </c>
      <c r="H924" s="511" t="e">
        <f t="shared" si="18"/>
        <v>#VALUE!</v>
      </c>
    </row>
    <row r="925" spans="1:8" ht="24.75" customHeight="1">
      <c r="A925" s="539">
        <v>13</v>
      </c>
      <c r="B925" s="540" t="s">
        <v>221</v>
      </c>
      <c r="C925" s="539"/>
      <c r="D925" s="539"/>
      <c r="E925" s="539"/>
      <c r="G925" s="539"/>
      <c r="H925" s="511">
        <f t="shared" si="18"/>
        <v>0</v>
      </c>
    </row>
    <row r="926" spans="1:8" ht="24.75" customHeight="1">
      <c r="A926" s="539" t="s">
        <v>237</v>
      </c>
      <c r="B926" s="540" t="s">
        <v>931</v>
      </c>
      <c r="C926" s="539"/>
      <c r="D926" s="539"/>
      <c r="E926" s="539"/>
      <c r="G926" s="539"/>
      <c r="H926" s="511">
        <f t="shared" si="18"/>
        <v>0</v>
      </c>
    </row>
    <row r="927" spans="1:8" ht="24.75" customHeight="1">
      <c r="A927" s="539" t="s">
        <v>238</v>
      </c>
      <c r="B927" s="540" t="s">
        <v>933</v>
      </c>
      <c r="C927" s="539" t="s">
        <v>934</v>
      </c>
      <c r="D927" s="539" t="s">
        <v>935</v>
      </c>
      <c r="E927" s="544" t="s">
        <v>881</v>
      </c>
      <c r="F927" s="471" t="e">
        <f>LUONGNGAY!$K$34</f>
        <v>#VALUE!</v>
      </c>
      <c r="G927" s="539">
        <v>1.6E-2</v>
      </c>
      <c r="H927" s="511" t="e">
        <f t="shared" si="18"/>
        <v>#VALUE!</v>
      </c>
    </row>
    <row r="928" spans="1:8" ht="24.75" customHeight="1">
      <c r="A928" s="539" t="s">
        <v>239</v>
      </c>
      <c r="B928" s="540" t="s">
        <v>937</v>
      </c>
      <c r="C928" s="539" t="s">
        <v>934</v>
      </c>
      <c r="D928" s="539" t="s">
        <v>935</v>
      </c>
      <c r="E928" s="544" t="s">
        <v>881</v>
      </c>
      <c r="F928" s="471" t="e">
        <f>LUONGNGAY!$K$34</f>
        <v>#VALUE!</v>
      </c>
      <c r="G928" s="539">
        <v>8.0000000000000002E-3</v>
      </c>
      <c r="H928" s="511" t="e">
        <f t="shared" si="18"/>
        <v>#VALUE!</v>
      </c>
    </row>
    <row r="929" spans="1:8" ht="24.75" customHeight="1">
      <c r="A929" s="539" t="s">
        <v>240</v>
      </c>
      <c r="B929" s="540" t="s">
        <v>48</v>
      </c>
      <c r="C929" s="539" t="s">
        <v>934</v>
      </c>
      <c r="D929" s="539" t="s">
        <v>935</v>
      </c>
      <c r="E929" s="544" t="s">
        <v>881</v>
      </c>
      <c r="F929" s="471" t="e">
        <f>LUONGNGAY!$K$34</f>
        <v>#VALUE!</v>
      </c>
      <c r="G929" s="539">
        <v>4.0000000000000001E-3</v>
      </c>
      <c r="H929" s="511" t="e">
        <f t="shared" si="18"/>
        <v>#VALUE!</v>
      </c>
    </row>
    <row r="930" spans="1:8" ht="24.75" customHeight="1">
      <c r="A930" s="539" t="s">
        <v>241</v>
      </c>
      <c r="B930" s="540" t="s">
        <v>50</v>
      </c>
      <c r="C930" s="539" t="s">
        <v>627</v>
      </c>
      <c r="D930" s="539" t="s">
        <v>935</v>
      </c>
      <c r="E930" s="544" t="s">
        <v>881</v>
      </c>
      <c r="F930" s="471" t="e">
        <f>LUONGNGAY!$K$34</f>
        <v>#VALUE!</v>
      </c>
      <c r="G930" s="539">
        <v>0.01</v>
      </c>
      <c r="H930" s="511" t="e">
        <f t="shared" si="18"/>
        <v>#VALUE!</v>
      </c>
    </row>
    <row r="931" spans="1:8" ht="24.75" customHeight="1">
      <c r="A931" s="545" t="s">
        <v>184</v>
      </c>
      <c r="B931" s="538" t="s">
        <v>91</v>
      </c>
      <c r="C931" s="539"/>
      <c r="D931" s="539"/>
      <c r="E931" s="539"/>
      <c r="G931" s="539"/>
      <c r="H931" s="511">
        <f t="shared" si="18"/>
        <v>0</v>
      </c>
    </row>
    <row r="932" spans="1:8" ht="24.75" customHeight="1">
      <c r="A932" s="539">
        <v>1</v>
      </c>
      <c r="B932" s="540" t="s">
        <v>2</v>
      </c>
      <c r="C932" s="539" t="s">
        <v>979</v>
      </c>
      <c r="D932" s="539" t="s">
        <v>29</v>
      </c>
      <c r="E932" s="544" t="s">
        <v>881</v>
      </c>
      <c r="F932" s="551" t="e">
        <f>LUONGNGAY!$K$36</f>
        <v>#VALUE!</v>
      </c>
      <c r="G932" s="539">
        <v>0.4</v>
      </c>
      <c r="H932" s="511" t="e">
        <f t="shared" si="18"/>
        <v>#VALUE!</v>
      </c>
    </row>
    <row r="933" spans="1:8" ht="24.75" customHeight="1">
      <c r="A933" s="545" t="s">
        <v>913</v>
      </c>
      <c r="B933" s="538" t="s">
        <v>93</v>
      </c>
      <c r="C933" s="539"/>
      <c r="D933" s="539"/>
      <c r="E933" s="539"/>
      <c r="G933" s="539"/>
      <c r="H933" s="511">
        <f t="shared" si="18"/>
        <v>0</v>
      </c>
    </row>
    <row r="934" spans="1:8" ht="24.75" customHeight="1">
      <c r="A934" s="539">
        <v>1</v>
      </c>
      <c r="B934" s="540" t="s">
        <v>3</v>
      </c>
      <c r="C934" s="539" t="s">
        <v>979</v>
      </c>
      <c r="D934" s="539" t="s">
        <v>34</v>
      </c>
      <c r="E934" s="544" t="s">
        <v>881</v>
      </c>
      <c r="F934" s="551" t="e">
        <f>LUONGNGAY!$K$35</f>
        <v>#VALUE!</v>
      </c>
      <c r="G934" s="539">
        <v>0.1</v>
      </c>
      <c r="H934" s="511" t="e">
        <f t="shared" si="18"/>
        <v>#VALUE!</v>
      </c>
    </row>
    <row r="935" spans="1:8" ht="18" customHeight="1">
      <c r="A935" s="515"/>
      <c r="B935" s="516"/>
      <c r="C935" s="517"/>
      <c r="D935" s="517"/>
      <c r="E935" s="515"/>
      <c r="F935" s="518"/>
      <c r="G935" s="519"/>
      <c r="H935" s="520"/>
    </row>
    <row r="936" spans="1:8" ht="31.9" customHeight="1">
      <c r="A936" s="1233" t="s">
        <v>11</v>
      </c>
      <c r="B936" s="1233"/>
      <c r="C936" s="1233"/>
      <c r="D936" s="1233"/>
      <c r="E936" s="1233"/>
      <c r="F936" s="1233"/>
      <c r="G936" s="1233"/>
      <c r="H936" s="1233"/>
    </row>
    <row r="937" spans="1:8" ht="20.25" customHeight="1">
      <c r="A937" s="459"/>
      <c r="B937" s="460"/>
      <c r="E937" s="462"/>
      <c r="F937" s="463"/>
      <c r="G937" s="462"/>
      <c r="H937" s="464"/>
    </row>
    <row r="938" spans="1:8" ht="49.5" customHeight="1">
      <c r="A938" s="467" t="s">
        <v>158</v>
      </c>
      <c r="B938" s="467" t="s">
        <v>381</v>
      </c>
      <c r="C938" s="468" t="s">
        <v>625</v>
      </c>
      <c r="D938" s="468" t="s">
        <v>624</v>
      </c>
      <c r="E938" s="468" t="s">
        <v>382</v>
      </c>
      <c r="F938" s="469" t="s">
        <v>629</v>
      </c>
      <c r="G938" s="468" t="s">
        <v>628</v>
      </c>
      <c r="H938" s="468" t="s">
        <v>383</v>
      </c>
    </row>
    <row r="939" spans="1:8" ht="29.25" customHeight="1">
      <c r="A939" s="569" t="s">
        <v>179</v>
      </c>
      <c r="B939" s="538" t="s">
        <v>765</v>
      </c>
      <c r="C939" s="539"/>
      <c r="D939" s="539"/>
      <c r="E939" s="539"/>
      <c r="F939" s="539"/>
      <c r="G939" s="539"/>
      <c r="H939" s="539"/>
    </row>
    <row r="940" spans="1:8" ht="29.25" customHeight="1">
      <c r="A940" s="569">
        <v>1</v>
      </c>
      <c r="B940" s="540" t="s">
        <v>4</v>
      </c>
      <c r="C940" s="539"/>
      <c r="D940" s="539"/>
      <c r="E940" s="539"/>
      <c r="F940" s="539"/>
      <c r="G940" s="539"/>
      <c r="H940" s="539"/>
    </row>
    <row r="941" spans="1:8" ht="29.25" customHeight="1">
      <c r="A941" s="539" t="s">
        <v>891</v>
      </c>
      <c r="B941" s="540" t="s">
        <v>33</v>
      </c>
      <c r="C941" s="539" t="s">
        <v>979</v>
      </c>
      <c r="D941" s="539" t="s">
        <v>34</v>
      </c>
      <c r="E941" s="544" t="s">
        <v>881</v>
      </c>
      <c r="F941" s="551" t="e">
        <f>LUONGNGAY!$K$35</f>
        <v>#VALUE!</v>
      </c>
      <c r="G941" s="539">
        <v>0.26</v>
      </c>
      <c r="H941" s="511" t="e">
        <f>F941*G941</f>
        <v>#VALUE!</v>
      </c>
    </row>
    <row r="942" spans="1:8" ht="29.25" customHeight="1">
      <c r="A942" s="539" t="s">
        <v>899</v>
      </c>
      <c r="B942" s="540" t="s">
        <v>36</v>
      </c>
      <c r="C942" s="539" t="s">
        <v>979</v>
      </c>
      <c r="D942" s="539" t="s">
        <v>34</v>
      </c>
      <c r="E942" s="544" t="s">
        <v>881</v>
      </c>
      <c r="F942" s="551" t="e">
        <f>LUONGNGAY!$K$35</f>
        <v>#VALUE!</v>
      </c>
      <c r="G942" s="539">
        <v>0.19500000000000001</v>
      </c>
      <c r="H942" s="511" t="e">
        <f t="shared" ref="H942:H968" si="19">F942*G942</f>
        <v>#VALUE!</v>
      </c>
    </row>
    <row r="943" spans="1:8" ht="29.25" customHeight="1">
      <c r="A943" s="539">
        <v>2</v>
      </c>
      <c r="B943" s="540" t="s">
        <v>953</v>
      </c>
      <c r="C943" s="539" t="s">
        <v>979</v>
      </c>
      <c r="D943" s="539" t="s">
        <v>34</v>
      </c>
      <c r="E943" s="544" t="s">
        <v>881</v>
      </c>
      <c r="F943" s="551" t="e">
        <f>LUONGNGAY!$K$35</f>
        <v>#VALUE!</v>
      </c>
      <c r="G943" s="539">
        <v>0.32500000000000001</v>
      </c>
      <c r="H943" s="511" t="e">
        <f t="shared" si="19"/>
        <v>#VALUE!</v>
      </c>
    </row>
    <row r="944" spans="1:8" ht="29.25" customHeight="1">
      <c r="A944" s="539">
        <v>3</v>
      </c>
      <c r="B944" s="540" t="s">
        <v>38</v>
      </c>
      <c r="C944" s="539" t="s">
        <v>627</v>
      </c>
      <c r="D944" s="539" t="s">
        <v>29</v>
      </c>
      <c r="E944" s="544" t="s">
        <v>881</v>
      </c>
      <c r="F944" s="551" t="e">
        <f>LUONGNGAY!$K$36</f>
        <v>#VALUE!</v>
      </c>
      <c r="G944" s="539">
        <v>0.16700000000000001</v>
      </c>
      <c r="H944" s="511" t="e">
        <f t="shared" si="19"/>
        <v>#VALUE!</v>
      </c>
    </row>
    <row r="945" spans="1:8" ht="61.5" customHeight="1">
      <c r="A945" s="539">
        <v>4</v>
      </c>
      <c r="B945" s="540" t="s">
        <v>481</v>
      </c>
      <c r="C945" s="539" t="s">
        <v>979</v>
      </c>
      <c r="D945" s="539" t="s">
        <v>482</v>
      </c>
      <c r="E945" s="544" t="s">
        <v>881</v>
      </c>
      <c r="F945" s="551" t="e">
        <f>(LUONGNGAY!$K$35+LUONGNGAY!$K$44)/2</f>
        <v>#VALUE!</v>
      </c>
      <c r="G945" s="539">
        <f>1.08*2</f>
        <v>2.16</v>
      </c>
      <c r="H945" s="511" t="e">
        <f t="shared" si="19"/>
        <v>#VALUE!</v>
      </c>
    </row>
    <row r="946" spans="1:8" ht="29.25" customHeight="1">
      <c r="A946" s="539">
        <v>5</v>
      </c>
      <c r="B946" s="540" t="s">
        <v>69</v>
      </c>
      <c r="C946" s="539" t="s">
        <v>627</v>
      </c>
      <c r="D946" s="539" t="s">
        <v>29</v>
      </c>
      <c r="E946" s="544" t="s">
        <v>881</v>
      </c>
      <c r="F946" s="551" t="e">
        <f>LUONGNGAY!$K$36</f>
        <v>#VALUE!</v>
      </c>
      <c r="G946" s="539">
        <v>6.0000000000000001E-3</v>
      </c>
      <c r="H946" s="511" t="e">
        <f t="shared" si="19"/>
        <v>#VALUE!</v>
      </c>
    </row>
    <row r="947" spans="1:8" ht="29.25" customHeight="1">
      <c r="A947" s="539">
        <v>6</v>
      </c>
      <c r="B947" s="540" t="s">
        <v>483</v>
      </c>
      <c r="C947" s="539"/>
      <c r="D947" s="539"/>
      <c r="E947" s="539"/>
      <c r="G947" s="539"/>
      <c r="H947" s="511">
        <f t="shared" si="19"/>
        <v>0</v>
      </c>
    </row>
    <row r="948" spans="1:8" ht="29.25" customHeight="1">
      <c r="A948" s="539" t="s">
        <v>444</v>
      </c>
      <c r="B948" s="540" t="s">
        <v>770</v>
      </c>
      <c r="C948" s="539" t="s">
        <v>979</v>
      </c>
      <c r="D948" s="539" t="s">
        <v>34</v>
      </c>
      <c r="E948" s="544" t="s">
        <v>881</v>
      </c>
      <c r="F948" s="551" t="e">
        <f>LUONGNGAY!$K$35</f>
        <v>#VALUE!</v>
      </c>
      <c r="G948" s="539">
        <v>0.05</v>
      </c>
      <c r="H948" s="511" t="e">
        <f t="shared" si="19"/>
        <v>#VALUE!</v>
      </c>
    </row>
    <row r="949" spans="1:8" ht="29.25" customHeight="1">
      <c r="A949" s="539" t="s">
        <v>445</v>
      </c>
      <c r="B949" s="540" t="s">
        <v>771</v>
      </c>
      <c r="C949" s="539" t="s">
        <v>979</v>
      </c>
      <c r="D949" s="539" t="s">
        <v>34</v>
      </c>
      <c r="E949" s="544" t="s">
        <v>881</v>
      </c>
      <c r="F949" s="551" t="e">
        <f>LUONGNGAY!$K$35</f>
        <v>#VALUE!</v>
      </c>
      <c r="G949" s="539">
        <v>0.1</v>
      </c>
      <c r="H949" s="511" t="e">
        <f t="shared" si="19"/>
        <v>#VALUE!</v>
      </c>
    </row>
    <row r="950" spans="1:8" ht="29.25" customHeight="1">
      <c r="A950" s="539">
        <v>7</v>
      </c>
      <c r="B950" s="540" t="s">
        <v>554</v>
      </c>
      <c r="C950" s="539" t="s">
        <v>979</v>
      </c>
      <c r="D950" s="539" t="s">
        <v>29</v>
      </c>
      <c r="E950" s="544" t="s">
        <v>881</v>
      </c>
      <c r="F950" s="551" t="e">
        <f>LUONGNGAY!$K$36</f>
        <v>#VALUE!</v>
      </c>
      <c r="G950" s="539">
        <v>0.26</v>
      </c>
      <c r="H950" s="511" t="e">
        <f t="shared" si="19"/>
        <v>#VALUE!</v>
      </c>
    </row>
    <row r="951" spans="1:8" ht="29.25" customHeight="1">
      <c r="A951" s="539">
        <v>8</v>
      </c>
      <c r="B951" s="540" t="s">
        <v>211</v>
      </c>
      <c r="C951" s="539" t="s">
        <v>627</v>
      </c>
      <c r="D951" s="539" t="s">
        <v>29</v>
      </c>
      <c r="E951" s="544" t="s">
        <v>881</v>
      </c>
      <c r="F951" s="551" t="e">
        <f>LUONGNGAY!$K$36</f>
        <v>#VALUE!</v>
      </c>
      <c r="G951" s="539">
        <v>0.23499999999999999</v>
      </c>
      <c r="H951" s="511" t="e">
        <f t="shared" si="19"/>
        <v>#VALUE!</v>
      </c>
    </row>
    <row r="952" spans="1:8" ht="29.25" customHeight="1">
      <c r="A952" s="539">
        <v>9</v>
      </c>
      <c r="B952" s="540" t="s">
        <v>213</v>
      </c>
      <c r="C952" s="539"/>
      <c r="D952" s="539"/>
      <c r="E952" s="539"/>
      <c r="G952" s="539"/>
      <c r="H952" s="511">
        <f t="shared" si="19"/>
        <v>0</v>
      </c>
    </row>
    <row r="953" spans="1:8" ht="29.25" customHeight="1">
      <c r="A953" s="539" t="s">
        <v>446</v>
      </c>
      <c r="B953" s="540" t="s">
        <v>215</v>
      </c>
      <c r="C953" s="539" t="s">
        <v>320</v>
      </c>
      <c r="D953" s="539" t="s">
        <v>34</v>
      </c>
      <c r="E953" s="544" t="s">
        <v>881</v>
      </c>
      <c r="F953" s="551" t="e">
        <f>LUONGNGAY!$K$35</f>
        <v>#VALUE!</v>
      </c>
      <c r="G953" s="539">
        <v>0.1</v>
      </c>
      <c r="H953" s="511" t="e">
        <f t="shared" si="19"/>
        <v>#VALUE!</v>
      </c>
    </row>
    <row r="954" spans="1:8" ht="29.25" customHeight="1">
      <c r="A954" s="539" t="s">
        <v>447</v>
      </c>
      <c r="B954" s="540" t="s">
        <v>217</v>
      </c>
      <c r="C954" s="539" t="s">
        <v>320</v>
      </c>
      <c r="D954" s="539" t="s">
        <v>34</v>
      </c>
      <c r="E954" s="544" t="s">
        <v>881</v>
      </c>
      <c r="F954" s="551" t="e">
        <f>LUONGNGAY!$K$35</f>
        <v>#VALUE!</v>
      </c>
      <c r="G954" s="539">
        <v>0.2</v>
      </c>
      <c r="H954" s="511" t="e">
        <f t="shared" si="19"/>
        <v>#VALUE!</v>
      </c>
    </row>
    <row r="955" spans="1:8" ht="29.25" customHeight="1">
      <c r="A955" s="539" t="s">
        <v>555</v>
      </c>
      <c r="B955" s="540" t="s">
        <v>556</v>
      </c>
      <c r="C955" s="539" t="s">
        <v>320</v>
      </c>
      <c r="D955" s="539" t="s">
        <v>34</v>
      </c>
      <c r="E955" s="544" t="s">
        <v>881</v>
      </c>
      <c r="F955" s="551" t="e">
        <f>LUONGNGAY!$K$35</f>
        <v>#VALUE!</v>
      </c>
      <c r="G955" s="539">
        <v>0.1</v>
      </c>
      <c r="H955" s="511" t="e">
        <f t="shared" si="19"/>
        <v>#VALUE!</v>
      </c>
    </row>
    <row r="956" spans="1:8" ht="29.25" customHeight="1">
      <c r="A956" s="539">
        <v>10</v>
      </c>
      <c r="B956" s="540" t="s">
        <v>557</v>
      </c>
      <c r="C956" s="539" t="s">
        <v>979</v>
      </c>
      <c r="D956" s="539" t="s">
        <v>34</v>
      </c>
      <c r="E956" s="544" t="s">
        <v>881</v>
      </c>
      <c r="F956" s="551" t="e">
        <f>LUONGNGAY!$K$35</f>
        <v>#VALUE!</v>
      </c>
      <c r="G956" s="539">
        <v>0.52</v>
      </c>
      <c r="H956" s="511" t="e">
        <f t="shared" si="19"/>
        <v>#VALUE!</v>
      </c>
    </row>
    <row r="957" spans="1:8" ht="29.25" customHeight="1">
      <c r="A957" s="539">
        <v>11</v>
      </c>
      <c r="B957" s="540" t="s">
        <v>1</v>
      </c>
      <c r="C957" s="539" t="s">
        <v>979</v>
      </c>
      <c r="D957" s="539" t="s">
        <v>34</v>
      </c>
      <c r="E957" s="544" t="s">
        <v>881</v>
      </c>
      <c r="F957" s="551" t="e">
        <f>LUONGNGAY!$K$35</f>
        <v>#VALUE!</v>
      </c>
      <c r="G957" s="539">
        <v>0.44400000000000001</v>
      </c>
      <c r="H957" s="511" t="e">
        <f t="shared" si="19"/>
        <v>#VALUE!</v>
      </c>
    </row>
    <row r="958" spans="1:8" ht="29.25" customHeight="1">
      <c r="A958" s="539">
        <v>12</v>
      </c>
      <c r="B958" s="540" t="s">
        <v>220</v>
      </c>
      <c r="C958" s="539" t="s">
        <v>627</v>
      </c>
      <c r="D958" s="539" t="s">
        <v>29</v>
      </c>
      <c r="E958" s="544" t="s">
        <v>881</v>
      </c>
      <c r="F958" s="551" t="e">
        <f>LUONGNGAY!$K$36</f>
        <v>#VALUE!</v>
      </c>
      <c r="G958" s="539">
        <v>3.3000000000000002E-2</v>
      </c>
      <c r="H958" s="511" t="e">
        <f t="shared" si="19"/>
        <v>#VALUE!</v>
      </c>
    </row>
    <row r="959" spans="1:8" ht="29.25" customHeight="1">
      <c r="A959" s="539">
        <v>13</v>
      </c>
      <c r="B959" s="540" t="s">
        <v>221</v>
      </c>
      <c r="C959" s="539"/>
      <c r="D959" s="539"/>
      <c r="E959" s="539"/>
      <c r="G959" s="539"/>
      <c r="H959" s="511">
        <f t="shared" si="19"/>
        <v>0</v>
      </c>
    </row>
    <row r="960" spans="1:8" ht="29.25" customHeight="1">
      <c r="A960" s="539" t="s">
        <v>237</v>
      </c>
      <c r="B960" s="540" t="s">
        <v>931</v>
      </c>
      <c r="C960" s="539"/>
      <c r="D960" s="539"/>
      <c r="E960" s="539"/>
      <c r="G960" s="539"/>
      <c r="H960" s="511">
        <f t="shared" si="19"/>
        <v>0</v>
      </c>
    </row>
    <row r="961" spans="1:8" ht="29.25" customHeight="1">
      <c r="A961" s="539" t="s">
        <v>238</v>
      </c>
      <c r="B961" s="540" t="s">
        <v>933</v>
      </c>
      <c r="C961" s="539" t="s">
        <v>934</v>
      </c>
      <c r="D961" s="539" t="s">
        <v>935</v>
      </c>
      <c r="E961" s="544" t="s">
        <v>881</v>
      </c>
      <c r="F961" s="471" t="e">
        <f>LUONGNGAY!$K$34</f>
        <v>#VALUE!</v>
      </c>
      <c r="G961" s="539">
        <v>0.02</v>
      </c>
      <c r="H961" s="511" t="e">
        <f t="shared" si="19"/>
        <v>#VALUE!</v>
      </c>
    </row>
    <row r="962" spans="1:8" ht="29.25" customHeight="1">
      <c r="A962" s="539" t="s">
        <v>239</v>
      </c>
      <c r="B962" s="540" t="s">
        <v>937</v>
      </c>
      <c r="C962" s="539" t="s">
        <v>934</v>
      </c>
      <c r="D962" s="539" t="s">
        <v>935</v>
      </c>
      <c r="E962" s="544" t="s">
        <v>881</v>
      </c>
      <c r="F962" s="471" t="e">
        <f>LUONGNGAY!$K$34</f>
        <v>#VALUE!</v>
      </c>
      <c r="G962" s="539">
        <v>0.01</v>
      </c>
      <c r="H962" s="511" t="e">
        <f t="shared" si="19"/>
        <v>#VALUE!</v>
      </c>
    </row>
    <row r="963" spans="1:8" ht="29.25" customHeight="1">
      <c r="A963" s="539" t="s">
        <v>240</v>
      </c>
      <c r="B963" s="540" t="s">
        <v>48</v>
      </c>
      <c r="C963" s="539" t="s">
        <v>934</v>
      </c>
      <c r="D963" s="539" t="s">
        <v>935</v>
      </c>
      <c r="E963" s="544" t="s">
        <v>881</v>
      </c>
      <c r="F963" s="471" t="e">
        <f>LUONGNGAY!$K$34</f>
        <v>#VALUE!</v>
      </c>
      <c r="G963" s="539">
        <v>5.0000000000000001E-3</v>
      </c>
      <c r="H963" s="511" t="e">
        <f t="shared" si="19"/>
        <v>#VALUE!</v>
      </c>
    </row>
    <row r="964" spans="1:8" ht="29.25" customHeight="1">
      <c r="A964" s="539" t="s">
        <v>241</v>
      </c>
      <c r="B964" s="540" t="s">
        <v>50</v>
      </c>
      <c r="C964" s="539" t="s">
        <v>627</v>
      </c>
      <c r="D964" s="539" t="s">
        <v>935</v>
      </c>
      <c r="E964" s="544" t="s">
        <v>881</v>
      </c>
      <c r="F964" s="471" t="e">
        <f>LUONGNGAY!$K$34</f>
        <v>#VALUE!</v>
      </c>
      <c r="G964" s="539">
        <v>0.01</v>
      </c>
      <c r="H964" s="511" t="e">
        <f t="shared" si="19"/>
        <v>#VALUE!</v>
      </c>
    </row>
    <row r="965" spans="1:8" ht="29.25" customHeight="1">
      <c r="A965" s="545" t="s">
        <v>184</v>
      </c>
      <c r="B965" s="538" t="s">
        <v>91</v>
      </c>
      <c r="C965" s="539"/>
      <c r="D965" s="539"/>
      <c r="E965" s="539"/>
      <c r="G965" s="539"/>
      <c r="H965" s="511">
        <f t="shared" si="19"/>
        <v>0</v>
      </c>
    </row>
    <row r="966" spans="1:8" ht="29.25" customHeight="1">
      <c r="A966" s="539">
        <v>1</v>
      </c>
      <c r="B966" s="540" t="s">
        <v>2</v>
      </c>
      <c r="C966" s="539" t="s">
        <v>979</v>
      </c>
      <c r="D966" s="539" t="s">
        <v>29</v>
      </c>
      <c r="E966" s="544" t="s">
        <v>881</v>
      </c>
      <c r="F966" s="551" t="e">
        <f>LUONGNGAY!$K$36</f>
        <v>#VALUE!</v>
      </c>
      <c r="G966" s="539">
        <v>0.52</v>
      </c>
      <c r="H966" s="511" t="e">
        <f t="shared" si="19"/>
        <v>#VALUE!</v>
      </c>
    </row>
    <row r="967" spans="1:8" ht="33.75" customHeight="1">
      <c r="A967" s="545" t="s">
        <v>913</v>
      </c>
      <c r="B967" s="538" t="s">
        <v>93</v>
      </c>
      <c r="C967" s="539"/>
      <c r="D967" s="539"/>
      <c r="E967" s="539"/>
      <c r="G967" s="539"/>
      <c r="H967" s="511">
        <f t="shared" si="19"/>
        <v>0</v>
      </c>
    </row>
    <row r="968" spans="1:8" ht="33.75" customHeight="1">
      <c r="A968" s="539">
        <v>1</v>
      </c>
      <c r="B968" s="540" t="s">
        <v>3</v>
      </c>
      <c r="C968" s="539" t="s">
        <v>979</v>
      </c>
      <c r="D968" s="539" t="s">
        <v>34</v>
      </c>
      <c r="E968" s="544" t="s">
        <v>881</v>
      </c>
      <c r="F968" s="551" t="e">
        <f>LUONGNGAY!$K$35</f>
        <v>#VALUE!</v>
      </c>
      <c r="G968" s="539">
        <v>0.13</v>
      </c>
      <c r="H968" s="511" t="e">
        <f t="shared" si="19"/>
        <v>#VALUE!</v>
      </c>
    </row>
    <row r="969" spans="1:8" ht="30" customHeight="1">
      <c r="A969" s="521"/>
      <c r="B969" s="522"/>
      <c r="C969" s="523"/>
      <c r="D969" s="523"/>
      <c r="E969" s="521"/>
      <c r="F969" s="495"/>
      <c r="G969" s="524"/>
      <c r="H969" s="525"/>
    </row>
    <row r="970" spans="1:8" ht="18" customHeight="1">
      <c r="A970" s="515"/>
      <c r="B970" s="516"/>
      <c r="C970" s="517"/>
      <c r="D970" s="517"/>
      <c r="E970" s="515"/>
      <c r="F970" s="518"/>
      <c r="G970" s="519"/>
      <c r="H970" s="520"/>
    </row>
    <row r="971" spans="1:8">
      <c r="A971" s="1233" t="s">
        <v>15</v>
      </c>
      <c r="B971" s="1233"/>
      <c r="C971" s="1233"/>
      <c r="D971" s="1233"/>
      <c r="E971" s="1233"/>
      <c r="F971" s="1233"/>
      <c r="G971" s="1233"/>
      <c r="H971" s="1233"/>
    </row>
    <row r="972" spans="1:8" ht="43.5" customHeight="1">
      <c r="A972" s="467" t="s">
        <v>158</v>
      </c>
      <c r="B972" s="467" t="s">
        <v>381</v>
      </c>
      <c r="C972" s="468" t="s">
        <v>625</v>
      </c>
      <c r="D972" s="468" t="s">
        <v>624</v>
      </c>
      <c r="E972" s="468" t="s">
        <v>382</v>
      </c>
      <c r="F972" s="469" t="s">
        <v>629</v>
      </c>
      <c r="G972" s="468" t="s">
        <v>628</v>
      </c>
      <c r="H972" s="468" t="s">
        <v>383</v>
      </c>
    </row>
    <row r="973" spans="1:8">
      <c r="A973" s="570" t="s">
        <v>179</v>
      </c>
      <c r="B973" s="571" t="s">
        <v>1057</v>
      </c>
      <c r="C973" s="555"/>
      <c r="D973" s="555"/>
      <c r="E973" s="555"/>
      <c r="F973" s="555"/>
      <c r="G973" s="555"/>
      <c r="H973" s="555"/>
    </row>
    <row r="974" spans="1:8">
      <c r="A974" s="561">
        <v>1</v>
      </c>
      <c r="B974" s="562" t="s">
        <v>12</v>
      </c>
      <c r="C974" s="561"/>
      <c r="D974" s="561"/>
      <c r="E974" s="561"/>
      <c r="F974" s="561"/>
      <c r="G974" s="561"/>
      <c r="H974" s="561"/>
    </row>
    <row r="975" spans="1:8">
      <c r="A975" s="561" t="s">
        <v>891</v>
      </c>
      <c r="B975" s="562" t="s">
        <v>33</v>
      </c>
      <c r="C975" s="561" t="s">
        <v>979</v>
      </c>
      <c r="D975" s="561" t="s">
        <v>29</v>
      </c>
      <c r="E975" s="544" t="s">
        <v>881</v>
      </c>
      <c r="F975" s="551" t="e">
        <f>LUONGNGAY!$K$36</f>
        <v>#VALUE!</v>
      </c>
      <c r="G975" s="561">
        <v>0.2</v>
      </c>
      <c r="H975" s="511" t="e">
        <f>F975*G975</f>
        <v>#VALUE!</v>
      </c>
    </row>
    <row r="976" spans="1:8">
      <c r="A976" s="561" t="s">
        <v>899</v>
      </c>
      <c r="B976" s="562" t="s">
        <v>36</v>
      </c>
      <c r="C976" s="561" t="s">
        <v>979</v>
      </c>
      <c r="D976" s="561" t="s">
        <v>29</v>
      </c>
      <c r="E976" s="544" t="s">
        <v>881</v>
      </c>
      <c r="F976" s="551" t="e">
        <f>LUONGNGAY!$K$36</f>
        <v>#VALUE!</v>
      </c>
      <c r="G976" s="561">
        <v>0.15</v>
      </c>
      <c r="H976" s="511" t="e">
        <f t="shared" ref="H976:H1002" si="20">F976*G976</f>
        <v>#VALUE!</v>
      </c>
    </row>
    <row r="977" spans="1:8" ht="24.75">
      <c r="A977" s="561">
        <v>2</v>
      </c>
      <c r="B977" s="562" t="s">
        <v>953</v>
      </c>
      <c r="C977" s="561" t="s">
        <v>979</v>
      </c>
      <c r="D977" s="561" t="s">
        <v>29</v>
      </c>
      <c r="E977" s="544" t="s">
        <v>881</v>
      </c>
      <c r="F977" s="551" t="e">
        <f>LUONGNGAY!$K$36</f>
        <v>#VALUE!</v>
      </c>
      <c r="G977" s="561">
        <v>0.3</v>
      </c>
      <c r="H977" s="511" t="e">
        <f t="shared" si="20"/>
        <v>#VALUE!</v>
      </c>
    </row>
    <row r="978" spans="1:8" ht="24.75">
      <c r="A978" s="561">
        <v>3</v>
      </c>
      <c r="B978" s="562" t="s">
        <v>1078</v>
      </c>
      <c r="C978" s="561" t="s">
        <v>627</v>
      </c>
      <c r="D978" s="561" t="s">
        <v>29</v>
      </c>
      <c r="E978" s="544" t="s">
        <v>881</v>
      </c>
      <c r="F978" s="551" t="e">
        <f>LUONGNGAY!$K$36</f>
        <v>#VALUE!</v>
      </c>
      <c r="G978" s="561">
        <v>0.107</v>
      </c>
      <c r="H978" s="511" t="e">
        <f t="shared" si="20"/>
        <v>#VALUE!</v>
      </c>
    </row>
    <row r="979" spans="1:8" ht="60.75">
      <c r="A979" s="561">
        <v>4</v>
      </c>
      <c r="B979" s="562" t="s">
        <v>481</v>
      </c>
      <c r="C979" s="561" t="s">
        <v>979</v>
      </c>
      <c r="D979" s="561" t="s">
        <v>13</v>
      </c>
      <c r="E979" s="544" t="s">
        <v>881</v>
      </c>
      <c r="F979" s="551" t="e">
        <f>(LUONGNGAY!$K$36+LUONGNGAY!$K$35)/2</f>
        <v>#VALUE!</v>
      </c>
      <c r="G979" s="561">
        <f>2*2</f>
        <v>4</v>
      </c>
      <c r="H979" s="511" t="e">
        <f t="shared" si="20"/>
        <v>#VALUE!</v>
      </c>
    </row>
    <row r="980" spans="1:8">
      <c r="A980" s="561">
        <v>5</v>
      </c>
      <c r="B980" s="562" t="s">
        <v>1083</v>
      </c>
      <c r="C980" s="561" t="s">
        <v>627</v>
      </c>
      <c r="D980" s="561" t="s">
        <v>29</v>
      </c>
      <c r="E980" s="544" t="s">
        <v>881</v>
      </c>
      <c r="F980" s="551" t="e">
        <f>LUONGNGAY!$K$36</f>
        <v>#VALUE!</v>
      </c>
      <c r="G980" s="561">
        <v>3.0000000000000001E-3</v>
      </c>
      <c r="H980" s="511" t="e">
        <f t="shared" si="20"/>
        <v>#VALUE!</v>
      </c>
    </row>
    <row r="981" spans="1:8" ht="36.75">
      <c r="A981" s="561">
        <v>6</v>
      </c>
      <c r="B981" s="562" t="s">
        <v>958</v>
      </c>
      <c r="C981" s="561"/>
      <c r="D981" s="561"/>
      <c r="E981" s="561"/>
      <c r="G981" s="561"/>
      <c r="H981" s="511">
        <f t="shared" si="20"/>
        <v>0</v>
      </c>
    </row>
    <row r="982" spans="1:8">
      <c r="A982" s="561" t="s">
        <v>444</v>
      </c>
      <c r="B982" s="562" t="s">
        <v>770</v>
      </c>
      <c r="C982" s="561" t="s">
        <v>979</v>
      </c>
      <c r="D982" s="561" t="s">
        <v>34</v>
      </c>
      <c r="E982" s="544" t="s">
        <v>881</v>
      </c>
      <c r="F982" s="551" t="e">
        <f>LUONGNGAY!$K$35</f>
        <v>#VALUE!</v>
      </c>
      <c r="G982" s="561">
        <v>0.05</v>
      </c>
      <c r="H982" s="511" t="e">
        <f t="shared" si="20"/>
        <v>#VALUE!</v>
      </c>
    </row>
    <row r="983" spans="1:8">
      <c r="A983" s="561" t="s">
        <v>445</v>
      </c>
      <c r="B983" s="562" t="s">
        <v>771</v>
      </c>
      <c r="C983" s="561" t="s">
        <v>979</v>
      </c>
      <c r="D983" s="561" t="s">
        <v>34</v>
      </c>
      <c r="E983" s="544" t="s">
        <v>881</v>
      </c>
      <c r="F983" s="551" t="e">
        <f>LUONGNGAY!$K$35</f>
        <v>#VALUE!</v>
      </c>
      <c r="G983" s="561">
        <v>0.1</v>
      </c>
      <c r="H983" s="511" t="e">
        <f t="shared" si="20"/>
        <v>#VALUE!</v>
      </c>
    </row>
    <row r="984" spans="1:8" ht="24.75">
      <c r="A984" s="561">
        <v>7</v>
      </c>
      <c r="B984" s="562" t="s">
        <v>554</v>
      </c>
      <c r="C984" s="561" t="s">
        <v>979</v>
      </c>
      <c r="D984" s="561" t="s">
        <v>34</v>
      </c>
      <c r="E984" s="544" t="s">
        <v>881</v>
      </c>
      <c r="F984" s="551" t="e">
        <f>LUONGNGAY!$K$35</f>
        <v>#VALUE!</v>
      </c>
      <c r="G984" s="561">
        <v>0.2</v>
      </c>
      <c r="H984" s="511" t="e">
        <f t="shared" si="20"/>
        <v>#VALUE!</v>
      </c>
    </row>
    <row r="985" spans="1:8">
      <c r="A985" s="561">
        <v>8</v>
      </c>
      <c r="B985" s="562" t="s">
        <v>211</v>
      </c>
      <c r="C985" s="561" t="s">
        <v>627</v>
      </c>
      <c r="D985" s="561" t="s">
        <v>29</v>
      </c>
      <c r="E985" s="544" t="s">
        <v>881</v>
      </c>
      <c r="F985" s="551" t="e">
        <f>LUONGNGAY!$K$36</f>
        <v>#VALUE!</v>
      </c>
      <c r="G985" s="561">
        <v>3.3000000000000002E-2</v>
      </c>
      <c r="H985" s="511" t="e">
        <f t="shared" si="20"/>
        <v>#VALUE!</v>
      </c>
    </row>
    <row r="986" spans="1:8">
      <c r="A986" s="561">
        <v>9</v>
      </c>
      <c r="B986" s="562" t="s">
        <v>213</v>
      </c>
      <c r="C986" s="561"/>
      <c r="D986" s="561"/>
      <c r="E986" s="561"/>
      <c r="G986" s="561"/>
      <c r="H986" s="511">
        <f t="shared" si="20"/>
        <v>0</v>
      </c>
    </row>
    <row r="987" spans="1:8">
      <c r="A987" s="561" t="s">
        <v>446</v>
      </c>
      <c r="B987" s="562" t="s">
        <v>215</v>
      </c>
      <c r="C987" s="561" t="s">
        <v>320</v>
      </c>
      <c r="D987" s="561" t="s">
        <v>34</v>
      </c>
      <c r="E987" s="544" t="s">
        <v>881</v>
      </c>
      <c r="F987" s="551" t="e">
        <f>LUONGNGAY!$K$35</f>
        <v>#VALUE!</v>
      </c>
      <c r="G987" s="561">
        <v>0.1</v>
      </c>
      <c r="H987" s="511" t="e">
        <f t="shared" si="20"/>
        <v>#VALUE!</v>
      </c>
    </row>
    <row r="988" spans="1:8">
      <c r="A988" s="561" t="s">
        <v>447</v>
      </c>
      <c r="B988" s="562" t="s">
        <v>217</v>
      </c>
      <c r="C988" s="561" t="s">
        <v>320</v>
      </c>
      <c r="D988" s="561" t="s">
        <v>34</v>
      </c>
      <c r="E988" s="544" t="s">
        <v>881</v>
      </c>
      <c r="F988" s="551" t="e">
        <f>LUONGNGAY!$K$35</f>
        <v>#VALUE!</v>
      </c>
      <c r="G988" s="561">
        <v>0.15</v>
      </c>
      <c r="H988" s="511" t="e">
        <f t="shared" si="20"/>
        <v>#VALUE!</v>
      </c>
    </row>
    <row r="989" spans="1:8" ht="30.75" customHeight="1">
      <c r="A989" s="561" t="s">
        <v>555</v>
      </c>
      <c r="B989" s="562" t="s">
        <v>556</v>
      </c>
      <c r="C989" s="561" t="s">
        <v>320</v>
      </c>
      <c r="D989" s="561" t="s">
        <v>34</v>
      </c>
      <c r="E989" s="544" t="s">
        <v>881</v>
      </c>
      <c r="F989" s="551" t="e">
        <f>LUONGNGAY!$K$35</f>
        <v>#VALUE!</v>
      </c>
      <c r="G989" s="561">
        <v>0.1</v>
      </c>
      <c r="H989" s="511" t="e">
        <f t="shared" si="20"/>
        <v>#VALUE!</v>
      </c>
    </row>
    <row r="990" spans="1:8" ht="30.75" customHeight="1">
      <c r="A990" s="561">
        <v>10</v>
      </c>
      <c r="B990" s="562" t="s">
        <v>557</v>
      </c>
      <c r="C990" s="561" t="s">
        <v>979</v>
      </c>
      <c r="D990" s="561" t="s">
        <v>29</v>
      </c>
      <c r="E990" s="544" t="s">
        <v>881</v>
      </c>
      <c r="F990" s="551" t="e">
        <f>LUONGNGAY!$K$36</f>
        <v>#VALUE!</v>
      </c>
      <c r="G990" s="561">
        <v>0.5</v>
      </c>
      <c r="H990" s="511" t="e">
        <f t="shared" si="20"/>
        <v>#VALUE!</v>
      </c>
    </row>
    <row r="991" spans="1:8" ht="36.75">
      <c r="A991" s="561">
        <v>11</v>
      </c>
      <c r="B991" s="562" t="s">
        <v>14</v>
      </c>
      <c r="C991" s="561" t="s">
        <v>979</v>
      </c>
      <c r="D991" s="561" t="s">
        <v>29</v>
      </c>
      <c r="E991" s="544" t="s">
        <v>881</v>
      </c>
      <c r="F991" s="551" t="e">
        <f>LUONGNGAY!$K$36</f>
        <v>#VALUE!</v>
      </c>
      <c r="G991" s="561">
        <v>0.37</v>
      </c>
      <c r="H991" s="511" t="e">
        <f t="shared" si="20"/>
        <v>#VALUE!</v>
      </c>
    </row>
    <row r="992" spans="1:8">
      <c r="A992" s="561">
        <v>12</v>
      </c>
      <c r="B992" s="562" t="s">
        <v>220</v>
      </c>
      <c r="C992" s="561" t="s">
        <v>627</v>
      </c>
      <c r="D992" s="561" t="s">
        <v>29</v>
      </c>
      <c r="E992" s="544" t="s">
        <v>881</v>
      </c>
      <c r="F992" s="551" t="e">
        <f>LUONGNGAY!$K$36</f>
        <v>#VALUE!</v>
      </c>
      <c r="G992" s="561">
        <v>3.3000000000000002E-2</v>
      </c>
      <c r="H992" s="511" t="e">
        <f t="shared" si="20"/>
        <v>#VALUE!</v>
      </c>
    </row>
    <row r="993" spans="1:8">
      <c r="A993" s="561">
        <v>13</v>
      </c>
      <c r="B993" s="562" t="s">
        <v>221</v>
      </c>
      <c r="C993" s="561"/>
      <c r="D993" s="561"/>
      <c r="E993" s="561"/>
      <c r="G993" s="561"/>
      <c r="H993" s="511">
        <f t="shared" si="20"/>
        <v>0</v>
      </c>
    </row>
    <row r="994" spans="1:8" ht="24.75">
      <c r="A994" s="561" t="s">
        <v>237</v>
      </c>
      <c r="B994" s="562" t="s">
        <v>931</v>
      </c>
      <c r="C994" s="561"/>
      <c r="D994" s="561"/>
      <c r="E994" s="561"/>
      <c r="G994" s="561"/>
      <c r="H994" s="511">
        <f t="shared" si="20"/>
        <v>0</v>
      </c>
    </row>
    <row r="995" spans="1:8">
      <c r="A995" s="561" t="s">
        <v>238</v>
      </c>
      <c r="B995" s="562" t="s">
        <v>933</v>
      </c>
      <c r="C995" s="561" t="s">
        <v>934</v>
      </c>
      <c r="D995" s="561" t="s">
        <v>935</v>
      </c>
      <c r="E995" s="544" t="s">
        <v>881</v>
      </c>
      <c r="F995" s="471" t="e">
        <f>LUONGNGAY!$K$34</f>
        <v>#VALUE!</v>
      </c>
      <c r="G995" s="561">
        <v>1.6E-2</v>
      </c>
      <c r="H995" s="511" t="e">
        <f t="shared" si="20"/>
        <v>#VALUE!</v>
      </c>
    </row>
    <row r="996" spans="1:8">
      <c r="A996" s="561" t="s">
        <v>239</v>
      </c>
      <c r="B996" s="562" t="s">
        <v>937</v>
      </c>
      <c r="C996" s="561" t="s">
        <v>934</v>
      </c>
      <c r="D996" s="561" t="s">
        <v>935</v>
      </c>
      <c r="E996" s="544" t="s">
        <v>881</v>
      </c>
      <c r="F996" s="471" t="e">
        <f>LUONGNGAY!$K$34</f>
        <v>#VALUE!</v>
      </c>
      <c r="G996" s="561">
        <v>8.0000000000000002E-3</v>
      </c>
      <c r="H996" s="511" t="e">
        <f t="shared" si="20"/>
        <v>#VALUE!</v>
      </c>
    </row>
    <row r="997" spans="1:8" ht="26.25" customHeight="1">
      <c r="A997" s="561" t="s">
        <v>240</v>
      </c>
      <c r="B997" s="562" t="s">
        <v>48</v>
      </c>
      <c r="C997" s="561" t="s">
        <v>934</v>
      </c>
      <c r="D997" s="561" t="s">
        <v>935</v>
      </c>
      <c r="E997" s="544" t="s">
        <v>881</v>
      </c>
      <c r="F997" s="471" t="e">
        <f>LUONGNGAY!$K$34</f>
        <v>#VALUE!</v>
      </c>
      <c r="G997" s="561">
        <v>4.0000000000000001E-3</v>
      </c>
      <c r="H997" s="511" t="e">
        <f t="shared" si="20"/>
        <v>#VALUE!</v>
      </c>
    </row>
    <row r="998" spans="1:8" ht="20.25" customHeight="1">
      <c r="A998" s="561" t="s">
        <v>241</v>
      </c>
      <c r="B998" s="562" t="s">
        <v>50</v>
      </c>
      <c r="C998" s="561" t="s">
        <v>627</v>
      </c>
      <c r="D998" s="561" t="s">
        <v>935</v>
      </c>
      <c r="E998" s="544" t="s">
        <v>881</v>
      </c>
      <c r="F998" s="471" t="e">
        <f>LUONGNGAY!$K$34</f>
        <v>#VALUE!</v>
      </c>
      <c r="G998" s="561">
        <v>0.01</v>
      </c>
      <c r="H998" s="511" t="e">
        <f t="shared" si="20"/>
        <v>#VALUE!</v>
      </c>
    </row>
    <row r="999" spans="1:8">
      <c r="A999" s="567" t="s">
        <v>184</v>
      </c>
      <c r="B999" s="568" t="s">
        <v>765</v>
      </c>
      <c r="C999" s="561"/>
      <c r="D999" s="561"/>
      <c r="E999" s="561"/>
      <c r="G999" s="561"/>
      <c r="H999" s="511">
        <f t="shared" si="20"/>
        <v>0</v>
      </c>
    </row>
    <row r="1000" spans="1:8">
      <c r="A1000" s="561">
        <v>1</v>
      </c>
      <c r="B1000" s="562" t="s">
        <v>809</v>
      </c>
      <c r="C1000" s="561" t="s">
        <v>979</v>
      </c>
      <c r="D1000" s="561" t="s">
        <v>34</v>
      </c>
      <c r="E1000" s="544" t="s">
        <v>881</v>
      </c>
      <c r="F1000" s="551" t="e">
        <f>LUONGNGAY!$K$35</f>
        <v>#VALUE!</v>
      </c>
      <c r="G1000" s="561">
        <v>0.3</v>
      </c>
      <c r="H1000" s="511" t="e">
        <f t="shared" si="20"/>
        <v>#VALUE!</v>
      </c>
    </row>
    <row r="1001" spans="1:8">
      <c r="A1001" s="567" t="s">
        <v>913</v>
      </c>
      <c r="B1001" s="568" t="s">
        <v>606</v>
      </c>
      <c r="C1001" s="561"/>
      <c r="D1001" s="561"/>
      <c r="E1001" s="561"/>
      <c r="G1001" s="561"/>
      <c r="H1001" s="511">
        <f t="shared" si="20"/>
        <v>0</v>
      </c>
    </row>
    <row r="1002" spans="1:8" ht="35.25" customHeight="1">
      <c r="A1002" s="561">
        <v>1</v>
      </c>
      <c r="B1002" s="562" t="s">
        <v>810</v>
      </c>
      <c r="C1002" s="561" t="s">
        <v>979</v>
      </c>
      <c r="D1002" s="561" t="s">
        <v>34</v>
      </c>
      <c r="E1002" s="544" t="s">
        <v>881</v>
      </c>
      <c r="F1002" s="551" t="e">
        <f>LUONGNGAY!$K$35</f>
        <v>#VALUE!</v>
      </c>
      <c r="G1002" s="561">
        <v>0.1</v>
      </c>
      <c r="H1002" s="511" t="e">
        <f t="shared" si="20"/>
        <v>#VALUE!</v>
      </c>
    </row>
    <row r="1003" spans="1:8">
      <c r="A1003" s="507"/>
      <c r="B1003" s="490"/>
      <c r="C1003" s="484"/>
      <c r="D1003" s="484"/>
      <c r="E1003" s="507"/>
      <c r="F1003" s="485"/>
      <c r="G1003" s="509"/>
      <c r="H1003" s="487"/>
    </row>
    <row r="1004" spans="1:8">
      <c r="A1004" s="507"/>
      <c r="B1004" s="490"/>
      <c r="C1004" s="484"/>
      <c r="D1004" s="484"/>
      <c r="E1004" s="507"/>
      <c r="F1004" s="485"/>
      <c r="G1004" s="509"/>
      <c r="H1004" s="487"/>
    </row>
    <row r="1005" spans="1:8" ht="27" customHeight="1">
      <c r="A1005" s="1235" t="s">
        <v>16</v>
      </c>
      <c r="B1005" s="1235"/>
      <c r="C1005" s="1235"/>
      <c r="D1005" s="1235"/>
      <c r="E1005" s="1235"/>
      <c r="F1005" s="1235"/>
      <c r="G1005" s="1235"/>
      <c r="H1005" s="1235"/>
    </row>
    <row r="1006" spans="1:8" ht="32.25" customHeight="1">
      <c r="A1006" s="467" t="s">
        <v>158</v>
      </c>
      <c r="B1006" s="467" t="s">
        <v>381</v>
      </c>
      <c r="C1006" s="468" t="s">
        <v>625</v>
      </c>
      <c r="D1006" s="468" t="s">
        <v>624</v>
      </c>
      <c r="E1006" s="468" t="s">
        <v>382</v>
      </c>
      <c r="F1006" s="469" t="s">
        <v>629</v>
      </c>
      <c r="G1006" s="468" t="s">
        <v>628</v>
      </c>
      <c r="H1006" s="468" t="s">
        <v>383</v>
      </c>
    </row>
    <row r="1007" spans="1:8">
      <c r="A1007" s="570" t="s">
        <v>179</v>
      </c>
      <c r="B1007" s="571" t="s">
        <v>1057</v>
      </c>
      <c r="C1007" s="555"/>
      <c r="D1007" s="555"/>
      <c r="E1007" s="555"/>
      <c r="F1007" s="555"/>
      <c r="G1007" s="555"/>
      <c r="H1007" s="555"/>
    </row>
    <row r="1008" spans="1:8">
      <c r="A1008" s="561">
        <v>1</v>
      </c>
      <c r="B1008" s="562" t="s">
        <v>12</v>
      </c>
      <c r="C1008" s="561"/>
      <c r="D1008" s="561"/>
      <c r="E1008" s="561"/>
      <c r="F1008" s="561"/>
      <c r="G1008" s="561"/>
      <c r="H1008" s="561"/>
    </row>
    <row r="1009" spans="1:8">
      <c r="A1009" s="561" t="s">
        <v>891</v>
      </c>
      <c r="B1009" s="562" t="s">
        <v>33</v>
      </c>
      <c r="C1009" s="561" t="s">
        <v>979</v>
      </c>
      <c r="D1009" s="561" t="s">
        <v>29</v>
      </c>
      <c r="E1009" s="544" t="s">
        <v>881</v>
      </c>
      <c r="F1009" s="551" t="e">
        <f>LUONGNGAY!$K$36</f>
        <v>#VALUE!</v>
      </c>
      <c r="G1009" s="561">
        <v>0.2</v>
      </c>
      <c r="H1009" s="511" t="e">
        <f>F1009*G1009</f>
        <v>#VALUE!</v>
      </c>
    </row>
    <row r="1010" spans="1:8">
      <c r="A1010" s="561" t="s">
        <v>899</v>
      </c>
      <c r="B1010" s="562" t="s">
        <v>36</v>
      </c>
      <c r="C1010" s="561" t="s">
        <v>979</v>
      </c>
      <c r="D1010" s="561" t="s">
        <v>29</v>
      </c>
      <c r="E1010" s="544" t="s">
        <v>881</v>
      </c>
      <c r="F1010" s="551" t="e">
        <f>LUONGNGAY!$K$36</f>
        <v>#VALUE!</v>
      </c>
      <c r="G1010" s="561">
        <v>0.15</v>
      </c>
      <c r="H1010" s="511" t="e">
        <f t="shared" ref="H1010:H1036" si="21">F1010*G1010</f>
        <v>#VALUE!</v>
      </c>
    </row>
    <row r="1011" spans="1:8" ht="24.75">
      <c r="A1011" s="561">
        <v>2</v>
      </c>
      <c r="B1011" s="562" t="s">
        <v>953</v>
      </c>
      <c r="C1011" s="561" t="s">
        <v>979</v>
      </c>
      <c r="D1011" s="561" t="s">
        <v>29</v>
      </c>
      <c r="E1011" s="544" t="s">
        <v>881</v>
      </c>
      <c r="F1011" s="551" t="e">
        <f>LUONGNGAY!$K$36</f>
        <v>#VALUE!</v>
      </c>
      <c r="G1011" s="561">
        <v>0.3</v>
      </c>
      <c r="H1011" s="511" t="e">
        <f t="shared" si="21"/>
        <v>#VALUE!</v>
      </c>
    </row>
    <row r="1012" spans="1:8" ht="24.75">
      <c r="A1012" s="561">
        <v>3</v>
      </c>
      <c r="B1012" s="562" t="s">
        <v>1078</v>
      </c>
      <c r="C1012" s="561" t="s">
        <v>627</v>
      </c>
      <c r="D1012" s="561" t="s">
        <v>29</v>
      </c>
      <c r="E1012" s="544" t="s">
        <v>881</v>
      </c>
      <c r="F1012" s="551" t="e">
        <f>LUONGNGAY!$K$36</f>
        <v>#VALUE!</v>
      </c>
      <c r="G1012" s="561">
        <v>3.3000000000000002E-2</v>
      </c>
      <c r="H1012" s="511" t="e">
        <f t="shared" si="21"/>
        <v>#VALUE!</v>
      </c>
    </row>
    <row r="1013" spans="1:8" ht="60.75">
      <c r="A1013" s="561">
        <v>4</v>
      </c>
      <c r="B1013" s="562" t="s">
        <v>481</v>
      </c>
      <c r="C1013" s="561" t="s">
        <v>979</v>
      </c>
      <c r="D1013" s="561" t="s">
        <v>13</v>
      </c>
      <c r="E1013" s="544" t="s">
        <v>881</v>
      </c>
      <c r="F1013" s="551" t="e">
        <f>(LUONGNGAY!$K$36+LUONGNGAY!$K$35)/2</f>
        <v>#VALUE!</v>
      </c>
      <c r="G1013" s="561">
        <f>2*2</f>
        <v>4</v>
      </c>
      <c r="H1013" s="511" t="e">
        <f t="shared" si="21"/>
        <v>#VALUE!</v>
      </c>
    </row>
    <row r="1014" spans="1:8">
      <c r="A1014" s="561">
        <v>5</v>
      </c>
      <c r="B1014" s="562" t="s">
        <v>1083</v>
      </c>
      <c r="C1014" s="561" t="s">
        <v>627</v>
      </c>
      <c r="D1014" s="561" t="s">
        <v>29</v>
      </c>
      <c r="E1014" s="544" t="s">
        <v>881</v>
      </c>
      <c r="F1014" s="551" t="e">
        <f>LUONGNGAY!$K$36</f>
        <v>#VALUE!</v>
      </c>
      <c r="G1014" s="561">
        <v>3.0000000000000001E-3</v>
      </c>
      <c r="H1014" s="511" t="e">
        <f t="shared" si="21"/>
        <v>#VALUE!</v>
      </c>
    </row>
    <row r="1015" spans="1:8" ht="36.75">
      <c r="A1015" s="561">
        <v>6</v>
      </c>
      <c r="B1015" s="562" t="s">
        <v>958</v>
      </c>
      <c r="C1015" s="561"/>
      <c r="D1015" s="561"/>
      <c r="E1015" s="561"/>
      <c r="G1015" s="561"/>
      <c r="H1015" s="511">
        <f t="shared" si="21"/>
        <v>0</v>
      </c>
    </row>
    <row r="1016" spans="1:8">
      <c r="A1016" s="561" t="s">
        <v>444</v>
      </c>
      <c r="B1016" s="562" t="s">
        <v>770</v>
      </c>
      <c r="C1016" s="561" t="s">
        <v>979</v>
      </c>
      <c r="D1016" s="561" t="s">
        <v>34</v>
      </c>
      <c r="E1016" s="544" t="s">
        <v>881</v>
      </c>
      <c r="F1016" s="551" t="e">
        <f>LUONGNGAY!$K$35</f>
        <v>#VALUE!</v>
      </c>
      <c r="G1016" s="561">
        <v>0</v>
      </c>
      <c r="H1016" s="511" t="e">
        <f t="shared" si="21"/>
        <v>#VALUE!</v>
      </c>
    </row>
    <row r="1017" spans="1:8">
      <c r="A1017" s="561" t="s">
        <v>445</v>
      </c>
      <c r="B1017" s="562" t="s">
        <v>771</v>
      </c>
      <c r="C1017" s="561" t="s">
        <v>979</v>
      </c>
      <c r="D1017" s="561" t="s">
        <v>34</v>
      </c>
      <c r="E1017" s="544" t="s">
        <v>881</v>
      </c>
      <c r="F1017" s="551" t="e">
        <f>LUONGNGAY!$K$35</f>
        <v>#VALUE!</v>
      </c>
      <c r="G1017" s="561">
        <v>0</v>
      </c>
      <c r="H1017" s="511" t="e">
        <f t="shared" si="21"/>
        <v>#VALUE!</v>
      </c>
    </row>
    <row r="1018" spans="1:8" ht="24.75">
      <c r="A1018" s="561">
        <v>7</v>
      </c>
      <c r="B1018" s="562" t="s">
        <v>554</v>
      </c>
      <c r="C1018" s="561" t="s">
        <v>979</v>
      </c>
      <c r="D1018" s="561" t="s">
        <v>34</v>
      </c>
      <c r="E1018" s="544" t="s">
        <v>881</v>
      </c>
      <c r="F1018" s="551" t="e">
        <f>LUONGNGAY!$K$35</f>
        <v>#VALUE!</v>
      </c>
      <c r="G1018" s="561">
        <v>0.2</v>
      </c>
      <c r="H1018" s="511" t="e">
        <f t="shared" si="21"/>
        <v>#VALUE!</v>
      </c>
    </row>
    <row r="1019" spans="1:8">
      <c r="A1019" s="561">
        <v>8</v>
      </c>
      <c r="B1019" s="562" t="s">
        <v>211</v>
      </c>
      <c r="C1019" s="561" t="s">
        <v>627</v>
      </c>
      <c r="D1019" s="561" t="s">
        <v>29</v>
      </c>
      <c r="E1019" s="544" t="s">
        <v>881</v>
      </c>
      <c r="F1019" s="551" t="e">
        <f>LUONGNGAY!$K$36</f>
        <v>#VALUE!</v>
      </c>
      <c r="G1019" s="561">
        <v>3.3000000000000002E-2</v>
      </c>
      <c r="H1019" s="511" t="e">
        <f t="shared" si="21"/>
        <v>#VALUE!</v>
      </c>
    </row>
    <row r="1020" spans="1:8">
      <c r="A1020" s="561">
        <v>9</v>
      </c>
      <c r="B1020" s="562" t="s">
        <v>213</v>
      </c>
      <c r="C1020" s="561"/>
      <c r="D1020" s="561"/>
      <c r="E1020" s="561"/>
      <c r="G1020" s="561"/>
      <c r="H1020" s="511">
        <f t="shared" si="21"/>
        <v>0</v>
      </c>
    </row>
    <row r="1021" spans="1:8">
      <c r="A1021" s="561" t="s">
        <v>446</v>
      </c>
      <c r="B1021" s="562" t="s">
        <v>215</v>
      </c>
      <c r="C1021" s="561" t="s">
        <v>320</v>
      </c>
      <c r="D1021" s="561" t="s">
        <v>34</v>
      </c>
      <c r="E1021" s="544" t="s">
        <v>881</v>
      </c>
      <c r="F1021" s="551" t="e">
        <f>LUONGNGAY!$K$35</f>
        <v>#VALUE!</v>
      </c>
      <c r="G1021" s="561">
        <v>0.1</v>
      </c>
      <c r="H1021" s="511" t="e">
        <f t="shared" si="21"/>
        <v>#VALUE!</v>
      </c>
    </row>
    <row r="1022" spans="1:8">
      <c r="A1022" s="561" t="s">
        <v>447</v>
      </c>
      <c r="B1022" s="562" t="s">
        <v>217</v>
      </c>
      <c r="C1022" s="561" t="s">
        <v>320</v>
      </c>
      <c r="D1022" s="561" t="s">
        <v>34</v>
      </c>
      <c r="E1022" s="544" t="s">
        <v>881</v>
      </c>
      <c r="F1022" s="551" t="e">
        <f>LUONGNGAY!$K$35</f>
        <v>#VALUE!</v>
      </c>
      <c r="G1022" s="561">
        <v>0.2</v>
      </c>
      <c r="H1022" s="511" t="e">
        <f t="shared" si="21"/>
        <v>#VALUE!</v>
      </c>
    </row>
    <row r="1023" spans="1:8" ht="24.75">
      <c r="A1023" s="561" t="s">
        <v>555</v>
      </c>
      <c r="B1023" s="562" t="s">
        <v>556</v>
      </c>
      <c r="C1023" s="561" t="s">
        <v>320</v>
      </c>
      <c r="D1023" s="561" t="s">
        <v>34</v>
      </c>
      <c r="E1023" s="544" t="s">
        <v>881</v>
      </c>
      <c r="F1023" s="551" t="e">
        <f>LUONGNGAY!$K$35</f>
        <v>#VALUE!</v>
      </c>
      <c r="G1023" s="561">
        <v>0.1</v>
      </c>
      <c r="H1023" s="511" t="e">
        <f t="shared" si="21"/>
        <v>#VALUE!</v>
      </c>
    </row>
    <row r="1024" spans="1:8" ht="24.75">
      <c r="A1024" s="561">
        <v>10</v>
      </c>
      <c r="B1024" s="562" t="s">
        <v>557</v>
      </c>
      <c r="C1024" s="561" t="s">
        <v>979</v>
      </c>
      <c r="D1024" s="561" t="s">
        <v>29</v>
      </c>
      <c r="E1024" s="544" t="s">
        <v>881</v>
      </c>
      <c r="F1024" s="551" t="e">
        <f>LUONGNGAY!$K$36</f>
        <v>#VALUE!</v>
      </c>
      <c r="G1024" s="561">
        <v>0.5</v>
      </c>
      <c r="H1024" s="511" t="e">
        <f t="shared" si="21"/>
        <v>#VALUE!</v>
      </c>
    </row>
    <row r="1025" spans="1:8" ht="36.75">
      <c r="A1025" s="561">
        <v>11</v>
      </c>
      <c r="B1025" s="562" t="s">
        <v>14</v>
      </c>
      <c r="C1025" s="561" t="s">
        <v>979</v>
      </c>
      <c r="D1025" s="561" t="s">
        <v>29</v>
      </c>
      <c r="E1025" s="544" t="s">
        <v>881</v>
      </c>
      <c r="F1025" s="551" t="e">
        <f>LUONGNGAY!$K$36</f>
        <v>#VALUE!</v>
      </c>
      <c r="G1025" s="561">
        <v>0.37</v>
      </c>
      <c r="H1025" s="511" t="e">
        <f t="shared" si="21"/>
        <v>#VALUE!</v>
      </c>
    </row>
    <row r="1026" spans="1:8">
      <c r="A1026" s="561">
        <v>12</v>
      </c>
      <c r="B1026" s="562" t="s">
        <v>220</v>
      </c>
      <c r="C1026" s="561" t="s">
        <v>627</v>
      </c>
      <c r="D1026" s="561" t="s">
        <v>29</v>
      </c>
      <c r="E1026" s="544" t="s">
        <v>881</v>
      </c>
      <c r="F1026" s="551" t="e">
        <f>LUONGNGAY!$K$36</f>
        <v>#VALUE!</v>
      </c>
      <c r="G1026" s="561">
        <v>3.3000000000000002E-2</v>
      </c>
      <c r="H1026" s="511" t="e">
        <f t="shared" si="21"/>
        <v>#VALUE!</v>
      </c>
    </row>
    <row r="1027" spans="1:8">
      <c r="A1027" s="561">
        <v>13</v>
      </c>
      <c r="B1027" s="562" t="s">
        <v>221</v>
      </c>
      <c r="C1027" s="561"/>
      <c r="D1027" s="561"/>
      <c r="E1027" s="561"/>
      <c r="G1027" s="561"/>
      <c r="H1027" s="511">
        <f t="shared" si="21"/>
        <v>0</v>
      </c>
    </row>
    <row r="1028" spans="1:8" ht="24.75">
      <c r="A1028" s="561" t="s">
        <v>237</v>
      </c>
      <c r="B1028" s="562" t="s">
        <v>931</v>
      </c>
      <c r="C1028" s="561"/>
      <c r="D1028" s="561"/>
      <c r="E1028" s="561"/>
      <c r="G1028" s="561"/>
      <c r="H1028" s="511">
        <f t="shared" si="21"/>
        <v>0</v>
      </c>
    </row>
    <row r="1029" spans="1:8">
      <c r="A1029" s="561" t="s">
        <v>238</v>
      </c>
      <c r="B1029" s="562" t="s">
        <v>933</v>
      </c>
      <c r="C1029" s="561" t="s">
        <v>934</v>
      </c>
      <c r="D1029" s="561" t="s">
        <v>935</v>
      </c>
      <c r="E1029" s="544" t="s">
        <v>881</v>
      </c>
      <c r="F1029" s="471" t="e">
        <f>LUONGNGAY!$K$34</f>
        <v>#VALUE!</v>
      </c>
      <c r="G1029" s="561">
        <v>1.6E-2</v>
      </c>
      <c r="H1029" s="511" t="e">
        <f t="shared" si="21"/>
        <v>#VALUE!</v>
      </c>
    </row>
    <row r="1030" spans="1:8">
      <c r="A1030" s="561" t="s">
        <v>239</v>
      </c>
      <c r="B1030" s="562" t="s">
        <v>937</v>
      </c>
      <c r="C1030" s="561" t="s">
        <v>934</v>
      </c>
      <c r="D1030" s="561" t="s">
        <v>935</v>
      </c>
      <c r="E1030" s="544" t="s">
        <v>881</v>
      </c>
      <c r="F1030" s="471" t="e">
        <f>LUONGNGAY!$K$34</f>
        <v>#VALUE!</v>
      </c>
      <c r="G1030" s="561">
        <v>8.0000000000000002E-3</v>
      </c>
      <c r="H1030" s="511" t="e">
        <f t="shared" si="21"/>
        <v>#VALUE!</v>
      </c>
    </row>
    <row r="1031" spans="1:8" ht="24.75">
      <c r="A1031" s="561" t="s">
        <v>240</v>
      </c>
      <c r="B1031" s="562" t="s">
        <v>48</v>
      </c>
      <c r="C1031" s="561" t="s">
        <v>934</v>
      </c>
      <c r="D1031" s="561" t="s">
        <v>935</v>
      </c>
      <c r="E1031" s="544" t="s">
        <v>881</v>
      </c>
      <c r="F1031" s="471" t="e">
        <f>LUONGNGAY!$K$34</f>
        <v>#VALUE!</v>
      </c>
      <c r="G1031" s="561">
        <v>4.0000000000000001E-3</v>
      </c>
      <c r="H1031" s="511" t="e">
        <f t="shared" si="21"/>
        <v>#VALUE!</v>
      </c>
    </row>
    <row r="1032" spans="1:8">
      <c r="A1032" s="561" t="s">
        <v>241</v>
      </c>
      <c r="B1032" s="562" t="s">
        <v>50</v>
      </c>
      <c r="C1032" s="561" t="s">
        <v>627</v>
      </c>
      <c r="D1032" s="561" t="s">
        <v>935</v>
      </c>
      <c r="E1032" s="544" t="s">
        <v>881</v>
      </c>
      <c r="F1032" s="471" t="e">
        <f>LUONGNGAY!$K$34</f>
        <v>#VALUE!</v>
      </c>
      <c r="G1032" s="561">
        <v>0.01</v>
      </c>
      <c r="H1032" s="511" t="e">
        <f t="shared" si="21"/>
        <v>#VALUE!</v>
      </c>
    </row>
    <row r="1033" spans="1:8">
      <c r="A1033" s="567" t="s">
        <v>184</v>
      </c>
      <c r="B1033" s="568" t="s">
        <v>765</v>
      </c>
      <c r="C1033" s="561"/>
      <c r="D1033" s="561"/>
      <c r="E1033" s="561"/>
      <c r="G1033" s="561"/>
      <c r="H1033" s="511">
        <f t="shared" si="21"/>
        <v>0</v>
      </c>
    </row>
    <row r="1034" spans="1:8">
      <c r="A1034" s="561">
        <v>1</v>
      </c>
      <c r="B1034" s="562" t="s">
        <v>809</v>
      </c>
      <c r="C1034" s="561" t="s">
        <v>979</v>
      </c>
      <c r="D1034" s="561" t="s">
        <v>34</v>
      </c>
      <c r="E1034" s="544" t="s">
        <v>881</v>
      </c>
      <c r="F1034" s="551" t="e">
        <f>LUONGNGAY!$K$35</f>
        <v>#VALUE!</v>
      </c>
      <c r="G1034" s="561">
        <v>0.3</v>
      </c>
      <c r="H1034" s="511" t="e">
        <f t="shared" si="21"/>
        <v>#VALUE!</v>
      </c>
    </row>
    <row r="1035" spans="1:8">
      <c r="A1035" s="567" t="s">
        <v>913</v>
      </c>
      <c r="B1035" s="568" t="s">
        <v>606</v>
      </c>
      <c r="C1035" s="561"/>
      <c r="D1035" s="561"/>
      <c r="E1035" s="561"/>
      <c r="G1035" s="561"/>
      <c r="H1035" s="511">
        <f t="shared" si="21"/>
        <v>0</v>
      </c>
    </row>
    <row r="1036" spans="1:8" ht="24.75">
      <c r="A1036" s="561">
        <v>1</v>
      </c>
      <c r="B1036" s="562" t="s">
        <v>810</v>
      </c>
      <c r="C1036" s="561" t="s">
        <v>979</v>
      </c>
      <c r="D1036" s="561" t="s">
        <v>34</v>
      </c>
      <c r="E1036" s="544" t="s">
        <v>881</v>
      </c>
      <c r="F1036" s="551" t="e">
        <f>LUONGNGAY!$K$35</f>
        <v>#VALUE!</v>
      </c>
      <c r="G1036" s="561">
        <v>0.1</v>
      </c>
      <c r="H1036" s="511" t="e">
        <f t="shared" si="21"/>
        <v>#VALUE!</v>
      </c>
    </row>
    <row r="1037" spans="1:8">
      <c r="A1037" s="507"/>
      <c r="B1037" s="490"/>
      <c r="C1037" s="484"/>
      <c r="D1037" s="484"/>
      <c r="E1037" s="507"/>
      <c r="F1037" s="485"/>
      <c r="G1037" s="509"/>
      <c r="H1037" s="487"/>
    </row>
    <row r="1038" spans="1:8">
      <c r="A1038" s="1235" t="s">
        <v>17</v>
      </c>
      <c r="B1038" s="1235"/>
      <c r="C1038" s="1235"/>
      <c r="D1038" s="1235"/>
      <c r="E1038" s="1235"/>
      <c r="F1038" s="1235"/>
      <c r="G1038" s="1235"/>
      <c r="H1038" s="1235"/>
    </row>
    <row r="1039" spans="1:8" ht="32.25" customHeight="1">
      <c r="A1039" s="467" t="s">
        <v>158</v>
      </c>
      <c r="B1039" s="467" t="s">
        <v>381</v>
      </c>
      <c r="C1039" s="468" t="s">
        <v>625</v>
      </c>
      <c r="D1039" s="468" t="s">
        <v>624</v>
      </c>
      <c r="E1039" s="468" t="s">
        <v>382</v>
      </c>
      <c r="F1039" s="469" t="s">
        <v>629</v>
      </c>
      <c r="G1039" s="468" t="s">
        <v>628</v>
      </c>
      <c r="H1039" s="468" t="s">
        <v>383</v>
      </c>
    </row>
    <row r="1040" spans="1:8">
      <c r="A1040" s="570" t="s">
        <v>179</v>
      </c>
      <c r="B1040" s="571" t="s">
        <v>1057</v>
      </c>
      <c r="C1040" s="555"/>
      <c r="D1040" s="555"/>
      <c r="E1040" s="555"/>
      <c r="F1040" s="555"/>
      <c r="G1040" s="555"/>
      <c r="H1040" s="555"/>
    </row>
    <row r="1041" spans="1:8">
      <c r="A1041" s="561">
        <v>1</v>
      </c>
      <c r="B1041" s="562" t="s">
        <v>12</v>
      </c>
      <c r="C1041" s="561"/>
      <c r="D1041" s="561"/>
      <c r="E1041" s="561"/>
      <c r="F1041" s="561"/>
      <c r="G1041" s="561"/>
      <c r="H1041" s="561"/>
    </row>
    <row r="1042" spans="1:8">
      <c r="A1042" s="561" t="s">
        <v>891</v>
      </c>
      <c r="B1042" s="562" t="s">
        <v>33</v>
      </c>
      <c r="C1042" s="561" t="s">
        <v>979</v>
      </c>
      <c r="D1042" s="561" t="s">
        <v>29</v>
      </c>
      <c r="E1042" s="544" t="s">
        <v>881</v>
      </c>
      <c r="F1042" s="551" t="e">
        <f>LUONGNGAY!$K$36</f>
        <v>#VALUE!</v>
      </c>
      <c r="G1042" s="561">
        <v>0.26</v>
      </c>
      <c r="H1042" s="511" t="e">
        <f>F1042*G1042</f>
        <v>#VALUE!</v>
      </c>
    </row>
    <row r="1043" spans="1:8">
      <c r="A1043" s="561" t="s">
        <v>899</v>
      </c>
      <c r="B1043" s="562" t="s">
        <v>36</v>
      </c>
      <c r="C1043" s="561" t="s">
        <v>979</v>
      </c>
      <c r="D1043" s="561" t="s">
        <v>29</v>
      </c>
      <c r="E1043" s="544" t="s">
        <v>881</v>
      </c>
      <c r="F1043" s="551" t="e">
        <f>LUONGNGAY!$K$36</f>
        <v>#VALUE!</v>
      </c>
      <c r="G1043" s="561">
        <v>0.19500000000000001</v>
      </c>
      <c r="H1043" s="511" t="e">
        <f t="shared" ref="H1043:H1069" si="22">F1043*G1043</f>
        <v>#VALUE!</v>
      </c>
    </row>
    <row r="1044" spans="1:8" ht="24.75">
      <c r="A1044" s="561">
        <v>2</v>
      </c>
      <c r="B1044" s="562" t="s">
        <v>953</v>
      </c>
      <c r="C1044" s="561" t="s">
        <v>979</v>
      </c>
      <c r="D1044" s="561" t="s">
        <v>29</v>
      </c>
      <c r="E1044" s="544" t="s">
        <v>881</v>
      </c>
      <c r="F1044" s="551" t="e">
        <f>LUONGNGAY!$K$36</f>
        <v>#VALUE!</v>
      </c>
      <c r="G1044" s="561">
        <v>0.39</v>
      </c>
      <c r="H1044" s="511" t="e">
        <f t="shared" si="22"/>
        <v>#VALUE!</v>
      </c>
    </row>
    <row r="1045" spans="1:8" ht="24.75">
      <c r="A1045" s="561">
        <v>3</v>
      </c>
      <c r="B1045" s="562" t="s">
        <v>1078</v>
      </c>
      <c r="C1045" s="561" t="s">
        <v>627</v>
      </c>
      <c r="D1045" s="561" t="s">
        <v>29</v>
      </c>
      <c r="E1045" s="544" t="s">
        <v>881</v>
      </c>
      <c r="F1045" s="551" t="e">
        <f>LUONGNGAY!$K$36</f>
        <v>#VALUE!</v>
      </c>
      <c r="G1045" s="561">
        <v>0.16700000000000001</v>
      </c>
      <c r="H1045" s="511" t="e">
        <f t="shared" si="22"/>
        <v>#VALUE!</v>
      </c>
    </row>
    <row r="1046" spans="1:8" ht="60.75">
      <c r="A1046" s="561">
        <v>4</v>
      </c>
      <c r="B1046" s="562" t="s">
        <v>481</v>
      </c>
      <c r="C1046" s="561" t="s">
        <v>979</v>
      </c>
      <c r="D1046" s="561" t="s">
        <v>13</v>
      </c>
      <c r="E1046" s="544" t="s">
        <v>881</v>
      </c>
      <c r="F1046" s="551" t="e">
        <f>(LUONGNGAY!$K$36+LUONGNGAY!$K$35)/2</f>
        <v>#VALUE!</v>
      </c>
      <c r="G1046" s="561">
        <f>2.6*2</f>
        <v>5.2</v>
      </c>
      <c r="H1046" s="511" t="e">
        <f t="shared" si="22"/>
        <v>#VALUE!</v>
      </c>
    </row>
    <row r="1047" spans="1:8">
      <c r="A1047" s="561">
        <v>5</v>
      </c>
      <c r="B1047" s="562" t="s">
        <v>1083</v>
      </c>
      <c r="C1047" s="561" t="s">
        <v>627</v>
      </c>
      <c r="D1047" s="561" t="s">
        <v>29</v>
      </c>
      <c r="E1047" s="544" t="s">
        <v>881</v>
      </c>
      <c r="F1047" s="551" t="e">
        <f>LUONGNGAY!$K$36</f>
        <v>#VALUE!</v>
      </c>
      <c r="G1047" s="561">
        <v>3.0000000000000001E-3</v>
      </c>
      <c r="H1047" s="511" t="e">
        <f t="shared" si="22"/>
        <v>#VALUE!</v>
      </c>
    </row>
    <row r="1048" spans="1:8" ht="36.75">
      <c r="A1048" s="561">
        <v>6</v>
      </c>
      <c r="B1048" s="562" t="s">
        <v>958</v>
      </c>
      <c r="C1048" s="561"/>
      <c r="D1048" s="561"/>
      <c r="E1048" s="561"/>
      <c r="G1048" s="561"/>
      <c r="H1048" s="511">
        <f t="shared" si="22"/>
        <v>0</v>
      </c>
    </row>
    <row r="1049" spans="1:8">
      <c r="A1049" s="561" t="s">
        <v>444</v>
      </c>
      <c r="B1049" s="562" t="s">
        <v>770</v>
      </c>
      <c r="C1049" s="561" t="s">
        <v>979</v>
      </c>
      <c r="D1049" s="561" t="s">
        <v>34</v>
      </c>
      <c r="E1049" s="544" t="s">
        <v>881</v>
      </c>
      <c r="F1049" s="551" t="e">
        <f>LUONGNGAY!$K$35</f>
        <v>#VALUE!</v>
      </c>
      <c r="G1049" s="561">
        <v>0.05</v>
      </c>
      <c r="H1049" s="511" t="e">
        <f t="shared" si="22"/>
        <v>#VALUE!</v>
      </c>
    </row>
    <row r="1050" spans="1:8">
      <c r="A1050" s="561" t="s">
        <v>445</v>
      </c>
      <c r="B1050" s="562" t="s">
        <v>771</v>
      </c>
      <c r="C1050" s="561" t="s">
        <v>979</v>
      </c>
      <c r="D1050" s="561" t="s">
        <v>34</v>
      </c>
      <c r="E1050" s="544" t="s">
        <v>881</v>
      </c>
      <c r="F1050" s="551" t="e">
        <f>LUONGNGAY!$K$35</f>
        <v>#VALUE!</v>
      </c>
      <c r="G1050" s="561">
        <v>0.1</v>
      </c>
      <c r="H1050" s="511" t="e">
        <f t="shared" si="22"/>
        <v>#VALUE!</v>
      </c>
    </row>
    <row r="1051" spans="1:8" ht="24.75">
      <c r="A1051" s="561">
        <v>7</v>
      </c>
      <c r="B1051" s="562" t="s">
        <v>554</v>
      </c>
      <c r="C1051" s="561" t="s">
        <v>979</v>
      </c>
      <c r="D1051" s="561" t="s">
        <v>34</v>
      </c>
      <c r="E1051" s="544" t="s">
        <v>881</v>
      </c>
      <c r="F1051" s="551" t="e">
        <f>LUONGNGAY!$K$35</f>
        <v>#VALUE!</v>
      </c>
      <c r="G1051" s="561">
        <v>0.26</v>
      </c>
      <c r="H1051" s="511" t="e">
        <f t="shared" si="22"/>
        <v>#VALUE!</v>
      </c>
    </row>
    <row r="1052" spans="1:8">
      <c r="A1052" s="561">
        <v>8</v>
      </c>
      <c r="B1052" s="562" t="s">
        <v>211</v>
      </c>
      <c r="C1052" s="561" t="s">
        <v>627</v>
      </c>
      <c r="D1052" s="561" t="s">
        <v>29</v>
      </c>
      <c r="E1052" s="544" t="s">
        <v>881</v>
      </c>
      <c r="F1052" s="551" t="e">
        <f>LUONGNGAY!$K$36</f>
        <v>#VALUE!</v>
      </c>
      <c r="G1052" s="561">
        <v>3.3000000000000002E-2</v>
      </c>
      <c r="H1052" s="511" t="e">
        <f t="shared" si="22"/>
        <v>#VALUE!</v>
      </c>
    </row>
    <row r="1053" spans="1:8">
      <c r="A1053" s="561">
        <v>9</v>
      </c>
      <c r="B1053" s="562" t="s">
        <v>213</v>
      </c>
      <c r="C1053" s="561"/>
      <c r="D1053" s="561"/>
      <c r="E1053" s="561"/>
      <c r="G1053" s="561"/>
      <c r="H1053" s="511">
        <f t="shared" si="22"/>
        <v>0</v>
      </c>
    </row>
    <row r="1054" spans="1:8">
      <c r="A1054" s="561" t="s">
        <v>446</v>
      </c>
      <c r="B1054" s="562" t="s">
        <v>215</v>
      </c>
      <c r="C1054" s="561" t="s">
        <v>320</v>
      </c>
      <c r="D1054" s="561" t="s">
        <v>34</v>
      </c>
      <c r="E1054" s="544" t="s">
        <v>881</v>
      </c>
      <c r="F1054" s="551" t="e">
        <f>LUONGNGAY!$K$35</f>
        <v>#VALUE!</v>
      </c>
      <c r="G1054" s="561">
        <v>0.1</v>
      </c>
      <c r="H1054" s="511" t="e">
        <f t="shared" si="22"/>
        <v>#VALUE!</v>
      </c>
    </row>
    <row r="1055" spans="1:8">
      <c r="A1055" s="561" t="s">
        <v>447</v>
      </c>
      <c r="B1055" s="562" t="s">
        <v>217</v>
      </c>
      <c r="C1055" s="561" t="s">
        <v>320</v>
      </c>
      <c r="D1055" s="561" t="s">
        <v>34</v>
      </c>
      <c r="E1055" s="544" t="s">
        <v>881</v>
      </c>
      <c r="F1055" s="551" t="e">
        <f>LUONGNGAY!$K$35</f>
        <v>#VALUE!</v>
      </c>
      <c r="G1055" s="561">
        <v>0.2</v>
      </c>
      <c r="H1055" s="511" t="e">
        <f t="shared" si="22"/>
        <v>#VALUE!</v>
      </c>
    </row>
    <row r="1056" spans="1:8" ht="24.75">
      <c r="A1056" s="561" t="s">
        <v>555</v>
      </c>
      <c r="B1056" s="562" t="s">
        <v>556</v>
      </c>
      <c r="C1056" s="561" t="s">
        <v>320</v>
      </c>
      <c r="D1056" s="561" t="s">
        <v>34</v>
      </c>
      <c r="E1056" s="544" t="s">
        <v>881</v>
      </c>
      <c r="F1056" s="551" t="e">
        <f>LUONGNGAY!$K$35</f>
        <v>#VALUE!</v>
      </c>
      <c r="G1056" s="561">
        <v>0.1</v>
      </c>
      <c r="H1056" s="511" t="e">
        <f t="shared" si="22"/>
        <v>#VALUE!</v>
      </c>
    </row>
    <row r="1057" spans="1:28" ht="24.75">
      <c r="A1057" s="561">
        <v>10</v>
      </c>
      <c r="B1057" s="562" t="s">
        <v>557</v>
      </c>
      <c r="C1057" s="561" t="s">
        <v>979</v>
      </c>
      <c r="D1057" s="561" t="s">
        <v>29</v>
      </c>
      <c r="E1057" s="544" t="s">
        <v>881</v>
      </c>
      <c r="F1057" s="551" t="e">
        <f>LUONGNGAY!$K$36</f>
        <v>#VALUE!</v>
      </c>
      <c r="G1057" s="561">
        <v>0.65</v>
      </c>
      <c r="H1057" s="511" t="e">
        <f t="shared" si="22"/>
        <v>#VALUE!</v>
      </c>
    </row>
    <row r="1058" spans="1:28" ht="36.75">
      <c r="A1058" s="561">
        <v>11</v>
      </c>
      <c r="B1058" s="562" t="s">
        <v>14</v>
      </c>
      <c r="C1058" s="561" t="s">
        <v>979</v>
      </c>
      <c r="D1058" s="561" t="s">
        <v>29</v>
      </c>
      <c r="E1058" s="544" t="s">
        <v>881</v>
      </c>
      <c r="F1058" s="551" t="e">
        <f>LUONGNGAY!$K$36</f>
        <v>#VALUE!</v>
      </c>
      <c r="G1058" s="561">
        <v>0.44400000000000001</v>
      </c>
      <c r="H1058" s="511" t="e">
        <f t="shared" si="22"/>
        <v>#VALUE!</v>
      </c>
    </row>
    <row r="1059" spans="1:28">
      <c r="A1059" s="561">
        <v>12</v>
      </c>
      <c r="B1059" s="562" t="s">
        <v>220</v>
      </c>
      <c r="C1059" s="561" t="s">
        <v>627</v>
      </c>
      <c r="D1059" s="561" t="s">
        <v>29</v>
      </c>
      <c r="E1059" s="544" t="s">
        <v>881</v>
      </c>
      <c r="F1059" s="551" t="e">
        <f>LUONGNGAY!$K$36</f>
        <v>#VALUE!</v>
      </c>
      <c r="G1059" s="561">
        <v>3.3000000000000002E-2</v>
      </c>
      <c r="H1059" s="511" t="e">
        <f t="shared" si="22"/>
        <v>#VALUE!</v>
      </c>
    </row>
    <row r="1060" spans="1:28">
      <c r="A1060" s="561">
        <v>13</v>
      </c>
      <c r="B1060" s="562" t="s">
        <v>221</v>
      </c>
      <c r="C1060" s="561"/>
      <c r="D1060" s="561"/>
      <c r="E1060" s="561"/>
      <c r="F1060" s="561"/>
      <c r="G1060" s="561"/>
      <c r="H1060" s="511">
        <f t="shared" si="22"/>
        <v>0</v>
      </c>
    </row>
    <row r="1061" spans="1:28" ht="24.75">
      <c r="A1061" s="561" t="s">
        <v>237</v>
      </c>
      <c r="B1061" s="562" t="s">
        <v>931</v>
      </c>
      <c r="C1061" s="561"/>
      <c r="D1061" s="561"/>
      <c r="E1061" s="561"/>
      <c r="F1061" s="561"/>
      <c r="G1061" s="561"/>
      <c r="H1061" s="511">
        <f t="shared" si="22"/>
        <v>0</v>
      </c>
    </row>
    <row r="1062" spans="1:28">
      <c r="A1062" s="561" t="s">
        <v>238</v>
      </c>
      <c r="B1062" s="562" t="s">
        <v>933</v>
      </c>
      <c r="C1062" s="561" t="s">
        <v>934</v>
      </c>
      <c r="D1062" s="561" t="s">
        <v>935</v>
      </c>
      <c r="E1062" s="544" t="s">
        <v>881</v>
      </c>
      <c r="F1062" s="471" t="e">
        <f>LUONGNGAY!$K$34</f>
        <v>#VALUE!</v>
      </c>
      <c r="G1062" s="561">
        <v>0.02</v>
      </c>
      <c r="H1062" s="511" t="e">
        <f t="shared" si="22"/>
        <v>#VALUE!</v>
      </c>
    </row>
    <row r="1063" spans="1:28">
      <c r="A1063" s="561" t="s">
        <v>239</v>
      </c>
      <c r="B1063" s="562" t="s">
        <v>937</v>
      </c>
      <c r="C1063" s="561" t="s">
        <v>934</v>
      </c>
      <c r="D1063" s="561" t="s">
        <v>935</v>
      </c>
      <c r="E1063" s="544" t="s">
        <v>881</v>
      </c>
      <c r="F1063" s="471" t="e">
        <f>LUONGNGAY!$K$34</f>
        <v>#VALUE!</v>
      </c>
      <c r="G1063" s="561">
        <v>0.01</v>
      </c>
      <c r="H1063" s="511" t="e">
        <f t="shared" si="22"/>
        <v>#VALUE!</v>
      </c>
    </row>
    <row r="1064" spans="1:28" ht="24.75">
      <c r="A1064" s="561" t="s">
        <v>240</v>
      </c>
      <c r="B1064" s="562" t="s">
        <v>48</v>
      </c>
      <c r="C1064" s="561" t="s">
        <v>934</v>
      </c>
      <c r="D1064" s="561" t="s">
        <v>935</v>
      </c>
      <c r="E1064" s="544" t="s">
        <v>881</v>
      </c>
      <c r="F1064" s="471" t="e">
        <f>LUONGNGAY!$K$34</f>
        <v>#VALUE!</v>
      </c>
      <c r="G1064" s="561">
        <v>5.0000000000000001E-3</v>
      </c>
      <c r="H1064" s="511" t="e">
        <f t="shared" si="22"/>
        <v>#VALUE!</v>
      </c>
    </row>
    <row r="1065" spans="1:28">
      <c r="A1065" s="561" t="s">
        <v>241</v>
      </c>
      <c r="B1065" s="562" t="s">
        <v>50</v>
      </c>
      <c r="C1065" s="561" t="s">
        <v>627</v>
      </c>
      <c r="D1065" s="561" t="s">
        <v>935</v>
      </c>
      <c r="E1065" s="544" t="s">
        <v>881</v>
      </c>
      <c r="F1065" s="471" t="e">
        <f>LUONGNGAY!$K$34</f>
        <v>#VALUE!</v>
      </c>
      <c r="G1065" s="561">
        <v>0.01</v>
      </c>
      <c r="H1065" s="511" t="e">
        <f t="shared" si="22"/>
        <v>#VALUE!</v>
      </c>
    </row>
    <row r="1066" spans="1:28">
      <c r="A1066" s="567" t="s">
        <v>184</v>
      </c>
      <c r="B1066" s="568" t="s">
        <v>765</v>
      </c>
      <c r="C1066" s="561"/>
      <c r="D1066" s="561"/>
      <c r="E1066" s="561"/>
      <c r="G1066" s="561"/>
      <c r="H1066" s="511">
        <f t="shared" si="22"/>
        <v>0</v>
      </c>
    </row>
    <row r="1067" spans="1:28">
      <c r="A1067" s="561">
        <v>1</v>
      </c>
      <c r="B1067" s="562" t="s">
        <v>809</v>
      </c>
      <c r="C1067" s="561" t="s">
        <v>979</v>
      </c>
      <c r="D1067" s="561" t="s">
        <v>34</v>
      </c>
      <c r="E1067" s="544" t="s">
        <v>881</v>
      </c>
      <c r="F1067" s="551" t="e">
        <f>LUONGNGAY!$K$35</f>
        <v>#VALUE!</v>
      </c>
      <c r="G1067" s="561">
        <v>0.39</v>
      </c>
      <c r="H1067" s="511" t="e">
        <f t="shared" si="22"/>
        <v>#VALUE!</v>
      </c>
    </row>
    <row r="1068" spans="1:28">
      <c r="A1068" s="567" t="s">
        <v>913</v>
      </c>
      <c r="B1068" s="568" t="s">
        <v>606</v>
      </c>
      <c r="C1068" s="561"/>
      <c r="D1068" s="561"/>
      <c r="E1068" s="561"/>
      <c r="G1068" s="561"/>
      <c r="H1068" s="511">
        <f t="shared" si="22"/>
        <v>0</v>
      </c>
    </row>
    <row r="1069" spans="1:28" ht="24.75">
      <c r="A1069" s="561">
        <v>1</v>
      </c>
      <c r="B1069" s="562" t="s">
        <v>810</v>
      </c>
      <c r="C1069" s="561" t="s">
        <v>979</v>
      </c>
      <c r="D1069" s="561" t="s">
        <v>34</v>
      </c>
      <c r="E1069" s="544" t="s">
        <v>881</v>
      </c>
      <c r="F1069" s="551" t="e">
        <f>LUONGNGAY!$K$35</f>
        <v>#VALUE!</v>
      </c>
      <c r="G1069" s="561">
        <v>0.13</v>
      </c>
      <c r="H1069" s="511" t="e">
        <f t="shared" si="22"/>
        <v>#VALUE!</v>
      </c>
    </row>
    <row r="1070" spans="1:28" s="466" customFormat="1" ht="30" customHeight="1">
      <c r="A1070" s="1228" t="s">
        <v>843</v>
      </c>
      <c r="B1070" s="1228"/>
      <c r="C1070" s="1228"/>
      <c r="D1070" s="1228"/>
      <c r="E1070" s="1228"/>
      <c r="F1070" s="1228"/>
      <c r="G1070" s="1228"/>
      <c r="H1070" s="1228"/>
      <c r="I1070" s="465"/>
      <c r="J1070" s="465"/>
      <c r="K1070" s="465"/>
      <c r="L1070" s="465"/>
      <c r="M1070" s="465"/>
      <c r="N1070" s="465"/>
      <c r="O1070" s="465"/>
      <c r="P1070" s="465"/>
      <c r="Q1070" s="465"/>
      <c r="R1070" s="465"/>
      <c r="S1070" s="465"/>
      <c r="T1070" s="465"/>
      <c r="U1070" s="465"/>
      <c r="V1070" s="465"/>
      <c r="W1070" s="465"/>
      <c r="X1070" s="465"/>
      <c r="Y1070" s="465"/>
      <c r="Z1070" s="465"/>
      <c r="AA1070" s="465"/>
      <c r="AB1070" s="465"/>
    </row>
    <row r="1071" spans="1:28" s="466" customFormat="1" ht="9.75" customHeight="1">
      <c r="A1071" s="459"/>
      <c r="B1071" s="460"/>
      <c r="C1071" s="461"/>
      <c r="D1071" s="461"/>
      <c r="E1071" s="462"/>
      <c r="F1071" s="463"/>
      <c r="G1071" s="462"/>
      <c r="H1071" s="464"/>
      <c r="I1071" s="465"/>
      <c r="J1071" s="465"/>
      <c r="K1071" s="465"/>
      <c r="L1071" s="465"/>
      <c r="M1071" s="465"/>
      <c r="N1071" s="465"/>
      <c r="O1071" s="465"/>
      <c r="P1071" s="465"/>
      <c r="Q1071" s="465"/>
      <c r="R1071" s="465"/>
      <c r="S1071" s="465"/>
      <c r="T1071" s="465"/>
      <c r="U1071" s="465"/>
      <c r="V1071" s="465"/>
      <c r="W1071" s="465"/>
      <c r="X1071" s="465"/>
      <c r="Y1071" s="465"/>
      <c r="Z1071" s="465"/>
      <c r="AA1071" s="465"/>
      <c r="AB1071" s="465"/>
    </row>
    <row r="1072" spans="1:28" s="466" customFormat="1" ht="44.25" customHeight="1">
      <c r="A1072" s="467" t="s">
        <v>158</v>
      </c>
      <c r="B1072" s="467" t="s">
        <v>381</v>
      </c>
      <c r="C1072" s="468" t="s">
        <v>625</v>
      </c>
      <c r="D1072" s="468" t="s">
        <v>624</v>
      </c>
      <c r="E1072" s="468" t="s">
        <v>382</v>
      </c>
      <c r="F1072" s="469" t="s">
        <v>629</v>
      </c>
      <c r="G1072" s="468" t="s">
        <v>628</v>
      </c>
      <c r="H1072" s="468" t="s">
        <v>383</v>
      </c>
      <c r="I1072" s="465"/>
      <c r="J1072" s="465"/>
      <c r="K1072" s="465"/>
      <c r="L1072" s="465"/>
      <c r="M1072" s="465"/>
      <c r="N1072" s="465"/>
      <c r="O1072" s="465"/>
      <c r="P1072" s="465"/>
      <c r="Q1072" s="465"/>
      <c r="R1072" s="465"/>
      <c r="S1072" s="465"/>
      <c r="T1072" s="465"/>
      <c r="U1072" s="465"/>
      <c r="V1072" s="465"/>
      <c r="W1072" s="465"/>
      <c r="X1072" s="465"/>
      <c r="Y1072" s="465"/>
      <c r="Z1072" s="465"/>
      <c r="AA1072" s="465"/>
      <c r="AB1072" s="465"/>
    </row>
    <row r="1073" spans="1:28" s="466" customFormat="1" ht="29.25" customHeight="1">
      <c r="A1073" s="526" t="s">
        <v>885</v>
      </c>
      <c r="B1073" s="527" t="s">
        <v>659</v>
      </c>
      <c r="C1073" s="528" t="s">
        <v>281</v>
      </c>
      <c r="D1073" s="528" t="s">
        <v>34</v>
      </c>
      <c r="E1073" s="479"/>
      <c r="F1073" s="551" t="e">
        <f>LUONGNGAY!$K$35</f>
        <v>#VALUE!</v>
      </c>
      <c r="G1073" s="479">
        <v>0.1</v>
      </c>
      <c r="H1073" s="474" t="e">
        <f>F1073*G1073</f>
        <v>#VALUE!</v>
      </c>
      <c r="I1073" s="465"/>
      <c r="J1073" s="465"/>
      <c r="K1073" s="465"/>
      <c r="L1073" s="465"/>
      <c r="M1073" s="465"/>
      <c r="N1073" s="465"/>
      <c r="O1073" s="465"/>
      <c r="P1073" s="465"/>
      <c r="Q1073" s="465"/>
      <c r="R1073" s="465"/>
      <c r="S1073" s="465"/>
      <c r="T1073" s="465"/>
      <c r="U1073" s="465"/>
      <c r="V1073" s="465"/>
      <c r="W1073" s="465"/>
      <c r="X1073" s="465"/>
      <c r="Y1073" s="465"/>
      <c r="Z1073" s="465"/>
      <c r="AA1073" s="465"/>
      <c r="AB1073" s="465"/>
    </row>
    <row r="1074" spans="1:28" s="466" customFormat="1" ht="29.25" customHeight="1">
      <c r="A1074" s="526" t="s">
        <v>886</v>
      </c>
      <c r="B1074" s="527" t="s">
        <v>660</v>
      </c>
      <c r="C1074" s="528"/>
      <c r="D1074" s="528"/>
      <c r="E1074" s="479"/>
      <c r="F1074" s="551"/>
      <c r="G1074" s="479"/>
      <c r="H1074" s="474"/>
      <c r="I1074" s="465"/>
      <c r="J1074" s="465"/>
      <c r="K1074" s="465"/>
      <c r="L1074" s="465"/>
      <c r="M1074" s="465"/>
      <c r="N1074" s="465"/>
      <c r="O1074" s="465"/>
      <c r="P1074" s="465"/>
      <c r="Q1074" s="465"/>
      <c r="R1074" s="465"/>
      <c r="S1074" s="465"/>
      <c r="T1074" s="465"/>
      <c r="U1074" s="465"/>
      <c r="V1074" s="465"/>
      <c r="W1074" s="465"/>
      <c r="X1074" s="465"/>
      <c r="Y1074" s="465"/>
      <c r="Z1074" s="465"/>
      <c r="AA1074" s="465"/>
      <c r="AB1074" s="465"/>
    </row>
    <row r="1075" spans="1:28" s="466" customFormat="1" ht="29.25" customHeight="1">
      <c r="A1075" s="526" t="s">
        <v>900</v>
      </c>
      <c r="B1075" s="527" t="s">
        <v>661</v>
      </c>
      <c r="C1075" s="528" t="s">
        <v>281</v>
      </c>
      <c r="D1075" s="528" t="s">
        <v>34</v>
      </c>
      <c r="E1075" s="479"/>
      <c r="F1075" s="551" t="e">
        <f>LUONGNGAY!$K$35</f>
        <v>#VALUE!</v>
      </c>
      <c r="G1075" s="479">
        <v>0.05</v>
      </c>
      <c r="H1075" s="474" t="e">
        <f>F1075*G1075</f>
        <v>#VALUE!</v>
      </c>
      <c r="I1075" s="465"/>
      <c r="J1075" s="465"/>
      <c r="K1075" s="465"/>
      <c r="L1075" s="465"/>
      <c r="M1075" s="465"/>
      <c r="N1075" s="465"/>
      <c r="O1075" s="465"/>
      <c r="P1075" s="465"/>
      <c r="Q1075" s="465"/>
      <c r="R1075" s="465"/>
      <c r="S1075" s="465"/>
      <c r="T1075" s="465"/>
      <c r="U1075" s="465"/>
      <c r="V1075" s="465"/>
      <c r="W1075" s="465"/>
      <c r="X1075" s="465"/>
      <c r="Y1075" s="465"/>
      <c r="Z1075" s="465"/>
      <c r="AA1075" s="465"/>
      <c r="AB1075" s="465"/>
    </row>
    <row r="1076" spans="1:28" s="466" customFormat="1" ht="29.25" customHeight="1">
      <c r="A1076" s="526" t="s">
        <v>901</v>
      </c>
      <c r="B1076" s="527" t="s">
        <v>308</v>
      </c>
      <c r="C1076" s="528" t="s">
        <v>281</v>
      </c>
      <c r="D1076" s="528" t="s">
        <v>34</v>
      </c>
      <c r="E1076" s="479"/>
      <c r="F1076" s="551" t="e">
        <f>LUONGNGAY!$K$35</f>
        <v>#VALUE!</v>
      </c>
      <c r="G1076" s="479">
        <v>0.1</v>
      </c>
      <c r="H1076" s="474" t="e">
        <f>F1076*G1076</f>
        <v>#VALUE!</v>
      </c>
      <c r="I1076" s="465"/>
      <c r="J1076" s="465"/>
      <c r="K1076" s="465"/>
      <c r="L1076" s="465"/>
      <c r="M1076" s="465"/>
      <c r="N1076" s="465"/>
      <c r="O1076" s="465"/>
      <c r="P1076" s="465"/>
      <c r="Q1076" s="465"/>
      <c r="R1076" s="465"/>
      <c r="S1076" s="465"/>
      <c r="T1076" s="465"/>
      <c r="U1076" s="465"/>
      <c r="V1076" s="465"/>
      <c r="W1076" s="465"/>
      <c r="X1076" s="465"/>
      <c r="Y1076" s="465"/>
      <c r="Z1076" s="465"/>
      <c r="AA1076" s="465"/>
      <c r="AB1076" s="465"/>
    </row>
    <row r="1077" spans="1:28" s="466" customFormat="1" ht="29.25" customHeight="1">
      <c r="A1077" s="526" t="s">
        <v>887</v>
      </c>
      <c r="B1077" s="527" t="s">
        <v>309</v>
      </c>
      <c r="C1077" s="528"/>
      <c r="D1077" s="528"/>
      <c r="E1077" s="479"/>
      <c r="F1077" s="551"/>
      <c r="G1077" s="479"/>
      <c r="H1077" s="474"/>
      <c r="I1077" s="465"/>
      <c r="J1077" s="465"/>
      <c r="K1077" s="465"/>
      <c r="L1077" s="465"/>
      <c r="M1077" s="465"/>
      <c r="N1077" s="465"/>
      <c r="O1077" s="465"/>
      <c r="P1077" s="465"/>
      <c r="Q1077" s="465"/>
      <c r="R1077" s="465"/>
      <c r="S1077" s="465"/>
      <c r="T1077" s="465"/>
      <c r="U1077" s="465"/>
      <c r="V1077" s="465"/>
      <c r="W1077" s="465"/>
      <c r="X1077" s="465"/>
      <c r="Y1077" s="465"/>
      <c r="Z1077" s="465"/>
      <c r="AA1077" s="465"/>
      <c r="AB1077" s="465"/>
    </row>
    <row r="1078" spans="1:28" s="466" customFormat="1" ht="29.25" customHeight="1">
      <c r="A1078" s="526" t="s">
        <v>893</v>
      </c>
      <c r="B1078" s="527" t="s">
        <v>310</v>
      </c>
      <c r="C1078" s="528" t="s">
        <v>281</v>
      </c>
      <c r="D1078" s="528" t="s">
        <v>34</v>
      </c>
      <c r="E1078" s="479"/>
      <c r="F1078" s="551" t="e">
        <f>LUONGNGAY!$K$35</f>
        <v>#VALUE!</v>
      </c>
      <c r="G1078" s="479">
        <v>0.05</v>
      </c>
      <c r="H1078" s="474" t="e">
        <f>F1078*G1078</f>
        <v>#VALUE!</v>
      </c>
      <c r="I1078" s="465"/>
      <c r="J1078" s="465"/>
      <c r="K1078" s="465"/>
      <c r="L1078" s="465"/>
      <c r="M1078" s="465"/>
      <c r="N1078" s="465"/>
      <c r="O1078" s="465"/>
      <c r="P1078" s="465"/>
      <c r="Q1078" s="465"/>
      <c r="R1078" s="465"/>
      <c r="S1078" s="465"/>
      <c r="T1078" s="465"/>
      <c r="U1078" s="465"/>
      <c r="V1078" s="465"/>
      <c r="W1078" s="465"/>
      <c r="X1078" s="465"/>
      <c r="Y1078" s="465"/>
      <c r="Z1078" s="465"/>
      <c r="AA1078" s="465"/>
      <c r="AB1078" s="465"/>
    </row>
    <row r="1079" spans="1:28" s="466" customFormat="1" ht="29.25" customHeight="1">
      <c r="A1079" s="526" t="s">
        <v>894</v>
      </c>
      <c r="B1079" s="527" t="s">
        <v>308</v>
      </c>
      <c r="C1079" s="528" t="s">
        <v>281</v>
      </c>
      <c r="D1079" s="528" t="s">
        <v>34</v>
      </c>
      <c r="E1079" s="479"/>
      <c r="F1079" s="551" t="e">
        <f>LUONGNGAY!$K$35</f>
        <v>#VALUE!</v>
      </c>
      <c r="G1079" s="479">
        <v>0.1</v>
      </c>
      <c r="H1079" s="474" t="e">
        <f>F1079*G1079</f>
        <v>#VALUE!</v>
      </c>
      <c r="I1079" s="465"/>
      <c r="J1079" s="465"/>
      <c r="K1079" s="465"/>
      <c r="L1079" s="465"/>
      <c r="M1079" s="465"/>
      <c r="N1079" s="465"/>
      <c r="O1079" s="465"/>
      <c r="P1079" s="465"/>
      <c r="Q1079" s="465"/>
      <c r="R1079" s="465"/>
      <c r="S1079" s="465"/>
      <c r="T1079" s="465"/>
      <c r="U1079" s="465"/>
      <c r="V1079" s="465"/>
      <c r="W1079" s="465"/>
      <c r="X1079" s="465"/>
      <c r="Y1079" s="465"/>
      <c r="Z1079" s="465"/>
      <c r="AA1079" s="465"/>
      <c r="AB1079" s="465"/>
    </row>
  </sheetData>
  <mergeCells count="137">
    <mergeCell ref="D238:D247"/>
    <mergeCell ref="E94:E95"/>
    <mergeCell ref="E96:E97"/>
    <mergeCell ref="E98:E99"/>
    <mergeCell ref="C162:C171"/>
    <mergeCell ref="D162:D171"/>
    <mergeCell ref="A153:H153"/>
    <mergeCell ref="A92:A99"/>
    <mergeCell ref="A162:A171"/>
    <mergeCell ref="C238:C247"/>
    <mergeCell ref="A1038:H1038"/>
    <mergeCell ref="C602:C603"/>
    <mergeCell ref="A936:H936"/>
    <mergeCell ref="A675:H675"/>
    <mergeCell ref="A738:H738"/>
    <mergeCell ref="A769:H769"/>
    <mergeCell ref="A803:H803"/>
    <mergeCell ref="A606:A607"/>
    <mergeCell ref="B606:B607"/>
    <mergeCell ref="A707:H707"/>
    <mergeCell ref="A868:H868"/>
    <mergeCell ref="D606:D607"/>
    <mergeCell ref="G604:G605"/>
    <mergeCell ref="A1005:H1005"/>
    <mergeCell ref="E531:E532"/>
    <mergeCell ref="B528:B529"/>
    <mergeCell ref="C528:C529"/>
    <mergeCell ref="A598:H598"/>
    <mergeCell ref="A538:A543"/>
    <mergeCell ref="D538:D543"/>
    <mergeCell ref="A602:A603"/>
    <mergeCell ref="C606:C607"/>
    <mergeCell ref="A836:H836"/>
    <mergeCell ref="C604:C605"/>
    <mergeCell ref="E538:E539"/>
    <mergeCell ref="E540:E541"/>
    <mergeCell ref="A971:H971"/>
    <mergeCell ref="A604:A605"/>
    <mergeCell ref="B602:B603"/>
    <mergeCell ref="B604:B605"/>
    <mergeCell ref="E606:E607"/>
    <mergeCell ref="A902:H902"/>
    <mergeCell ref="F604:F605"/>
    <mergeCell ref="A3:H3"/>
    <mergeCell ref="A8:A9"/>
    <mergeCell ref="C8:C9"/>
    <mergeCell ref="A11:A12"/>
    <mergeCell ref="D528:D529"/>
    <mergeCell ref="D531:D532"/>
    <mergeCell ref="A531:A532"/>
    <mergeCell ref="A85:A86"/>
    <mergeCell ref="B85:B86"/>
    <mergeCell ref="D85:D86"/>
    <mergeCell ref="B393:B397"/>
    <mergeCell ref="C393:C397"/>
    <mergeCell ref="C85:C86"/>
    <mergeCell ref="B162:B171"/>
    <mergeCell ref="A1:H1"/>
    <mergeCell ref="B8:B9"/>
    <mergeCell ref="E8:E9"/>
    <mergeCell ref="B11:B12"/>
    <mergeCell ref="D8:D9"/>
    <mergeCell ref="E11:E12"/>
    <mergeCell ref="E320:E321"/>
    <mergeCell ref="D314:D323"/>
    <mergeCell ref="E314:E315"/>
    <mergeCell ref="E322:E323"/>
    <mergeCell ref="B538:B543"/>
    <mergeCell ref="C538:C543"/>
    <mergeCell ref="E542:E543"/>
    <mergeCell ref="B314:B323"/>
    <mergeCell ref="C314:C323"/>
    <mergeCell ref="C440:C444"/>
    <mergeCell ref="A1070:H1070"/>
    <mergeCell ref="A476:H476"/>
    <mergeCell ref="A429:H429"/>
    <mergeCell ref="A382:H382"/>
    <mergeCell ref="A523:H523"/>
    <mergeCell ref="D440:D444"/>
    <mergeCell ref="D393:D397"/>
    <mergeCell ref="B487:B491"/>
    <mergeCell ref="C487:C491"/>
    <mergeCell ref="A393:A397"/>
    <mergeCell ref="A238:A247"/>
    <mergeCell ref="B238:B247"/>
    <mergeCell ref="E22:E23"/>
    <mergeCell ref="B18:B23"/>
    <mergeCell ref="E18:E19"/>
    <mergeCell ref="E20:E21"/>
    <mergeCell ref="E85:E86"/>
    <mergeCell ref="B92:B99"/>
    <mergeCell ref="C92:C99"/>
    <mergeCell ref="D92:D99"/>
    <mergeCell ref="A78:H78"/>
    <mergeCell ref="C11:C12"/>
    <mergeCell ref="D11:D12"/>
    <mergeCell ref="A18:A23"/>
    <mergeCell ref="C18:C23"/>
    <mergeCell ref="D18:D23"/>
    <mergeCell ref="C531:C532"/>
    <mergeCell ref="A528:A529"/>
    <mergeCell ref="A487:A491"/>
    <mergeCell ref="E166:E167"/>
    <mergeCell ref="E168:E169"/>
    <mergeCell ref="E244:E245"/>
    <mergeCell ref="E238:E239"/>
    <mergeCell ref="A314:A323"/>
    <mergeCell ref="A229:H229"/>
    <mergeCell ref="E318:E319"/>
    <mergeCell ref="B82:B83"/>
    <mergeCell ref="A82:A83"/>
    <mergeCell ref="C82:C83"/>
    <mergeCell ref="D82:D83"/>
    <mergeCell ref="E164:E165"/>
    <mergeCell ref="E82:E83"/>
    <mergeCell ref="E92:E93"/>
    <mergeCell ref="E162:E163"/>
    <mergeCell ref="E170:E171"/>
    <mergeCell ref="A613:A620"/>
    <mergeCell ref="B613:B620"/>
    <mergeCell ref="C613:C620"/>
    <mergeCell ref="E613:E614"/>
    <mergeCell ref="E615:E616"/>
    <mergeCell ref="E617:E618"/>
    <mergeCell ref="E619:E620"/>
    <mergeCell ref="E240:E241"/>
    <mergeCell ref="E242:E243"/>
    <mergeCell ref="E528:E529"/>
    <mergeCell ref="E246:E247"/>
    <mergeCell ref="A305:H305"/>
    <mergeCell ref="D487:D491"/>
    <mergeCell ref="H604:H605"/>
    <mergeCell ref="E604:E605"/>
    <mergeCell ref="E316:E317"/>
    <mergeCell ref="A440:A444"/>
    <mergeCell ref="B440:B444"/>
    <mergeCell ref="B531:B532"/>
  </mergeCells>
  <phoneticPr fontId="5" type="noConversion"/>
  <printOptions horizontalCentered="1"/>
  <pageMargins left="0.62992125984252001" right="0.62992125984252001" top="0.70866141732283505" bottom="0.70866141732283505" header="0.31496062992126" footer="0.39370078740157499"/>
  <pageSetup paperSize="9" scale="90" firstPageNumber="109" orientation="landscape"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S394"/>
  <sheetViews>
    <sheetView topLeftCell="A22" zoomScale="87" zoomScaleNormal="87" workbookViewId="0">
      <selection activeCell="P16" sqref="P16"/>
    </sheetView>
  </sheetViews>
  <sheetFormatPr defaultRowHeight="16.5"/>
  <cols>
    <col min="1" max="1" width="6.109375" style="572" customWidth="1"/>
    <col min="2" max="2" width="19.5546875" style="572" customWidth="1"/>
    <col min="3" max="3" width="7.33203125" style="572" customWidth="1"/>
    <col min="4" max="4" width="6.88671875" style="454" customWidth="1"/>
    <col min="5" max="5" width="9.88671875" style="454" customWidth="1"/>
    <col min="6" max="6" width="8.33203125" style="454" customWidth="1"/>
    <col min="7" max="7" width="8.5546875" style="454" customWidth="1"/>
    <col min="8" max="8" width="10.5546875" style="454" customWidth="1"/>
    <col min="9" max="9" width="7.33203125" style="454" customWidth="1"/>
    <col min="10" max="10" width="10" style="454" customWidth="1"/>
    <col min="11" max="11" width="7.109375" style="454" customWidth="1"/>
    <col min="12" max="12" width="9.6640625" style="454" customWidth="1"/>
    <col min="13" max="13" width="11.6640625" style="454" customWidth="1"/>
    <col min="14" max="14" width="8.88671875" style="454"/>
    <col min="15" max="15" width="8.21875" style="454" customWidth="1"/>
    <col min="16" max="16" width="9.44140625" style="454" bestFit="1" customWidth="1"/>
    <col min="17" max="17" width="8.77734375" style="454" customWidth="1"/>
    <col min="18" max="18" width="8.88671875" style="454"/>
    <col min="19" max="16384" width="8.88671875" style="572"/>
  </cols>
  <sheetData>
    <row r="1" spans="1:13" ht="24.75" customHeight="1">
      <c r="A1" s="1270" t="s">
        <v>577</v>
      </c>
      <c r="B1" s="1270"/>
      <c r="C1" s="1270"/>
      <c r="D1" s="1270"/>
      <c r="E1" s="1270"/>
      <c r="F1" s="1270"/>
      <c r="G1" s="1270"/>
      <c r="H1" s="1270"/>
      <c r="I1" s="1270"/>
      <c r="J1" s="1270"/>
      <c r="K1" s="1270"/>
      <c r="L1" s="1270"/>
      <c r="M1" s="1270"/>
    </row>
    <row r="2" spans="1:13" ht="6.75" customHeight="1">
      <c r="A2" s="573"/>
      <c r="B2" s="573"/>
      <c r="C2" s="573"/>
      <c r="D2" s="573"/>
      <c r="E2" s="573"/>
      <c r="F2" s="573"/>
      <c r="G2" s="573"/>
      <c r="H2" s="573"/>
      <c r="I2" s="573"/>
      <c r="J2" s="573"/>
      <c r="K2" s="573"/>
      <c r="L2" s="573"/>
    </row>
    <row r="3" spans="1:13" ht="29.25" customHeight="1">
      <c r="A3" s="1271" t="s">
        <v>18</v>
      </c>
      <c r="B3" s="1272"/>
      <c r="C3" s="1272"/>
      <c r="D3" s="1272"/>
      <c r="E3" s="1272"/>
      <c r="F3" s="1272"/>
      <c r="G3" s="1272"/>
      <c r="H3" s="1272"/>
      <c r="I3" s="1272"/>
      <c r="J3" s="1272"/>
      <c r="K3" s="1272"/>
      <c r="L3" s="1272"/>
      <c r="M3" s="1272"/>
    </row>
    <row r="4" spans="1:13" ht="4.5" customHeight="1">
      <c r="A4" s="574"/>
      <c r="B4" s="574"/>
      <c r="C4" s="575"/>
      <c r="D4" s="575"/>
      <c r="E4" s="612"/>
      <c r="F4" s="576"/>
      <c r="G4" s="574"/>
      <c r="H4" s="574"/>
      <c r="I4" s="574"/>
      <c r="J4" s="574"/>
      <c r="K4" s="577"/>
      <c r="L4" s="577"/>
    </row>
    <row r="5" spans="1:13" ht="15.75" customHeight="1">
      <c r="A5" s="1245" t="s">
        <v>882</v>
      </c>
      <c r="B5" s="1245" t="s">
        <v>283</v>
      </c>
      <c r="C5" s="1245" t="s">
        <v>284</v>
      </c>
      <c r="D5" s="1248" t="s">
        <v>285</v>
      </c>
      <c r="E5" s="1245" t="s">
        <v>286</v>
      </c>
      <c r="F5" s="1245" t="s">
        <v>287</v>
      </c>
      <c r="G5" s="1254" t="s">
        <v>288</v>
      </c>
      <c r="H5" s="1255"/>
      <c r="I5" s="1255"/>
      <c r="J5" s="1255"/>
      <c r="K5" s="1255"/>
      <c r="L5" s="1256"/>
      <c r="M5" s="1245" t="s">
        <v>408</v>
      </c>
    </row>
    <row r="6" spans="1:13" ht="37.5" customHeight="1">
      <c r="A6" s="1246"/>
      <c r="B6" s="1246"/>
      <c r="C6" s="1246"/>
      <c r="D6" s="1249"/>
      <c r="E6" s="1246"/>
      <c r="F6" s="1246"/>
      <c r="G6" s="1251" t="s">
        <v>345</v>
      </c>
      <c r="H6" s="1252"/>
      <c r="I6" s="1251" t="s">
        <v>312</v>
      </c>
      <c r="J6" s="1252"/>
      <c r="K6" s="1251" t="s">
        <v>291</v>
      </c>
      <c r="L6" s="1252"/>
      <c r="M6" s="1246"/>
    </row>
    <row r="7" spans="1:13" ht="15" customHeight="1">
      <c r="A7" s="1247"/>
      <c r="B7" s="1247"/>
      <c r="C7" s="1247"/>
      <c r="D7" s="1250"/>
      <c r="E7" s="1247"/>
      <c r="F7" s="1247"/>
      <c r="G7" s="468" t="s">
        <v>897</v>
      </c>
      <c r="H7" s="468" t="s">
        <v>292</v>
      </c>
      <c r="I7" s="468" t="s">
        <v>897</v>
      </c>
      <c r="J7" s="468" t="s">
        <v>292</v>
      </c>
      <c r="K7" s="468" t="s">
        <v>897</v>
      </c>
      <c r="L7" s="468" t="s">
        <v>292</v>
      </c>
      <c r="M7" s="1247"/>
    </row>
    <row r="8" spans="1:13" ht="17.45" customHeight="1">
      <c r="A8" s="623">
        <v>1</v>
      </c>
      <c r="B8" s="624" t="s">
        <v>384</v>
      </c>
      <c r="C8" s="623" t="s">
        <v>385</v>
      </c>
      <c r="D8" s="623">
        <v>36</v>
      </c>
      <c r="E8" s="625">
        <f>'Bang gia'!E6</f>
        <v>230000</v>
      </c>
      <c r="F8" s="580">
        <f>E8/(D8*26)</f>
        <v>245.72649572649573</v>
      </c>
      <c r="G8" s="626">
        <v>0.59</v>
      </c>
      <c r="H8" s="625">
        <f>F8*G8</f>
        <v>144.97863247863248</v>
      </c>
      <c r="I8" s="626">
        <v>0.56499999999999995</v>
      </c>
      <c r="J8" s="627">
        <f t="shared" ref="J8:J23" si="0">F8*I8</f>
        <v>138.83547008547006</v>
      </c>
      <c r="K8" s="626">
        <v>0.14499999999999999</v>
      </c>
      <c r="L8" s="628">
        <f t="shared" ref="L8:L20" si="1">F8*K8</f>
        <v>35.630341880341881</v>
      </c>
      <c r="M8" s="627">
        <f t="shared" ref="M8:M23" si="2">H8+J8+L8</f>
        <v>319.4444444444444</v>
      </c>
    </row>
    <row r="9" spans="1:13" ht="17.45" customHeight="1">
      <c r="A9" s="578">
        <v>2</v>
      </c>
      <c r="B9" s="630" t="s">
        <v>386</v>
      </c>
      <c r="C9" s="578" t="s">
        <v>385</v>
      </c>
      <c r="D9" s="578">
        <v>96</v>
      </c>
      <c r="E9" s="580">
        <f>'Bang gia'!E7</f>
        <v>360000</v>
      </c>
      <c r="F9" s="580">
        <f>E9/(D9*26)</f>
        <v>144.23076923076923</v>
      </c>
      <c r="G9" s="584">
        <v>1.06</v>
      </c>
      <c r="H9" s="580">
        <f>F9*G9</f>
        <v>152.88461538461539</v>
      </c>
      <c r="I9" s="582">
        <v>0.61099999999999999</v>
      </c>
      <c r="J9" s="583">
        <f t="shared" si="0"/>
        <v>88.125</v>
      </c>
      <c r="K9" s="626">
        <v>0.14499999999999999</v>
      </c>
      <c r="L9" s="585">
        <f t="shared" si="1"/>
        <v>20.913461538461537</v>
      </c>
      <c r="M9" s="586">
        <f t="shared" si="2"/>
        <v>261.92307692307691</v>
      </c>
    </row>
    <row r="10" spans="1:13" ht="17.45" customHeight="1">
      <c r="A10" s="578">
        <v>3</v>
      </c>
      <c r="B10" s="579" t="s">
        <v>387</v>
      </c>
      <c r="C10" s="578" t="s">
        <v>385</v>
      </c>
      <c r="D10" s="578">
        <v>96</v>
      </c>
      <c r="E10" s="580">
        <f>'Bang gia'!E8</f>
        <v>754000</v>
      </c>
      <c r="F10" s="580">
        <f>E10/(D10*26)</f>
        <v>302.08333333333331</v>
      </c>
      <c r="G10" s="584">
        <v>1.06</v>
      </c>
      <c r="H10" s="580">
        <f t="shared" ref="H10:H23" si="3">F10*G10</f>
        <v>320.20833333333331</v>
      </c>
      <c r="I10" s="582">
        <v>0.61099999999999999</v>
      </c>
      <c r="J10" s="583">
        <f t="shared" si="0"/>
        <v>184.57291666666666</v>
      </c>
      <c r="K10" s="626">
        <v>0.14499999999999999</v>
      </c>
      <c r="L10" s="585">
        <f t="shared" si="1"/>
        <v>43.802083333333329</v>
      </c>
      <c r="M10" s="586">
        <f t="shared" si="2"/>
        <v>548.58333333333337</v>
      </c>
    </row>
    <row r="11" spans="1:13" ht="17.45" customHeight="1">
      <c r="A11" s="578">
        <v>4</v>
      </c>
      <c r="B11" s="579" t="s">
        <v>388</v>
      </c>
      <c r="C11" s="578" t="s">
        <v>385</v>
      </c>
      <c r="D11" s="578">
        <v>96</v>
      </c>
      <c r="E11" s="580">
        <f>'Bang gia'!E9</f>
        <v>2331000</v>
      </c>
      <c r="F11" s="580">
        <f t="shared" ref="F11:F22" si="4">E11/(D11*26)</f>
        <v>933.89423076923072</v>
      </c>
      <c r="G11" s="584">
        <v>0.59</v>
      </c>
      <c r="H11" s="580">
        <f t="shared" si="3"/>
        <v>550.99759615384608</v>
      </c>
      <c r="I11" s="582">
        <v>0.56499999999999995</v>
      </c>
      <c r="J11" s="583">
        <f t="shared" si="0"/>
        <v>527.65024038461536</v>
      </c>
      <c r="K11" s="626">
        <v>0.14499999999999999</v>
      </c>
      <c r="L11" s="585">
        <f t="shared" si="1"/>
        <v>135.41466346153845</v>
      </c>
      <c r="M11" s="586">
        <f t="shared" si="2"/>
        <v>1214.0625</v>
      </c>
    </row>
    <row r="12" spans="1:13" ht="17.45" customHeight="1">
      <c r="A12" s="578">
        <v>5</v>
      </c>
      <c r="B12" s="579" t="s">
        <v>389</v>
      </c>
      <c r="C12" s="578" t="s">
        <v>385</v>
      </c>
      <c r="D12" s="578">
        <v>24</v>
      </c>
      <c r="E12" s="580">
        <f>'Bang gia'!E10</f>
        <v>15000</v>
      </c>
      <c r="F12" s="580">
        <f t="shared" si="4"/>
        <v>24.03846153846154</v>
      </c>
      <c r="G12" s="584">
        <v>3.1E-2</v>
      </c>
      <c r="H12" s="580">
        <f t="shared" si="3"/>
        <v>0.74519230769230771</v>
      </c>
      <c r="I12" s="582">
        <v>4.2999999999999997E-2</v>
      </c>
      <c r="J12" s="583">
        <f t="shared" si="0"/>
        <v>1.033653846153846</v>
      </c>
      <c r="K12" s="584">
        <v>2E-3</v>
      </c>
      <c r="L12" s="585">
        <f t="shared" si="1"/>
        <v>4.807692307692308E-2</v>
      </c>
      <c r="M12" s="586">
        <f t="shared" si="2"/>
        <v>1.8269230769230769</v>
      </c>
    </row>
    <row r="13" spans="1:13" ht="17.45" customHeight="1">
      <c r="A13" s="578">
        <v>6</v>
      </c>
      <c r="B13" s="579" t="s">
        <v>390</v>
      </c>
      <c r="C13" s="578" t="s">
        <v>385</v>
      </c>
      <c r="D13" s="578">
        <v>36</v>
      </c>
      <c r="E13" s="580">
        <f>'Bang gia'!E11</f>
        <v>270000</v>
      </c>
      <c r="F13" s="580">
        <f t="shared" si="4"/>
        <v>288.46153846153845</v>
      </c>
      <c r="G13" s="584">
        <v>6.0000000000000001E-3</v>
      </c>
      <c r="H13" s="580">
        <f t="shared" si="3"/>
        <v>1.7307692307692308</v>
      </c>
      <c r="I13" s="582">
        <v>8.9999999999999993E-3</v>
      </c>
      <c r="J13" s="583">
        <f t="shared" si="0"/>
        <v>2.5961538461538458</v>
      </c>
      <c r="K13" s="584">
        <v>1E-3</v>
      </c>
      <c r="L13" s="585">
        <f t="shared" si="1"/>
        <v>0.28846153846153844</v>
      </c>
      <c r="M13" s="586">
        <f t="shared" si="2"/>
        <v>4.615384615384615</v>
      </c>
    </row>
    <row r="14" spans="1:13" ht="17.45" customHeight="1">
      <c r="A14" s="578">
        <v>7</v>
      </c>
      <c r="B14" s="579" t="s">
        <v>391</v>
      </c>
      <c r="C14" s="578" t="s">
        <v>385</v>
      </c>
      <c r="D14" s="578">
        <v>12</v>
      </c>
      <c r="E14" s="580">
        <f>'Bang gia'!E12</f>
        <v>48000</v>
      </c>
      <c r="F14" s="580">
        <f t="shared" si="4"/>
        <v>153.84615384615384</v>
      </c>
      <c r="G14" s="584">
        <v>2E-3</v>
      </c>
      <c r="H14" s="580">
        <f t="shared" si="3"/>
        <v>0.30769230769230771</v>
      </c>
      <c r="I14" s="582">
        <v>2E-3</v>
      </c>
      <c r="J14" s="583">
        <f t="shared" si="0"/>
        <v>0.30769230769230771</v>
      </c>
      <c r="K14" s="584">
        <v>1E-3</v>
      </c>
      <c r="L14" s="585">
        <f t="shared" si="1"/>
        <v>0.15384615384615385</v>
      </c>
      <c r="M14" s="586">
        <f t="shared" si="2"/>
        <v>0.76923076923076927</v>
      </c>
    </row>
    <row r="15" spans="1:13" ht="17.45" customHeight="1">
      <c r="A15" s="578">
        <v>8</v>
      </c>
      <c r="B15" s="579" t="s">
        <v>392</v>
      </c>
      <c r="C15" s="578" t="s">
        <v>385</v>
      </c>
      <c r="D15" s="578">
        <v>12</v>
      </c>
      <c r="E15" s="580">
        <f>'Bang gia'!E13</f>
        <v>25000</v>
      </c>
      <c r="F15" s="580">
        <f t="shared" si="4"/>
        <v>80.128205128205124</v>
      </c>
      <c r="G15" s="584">
        <v>6.2E-2</v>
      </c>
      <c r="H15" s="580">
        <f t="shared" si="3"/>
        <v>4.9679487179487181</v>
      </c>
      <c r="I15" s="582">
        <v>8.5000000000000006E-2</v>
      </c>
      <c r="J15" s="583">
        <f t="shared" si="0"/>
        <v>6.8108974358974361</v>
      </c>
      <c r="K15" s="584">
        <v>4.0000000000000001E-3</v>
      </c>
      <c r="L15" s="585">
        <f t="shared" si="1"/>
        <v>0.32051282051282048</v>
      </c>
      <c r="M15" s="586">
        <f t="shared" si="2"/>
        <v>12.099358974358974</v>
      </c>
    </row>
    <row r="16" spans="1:13" ht="17.45" customHeight="1">
      <c r="A16" s="578">
        <v>9</v>
      </c>
      <c r="B16" s="579" t="s">
        <v>393</v>
      </c>
      <c r="C16" s="578" t="s">
        <v>385</v>
      </c>
      <c r="D16" s="578">
        <v>12</v>
      </c>
      <c r="E16" s="580">
        <f>'Bang gia'!E14</f>
        <v>35000</v>
      </c>
      <c r="F16" s="580">
        <f t="shared" si="4"/>
        <v>112.17948717948718</v>
      </c>
      <c r="G16" s="584">
        <v>0.02</v>
      </c>
      <c r="H16" s="580">
        <f t="shared" si="3"/>
        <v>2.2435897435897436</v>
      </c>
      <c r="I16" s="582">
        <v>2.9000000000000001E-2</v>
      </c>
      <c r="J16" s="583">
        <f t="shared" si="0"/>
        <v>3.2532051282051286</v>
      </c>
      <c r="K16" s="584">
        <v>2E-3</v>
      </c>
      <c r="L16" s="585">
        <f t="shared" si="1"/>
        <v>0.22435897435897437</v>
      </c>
      <c r="M16" s="586">
        <f t="shared" si="2"/>
        <v>5.7211538461538467</v>
      </c>
    </row>
    <row r="17" spans="1:18" ht="17.45" customHeight="1">
      <c r="A17" s="578">
        <v>10</v>
      </c>
      <c r="B17" s="579" t="s">
        <v>394</v>
      </c>
      <c r="C17" s="578" t="s">
        <v>385</v>
      </c>
      <c r="D17" s="578">
        <v>9</v>
      </c>
      <c r="E17" s="580">
        <f>'Bang gia'!E15</f>
        <v>15000</v>
      </c>
      <c r="F17" s="580">
        <f t="shared" si="4"/>
        <v>64.102564102564102</v>
      </c>
      <c r="G17" s="584">
        <v>1.0999999999999999E-2</v>
      </c>
      <c r="H17" s="580">
        <f t="shared" si="3"/>
        <v>0.70512820512820507</v>
      </c>
      <c r="I17" s="582">
        <v>1.4E-2</v>
      </c>
      <c r="J17" s="583">
        <f t="shared" si="0"/>
        <v>0.89743589743589747</v>
      </c>
      <c r="K17" s="584">
        <v>1E-3</v>
      </c>
      <c r="L17" s="585">
        <f t="shared" si="1"/>
        <v>6.4102564102564097E-2</v>
      </c>
      <c r="M17" s="586">
        <f t="shared" si="2"/>
        <v>1.6666666666666667</v>
      </c>
    </row>
    <row r="18" spans="1:18" ht="17.45" customHeight="1">
      <c r="A18" s="578">
        <v>11</v>
      </c>
      <c r="B18" s="579" t="s">
        <v>293</v>
      </c>
      <c r="C18" s="578" t="s">
        <v>385</v>
      </c>
      <c r="D18" s="578">
        <v>12</v>
      </c>
      <c r="E18" s="580">
        <f>'Bang gia'!E16</f>
        <v>100000</v>
      </c>
      <c r="F18" s="580">
        <f t="shared" si="4"/>
        <v>320.5128205128205</v>
      </c>
      <c r="G18" s="584">
        <v>1.06</v>
      </c>
      <c r="H18" s="580">
        <f t="shared" si="3"/>
        <v>339.74358974358972</v>
      </c>
      <c r="I18" s="582">
        <v>0.61099999999999999</v>
      </c>
      <c r="J18" s="583">
        <f t="shared" si="0"/>
        <v>195.83333333333331</v>
      </c>
      <c r="K18" s="584">
        <v>0.14499999999999999</v>
      </c>
      <c r="L18" s="585">
        <f t="shared" si="1"/>
        <v>46.474358974358971</v>
      </c>
      <c r="M18" s="586">
        <f t="shared" si="2"/>
        <v>582.0512820512821</v>
      </c>
    </row>
    <row r="19" spans="1:18" ht="17.45" customHeight="1">
      <c r="A19" s="578">
        <v>12</v>
      </c>
      <c r="B19" s="579" t="s">
        <v>396</v>
      </c>
      <c r="C19" s="578" t="s">
        <v>529</v>
      </c>
      <c r="D19" s="578">
        <v>6</v>
      </c>
      <c r="E19" s="580">
        <f>'Bang gia'!E17</f>
        <v>18000</v>
      </c>
      <c r="F19" s="580">
        <f t="shared" si="4"/>
        <v>115.38461538461539</v>
      </c>
      <c r="G19" s="584">
        <v>1.06</v>
      </c>
      <c r="H19" s="580">
        <f t="shared" si="3"/>
        <v>122.30769230769232</v>
      </c>
      <c r="I19" s="582">
        <v>0.61099999999999999</v>
      </c>
      <c r="J19" s="583">
        <f t="shared" si="0"/>
        <v>70.5</v>
      </c>
      <c r="K19" s="584">
        <v>0.14499999999999999</v>
      </c>
      <c r="L19" s="585">
        <f t="shared" si="1"/>
        <v>16.73076923076923</v>
      </c>
      <c r="M19" s="586">
        <f t="shared" si="2"/>
        <v>209.53846153846155</v>
      </c>
    </row>
    <row r="20" spans="1:18" ht="17.45" customHeight="1">
      <c r="A20" s="578">
        <v>13</v>
      </c>
      <c r="B20" s="735" t="s">
        <v>530</v>
      </c>
      <c r="C20" s="578" t="s">
        <v>385</v>
      </c>
      <c r="D20" s="578">
        <v>12</v>
      </c>
      <c r="E20" s="688">
        <f>'Bang gia'!E18</f>
        <v>25000</v>
      </c>
      <c r="F20" s="580">
        <f t="shared" si="4"/>
        <v>80.128205128205124</v>
      </c>
      <c r="G20" s="683">
        <v>0.02</v>
      </c>
      <c r="H20" s="580">
        <f t="shared" si="3"/>
        <v>1.6025641025641024</v>
      </c>
      <c r="I20" s="684">
        <v>2.7E-2</v>
      </c>
      <c r="J20" s="583">
        <f t="shared" si="0"/>
        <v>2.1634615384615383</v>
      </c>
      <c r="K20" s="683">
        <v>0</v>
      </c>
      <c r="L20" s="585">
        <f t="shared" si="1"/>
        <v>0</v>
      </c>
      <c r="M20" s="586">
        <f t="shared" si="2"/>
        <v>3.7660256410256405</v>
      </c>
    </row>
    <row r="21" spans="1:18" ht="17.45" customHeight="1">
      <c r="A21" s="578">
        <v>14</v>
      </c>
      <c r="B21" s="735" t="s">
        <v>531</v>
      </c>
      <c r="C21" s="578" t="s">
        <v>385</v>
      </c>
      <c r="D21" s="578">
        <v>36</v>
      </c>
      <c r="E21" s="688">
        <f>'Bang gia'!E19</f>
        <v>870000</v>
      </c>
      <c r="F21" s="580">
        <f t="shared" si="4"/>
        <v>929.48717948717945</v>
      </c>
      <c r="G21" s="683">
        <v>0.41299999999999998</v>
      </c>
      <c r="H21" s="580">
        <f t="shared" si="3"/>
        <v>383.87820512820508</v>
      </c>
      <c r="I21" s="684">
        <v>0.39600000000000002</v>
      </c>
      <c r="J21" s="583">
        <f t="shared" si="0"/>
        <v>368.07692307692309</v>
      </c>
      <c r="K21" s="683">
        <v>0.10199999999999999</v>
      </c>
      <c r="L21" s="585">
        <f>F21*K21</f>
        <v>94.807692307692292</v>
      </c>
      <c r="M21" s="586">
        <f t="shared" si="2"/>
        <v>846.76282051282044</v>
      </c>
    </row>
    <row r="22" spans="1:18" ht="17.45" customHeight="1">
      <c r="A22" s="578">
        <v>15</v>
      </c>
      <c r="B22" s="735" t="s">
        <v>532</v>
      </c>
      <c r="C22" s="686" t="s">
        <v>533</v>
      </c>
      <c r="D22" s="686">
        <v>30</v>
      </c>
      <c r="E22" s="688">
        <f>'Bang gia'!E20</f>
        <v>65000</v>
      </c>
      <c r="F22" s="580">
        <f t="shared" si="4"/>
        <v>83.333333333333329</v>
      </c>
      <c r="G22" s="683">
        <v>1.06</v>
      </c>
      <c r="H22" s="580">
        <f t="shared" si="3"/>
        <v>88.333333333333329</v>
      </c>
      <c r="I22" s="684">
        <v>0.61099999999999999</v>
      </c>
      <c r="J22" s="583">
        <f t="shared" si="0"/>
        <v>50.916666666666664</v>
      </c>
      <c r="K22" s="683">
        <v>0.14499999999999999</v>
      </c>
      <c r="L22" s="585">
        <f>F22*K22</f>
        <v>12.083333333333332</v>
      </c>
      <c r="M22" s="586">
        <f t="shared" si="2"/>
        <v>151.33333333333334</v>
      </c>
    </row>
    <row r="23" spans="1:18" ht="17.45" customHeight="1">
      <c r="A23" s="686">
        <v>16</v>
      </c>
      <c r="B23" s="735" t="s">
        <v>534</v>
      </c>
      <c r="C23" s="686" t="s">
        <v>898</v>
      </c>
      <c r="D23" s="686"/>
      <c r="E23" s="688">
        <f>'Bang gia'!E21</f>
        <v>1554</v>
      </c>
      <c r="F23" s="688">
        <f>E23</f>
        <v>1554</v>
      </c>
      <c r="G23" s="683">
        <v>0.66900000000000004</v>
      </c>
      <c r="H23" s="688">
        <f t="shared" si="3"/>
        <v>1039.626</v>
      </c>
      <c r="I23" s="684">
        <v>0.51200000000000001</v>
      </c>
      <c r="J23" s="689">
        <f t="shared" si="0"/>
        <v>795.64800000000002</v>
      </c>
      <c r="K23" s="683">
        <v>0.128</v>
      </c>
      <c r="L23" s="690">
        <f>F23*K23</f>
        <v>198.91200000000001</v>
      </c>
      <c r="M23" s="691">
        <f t="shared" si="2"/>
        <v>2034.1859999999999</v>
      </c>
    </row>
    <row r="24" spans="1:18" s="737" customFormat="1" ht="17.45" customHeight="1">
      <c r="A24" s="697"/>
      <c r="B24" s="697" t="s">
        <v>294</v>
      </c>
      <c r="C24" s="697"/>
      <c r="D24" s="697"/>
      <c r="E24" s="622"/>
      <c r="F24" s="622"/>
      <c r="G24" s="736"/>
      <c r="H24" s="622">
        <f>SUM(H8:H23)</f>
        <v>3155.260882478633</v>
      </c>
      <c r="I24" s="622"/>
      <c r="J24" s="622">
        <f>SUM(J8:J23)</f>
        <v>2437.221050213675</v>
      </c>
      <c r="K24" s="622"/>
      <c r="L24" s="622">
        <f>SUM(L8:L23)</f>
        <v>605.86806303418803</v>
      </c>
      <c r="M24" s="622">
        <f>SUM(M8:M23)</f>
        <v>6198.3499957264949</v>
      </c>
      <c r="N24" s="669"/>
      <c r="O24" s="669"/>
      <c r="P24" s="669"/>
      <c r="Q24" s="669"/>
      <c r="R24" s="669"/>
    </row>
    <row r="25" spans="1:18" s="737" customFormat="1" ht="17.45" customHeight="1">
      <c r="A25" s="738"/>
      <c r="B25" s="738" t="s">
        <v>916</v>
      </c>
      <c r="C25" s="738"/>
      <c r="D25" s="738"/>
      <c r="E25" s="739"/>
      <c r="F25" s="739"/>
      <c r="G25" s="740"/>
      <c r="H25" s="739">
        <f>(H24-H23)*5%</f>
        <v>105.78174412393165</v>
      </c>
      <c r="I25" s="739"/>
      <c r="J25" s="739">
        <f>(J24-J23)*5%</f>
        <v>82.078652510683753</v>
      </c>
      <c r="K25" s="739"/>
      <c r="L25" s="739">
        <f>(L24-L23)*5%</f>
        <v>20.3478031517094</v>
      </c>
      <c r="M25" s="739">
        <f>(M24-M23)*5%</f>
        <v>208.20819978632477</v>
      </c>
      <c r="N25" s="669"/>
      <c r="O25" s="669"/>
      <c r="P25" s="669"/>
      <c r="Q25" s="669"/>
      <c r="R25" s="669"/>
    </row>
    <row r="26" spans="1:18" ht="17.45" customHeight="1">
      <c r="A26" s="587"/>
      <c r="B26" s="588" t="s">
        <v>295</v>
      </c>
      <c r="C26" s="587"/>
      <c r="D26" s="587"/>
      <c r="E26" s="636"/>
      <c r="F26" s="587"/>
      <c r="G26" s="587"/>
      <c r="H26" s="589">
        <f>H24+H25</f>
        <v>3261.0426266025647</v>
      </c>
      <c r="I26" s="589"/>
      <c r="J26" s="589">
        <f>J24+J25</f>
        <v>2519.2997027243587</v>
      </c>
      <c r="K26" s="589"/>
      <c r="L26" s="589">
        <f>L24+L25</f>
        <v>626.21586618589743</v>
      </c>
      <c r="M26" s="589">
        <f>M24+M25</f>
        <v>6406.55819551282</v>
      </c>
    </row>
    <row r="27" spans="1:18" ht="21" customHeight="1">
      <c r="A27" s="593"/>
      <c r="B27" s="594"/>
      <c r="C27" s="595"/>
      <c r="D27" s="596"/>
      <c r="E27" s="638"/>
      <c r="F27" s="596"/>
      <c r="G27" s="597"/>
      <c r="H27" s="597"/>
      <c r="I27" s="598"/>
      <c r="J27" s="598"/>
      <c r="K27" s="598"/>
      <c r="L27" s="598"/>
      <c r="M27" s="596"/>
    </row>
    <row r="28" spans="1:18" ht="17.45" customHeight="1">
      <c r="A28" s="741"/>
      <c r="B28" s="742" t="s">
        <v>296</v>
      </c>
      <c r="C28" s="742"/>
      <c r="D28" s="743"/>
      <c r="E28" s="744"/>
      <c r="F28" s="743"/>
      <c r="G28" s="745">
        <v>0.85</v>
      </c>
      <c r="H28" s="746">
        <f>H26*0.85</f>
        <v>2771.8862326121798</v>
      </c>
      <c r="I28" s="668">
        <v>1</v>
      </c>
      <c r="J28" s="746">
        <f>J26</f>
        <v>2519.2997027243587</v>
      </c>
      <c r="K28" s="668">
        <v>1</v>
      </c>
      <c r="L28" s="746">
        <f>L26</f>
        <v>626.21586618589743</v>
      </c>
      <c r="M28" s="746">
        <f>H28+J28+L28</f>
        <v>5917.4018015224356</v>
      </c>
      <c r="O28" s="635">
        <f>H28/8000</f>
        <v>0.34648577907652245</v>
      </c>
      <c r="P28" s="635">
        <f>J28/8000</f>
        <v>0.31491246284054486</v>
      </c>
      <c r="Q28" s="635">
        <f>L28/8000</f>
        <v>7.8276983273237177E-2</v>
      </c>
    </row>
    <row r="29" spans="1:18" ht="17.45" customHeight="1">
      <c r="A29" s="747"/>
      <c r="B29" s="748" t="s">
        <v>297</v>
      </c>
      <c r="C29" s="748"/>
      <c r="D29" s="749"/>
      <c r="E29" s="750"/>
      <c r="F29" s="749"/>
      <c r="G29" s="751">
        <v>0.9</v>
      </c>
      <c r="H29" s="752">
        <f>H26*0.9</f>
        <v>2934.9383639423081</v>
      </c>
      <c r="I29" s="753">
        <v>1</v>
      </c>
      <c r="J29" s="752">
        <f>J26</f>
        <v>2519.2997027243587</v>
      </c>
      <c r="K29" s="753">
        <v>1</v>
      </c>
      <c r="L29" s="752">
        <f>L26</f>
        <v>626.21586618589743</v>
      </c>
      <c r="M29" s="752">
        <f>H29+J29+L29</f>
        <v>6080.4539328525643</v>
      </c>
      <c r="O29" s="635">
        <f>H29/8000</f>
        <v>0.36686729549278851</v>
      </c>
      <c r="P29" s="635">
        <f>J29/8000</f>
        <v>0.31491246284054486</v>
      </c>
      <c r="Q29" s="635">
        <f>L29/8000</f>
        <v>7.8276983273237177E-2</v>
      </c>
    </row>
    <row r="30" spans="1:18" ht="17.45" customHeight="1">
      <c r="A30" s="754"/>
      <c r="B30" s="755" t="s">
        <v>298</v>
      </c>
      <c r="C30" s="755"/>
      <c r="D30" s="756"/>
      <c r="E30" s="757"/>
      <c r="F30" s="756"/>
      <c r="G30" s="758">
        <v>1</v>
      </c>
      <c r="H30" s="759">
        <f>H26</f>
        <v>3261.0426266025647</v>
      </c>
      <c r="I30" s="753">
        <v>1</v>
      </c>
      <c r="J30" s="759">
        <f>J26</f>
        <v>2519.2997027243587</v>
      </c>
      <c r="K30" s="753">
        <v>1</v>
      </c>
      <c r="L30" s="759">
        <f>L26</f>
        <v>626.21586618589743</v>
      </c>
      <c r="M30" s="759">
        <f>H30+J30+L30</f>
        <v>6406.5581955128209</v>
      </c>
      <c r="O30" s="635">
        <f>H30/8000</f>
        <v>0.40763032832532059</v>
      </c>
      <c r="P30" s="635">
        <f>J30/8000</f>
        <v>0.31491246284054486</v>
      </c>
      <c r="Q30" s="635">
        <f>L30/8000</f>
        <v>7.8276983273237177E-2</v>
      </c>
    </row>
    <row r="31" spans="1:18" ht="6" customHeight="1">
      <c r="A31" s="480"/>
      <c r="B31" s="606"/>
      <c r="C31" s="600"/>
      <c r="D31" s="494"/>
      <c r="E31" s="604"/>
      <c r="F31" s="494"/>
      <c r="G31" s="601"/>
      <c r="H31" s="601"/>
      <c r="I31" s="602"/>
      <c r="J31" s="602"/>
      <c r="K31" s="602"/>
      <c r="L31" s="602"/>
      <c r="M31" s="494"/>
      <c r="P31" s="635"/>
    </row>
    <row r="32" spans="1:18" ht="13.5" customHeight="1">
      <c r="A32" s="606"/>
      <c r="B32" s="599" t="s">
        <v>299</v>
      </c>
      <c r="C32" s="603"/>
      <c r="D32" s="494"/>
      <c r="E32" s="604"/>
      <c r="F32" s="494"/>
      <c r="G32" s="601"/>
      <c r="H32" s="601"/>
      <c r="I32" s="602"/>
      <c r="J32" s="602"/>
      <c r="K32" s="602"/>
      <c r="L32" s="602"/>
      <c r="M32" s="494"/>
    </row>
    <row r="33" spans="1:13" ht="41.45" customHeight="1">
      <c r="A33" s="480"/>
      <c r="B33" s="1266" t="s">
        <v>521</v>
      </c>
      <c r="C33" s="1266"/>
      <c r="D33" s="1266"/>
      <c r="E33" s="1266"/>
      <c r="F33" s="1266"/>
      <c r="G33" s="1266"/>
      <c r="H33" s="1266"/>
      <c r="I33" s="1266"/>
      <c r="J33" s="1266"/>
      <c r="K33" s="1266"/>
      <c r="L33" s="1266"/>
      <c r="M33" s="1266"/>
    </row>
    <row r="34" spans="1:13" ht="25.15" customHeight="1">
      <c r="A34" s="480"/>
      <c r="B34" s="1244" t="s">
        <v>522</v>
      </c>
      <c r="C34" s="1244"/>
      <c r="D34" s="1244"/>
      <c r="E34" s="1244"/>
      <c r="F34" s="1244"/>
      <c r="G34" s="1244"/>
      <c r="H34" s="1244"/>
      <c r="I34" s="1244"/>
      <c r="J34" s="1244"/>
      <c r="K34" s="1244"/>
      <c r="L34" s="1244"/>
      <c r="M34" s="1244"/>
    </row>
    <row r="35" spans="1:13" ht="25.15" customHeight="1">
      <c r="A35" s="480"/>
      <c r="B35" s="1244" t="s">
        <v>862</v>
      </c>
      <c r="C35" s="1244"/>
      <c r="D35" s="1244"/>
      <c r="E35" s="1244"/>
      <c r="F35" s="1244"/>
      <c r="G35" s="1244"/>
      <c r="H35" s="1244"/>
      <c r="I35" s="1244"/>
      <c r="J35" s="1244"/>
      <c r="K35" s="1244"/>
      <c r="L35" s="1244"/>
      <c r="M35" s="1244"/>
    </row>
    <row r="36" spans="1:13" ht="25.15" customHeight="1">
      <c r="A36" s="480"/>
      <c r="B36" s="1244" t="s">
        <v>528</v>
      </c>
      <c r="C36" s="1244"/>
      <c r="D36" s="1244"/>
      <c r="E36" s="1244"/>
      <c r="F36" s="1244"/>
      <c r="G36" s="1244"/>
      <c r="H36" s="1244"/>
      <c r="I36" s="1244"/>
      <c r="J36" s="1244"/>
      <c r="K36" s="1244"/>
      <c r="L36" s="1244"/>
      <c r="M36" s="1244"/>
    </row>
    <row r="37" spans="1:13" ht="26.45" customHeight="1">
      <c r="A37" s="480"/>
      <c r="B37" s="1244" t="s">
        <v>829</v>
      </c>
      <c r="C37" s="1244"/>
      <c r="D37" s="1244"/>
      <c r="E37" s="1244"/>
      <c r="F37" s="1244"/>
      <c r="G37" s="1244"/>
      <c r="H37" s="1244"/>
      <c r="I37" s="1244"/>
      <c r="J37" s="1244"/>
      <c r="K37" s="1244"/>
      <c r="L37" s="1244"/>
      <c r="M37" s="1244"/>
    </row>
    <row r="38" spans="1:13" ht="15.6" customHeight="1">
      <c r="A38" s="480"/>
      <c r="B38" s="1244"/>
      <c r="C38" s="1244"/>
      <c r="D38" s="1244"/>
      <c r="E38" s="1244"/>
      <c r="F38" s="1244"/>
      <c r="G38" s="1244"/>
      <c r="H38" s="1244"/>
      <c r="I38" s="1244"/>
      <c r="J38" s="1244"/>
      <c r="K38" s="1244"/>
      <c r="L38" s="1244"/>
      <c r="M38" s="1244"/>
    </row>
    <row r="39" spans="1:13" ht="28.5" customHeight="1">
      <c r="A39" s="1257" t="s">
        <v>354</v>
      </c>
      <c r="B39" s="1257"/>
      <c r="C39" s="1257"/>
      <c r="D39" s="1257"/>
      <c r="E39" s="1257"/>
      <c r="F39" s="1257"/>
      <c r="G39" s="1257"/>
      <c r="H39" s="1257"/>
      <c r="I39" s="1257"/>
      <c r="J39" s="1257"/>
      <c r="K39" s="1257"/>
      <c r="L39" s="1257"/>
      <c r="M39" s="1257"/>
    </row>
    <row r="40" spans="1:13" ht="5.25" customHeight="1">
      <c r="A40" s="760"/>
      <c r="B40" s="760"/>
      <c r="C40" s="761"/>
      <c r="D40" s="575"/>
      <c r="E40" s="612"/>
      <c r="F40" s="576"/>
      <c r="G40" s="574"/>
      <c r="H40" s="574"/>
      <c r="I40" s="574"/>
      <c r="J40" s="574"/>
      <c r="K40" s="577"/>
      <c r="L40" s="577"/>
    </row>
    <row r="41" spans="1:13" ht="21" customHeight="1">
      <c r="A41" s="1245" t="s">
        <v>882</v>
      </c>
      <c r="B41" s="1245" t="s">
        <v>283</v>
      </c>
      <c r="C41" s="1245" t="s">
        <v>284</v>
      </c>
      <c r="D41" s="1248" t="s">
        <v>285</v>
      </c>
      <c r="E41" s="1245" t="s">
        <v>286</v>
      </c>
      <c r="F41" s="1245" t="s">
        <v>287</v>
      </c>
      <c r="G41" s="1254" t="s">
        <v>288</v>
      </c>
      <c r="H41" s="1255"/>
      <c r="I41" s="1255"/>
      <c r="J41" s="1255"/>
      <c r="K41" s="1255"/>
      <c r="L41" s="1256"/>
      <c r="M41" s="1245" t="s">
        <v>864</v>
      </c>
    </row>
    <row r="42" spans="1:13" ht="31.9" customHeight="1">
      <c r="A42" s="1246"/>
      <c r="B42" s="1246"/>
      <c r="C42" s="1246"/>
      <c r="D42" s="1249"/>
      <c r="E42" s="1246"/>
      <c r="F42" s="1246"/>
      <c r="G42" s="1251" t="s">
        <v>630</v>
      </c>
      <c r="H42" s="1252"/>
      <c r="I42" s="1251" t="s">
        <v>312</v>
      </c>
      <c r="J42" s="1252"/>
      <c r="K42" s="1251" t="s">
        <v>291</v>
      </c>
      <c r="L42" s="1252"/>
      <c r="M42" s="1246"/>
    </row>
    <row r="43" spans="1:13" ht="15" customHeight="1">
      <c r="A43" s="1247"/>
      <c r="B43" s="1247"/>
      <c r="C43" s="1247"/>
      <c r="D43" s="1250"/>
      <c r="E43" s="1247"/>
      <c r="F43" s="1247"/>
      <c r="G43" s="569" t="s">
        <v>897</v>
      </c>
      <c r="H43" s="569" t="s">
        <v>57</v>
      </c>
      <c r="I43" s="569" t="s">
        <v>897</v>
      </c>
      <c r="J43" s="569" t="s">
        <v>57</v>
      </c>
      <c r="K43" s="569" t="s">
        <v>897</v>
      </c>
      <c r="L43" s="569" t="s">
        <v>57</v>
      </c>
      <c r="M43" s="1247"/>
    </row>
    <row r="44" spans="1:13" ht="16.899999999999999" customHeight="1">
      <c r="A44" s="623">
        <v>1</v>
      </c>
      <c r="B44" s="624" t="s">
        <v>384</v>
      </c>
      <c r="C44" s="623" t="s">
        <v>385</v>
      </c>
      <c r="D44" s="623">
        <v>36</v>
      </c>
      <c r="E44" s="625">
        <f>'Bang gia'!E6</f>
        <v>230000</v>
      </c>
      <c r="F44" s="580">
        <f>E44/(D44*26)</f>
        <v>245.72649572649573</v>
      </c>
      <c r="G44" s="762">
        <v>0.75900000000000001</v>
      </c>
      <c r="H44" s="583">
        <f>F44*G44</f>
        <v>186.50641025641025</v>
      </c>
      <c r="I44" s="762">
        <v>0.90800000000000003</v>
      </c>
      <c r="J44" s="627">
        <f t="shared" ref="J44:J59" si="5">F44*I44</f>
        <v>223.11965811965814</v>
      </c>
      <c r="K44" s="763">
        <v>0.16800000000000001</v>
      </c>
      <c r="L44" s="628">
        <f t="shared" ref="L44:L56" si="6">F44*K44</f>
        <v>41.282051282051285</v>
      </c>
      <c r="M44" s="627">
        <f t="shared" ref="M44:M60" si="7">H44+J44+L44</f>
        <v>450.90811965811963</v>
      </c>
    </row>
    <row r="45" spans="1:13" ht="16.899999999999999" customHeight="1">
      <c r="A45" s="578">
        <v>2</v>
      </c>
      <c r="B45" s="630" t="s">
        <v>386</v>
      </c>
      <c r="C45" s="578" t="s">
        <v>385</v>
      </c>
      <c r="D45" s="578">
        <v>96</v>
      </c>
      <c r="E45" s="580">
        <f>'Bang gia'!E7</f>
        <v>360000</v>
      </c>
      <c r="F45" s="580">
        <f>E45/(D45*26)</f>
        <v>144.23076923076923</v>
      </c>
      <c r="G45" s="764">
        <v>1.373</v>
      </c>
      <c r="H45" s="583">
        <f>F45*G45</f>
        <v>198.02884615384616</v>
      </c>
      <c r="I45" s="765">
        <v>1.143</v>
      </c>
      <c r="J45" s="766">
        <f t="shared" si="5"/>
        <v>164.85576923076923</v>
      </c>
      <c r="K45" s="767">
        <v>0.16800000000000001</v>
      </c>
      <c r="L45" s="768">
        <f t="shared" si="6"/>
        <v>24.23076923076923</v>
      </c>
      <c r="M45" s="586">
        <f t="shared" si="7"/>
        <v>387.11538461538458</v>
      </c>
    </row>
    <row r="46" spans="1:13" ht="16.899999999999999" customHeight="1">
      <c r="A46" s="578">
        <v>3</v>
      </c>
      <c r="B46" s="579" t="s">
        <v>387</v>
      </c>
      <c r="C46" s="578" t="s">
        <v>385</v>
      </c>
      <c r="D46" s="578">
        <v>96</v>
      </c>
      <c r="E46" s="580">
        <f>'Bang gia'!E8</f>
        <v>754000</v>
      </c>
      <c r="F46" s="580">
        <f>E46/(D46*26)</f>
        <v>302.08333333333331</v>
      </c>
      <c r="G46" s="764">
        <v>1.373</v>
      </c>
      <c r="H46" s="583">
        <f t="shared" ref="H46:H58" si="8">F46*G46</f>
        <v>414.76041666666663</v>
      </c>
      <c r="I46" s="765">
        <v>1.143</v>
      </c>
      <c r="J46" s="766">
        <f t="shared" si="5"/>
        <v>345.28125</v>
      </c>
      <c r="K46" s="767">
        <v>0.16800000000000001</v>
      </c>
      <c r="L46" s="768">
        <f t="shared" si="6"/>
        <v>50.75</v>
      </c>
      <c r="M46" s="586">
        <f t="shared" si="7"/>
        <v>810.79166666666663</v>
      </c>
    </row>
    <row r="47" spans="1:13" ht="16.899999999999999" customHeight="1">
      <c r="A47" s="578">
        <v>4</v>
      </c>
      <c r="B47" s="579" t="s">
        <v>388</v>
      </c>
      <c r="C47" s="578" t="s">
        <v>385</v>
      </c>
      <c r="D47" s="578">
        <v>96</v>
      </c>
      <c r="E47" s="580">
        <f>'Bang gia'!E9</f>
        <v>2331000</v>
      </c>
      <c r="F47" s="580">
        <f t="shared" ref="F47:F58" si="9">E47/(D47*26)</f>
        <v>933.89423076923072</v>
      </c>
      <c r="G47" s="764">
        <v>0.74299999999999999</v>
      </c>
      <c r="H47" s="583">
        <f t="shared" si="8"/>
        <v>693.88341346153845</v>
      </c>
      <c r="I47" s="765">
        <v>0.90800000000000003</v>
      </c>
      <c r="J47" s="583">
        <f t="shared" si="5"/>
        <v>847.97596153846155</v>
      </c>
      <c r="K47" s="769">
        <v>0.16800000000000001</v>
      </c>
      <c r="L47" s="585">
        <f t="shared" si="6"/>
        <v>156.89423076923077</v>
      </c>
      <c r="M47" s="586">
        <f t="shared" si="7"/>
        <v>1698.7536057692307</v>
      </c>
    </row>
    <row r="48" spans="1:13" ht="16.899999999999999" customHeight="1">
      <c r="A48" s="578">
        <v>5</v>
      </c>
      <c r="B48" s="579" t="s">
        <v>389</v>
      </c>
      <c r="C48" s="578" t="s">
        <v>385</v>
      </c>
      <c r="D48" s="578">
        <v>24</v>
      </c>
      <c r="E48" s="580">
        <f>'Bang gia'!E10</f>
        <v>15000</v>
      </c>
      <c r="F48" s="580">
        <f t="shared" si="9"/>
        <v>24.03846153846154</v>
      </c>
      <c r="G48" s="764">
        <v>0.111</v>
      </c>
      <c r="H48" s="583">
        <f t="shared" si="8"/>
        <v>2.6682692307692308</v>
      </c>
      <c r="I48" s="765">
        <v>4.8000000000000001E-2</v>
      </c>
      <c r="J48" s="583">
        <f t="shared" si="5"/>
        <v>1.153846153846154</v>
      </c>
      <c r="K48" s="764">
        <v>3.0000000000000001E-3</v>
      </c>
      <c r="L48" s="585">
        <f t="shared" si="6"/>
        <v>7.2115384615384623E-2</v>
      </c>
      <c r="M48" s="586">
        <f t="shared" si="7"/>
        <v>3.8942307692307696</v>
      </c>
    </row>
    <row r="49" spans="1:15" ht="16.899999999999999" customHeight="1">
      <c r="A49" s="578">
        <v>6</v>
      </c>
      <c r="B49" s="579" t="s">
        <v>390</v>
      </c>
      <c r="C49" s="578" t="s">
        <v>385</v>
      </c>
      <c r="D49" s="578">
        <v>36</v>
      </c>
      <c r="E49" s="580">
        <f>'Bang gia'!E11</f>
        <v>270000</v>
      </c>
      <c r="F49" s="580">
        <f t="shared" si="9"/>
        <v>288.46153846153845</v>
      </c>
      <c r="G49" s="764">
        <v>2.1999999999999999E-2</v>
      </c>
      <c r="H49" s="583">
        <f t="shared" si="8"/>
        <v>6.3461538461538458</v>
      </c>
      <c r="I49" s="765">
        <v>8.9999999999999993E-3</v>
      </c>
      <c r="J49" s="583">
        <f t="shared" si="5"/>
        <v>2.5961538461538458</v>
      </c>
      <c r="K49" s="764">
        <v>1E-3</v>
      </c>
      <c r="L49" s="585">
        <f t="shared" si="6"/>
        <v>0.28846153846153844</v>
      </c>
      <c r="M49" s="586">
        <f t="shared" si="7"/>
        <v>9.2307692307692299</v>
      </c>
    </row>
    <row r="50" spans="1:15" ht="16.899999999999999" customHeight="1">
      <c r="A50" s="578">
        <v>7</v>
      </c>
      <c r="B50" s="579" t="s">
        <v>391</v>
      </c>
      <c r="C50" s="578" t="s">
        <v>385</v>
      </c>
      <c r="D50" s="578">
        <v>12</v>
      </c>
      <c r="E50" s="580">
        <f>'Bang gia'!E12</f>
        <v>48000</v>
      </c>
      <c r="F50" s="580">
        <f t="shared" si="9"/>
        <v>153.84615384615384</v>
      </c>
      <c r="G50" s="764">
        <v>5.0000000000000001E-3</v>
      </c>
      <c r="H50" s="583">
        <f t="shared" si="8"/>
        <v>0.76923076923076916</v>
      </c>
      <c r="I50" s="765">
        <v>2E-3</v>
      </c>
      <c r="J50" s="583">
        <f t="shared" si="5"/>
        <v>0.30769230769230771</v>
      </c>
      <c r="K50" s="764">
        <v>1E-3</v>
      </c>
      <c r="L50" s="585">
        <f t="shared" si="6"/>
        <v>0.15384615384615385</v>
      </c>
      <c r="M50" s="586">
        <f t="shared" si="7"/>
        <v>1.2307692307692308</v>
      </c>
    </row>
    <row r="51" spans="1:15" ht="16.899999999999999" customHeight="1">
      <c r="A51" s="578">
        <v>8</v>
      </c>
      <c r="B51" s="579" t="s">
        <v>392</v>
      </c>
      <c r="C51" s="578" t="s">
        <v>385</v>
      </c>
      <c r="D51" s="578">
        <v>12</v>
      </c>
      <c r="E51" s="580">
        <f>'Bang gia'!E13</f>
        <v>25000</v>
      </c>
      <c r="F51" s="580">
        <f t="shared" si="9"/>
        <v>80.128205128205124</v>
      </c>
      <c r="G51" s="764">
        <v>2.5000000000000001E-2</v>
      </c>
      <c r="H51" s="583">
        <f t="shared" si="8"/>
        <v>2.0032051282051282</v>
      </c>
      <c r="I51" s="765">
        <v>1.0999999999999999E-2</v>
      </c>
      <c r="J51" s="583">
        <f t="shared" si="5"/>
        <v>0.88141025641025628</v>
      </c>
      <c r="K51" s="764">
        <v>5.0000000000000001E-3</v>
      </c>
      <c r="L51" s="585">
        <f t="shared" si="6"/>
        <v>0.40064102564102561</v>
      </c>
      <c r="M51" s="586">
        <f t="shared" si="7"/>
        <v>3.2852564102564101</v>
      </c>
    </row>
    <row r="52" spans="1:15" ht="16.899999999999999" customHeight="1">
      <c r="A52" s="578">
        <v>9</v>
      </c>
      <c r="B52" s="579" t="s">
        <v>393</v>
      </c>
      <c r="C52" s="578" t="s">
        <v>385</v>
      </c>
      <c r="D52" s="578">
        <v>12</v>
      </c>
      <c r="E52" s="580">
        <f>'Bang gia'!E14</f>
        <v>35000</v>
      </c>
      <c r="F52" s="580">
        <f t="shared" si="9"/>
        <v>112.17948717948718</v>
      </c>
      <c r="G52" s="764">
        <v>7.3999999999999996E-2</v>
      </c>
      <c r="H52" s="583">
        <f t="shared" si="8"/>
        <v>8.3012820512820511</v>
      </c>
      <c r="I52" s="765">
        <v>3.1E-2</v>
      </c>
      <c r="J52" s="583">
        <f t="shared" si="5"/>
        <v>3.4775641025641026</v>
      </c>
      <c r="K52" s="764">
        <v>2E-3</v>
      </c>
      <c r="L52" s="585">
        <f t="shared" si="6"/>
        <v>0.22435897435897437</v>
      </c>
      <c r="M52" s="586">
        <f t="shared" si="7"/>
        <v>12.003205128205128</v>
      </c>
    </row>
    <row r="53" spans="1:15" ht="16.899999999999999" customHeight="1">
      <c r="A53" s="578">
        <v>10</v>
      </c>
      <c r="B53" s="579" t="s">
        <v>394</v>
      </c>
      <c r="C53" s="578" t="s">
        <v>385</v>
      </c>
      <c r="D53" s="578">
        <v>9</v>
      </c>
      <c r="E53" s="580">
        <f>'Bang gia'!E15</f>
        <v>15000</v>
      </c>
      <c r="F53" s="580">
        <f t="shared" si="9"/>
        <v>64.102564102564102</v>
      </c>
      <c r="G53" s="764">
        <v>3.5000000000000003E-2</v>
      </c>
      <c r="H53" s="583">
        <f t="shared" si="8"/>
        <v>2.2435897435897436</v>
      </c>
      <c r="I53" s="765">
        <v>1.4999999999999999E-2</v>
      </c>
      <c r="J53" s="583">
        <f t="shared" si="5"/>
        <v>0.96153846153846145</v>
      </c>
      <c r="K53" s="764">
        <v>1E-3</v>
      </c>
      <c r="L53" s="585">
        <f t="shared" si="6"/>
        <v>6.4102564102564097E-2</v>
      </c>
      <c r="M53" s="586">
        <f t="shared" si="7"/>
        <v>3.2692307692307692</v>
      </c>
    </row>
    <row r="54" spans="1:15" ht="16.899999999999999" customHeight="1">
      <c r="A54" s="578">
        <v>11</v>
      </c>
      <c r="B54" s="579" t="s">
        <v>293</v>
      </c>
      <c r="C54" s="578" t="s">
        <v>385</v>
      </c>
      <c r="D54" s="578">
        <v>12</v>
      </c>
      <c r="E54" s="580">
        <f>'Bang gia'!E16</f>
        <v>100000</v>
      </c>
      <c r="F54" s="580">
        <f t="shared" si="9"/>
        <v>320.5128205128205</v>
      </c>
      <c r="G54" s="764">
        <v>1.373</v>
      </c>
      <c r="H54" s="583">
        <f t="shared" si="8"/>
        <v>440.06410256410254</v>
      </c>
      <c r="I54" s="765">
        <v>1.143</v>
      </c>
      <c r="J54" s="583">
        <f t="shared" si="5"/>
        <v>366.34615384615381</v>
      </c>
      <c r="K54" s="764">
        <v>0.16800000000000001</v>
      </c>
      <c r="L54" s="585">
        <f t="shared" si="6"/>
        <v>53.846153846153847</v>
      </c>
      <c r="M54" s="586">
        <f t="shared" si="7"/>
        <v>860.25641025641016</v>
      </c>
    </row>
    <row r="55" spans="1:15" ht="16.899999999999999" customHeight="1">
      <c r="A55" s="578">
        <v>12</v>
      </c>
      <c r="B55" s="579" t="s">
        <v>396</v>
      </c>
      <c r="C55" s="578" t="s">
        <v>529</v>
      </c>
      <c r="D55" s="578">
        <v>6</v>
      </c>
      <c r="E55" s="580">
        <f>'Bang gia'!E17</f>
        <v>18000</v>
      </c>
      <c r="F55" s="580">
        <f t="shared" si="9"/>
        <v>115.38461538461539</v>
      </c>
      <c r="G55" s="764">
        <v>1.373</v>
      </c>
      <c r="H55" s="583">
        <f t="shared" si="8"/>
        <v>158.42307692307693</v>
      </c>
      <c r="I55" s="765">
        <v>1.143</v>
      </c>
      <c r="J55" s="583">
        <f t="shared" si="5"/>
        <v>131.88461538461539</v>
      </c>
      <c r="K55" s="764">
        <v>0.16800000000000001</v>
      </c>
      <c r="L55" s="585">
        <f t="shared" si="6"/>
        <v>19.384615384615387</v>
      </c>
      <c r="M55" s="586">
        <f t="shared" si="7"/>
        <v>309.69230769230774</v>
      </c>
    </row>
    <row r="56" spans="1:15" ht="16.899999999999999" customHeight="1">
      <c r="A56" s="578">
        <v>13</v>
      </c>
      <c r="B56" s="735" t="s">
        <v>530</v>
      </c>
      <c r="C56" s="578" t="s">
        <v>385</v>
      </c>
      <c r="D56" s="578">
        <v>12</v>
      </c>
      <c r="E56" s="688">
        <f>'Bang gia'!E18</f>
        <v>25000</v>
      </c>
      <c r="F56" s="580">
        <f t="shared" si="9"/>
        <v>80.128205128205124</v>
      </c>
      <c r="G56" s="770">
        <v>7.3999999999999996E-2</v>
      </c>
      <c r="H56" s="583">
        <f t="shared" si="8"/>
        <v>5.9294871794871788</v>
      </c>
      <c r="I56" s="771">
        <v>3.2000000000000001E-2</v>
      </c>
      <c r="J56" s="583">
        <f t="shared" si="5"/>
        <v>2.5641025641025639</v>
      </c>
      <c r="K56" s="770">
        <v>2E-3</v>
      </c>
      <c r="L56" s="585">
        <f t="shared" si="6"/>
        <v>0.16025641025641024</v>
      </c>
      <c r="M56" s="586">
        <f t="shared" si="7"/>
        <v>8.6538461538461533</v>
      </c>
    </row>
    <row r="57" spans="1:15" ht="16.899999999999999" customHeight="1">
      <c r="A57" s="578">
        <v>14</v>
      </c>
      <c r="B57" s="735" t="s">
        <v>531</v>
      </c>
      <c r="C57" s="578" t="s">
        <v>385</v>
      </c>
      <c r="D57" s="578">
        <v>36</v>
      </c>
      <c r="E57" s="688">
        <f>'Bang gia'!E19</f>
        <v>870000</v>
      </c>
      <c r="F57" s="580">
        <f t="shared" si="9"/>
        <v>929.48717948717945</v>
      </c>
      <c r="G57" s="770">
        <v>0.53100000000000003</v>
      </c>
      <c r="H57" s="583">
        <f t="shared" si="8"/>
        <v>493.55769230769232</v>
      </c>
      <c r="I57" s="771">
        <v>0.45400000000000001</v>
      </c>
      <c r="J57" s="583">
        <f t="shared" si="5"/>
        <v>421.9871794871795</v>
      </c>
      <c r="K57" s="770">
        <v>8.4000000000000005E-2</v>
      </c>
      <c r="L57" s="585">
        <f>F57*K57</f>
        <v>78.07692307692308</v>
      </c>
      <c r="M57" s="586">
        <f t="shared" si="7"/>
        <v>993.62179487179492</v>
      </c>
    </row>
    <row r="58" spans="1:15" ht="16.899999999999999" customHeight="1">
      <c r="A58" s="578">
        <v>15</v>
      </c>
      <c r="B58" s="735" t="s">
        <v>532</v>
      </c>
      <c r="C58" s="686" t="s">
        <v>533</v>
      </c>
      <c r="D58" s="686">
        <v>30</v>
      </c>
      <c r="E58" s="688">
        <f>'Bang gia'!E20</f>
        <v>65000</v>
      </c>
      <c r="F58" s="580">
        <f t="shared" si="9"/>
        <v>83.333333333333329</v>
      </c>
      <c r="G58" s="770">
        <v>1.373</v>
      </c>
      <c r="H58" s="583">
        <f t="shared" si="8"/>
        <v>114.41666666666666</v>
      </c>
      <c r="I58" s="771">
        <v>1.143</v>
      </c>
      <c r="J58" s="583">
        <f t="shared" si="5"/>
        <v>95.25</v>
      </c>
      <c r="K58" s="770">
        <v>0.16800000000000001</v>
      </c>
      <c r="L58" s="585">
        <f>F58*K58</f>
        <v>14</v>
      </c>
      <c r="M58" s="586">
        <f t="shared" si="7"/>
        <v>223.66666666666666</v>
      </c>
    </row>
    <row r="59" spans="1:15" ht="16.899999999999999" customHeight="1">
      <c r="A59" s="686">
        <v>16</v>
      </c>
      <c r="B59" s="735" t="s">
        <v>534</v>
      </c>
      <c r="C59" s="686" t="s">
        <v>898</v>
      </c>
      <c r="D59" s="686"/>
      <c r="E59" s="688">
        <f>'Bang gia'!E21</f>
        <v>1554</v>
      </c>
      <c r="F59" s="688">
        <f>E59</f>
        <v>1554</v>
      </c>
      <c r="G59" s="770">
        <v>0.86399999999999999</v>
      </c>
      <c r="H59" s="583">
        <f>F59*G59</f>
        <v>1342.6559999999999</v>
      </c>
      <c r="I59" s="771">
        <v>0.72899999999999998</v>
      </c>
      <c r="J59" s="689">
        <f t="shared" si="5"/>
        <v>1132.866</v>
      </c>
      <c r="K59" s="770">
        <v>0.121</v>
      </c>
      <c r="L59" s="690">
        <f>F59*K59</f>
        <v>188.03399999999999</v>
      </c>
      <c r="M59" s="691">
        <f t="shared" si="7"/>
        <v>2663.556</v>
      </c>
    </row>
    <row r="60" spans="1:15" ht="16.899999999999999" customHeight="1">
      <c r="A60" s="614"/>
      <c r="B60" s="697" t="s">
        <v>294</v>
      </c>
      <c r="C60" s="614"/>
      <c r="D60" s="614"/>
      <c r="E60" s="616"/>
      <c r="F60" s="616"/>
      <c r="G60" s="772"/>
      <c r="H60" s="591">
        <f>SUM(H44:H59)</f>
        <v>4070.5578429487177</v>
      </c>
      <c r="I60" s="773"/>
      <c r="J60" s="700">
        <f>SUM(J44:J59)</f>
        <v>3741.5088952991455</v>
      </c>
      <c r="K60" s="736"/>
      <c r="L60" s="591">
        <f>SUM(L44:L59)</f>
        <v>627.86252564102551</v>
      </c>
      <c r="M60" s="591">
        <f t="shared" si="7"/>
        <v>8439.9292638888892</v>
      </c>
    </row>
    <row r="61" spans="1:15" ht="16.899999999999999" customHeight="1">
      <c r="A61" s="614"/>
      <c r="B61" s="697" t="s">
        <v>916</v>
      </c>
      <c r="C61" s="614"/>
      <c r="D61" s="614"/>
      <c r="E61" s="616"/>
      <c r="F61" s="616"/>
      <c r="G61" s="772"/>
      <c r="H61" s="591">
        <f>(H60-H59)*5%</f>
        <v>136.39509214743589</v>
      </c>
      <c r="I61" s="591"/>
      <c r="J61" s="591">
        <f>(J60-J59)*5%</f>
        <v>130.43214476495729</v>
      </c>
      <c r="K61" s="591"/>
      <c r="L61" s="591">
        <f>(L60-L59)*5%</f>
        <v>21.991426282051279</v>
      </c>
      <c r="M61" s="591">
        <f>(M60-M59)*5%</f>
        <v>288.81866319444447</v>
      </c>
    </row>
    <row r="62" spans="1:15" ht="16.899999999999999" customHeight="1">
      <c r="A62" s="587"/>
      <c r="B62" s="588" t="s">
        <v>295</v>
      </c>
      <c r="C62" s="587"/>
      <c r="D62" s="587"/>
      <c r="E62" s="636"/>
      <c r="F62" s="587"/>
      <c r="G62" s="587"/>
      <c r="H62" s="591">
        <f>H60+H61</f>
        <v>4206.9529350961539</v>
      </c>
      <c r="I62" s="591"/>
      <c r="J62" s="591">
        <f>J60+J61</f>
        <v>3871.9410400641027</v>
      </c>
      <c r="K62" s="591"/>
      <c r="L62" s="591">
        <f>L60+L61</f>
        <v>649.85395192307681</v>
      </c>
      <c r="M62" s="591">
        <f>M60+M61</f>
        <v>8728.7479270833337</v>
      </c>
    </row>
    <row r="63" spans="1:15" ht="3.75" customHeight="1">
      <c r="A63" s="593"/>
      <c r="B63" s="594"/>
      <c r="C63" s="595"/>
      <c r="D63" s="596"/>
      <c r="E63" s="638"/>
      <c r="F63" s="596"/>
      <c r="G63" s="597"/>
      <c r="H63" s="597"/>
      <c r="I63" s="598"/>
      <c r="J63" s="598"/>
      <c r="K63" s="598"/>
      <c r="L63" s="598"/>
      <c r="M63" s="596"/>
    </row>
    <row r="64" spans="1:15" ht="17.45" customHeight="1">
      <c r="A64" s="741"/>
      <c r="B64" s="742" t="s">
        <v>297</v>
      </c>
      <c r="C64" s="742"/>
      <c r="D64" s="743"/>
      <c r="E64" s="744"/>
      <c r="F64" s="743"/>
      <c r="G64" s="774">
        <v>0.9</v>
      </c>
      <c r="H64" s="746">
        <f>H62*0.9</f>
        <v>3786.2576415865387</v>
      </c>
      <c r="I64" s="775">
        <v>1</v>
      </c>
      <c r="J64" s="746">
        <f>J62</f>
        <v>3871.9410400641027</v>
      </c>
      <c r="K64" s="775">
        <v>1</v>
      </c>
      <c r="L64" s="746">
        <f>L62</f>
        <v>649.85395192307681</v>
      </c>
      <c r="M64" s="746">
        <f>H64+J64+L64</f>
        <v>8308.0526335737177</v>
      </c>
      <c r="O64" s="635">
        <f>H64/5000</f>
        <v>0.7572515283173078</v>
      </c>
    </row>
    <row r="65" spans="1:15" ht="17.45" customHeight="1">
      <c r="A65" s="747"/>
      <c r="B65" s="748" t="s">
        <v>298</v>
      </c>
      <c r="C65" s="748"/>
      <c r="D65" s="749"/>
      <c r="E65" s="750"/>
      <c r="F65" s="749"/>
      <c r="G65" s="775">
        <v>1</v>
      </c>
      <c r="H65" s="752">
        <f>H62</f>
        <v>4206.9529350961539</v>
      </c>
      <c r="I65" s="775">
        <v>1</v>
      </c>
      <c r="J65" s="752">
        <f>J62*1</f>
        <v>3871.9410400641027</v>
      </c>
      <c r="K65" s="775">
        <v>1</v>
      </c>
      <c r="L65" s="752">
        <f>L62</f>
        <v>649.85395192307681</v>
      </c>
      <c r="M65" s="752">
        <f>H65+J65+L65</f>
        <v>8728.7479270833337</v>
      </c>
      <c r="O65" s="635">
        <f>H65/5000</f>
        <v>0.84139058701923075</v>
      </c>
    </row>
    <row r="66" spans="1:15" ht="17.45" customHeight="1">
      <c r="A66" s="747"/>
      <c r="B66" s="748" t="s">
        <v>300</v>
      </c>
      <c r="C66" s="748"/>
      <c r="D66" s="749"/>
      <c r="E66" s="750"/>
      <c r="F66" s="749"/>
      <c r="G66" s="775">
        <v>1.1000000000000001</v>
      </c>
      <c r="H66" s="752">
        <f>H62*1.1</f>
        <v>4627.6482286057699</v>
      </c>
      <c r="I66" s="775">
        <v>1</v>
      </c>
      <c r="J66" s="752">
        <f>J62*1</f>
        <v>3871.9410400641027</v>
      </c>
      <c r="K66" s="775">
        <v>1</v>
      </c>
      <c r="L66" s="752">
        <f>L62</f>
        <v>649.85395192307681</v>
      </c>
      <c r="M66" s="752">
        <f>H66+J66+L66</f>
        <v>9149.4432205929479</v>
      </c>
      <c r="O66" s="635">
        <f>H66/5000</f>
        <v>0.92552964572115393</v>
      </c>
    </row>
    <row r="67" spans="1:15" ht="17.45" customHeight="1">
      <c r="A67" s="754"/>
      <c r="B67" s="755" t="s">
        <v>301</v>
      </c>
      <c r="C67" s="755"/>
      <c r="D67" s="756"/>
      <c r="E67" s="757"/>
      <c r="F67" s="756"/>
      <c r="G67" s="776">
        <v>1.2</v>
      </c>
      <c r="H67" s="759">
        <f>H62*1.2</f>
        <v>5048.3435221153841</v>
      </c>
      <c r="I67" s="775">
        <v>1</v>
      </c>
      <c r="J67" s="759">
        <f>J62*1</f>
        <v>3871.9410400641027</v>
      </c>
      <c r="K67" s="775">
        <v>1</v>
      </c>
      <c r="L67" s="759">
        <f>L62</f>
        <v>649.85395192307681</v>
      </c>
      <c r="M67" s="759">
        <f>H67+J67+L67</f>
        <v>9570.1385141025639</v>
      </c>
      <c r="O67" s="635">
        <f>H67/5000</f>
        <v>1.0096687044230768</v>
      </c>
    </row>
    <row r="68" spans="1:15" ht="3.75" customHeight="1">
      <c r="A68" s="480"/>
      <c r="B68" s="600"/>
      <c r="C68" s="600"/>
      <c r="D68" s="494"/>
      <c r="E68" s="604"/>
      <c r="F68" s="494"/>
      <c r="G68" s="777"/>
      <c r="H68" s="601"/>
      <c r="I68" s="602"/>
      <c r="J68" s="602"/>
      <c r="K68" s="602"/>
      <c r="L68" s="602"/>
      <c r="M68" s="494"/>
    </row>
    <row r="69" spans="1:15" ht="15.6" customHeight="1">
      <c r="A69" s="606"/>
      <c r="B69" s="599" t="s">
        <v>299</v>
      </c>
      <c r="C69" s="603"/>
      <c r="D69" s="494"/>
      <c r="E69" s="604"/>
      <c r="F69" s="494"/>
      <c r="G69" s="601"/>
      <c r="H69" s="601"/>
      <c r="I69" s="602"/>
      <c r="J69" s="602"/>
      <c r="K69" s="602"/>
      <c r="L69" s="602"/>
      <c r="M69" s="494"/>
    </row>
    <row r="70" spans="1:15" ht="40.15" customHeight="1">
      <c r="A70" s="480"/>
      <c r="B70" s="1253" t="s">
        <v>778</v>
      </c>
      <c r="C70" s="1253"/>
      <c r="D70" s="1253"/>
      <c r="E70" s="1253"/>
      <c r="F70" s="1253"/>
      <c r="G70" s="1253"/>
      <c r="H70" s="1253"/>
      <c r="I70" s="1253"/>
      <c r="J70" s="1253"/>
      <c r="K70" s="1253"/>
      <c r="L70" s="1253"/>
      <c r="M70" s="1253"/>
    </row>
    <row r="71" spans="1:15" ht="19.899999999999999" customHeight="1">
      <c r="A71" s="480"/>
      <c r="B71" s="1244" t="s">
        <v>779</v>
      </c>
      <c r="C71" s="1244"/>
      <c r="D71" s="1244"/>
      <c r="E71" s="1244"/>
      <c r="F71" s="1244"/>
      <c r="G71" s="1244"/>
      <c r="H71" s="1244"/>
      <c r="I71" s="1244"/>
      <c r="J71" s="1244"/>
      <c r="K71" s="1244"/>
      <c r="L71" s="1244"/>
      <c r="M71" s="1244"/>
    </row>
    <row r="72" spans="1:15" ht="19.899999999999999" customHeight="1">
      <c r="A72" s="480"/>
      <c r="B72" s="1244" t="s">
        <v>454</v>
      </c>
      <c r="C72" s="1244"/>
      <c r="D72" s="1244"/>
      <c r="E72" s="1244"/>
      <c r="F72" s="1244"/>
      <c r="G72" s="1244"/>
      <c r="H72" s="1244"/>
      <c r="I72" s="1244"/>
      <c r="J72" s="1244"/>
      <c r="K72" s="1244"/>
      <c r="L72" s="1244"/>
      <c r="M72" s="1244"/>
    </row>
    <row r="73" spans="1:15" ht="28.15" customHeight="1">
      <c r="A73" s="480"/>
      <c r="B73" s="1244" t="s">
        <v>455</v>
      </c>
      <c r="C73" s="1244"/>
      <c r="D73" s="1244"/>
      <c r="E73" s="1244"/>
      <c r="F73" s="1244"/>
      <c r="G73" s="1244"/>
      <c r="H73" s="1244"/>
      <c r="I73" s="1244"/>
      <c r="J73" s="1244"/>
      <c r="K73" s="1244"/>
      <c r="L73" s="1244"/>
      <c r="M73" s="1244"/>
    </row>
    <row r="74" spans="1:15" ht="34.15" customHeight="1">
      <c r="A74" s="480"/>
      <c r="B74" s="1244" t="s">
        <v>456</v>
      </c>
      <c r="C74" s="1244"/>
      <c r="D74" s="1244"/>
      <c r="E74" s="1244"/>
      <c r="F74" s="1244"/>
      <c r="G74" s="1244"/>
      <c r="H74" s="1244"/>
      <c r="I74" s="1244"/>
      <c r="J74" s="1244"/>
      <c r="K74" s="1244"/>
      <c r="L74" s="1244"/>
      <c r="M74" s="1244"/>
    </row>
    <row r="75" spans="1:15" ht="19.899999999999999" customHeight="1">
      <c r="A75" s="480"/>
      <c r="B75" s="1244"/>
      <c r="C75" s="1244"/>
      <c r="D75" s="1244"/>
      <c r="E75" s="1244"/>
      <c r="F75" s="1244"/>
      <c r="G75" s="1244"/>
      <c r="H75" s="1244"/>
      <c r="I75" s="1244"/>
      <c r="J75" s="1244"/>
      <c r="K75" s="1244"/>
      <c r="L75" s="1244"/>
      <c r="M75" s="1244"/>
    </row>
    <row r="76" spans="1:15" ht="36" customHeight="1">
      <c r="A76" s="1228" t="s">
        <v>355</v>
      </c>
      <c r="B76" s="1228"/>
      <c r="C76" s="1228"/>
      <c r="D76" s="1228"/>
      <c r="E76" s="1228"/>
      <c r="F76" s="1228"/>
      <c r="G76" s="1228"/>
      <c r="H76" s="1228"/>
      <c r="I76" s="1228"/>
      <c r="J76" s="1228"/>
      <c r="K76" s="1228"/>
      <c r="L76" s="1228"/>
      <c r="M76" s="1228"/>
    </row>
    <row r="77" spans="1:15" ht="9" customHeight="1">
      <c r="A77" s="574"/>
      <c r="B77" s="574"/>
      <c r="C77" s="575"/>
      <c r="D77" s="575"/>
      <c r="E77" s="612"/>
      <c r="F77" s="576"/>
      <c r="G77" s="574"/>
      <c r="H77" s="574"/>
      <c r="I77" s="574"/>
      <c r="J77" s="574"/>
      <c r="K77" s="577"/>
      <c r="L77" s="577"/>
    </row>
    <row r="78" spans="1:15" ht="21" customHeight="1">
      <c r="A78" s="1245" t="s">
        <v>882</v>
      </c>
      <c r="B78" s="1245" t="s">
        <v>283</v>
      </c>
      <c r="C78" s="1245" t="s">
        <v>284</v>
      </c>
      <c r="D78" s="1248" t="s">
        <v>285</v>
      </c>
      <c r="E78" s="1245" t="s">
        <v>286</v>
      </c>
      <c r="F78" s="1245" t="s">
        <v>287</v>
      </c>
      <c r="G78" s="1254" t="s">
        <v>288</v>
      </c>
      <c r="H78" s="1255"/>
      <c r="I78" s="1255"/>
      <c r="J78" s="1255"/>
      <c r="K78" s="1255"/>
      <c r="L78" s="1256"/>
      <c r="M78" s="1245" t="s">
        <v>409</v>
      </c>
    </row>
    <row r="79" spans="1:15" ht="41.25" customHeight="1">
      <c r="A79" s="1246"/>
      <c r="B79" s="1246"/>
      <c r="C79" s="1246"/>
      <c r="D79" s="1249"/>
      <c r="E79" s="1246"/>
      <c r="F79" s="1246"/>
      <c r="G79" s="1254" t="s">
        <v>345</v>
      </c>
      <c r="H79" s="1256"/>
      <c r="I79" s="1254" t="s">
        <v>312</v>
      </c>
      <c r="J79" s="1256"/>
      <c r="K79" s="1254" t="s">
        <v>313</v>
      </c>
      <c r="L79" s="1256"/>
      <c r="M79" s="1246"/>
    </row>
    <row r="80" spans="1:15" ht="18.75" customHeight="1">
      <c r="A80" s="1247"/>
      <c r="B80" s="1247"/>
      <c r="C80" s="1247"/>
      <c r="D80" s="1250"/>
      <c r="E80" s="1247"/>
      <c r="F80" s="1247"/>
      <c r="G80" s="468" t="s">
        <v>897</v>
      </c>
      <c r="H80" s="468" t="s">
        <v>986</v>
      </c>
      <c r="I80" s="468" t="s">
        <v>897</v>
      </c>
      <c r="J80" s="468" t="s">
        <v>986</v>
      </c>
      <c r="K80" s="468" t="s">
        <v>897</v>
      </c>
      <c r="L80" s="468" t="s">
        <v>986</v>
      </c>
      <c r="M80" s="1247"/>
    </row>
    <row r="81" spans="1:17" ht="24" customHeight="1">
      <c r="A81" s="623">
        <v>1</v>
      </c>
      <c r="B81" s="624" t="s">
        <v>384</v>
      </c>
      <c r="C81" s="623" t="s">
        <v>385</v>
      </c>
      <c r="D81" s="623">
        <v>36</v>
      </c>
      <c r="E81" s="625">
        <f>'Bang gia'!E6</f>
        <v>230000</v>
      </c>
      <c r="F81" s="580">
        <f>E81/(D81*26)</f>
        <v>245.72649572649573</v>
      </c>
      <c r="G81" s="626">
        <v>1.34</v>
      </c>
      <c r="H81" s="625">
        <f>F81*G81</f>
        <v>329.27350427350427</v>
      </c>
      <c r="I81" s="626">
        <v>1.4</v>
      </c>
      <c r="J81" s="627">
        <f t="shared" ref="J81:J93" si="10">F81*I81</f>
        <v>344.017094017094</v>
      </c>
      <c r="K81" s="626"/>
      <c r="L81" s="628"/>
      <c r="M81" s="627">
        <f t="shared" ref="M81:M94" si="11">H81+J81+L81</f>
        <v>673.29059829059827</v>
      </c>
    </row>
    <row r="82" spans="1:17" ht="24" customHeight="1">
      <c r="A82" s="578">
        <v>2</v>
      </c>
      <c r="B82" s="630" t="s">
        <v>386</v>
      </c>
      <c r="C82" s="578" t="s">
        <v>385</v>
      </c>
      <c r="D82" s="578">
        <v>96</v>
      </c>
      <c r="E82" s="580">
        <f>'Bang gia'!E7</f>
        <v>360000</v>
      </c>
      <c r="F82" s="580">
        <f>E82/(D82*26)</f>
        <v>144.23076923076923</v>
      </c>
      <c r="G82" s="584">
        <v>1.74</v>
      </c>
      <c r="H82" s="580">
        <f>F82*G82</f>
        <v>250.96153846153845</v>
      </c>
      <c r="I82" s="582">
        <v>1.4</v>
      </c>
      <c r="J82" s="583">
        <f t="shared" si="10"/>
        <v>201.92307692307691</v>
      </c>
      <c r="K82" s="584"/>
      <c r="L82" s="585"/>
      <c r="M82" s="586">
        <f t="shared" si="11"/>
        <v>452.88461538461536</v>
      </c>
    </row>
    <row r="83" spans="1:17" ht="24" customHeight="1">
      <c r="A83" s="578">
        <v>3</v>
      </c>
      <c r="B83" s="579" t="s">
        <v>387</v>
      </c>
      <c r="C83" s="578" t="s">
        <v>385</v>
      </c>
      <c r="D83" s="578">
        <v>96</v>
      </c>
      <c r="E83" s="580">
        <f>'Bang gia'!E8</f>
        <v>754000</v>
      </c>
      <c r="F83" s="580">
        <f>E83/(D83*26)</f>
        <v>302.08333333333331</v>
      </c>
      <c r="G83" s="584">
        <v>1.74</v>
      </c>
      <c r="H83" s="580">
        <f t="shared" ref="H83:H93" si="12">F83*G83</f>
        <v>525.625</v>
      </c>
      <c r="I83" s="582">
        <v>1.4</v>
      </c>
      <c r="J83" s="583">
        <f t="shared" si="10"/>
        <v>422.91666666666663</v>
      </c>
      <c r="K83" s="584"/>
      <c r="L83" s="585"/>
      <c r="M83" s="586">
        <f t="shared" si="11"/>
        <v>948.54166666666663</v>
      </c>
    </row>
    <row r="84" spans="1:17" ht="24" customHeight="1">
      <c r="A84" s="578">
        <v>4</v>
      </c>
      <c r="B84" s="579" t="s">
        <v>388</v>
      </c>
      <c r="C84" s="578" t="s">
        <v>385</v>
      </c>
      <c r="D84" s="578">
        <v>96</v>
      </c>
      <c r="E84" s="580">
        <f>'Bang gia'!E9</f>
        <v>2331000</v>
      </c>
      <c r="F84" s="580">
        <f t="shared" ref="F84:F92" si="13">E84/(D84*26)</f>
        <v>933.89423076923072</v>
      </c>
      <c r="G84" s="584">
        <v>1.34</v>
      </c>
      <c r="H84" s="580">
        <f t="shared" si="12"/>
        <v>1251.4182692307693</v>
      </c>
      <c r="I84" s="582">
        <v>1.4</v>
      </c>
      <c r="J84" s="583">
        <f t="shared" si="10"/>
        <v>1307.4519230769229</v>
      </c>
      <c r="K84" s="584"/>
      <c r="L84" s="585"/>
      <c r="M84" s="586">
        <f t="shared" si="11"/>
        <v>2558.8701923076924</v>
      </c>
    </row>
    <row r="85" spans="1:17" ht="24" customHeight="1">
      <c r="A85" s="578">
        <v>5</v>
      </c>
      <c r="B85" s="579" t="s">
        <v>390</v>
      </c>
      <c r="C85" s="578" t="s">
        <v>385</v>
      </c>
      <c r="D85" s="578">
        <v>36</v>
      </c>
      <c r="E85" s="580">
        <f>'Bang gia'!E11</f>
        <v>270000</v>
      </c>
      <c r="F85" s="580">
        <f t="shared" si="13"/>
        <v>288.46153846153845</v>
      </c>
      <c r="G85" s="584">
        <v>0.01</v>
      </c>
      <c r="H85" s="580">
        <f t="shared" si="12"/>
        <v>2.8846153846153846</v>
      </c>
      <c r="I85" s="582">
        <v>5.0000000000000001E-3</v>
      </c>
      <c r="J85" s="583">
        <f t="shared" si="10"/>
        <v>1.4423076923076923</v>
      </c>
      <c r="K85" s="584"/>
      <c r="L85" s="585"/>
      <c r="M85" s="586">
        <f t="shared" si="11"/>
        <v>4.3269230769230766</v>
      </c>
    </row>
    <row r="86" spans="1:17" ht="24" customHeight="1">
      <c r="A86" s="578">
        <v>6</v>
      </c>
      <c r="B86" s="579" t="s">
        <v>392</v>
      </c>
      <c r="C86" s="578" t="s">
        <v>385</v>
      </c>
      <c r="D86" s="578">
        <v>12</v>
      </c>
      <c r="E86" s="580">
        <f>'Bang gia'!E13</f>
        <v>25000</v>
      </c>
      <c r="F86" s="580">
        <f t="shared" si="13"/>
        <v>80.128205128205124</v>
      </c>
      <c r="G86" s="584">
        <v>0.01</v>
      </c>
      <c r="H86" s="580">
        <f t="shared" si="12"/>
        <v>0.80128205128205121</v>
      </c>
      <c r="I86" s="582">
        <v>0.01</v>
      </c>
      <c r="J86" s="583">
        <f t="shared" si="10"/>
        <v>0.80128205128205121</v>
      </c>
      <c r="K86" s="584"/>
      <c r="L86" s="585"/>
      <c r="M86" s="586">
        <f t="shared" si="11"/>
        <v>1.6025641025641024</v>
      </c>
    </row>
    <row r="87" spans="1:17" ht="24" customHeight="1">
      <c r="A87" s="578">
        <v>7</v>
      </c>
      <c r="B87" s="579" t="s">
        <v>394</v>
      </c>
      <c r="C87" s="578" t="s">
        <v>385</v>
      </c>
      <c r="D87" s="578">
        <v>9</v>
      </c>
      <c r="E87" s="580">
        <f>'Bang gia'!E15</f>
        <v>15000</v>
      </c>
      <c r="F87" s="580">
        <f t="shared" si="13"/>
        <v>64.102564102564102</v>
      </c>
      <c r="G87" s="584">
        <v>0.01</v>
      </c>
      <c r="H87" s="580">
        <f t="shared" si="12"/>
        <v>0.64102564102564108</v>
      </c>
      <c r="I87" s="582">
        <v>5.0000000000000001E-3</v>
      </c>
      <c r="J87" s="583">
        <f t="shared" si="10"/>
        <v>0.32051282051282054</v>
      </c>
      <c r="K87" s="584"/>
      <c r="L87" s="585"/>
      <c r="M87" s="586">
        <f t="shared" si="11"/>
        <v>0.96153846153846168</v>
      </c>
    </row>
    <row r="88" spans="1:17" ht="24" customHeight="1">
      <c r="A88" s="578">
        <v>8</v>
      </c>
      <c r="B88" s="579" t="s">
        <v>293</v>
      </c>
      <c r="C88" s="578" t="s">
        <v>385</v>
      </c>
      <c r="D88" s="578">
        <v>12</v>
      </c>
      <c r="E88" s="580">
        <f>'Bang gia'!E16</f>
        <v>100000</v>
      </c>
      <c r="F88" s="580">
        <f t="shared" si="13"/>
        <v>320.5128205128205</v>
      </c>
      <c r="G88" s="584">
        <v>1.74</v>
      </c>
      <c r="H88" s="580">
        <f t="shared" si="12"/>
        <v>557.69230769230762</v>
      </c>
      <c r="I88" s="582">
        <v>1.4</v>
      </c>
      <c r="J88" s="583">
        <f t="shared" si="10"/>
        <v>448.71794871794867</v>
      </c>
      <c r="K88" s="584"/>
      <c r="L88" s="585"/>
      <c r="M88" s="586">
        <f t="shared" si="11"/>
        <v>1006.4102564102564</v>
      </c>
    </row>
    <row r="89" spans="1:17" ht="24" customHeight="1">
      <c r="A89" s="578">
        <v>9</v>
      </c>
      <c r="B89" s="579" t="s">
        <v>396</v>
      </c>
      <c r="C89" s="578" t="s">
        <v>529</v>
      </c>
      <c r="D89" s="578">
        <v>6</v>
      </c>
      <c r="E89" s="580">
        <f>'Bang gia'!E17</f>
        <v>18000</v>
      </c>
      <c r="F89" s="580">
        <f t="shared" si="13"/>
        <v>115.38461538461539</v>
      </c>
      <c r="G89" s="584">
        <v>1.74</v>
      </c>
      <c r="H89" s="580">
        <f t="shared" si="12"/>
        <v>200.76923076923077</v>
      </c>
      <c r="I89" s="582">
        <v>1.4</v>
      </c>
      <c r="J89" s="583">
        <f t="shared" si="10"/>
        <v>161.53846153846152</v>
      </c>
      <c r="K89" s="584"/>
      <c r="L89" s="585"/>
      <c r="M89" s="586">
        <f t="shared" si="11"/>
        <v>362.30769230769226</v>
      </c>
    </row>
    <row r="90" spans="1:17" ht="24" customHeight="1">
      <c r="A90" s="578">
        <v>10</v>
      </c>
      <c r="B90" s="735" t="s">
        <v>530</v>
      </c>
      <c r="C90" s="578" t="s">
        <v>385</v>
      </c>
      <c r="D90" s="578">
        <v>12</v>
      </c>
      <c r="E90" s="688">
        <f>'Bang gia'!E18</f>
        <v>25000</v>
      </c>
      <c r="F90" s="580">
        <f t="shared" si="13"/>
        <v>80.128205128205124</v>
      </c>
      <c r="G90" s="683">
        <v>0.05</v>
      </c>
      <c r="H90" s="580">
        <f t="shared" si="12"/>
        <v>4.0064102564102564</v>
      </c>
      <c r="I90" s="684">
        <v>0.05</v>
      </c>
      <c r="J90" s="583">
        <f t="shared" si="10"/>
        <v>4.0064102564102564</v>
      </c>
      <c r="K90" s="683"/>
      <c r="L90" s="585"/>
      <c r="M90" s="586">
        <f t="shared" si="11"/>
        <v>8.0128205128205128</v>
      </c>
    </row>
    <row r="91" spans="1:17" ht="24" customHeight="1">
      <c r="A91" s="578">
        <v>11</v>
      </c>
      <c r="B91" s="735" t="s">
        <v>531</v>
      </c>
      <c r="C91" s="578" t="s">
        <v>385</v>
      </c>
      <c r="D91" s="578">
        <v>36</v>
      </c>
      <c r="E91" s="688">
        <f>'Bang gia'!E19</f>
        <v>870000</v>
      </c>
      <c r="F91" s="580">
        <f t="shared" si="13"/>
        <v>929.48717948717945</v>
      </c>
      <c r="G91" s="683">
        <v>0.87</v>
      </c>
      <c r="H91" s="580">
        <f t="shared" si="12"/>
        <v>808.65384615384608</v>
      </c>
      <c r="I91" s="684">
        <v>0.93</v>
      </c>
      <c r="J91" s="583">
        <f t="shared" si="10"/>
        <v>864.42307692307691</v>
      </c>
      <c r="K91" s="683"/>
      <c r="L91" s="585"/>
      <c r="M91" s="586">
        <f t="shared" si="11"/>
        <v>1673.0769230769229</v>
      </c>
    </row>
    <row r="92" spans="1:17" ht="24" customHeight="1">
      <c r="A92" s="578">
        <v>12</v>
      </c>
      <c r="B92" s="735" t="s">
        <v>532</v>
      </c>
      <c r="C92" s="686" t="s">
        <v>533</v>
      </c>
      <c r="D92" s="686">
        <v>30</v>
      </c>
      <c r="E92" s="688">
        <f>'Bang gia'!E20</f>
        <v>65000</v>
      </c>
      <c r="F92" s="580">
        <f t="shared" si="13"/>
        <v>83.333333333333329</v>
      </c>
      <c r="G92" s="683">
        <v>1.34</v>
      </c>
      <c r="H92" s="580">
        <f t="shared" si="12"/>
        <v>111.66666666666667</v>
      </c>
      <c r="I92" s="684">
        <v>1.4</v>
      </c>
      <c r="J92" s="583">
        <f t="shared" si="10"/>
        <v>116.66666666666666</v>
      </c>
      <c r="K92" s="683"/>
      <c r="L92" s="585"/>
      <c r="M92" s="586">
        <f t="shared" si="11"/>
        <v>228.33333333333331</v>
      </c>
    </row>
    <row r="93" spans="1:17" ht="24" customHeight="1">
      <c r="A93" s="686">
        <v>13</v>
      </c>
      <c r="B93" s="735" t="s">
        <v>534</v>
      </c>
      <c r="C93" s="686" t="s">
        <v>898</v>
      </c>
      <c r="D93" s="686"/>
      <c r="E93" s="688">
        <f>'Bang gia'!E21</f>
        <v>1554</v>
      </c>
      <c r="F93" s="688">
        <f>E93</f>
        <v>1554</v>
      </c>
      <c r="G93" s="683">
        <v>1.125</v>
      </c>
      <c r="H93" s="688">
        <f t="shared" si="12"/>
        <v>1748.25</v>
      </c>
      <c r="I93" s="684">
        <v>1.1919999999999999</v>
      </c>
      <c r="J93" s="689">
        <f t="shared" si="10"/>
        <v>1852.3679999999999</v>
      </c>
      <c r="K93" s="683"/>
      <c r="L93" s="690"/>
      <c r="M93" s="691">
        <f t="shared" si="11"/>
        <v>3600.6179999999999</v>
      </c>
    </row>
    <row r="94" spans="1:17" ht="24" customHeight="1">
      <c r="A94" s="614"/>
      <c r="B94" s="697" t="s">
        <v>294</v>
      </c>
      <c r="C94" s="614"/>
      <c r="D94" s="614"/>
      <c r="E94" s="616"/>
      <c r="F94" s="616"/>
      <c r="G94" s="617"/>
      <c r="H94" s="622">
        <f>SUM(H81:H93)</f>
        <v>5792.6436965811972</v>
      </c>
      <c r="I94" s="699"/>
      <c r="J94" s="700">
        <f>SUM(J81:J93)</f>
        <v>5726.5934273504263</v>
      </c>
      <c r="K94" s="621"/>
      <c r="L94" s="591"/>
      <c r="M94" s="591">
        <f t="shared" si="11"/>
        <v>11519.237123931624</v>
      </c>
    </row>
    <row r="95" spans="1:17" ht="24" customHeight="1">
      <c r="A95" s="614"/>
      <c r="B95" s="697" t="s">
        <v>916</v>
      </c>
      <c r="C95" s="614"/>
      <c r="D95" s="614"/>
      <c r="E95" s="616"/>
      <c r="F95" s="616"/>
      <c r="G95" s="617"/>
      <c r="H95" s="622">
        <f>(H94-H93)*5%</f>
        <v>202.21968482905987</v>
      </c>
      <c r="I95" s="622"/>
      <c r="J95" s="622">
        <f>(J94-J93)*5%</f>
        <v>193.71127136752133</v>
      </c>
      <c r="K95" s="700"/>
      <c r="L95" s="700"/>
      <c r="M95" s="622">
        <f>(M94-M93)*5%</f>
        <v>395.93095619658118</v>
      </c>
    </row>
    <row r="96" spans="1:17" ht="24" customHeight="1">
      <c r="A96" s="587"/>
      <c r="B96" s="588" t="s">
        <v>295</v>
      </c>
      <c r="C96" s="587"/>
      <c r="D96" s="587"/>
      <c r="E96" s="636"/>
      <c r="F96" s="587"/>
      <c r="G96" s="587"/>
      <c r="H96" s="589">
        <f>H94+H95</f>
        <v>5994.8633814102568</v>
      </c>
      <c r="I96" s="589"/>
      <c r="J96" s="700">
        <f>J94+J95</f>
        <v>5920.3046987179478</v>
      </c>
      <c r="K96" s="700"/>
      <c r="L96" s="700"/>
      <c r="M96" s="700">
        <f>M94+M95</f>
        <v>11915.168080128205</v>
      </c>
      <c r="O96" s="637">
        <f>H96*1.3</f>
        <v>7793.3223958333338</v>
      </c>
      <c r="P96" s="637">
        <f>I96*1.3</f>
        <v>0</v>
      </c>
      <c r="Q96" s="637">
        <f>J96*1.3</f>
        <v>7696.3961083333324</v>
      </c>
    </row>
    <row r="97" spans="1:13" ht="10.5" customHeight="1">
      <c r="A97" s="494"/>
      <c r="B97" s="778"/>
      <c r="C97" s="494"/>
      <c r="D97" s="494"/>
      <c r="E97" s="604"/>
      <c r="F97" s="494"/>
      <c r="G97" s="494"/>
      <c r="H97" s="602"/>
      <c r="I97" s="606"/>
      <c r="J97" s="779"/>
      <c r="K97" s="606"/>
      <c r="L97" s="779"/>
      <c r="M97" s="779"/>
    </row>
    <row r="98" spans="1:13" ht="17.100000000000001" customHeight="1">
      <c r="A98" s="494"/>
      <c r="B98" s="599" t="s">
        <v>299</v>
      </c>
      <c r="C98" s="494"/>
      <c r="D98" s="494"/>
      <c r="E98" s="604"/>
      <c r="F98" s="494"/>
      <c r="G98" s="494"/>
      <c r="H98" s="602"/>
      <c r="I98" s="606"/>
      <c r="J98" s="779"/>
      <c r="K98" s="606"/>
      <c r="L98" s="779"/>
      <c r="M98" s="779"/>
    </row>
    <row r="99" spans="1:13" ht="29.45" customHeight="1">
      <c r="A99" s="494"/>
      <c r="B99" s="1260" t="s">
        <v>410</v>
      </c>
      <c r="C99" s="1260"/>
      <c r="D99" s="1260"/>
      <c r="E99" s="1260"/>
      <c r="F99" s="1260"/>
      <c r="G99" s="1260"/>
      <c r="H99" s="1260"/>
      <c r="I99" s="1260"/>
      <c r="J99" s="1260"/>
      <c r="K99" s="1260"/>
      <c r="L99" s="779"/>
      <c r="M99" s="779"/>
    </row>
    <row r="100" spans="1:13" ht="38.450000000000003" customHeight="1">
      <c r="A100" s="494"/>
      <c r="B100" s="1260" t="s">
        <v>845</v>
      </c>
      <c r="C100" s="1260"/>
      <c r="D100" s="1260"/>
      <c r="E100" s="1260"/>
      <c r="F100" s="1260"/>
      <c r="G100" s="1260"/>
      <c r="H100" s="1260"/>
      <c r="I100" s="1260"/>
      <c r="J100" s="1260"/>
      <c r="K100" s="1260"/>
      <c r="L100" s="1260"/>
      <c r="M100" s="1260"/>
    </row>
    <row r="101" spans="1:13" ht="17.100000000000001" customHeight="1">
      <c r="A101" s="494"/>
      <c r="B101" s="605"/>
      <c r="C101" s="494"/>
      <c r="D101" s="494"/>
      <c r="E101" s="604"/>
      <c r="F101" s="494"/>
      <c r="G101" s="494"/>
      <c r="H101" s="602"/>
      <c r="I101" s="606"/>
      <c r="J101" s="779"/>
      <c r="K101" s="606"/>
      <c r="L101" s="779"/>
      <c r="M101" s="779"/>
    </row>
    <row r="102" spans="1:13" ht="36" customHeight="1">
      <c r="A102" s="1228" t="s">
        <v>40</v>
      </c>
      <c r="B102" s="1228"/>
      <c r="C102" s="1228"/>
      <c r="D102" s="1228"/>
      <c r="E102" s="1228"/>
      <c r="F102" s="1228"/>
      <c r="G102" s="1228"/>
      <c r="H102" s="1228"/>
      <c r="I102" s="1228"/>
      <c r="J102" s="1228"/>
      <c r="K102" s="1228"/>
      <c r="L102" s="1228"/>
      <c r="M102" s="1228"/>
    </row>
    <row r="103" spans="1:13" ht="9" customHeight="1">
      <c r="A103" s="574"/>
      <c r="B103" s="574"/>
      <c r="C103" s="575"/>
      <c r="D103" s="575"/>
      <c r="E103" s="612"/>
      <c r="F103" s="576"/>
      <c r="G103" s="574"/>
      <c r="H103" s="574"/>
      <c r="I103" s="574"/>
      <c r="J103" s="574"/>
      <c r="K103" s="577"/>
      <c r="L103" s="577"/>
    </row>
    <row r="104" spans="1:13" ht="21" customHeight="1">
      <c r="A104" s="1245" t="s">
        <v>882</v>
      </c>
      <c r="B104" s="1245" t="s">
        <v>283</v>
      </c>
      <c r="C104" s="1245" t="s">
        <v>284</v>
      </c>
      <c r="D104" s="1248" t="s">
        <v>285</v>
      </c>
      <c r="E104" s="1245" t="s">
        <v>286</v>
      </c>
      <c r="F104" s="1245" t="s">
        <v>287</v>
      </c>
      <c r="G104" s="1254" t="s">
        <v>288</v>
      </c>
      <c r="H104" s="1255"/>
      <c r="I104" s="1255"/>
      <c r="J104" s="1255"/>
      <c r="K104" s="1255"/>
      <c r="L104" s="1256"/>
      <c r="M104" s="1245" t="s">
        <v>987</v>
      </c>
    </row>
    <row r="105" spans="1:13" ht="41.25" customHeight="1">
      <c r="A105" s="1246"/>
      <c r="B105" s="1246"/>
      <c r="C105" s="1246"/>
      <c r="D105" s="1249"/>
      <c r="E105" s="1246"/>
      <c r="F105" s="1246"/>
      <c r="G105" s="1254" t="s">
        <v>345</v>
      </c>
      <c r="H105" s="1256"/>
      <c r="I105" s="1254" t="s">
        <v>312</v>
      </c>
      <c r="J105" s="1256"/>
      <c r="K105" s="1254" t="s">
        <v>313</v>
      </c>
      <c r="L105" s="1256"/>
      <c r="M105" s="1246"/>
    </row>
    <row r="106" spans="1:13" ht="18.75" customHeight="1">
      <c r="A106" s="1247"/>
      <c r="B106" s="1247"/>
      <c r="C106" s="1247"/>
      <c r="D106" s="1250"/>
      <c r="E106" s="1247"/>
      <c r="F106" s="1247"/>
      <c r="G106" s="468" t="s">
        <v>897</v>
      </c>
      <c r="H106" s="468" t="s">
        <v>986</v>
      </c>
      <c r="I106" s="468" t="s">
        <v>897</v>
      </c>
      <c r="J106" s="468" t="s">
        <v>986</v>
      </c>
      <c r="K106" s="468" t="s">
        <v>897</v>
      </c>
      <c r="L106" s="468" t="s">
        <v>986</v>
      </c>
      <c r="M106" s="1247"/>
    </row>
    <row r="107" spans="1:13" ht="23.45" customHeight="1">
      <c r="A107" s="623">
        <v>1</v>
      </c>
      <c r="B107" s="624" t="s">
        <v>384</v>
      </c>
      <c r="C107" s="623" t="s">
        <v>385</v>
      </c>
      <c r="D107" s="623">
        <v>36</v>
      </c>
      <c r="E107" s="625">
        <f t="shared" ref="E107:E119" si="14">E81</f>
        <v>230000</v>
      </c>
      <c r="F107" s="580">
        <f>E107/(D107*26)</f>
        <v>245.72649572649573</v>
      </c>
      <c r="G107" s="626">
        <v>0.86</v>
      </c>
      <c r="H107" s="625">
        <f>F107*G107</f>
        <v>211.32478632478632</v>
      </c>
      <c r="I107" s="626">
        <v>1.88</v>
      </c>
      <c r="J107" s="627">
        <f t="shared" ref="J107:J119" si="15">F107*I107</f>
        <v>461.96581196581195</v>
      </c>
      <c r="K107" s="626"/>
      <c r="L107" s="628"/>
      <c r="M107" s="627">
        <f t="shared" ref="M107:M120" si="16">H107+J107+L107</f>
        <v>673.29059829059827</v>
      </c>
    </row>
    <row r="108" spans="1:13" ht="23.45" customHeight="1">
      <c r="A108" s="578">
        <v>2</v>
      </c>
      <c r="B108" s="630" t="s">
        <v>386</v>
      </c>
      <c r="C108" s="578" t="s">
        <v>385</v>
      </c>
      <c r="D108" s="578">
        <v>96</v>
      </c>
      <c r="E108" s="580">
        <f t="shared" si="14"/>
        <v>360000</v>
      </c>
      <c r="F108" s="580">
        <f>E108/(D108*26)</f>
        <v>144.23076923076923</v>
      </c>
      <c r="G108" s="584">
        <v>0.86</v>
      </c>
      <c r="H108" s="580">
        <f>F108*G108</f>
        <v>124.03846153846153</v>
      </c>
      <c r="I108" s="582">
        <v>2.2799999999999998</v>
      </c>
      <c r="J108" s="583">
        <f t="shared" si="15"/>
        <v>328.84615384615381</v>
      </c>
      <c r="K108" s="584"/>
      <c r="L108" s="585"/>
      <c r="M108" s="586">
        <f t="shared" si="16"/>
        <v>452.88461538461536</v>
      </c>
    </row>
    <row r="109" spans="1:13" ht="23.45" customHeight="1">
      <c r="A109" s="578">
        <v>3</v>
      </c>
      <c r="B109" s="579" t="s">
        <v>387</v>
      </c>
      <c r="C109" s="578" t="s">
        <v>385</v>
      </c>
      <c r="D109" s="578">
        <v>96</v>
      </c>
      <c r="E109" s="580">
        <f t="shared" si="14"/>
        <v>754000</v>
      </c>
      <c r="F109" s="580">
        <f>E109/(D109*26)</f>
        <v>302.08333333333331</v>
      </c>
      <c r="G109" s="584">
        <v>0.86</v>
      </c>
      <c r="H109" s="580">
        <f t="shared" ref="H109:H119" si="17">F109*G109</f>
        <v>259.79166666666663</v>
      </c>
      <c r="I109" s="582">
        <v>2.2799999999999998</v>
      </c>
      <c r="J109" s="583">
        <f t="shared" si="15"/>
        <v>688.74999999999989</v>
      </c>
      <c r="K109" s="584"/>
      <c r="L109" s="585"/>
      <c r="M109" s="586">
        <f t="shared" si="16"/>
        <v>948.54166666666652</v>
      </c>
    </row>
    <row r="110" spans="1:13" ht="23.45" customHeight="1">
      <c r="A110" s="578">
        <v>4</v>
      </c>
      <c r="B110" s="579" t="s">
        <v>388</v>
      </c>
      <c r="C110" s="578" t="s">
        <v>385</v>
      </c>
      <c r="D110" s="578">
        <v>96</v>
      </c>
      <c r="E110" s="580">
        <f t="shared" si="14"/>
        <v>2331000</v>
      </c>
      <c r="F110" s="580">
        <f t="shared" ref="F110:F118" si="18">E110/(D110*26)</f>
        <v>933.89423076923072</v>
      </c>
      <c r="G110" s="584">
        <v>0.86</v>
      </c>
      <c r="H110" s="580">
        <f t="shared" si="17"/>
        <v>803.14903846153845</v>
      </c>
      <c r="I110" s="582">
        <v>1.88</v>
      </c>
      <c r="J110" s="583">
        <f t="shared" si="15"/>
        <v>1755.7211538461536</v>
      </c>
      <c r="K110" s="584"/>
      <c r="L110" s="585"/>
      <c r="M110" s="586">
        <f t="shared" si="16"/>
        <v>2558.8701923076919</v>
      </c>
    </row>
    <row r="111" spans="1:13" ht="23.45" customHeight="1">
      <c r="A111" s="578">
        <v>5</v>
      </c>
      <c r="B111" s="579" t="s">
        <v>390</v>
      </c>
      <c r="C111" s="578" t="s">
        <v>385</v>
      </c>
      <c r="D111" s="578">
        <v>36</v>
      </c>
      <c r="E111" s="580">
        <f t="shared" si="14"/>
        <v>270000</v>
      </c>
      <c r="F111" s="580">
        <f t="shared" si="18"/>
        <v>288.46153846153845</v>
      </c>
      <c r="G111" s="584">
        <v>5.0000000000000001E-3</v>
      </c>
      <c r="H111" s="580">
        <f t="shared" si="17"/>
        <v>1.4423076923076923</v>
      </c>
      <c r="I111" s="582">
        <v>0.01</v>
      </c>
      <c r="J111" s="583">
        <f t="shared" si="15"/>
        <v>2.8846153846153846</v>
      </c>
      <c r="K111" s="584"/>
      <c r="L111" s="585"/>
      <c r="M111" s="586">
        <f t="shared" si="16"/>
        <v>4.3269230769230766</v>
      </c>
    </row>
    <row r="112" spans="1:13" ht="23.45" customHeight="1">
      <c r="A112" s="578">
        <v>6</v>
      </c>
      <c r="B112" s="579" t="s">
        <v>392</v>
      </c>
      <c r="C112" s="578" t="s">
        <v>385</v>
      </c>
      <c r="D112" s="578">
        <v>12</v>
      </c>
      <c r="E112" s="580">
        <f t="shared" si="14"/>
        <v>25000</v>
      </c>
      <c r="F112" s="580">
        <f t="shared" si="18"/>
        <v>80.128205128205124</v>
      </c>
      <c r="G112" s="584">
        <v>5.0000000000000001E-3</v>
      </c>
      <c r="H112" s="580">
        <f t="shared" si="17"/>
        <v>0.40064102564102561</v>
      </c>
      <c r="I112" s="582">
        <v>1.4999999999999999E-2</v>
      </c>
      <c r="J112" s="583">
        <f t="shared" si="15"/>
        <v>1.2019230769230769</v>
      </c>
      <c r="K112" s="584"/>
      <c r="L112" s="585"/>
      <c r="M112" s="586">
        <f t="shared" si="16"/>
        <v>1.6025641025641024</v>
      </c>
    </row>
    <row r="113" spans="1:13" ht="23.45" customHeight="1">
      <c r="A113" s="578">
        <v>7</v>
      </c>
      <c r="B113" s="579" t="s">
        <v>394</v>
      </c>
      <c r="C113" s="578" t="s">
        <v>385</v>
      </c>
      <c r="D113" s="578">
        <v>9</v>
      </c>
      <c r="E113" s="580">
        <f t="shared" si="14"/>
        <v>15000</v>
      </c>
      <c r="F113" s="580">
        <f t="shared" si="18"/>
        <v>64.102564102564102</v>
      </c>
      <c r="G113" s="584"/>
      <c r="H113" s="580">
        <f t="shared" si="17"/>
        <v>0</v>
      </c>
      <c r="I113" s="582">
        <v>1.4999999999999999E-2</v>
      </c>
      <c r="J113" s="583">
        <f t="shared" si="15"/>
        <v>0.96153846153846145</v>
      </c>
      <c r="K113" s="584"/>
      <c r="L113" s="585"/>
      <c r="M113" s="586">
        <f t="shared" si="16"/>
        <v>0.96153846153846145</v>
      </c>
    </row>
    <row r="114" spans="1:13" ht="23.45" customHeight="1">
      <c r="A114" s="578">
        <v>8</v>
      </c>
      <c r="B114" s="579" t="s">
        <v>293</v>
      </c>
      <c r="C114" s="578" t="s">
        <v>385</v>
      </c>
      <c r="D114" s="578">
        <v>12</v>
      </c>
      <c r="E114" s="580">
        <f t="shared" si="14"/>
        <v>100000</v>
      </c>
      <c r="F114" s="580">
        <f t="shared" si="18"/>
        <v>320.5128205128205</v>
      </c>
      <c r="G114" s="584">
        <v>0.86</v>
      </c>
      <c r="H114" s="580">
        <f t="shared" si="17"/>
        <v>275.64102564102564</v>
      </c>
      <c r="I114" s="582">
        <v>2.2799999999999998</v>
      </c>
      <c r="J114" s="583">
        <f t="shared" si="15"/>
        <v>730.76923076923072</v>
      </c>
      <c r="K114" s="584"/>
      <c r="L114" s="585"/>
      <c r="M114" s="586">
        <f t="shared" si="16"/>
        <v>1006.4102564102564</v>
      </c>
    </row>
    <row r="115" spans="1:13" ht="23.45" customHeight="1">
      <c r="A115" s="578">
        <v>9</v>
      </c>
      <c r="B115" s="579" t="s">
        <v>396</v>
      </c>
      <c r="C115" s="578" t="s">
        <v>529</v>
      </c>
      <c r="D115" s="578">
        <v>6</v>
      </c>
      <c r="E115" s="580">
        <f t="shared" si="14"/>
        <v>18000</v>
      </c>
      <c r="F115" s="580">
        <f t="shared" si="18"/>
        <v>115.38461538461539</v>
      </c>
      <c r="G115" s="584">
        <v>0.86</v>
      </c>
      <c r="H115" s="580">
        <f t="shared" si="17"/>
        <v>99.230769230769226</v>
      </c>
      <c r="I115" s="582">
        <v>2.2799999999999998</v>
      </c>
      <c r="J115" s="583">
        <f t="shared" si="15"/>
        <v>263.07692307692304</v>
      </c>
      <c r="K115" s="584"/>
      <c r="L115" s="585"/>
      <c r="M115" s="586">
        <f t="shared" si="16"/>
        <v>362.30769230769226</v>
      </c>
    </row>
    <row r="116" spans="1:13" ht="23.45" customHeight="1">
      <c r="A116" s="578">
        <v>10</v>
      </c>
      <c r="B116" s="735" t="s">
        <v>530</v>
      </c>
      <c r="C116" s="578" t="s">
        <v>385</v>
      </c>
      <c r="D116" s="578">
        <v>12</v>
      </c>
      <c r="E116" s="580">
        <f t="shared" si="14"/>
        <v>25000</v>
      </c>
      <c r="F116" s="580">
        <f t="shared" si="18"/>
        <v>80.128205128205124</v>
      </c>
      <c r="G116" s="683"/>
      <c r="H116" s="580">
        <f t="shared" si="17"/>
        <v>0</v>
      </c>
      <c r="I116" s="684">
        <v>0.1</v>
      </c>
      <c r="J116" s="583">
        <f t="shared" si="15"/>
        <v>8.0128205128205128</v>
      </c>
      <c r="K116" s="683"/>
      <c r="L116" s="585"/>
      <c r="M116" s="586">
        <f t="shared" si="16"/>
        <v>8.0128205128205128</v>
      </c>
    </row>
    <row r="117" spans="1:13" ht="23.45" customHeight="1">
      <c r="A117" s="578">
        <v>11</v>
      </c>
      <c r="B117" s="735" t="s">
        <v>531</v>
      </c>
      <c r="C117" s="578" t="s">
        <v>385</v>
      </c>
      <c r="D117" s="578">
        <v>36</v>
      </c>
      <c r="E117" s="580">
        <f t="shared" si="14"/>
        <v>870000</v>
      </c>
      <c r="F117" s="580">
        <f t="shared" si="18"/>
        <v>929.48717948717945</v>
      </c>
      <c r="G117" s="683">
        <v>0.56999999999999995</v>
      </c>
      <c r="H117" s="580">
        <f t="shared" si="17"/>
        <v>529.80769230769226</v>
      </c>
      <c r="I117" s="684">
        <v>1.23</v>
      </c>
      <c r="J117" s="583">
        <f t="shared" si="15"/>
        <v>1143.2692307692307</v>
      </c>
      <c r="K117" s="683"/>
      <c r="L117" s="585"/>
      <c r="M117" s="586">
        <f t="shared" si="16"/>
        <v>1673.0769230769229</v>
      </c>
    </row>
    <row r="118" spans="1:13" ht="23.45" customHeight="1">
      <c r="A118" s="578">
        <v>12</v>
      </c>
      <c r="B118" s="735" t="s">
        <v>532</v>
      </c>
      <c r="C118" s="686" t="s">
        <v>533</v>
      </c>
      <c r="D118" s="686">
        <v>30</v>
      </c>
      <c r="E118" s="580">
        <f t="shared" si="14"/>
        <v>65000</v>
      </c>
      <c r="F118" s="580">
        <f t="shared" si="18"/>
        <v>83.333333333333329</v>
      </c>
      <c r="G118" s="683">
        <v>0.86</v>
      </c>
      <c r="H118" s="580">
        <f t="shared" si="17"/>
        <v>71.666666666666657</v>
      </c>
      <c r="I118" s="684">
        <v>1.88</v>
      </c>
      <c r="J118" s="583">
        <f t="shared" si="15"/>
        <v>156.66666666666666</v>
      </c>
      <c r="K118" s="683"/>
      <c r="L118" s="585"/>
      <c r="M118" s="586">
        <f t="shared" si="16"/>
        <v>228.33333333333331</v>
      </c>
    </row>
    <row r="119" spans="1:13" ht="23.45" customHeight="1">
      <c r="A119" s="686">
        <v>13</v>
      </c>
      <c r="B119" s="735" t="s">
        <v>534</v>
      </c>
      <c r="C119" s="686" t="s">
        <v>898</v>
      </c>
      <c r="D119" s="686"/>
      <c r="E119" s="580">
        <f t="shared" si="14"/>
        <v>1554</v>
      </c>
      <c r="F119" s="688">
        <f>E119</f>
        <v>1554</v>
      </c>
      <c r="G119" s="683">
        <v>0.73099999999999998</v>
      </c>
      <c r="H119" s="688">
        <f t="shared" si="17"/>
        <v>1135.9739999999999</v>
      </c>
      <c r="I119" s="684">
        <v>1.5860000000000001</v>
      </c>
      <c r="J119" s="689">
        <f t="shared" si="15"/>
        <v>2464.6440000000002</v>
      </c>
      <c r="K119" s="683"/>
      <c r="L119" s="690"/>
      <c r="M119" s="691">
        <f t="shared" si="16"/>
        <v>3600.6180000000004</v>
      </c>
    </row>
    <row r="120" spans="1:13" ht="23.45" customHeight="1">
      <c r="A120" s="614"/>
      <c r="B120" s="697" t="s">
        <v>294</v>
      </c>
      <c r="C120" s="614"/>
      <c r="D120" s="614"/>
      <c r="E120" s="616"/>
      <c r="F120" s="616"/>
      <c r="G120" s="617"/>
      <c r="H120" s="622">
        <f>SUM(H107:H119)</f>
        <v>3512.4670555555558</v>
      </c>
      <c r="I120" s="699"/>
      <c r="J120" s="700">
        <f>SUM(J107:J119)</f>
        <v>8006.7700683760677</v>
      </c>
      <c r="K120" s="621"/>
      <c r="L120" s="591"/>
      <c r="M120" s="591">
        <f t="shared" si="16"/>
        <v>11519.237123931624</v>
      </c>
    </row>
    <row r="121" spans="1:13" ht="23.45" customHeight="1">
      <c r="A121" s="614"/>
      <c r="B121" s="697" t="s">
        <v>916</v>
      </c>
      <c r="C121" s="614"/>
      <c r="D121" s="614"/>
      <c r="E121" s="616"/>
      <c r="F121" s="616"/>
      <c r="G121" s="617"/>
      <c r="H121" s="622">
        <f>(H120-H119)*5%</f>
        <v>118.82465277777779</v>
      </c>
      <c r="I121" s="622"/>
      <c r="J121" s="622">
        <f>(J120-J119)*5%</f>
        <v>277.10630341880341</v>
      </c>
      <c r="K121" s="700"/>
      <c r="L121" s="700"/>
      <c r="M121" s="622">
        <f>(M120-M119)*5%</f>
        <v>395.93095619658118</v>
      </c>
    </row>
    <row r="122" spans="1:13" ht="23.45" customHeight="1">
      <c r="A122" s="587"/>
      <c r="B122" s="588" t="s">
        <v>295</v>
      </c>
      <c r="C122" s="587"/>
      <c r="D122" s="587"/>
      <c r="E122" s="636"/>
      <c r="F122" s="587"/>
      <c r="G122" s="587"/>
      <c r="H122" s="589">
        <f>H120+H121</f>
        <v>3631.2917083333336</v>
      </c>
      <c r="I122" s="589"/>
      <c r="J122" s="700">
        <f>J120+J121</f>
        <v>8283.8763717948714</v>
      </c>
      <c r="K122" s="700"/>
      <c r="L122" s="700"/>
      <c r="M122" s="700">
        <f>M120+M121</f>
        <v>11915.168080128205</v>
      </c>
    </row>
    <row r="123" spans="1:13" ht="10.5" customHeight="1">
      <c r="A123" s="494"/>
      <c r="B123" s="778"/>
      <c r="C123" s="494"/>
      <c r="D123" s="494"/>
      <c r="E123" s="604"/>
      <c r="F123" s="494"/>
      <c r="G123" s="494"/>
      <c r="H123" s="602"/>
      <c r="I123" s="606"/>
      <c r="J123" s="779"/>
      <c r="K123" s="606"/>
      <c r="L123" s="779"/>
      <c r="M123" s="779"/>
    </row>
    <row r="124" spans="1:13" ht="17.100000000000001" customHeight="1">
      <c r="A124" s="494"/>
      <c r="B124" s="599" t="s">
        <v>299</v>
      </c>
      <c r="C124" s="494"/>
      <c r="D124" s="494"/>
      <c r="E124" s="604"/>
      <c r="F124" s="494"/>
      <c r="G124" s="494"/>
      <c r="H124" s="602"/>
      <c r="I124" s="606"/>
      <c r="J124" s="779"/>
      <c r="K124" s="606"/>
      <c r="L124" s="779"/>
      <c r="M124" s="779"/>
    </row>
    <row r="125" spans="1:13" ht="28.15" customHeight="1">
      <c r="A125" s="494"/>
      <c r="B125" s="1260" t="s">
        <v>410</v>
      </c>
      <c r="C125" s="1260"/>
      <c r="D125" s="1260"/>
      <c r="E125" s="1260"/>
      <c r="F125" s="1260"/>
      <c r="G125" s="1260"/>
      <c r="H125" s="1260"/>
      <c r="I125" s="1260"/>
      <c r="J125" s="1260"/>
      <c r="K125" s="1260"/>
      <c r="L125" s="779"/>
      <c r="M125" s="779"/>
    </row>
    <row r="126" spans="1:13" ht="28.9" customHeight="1">
      <c r="A126" s="494"/>
      <c r="B126" s="1260" t="s">
        <v>457</v>
      </c>
      <c r="C126" s="1260"/>
      <c r="D126" s="1260"/>
      <c r="E126" s="1260"/>
      <c r="F126" s="1260"/>
      <c r="G126" s="1260"/>
      <c r="H126" s="1260"/>
      <c r="I126" s="1260"/>
      <c r="J126" s="1260"/>
      <c r="K126" s="1260"/>
      <c r="L126" s="1260"/>
      <c r="M126" s="1260"/>
    </row>
    <row r="127" spans="1:13" ht="17.100000000000001" customHeight="1">
      <c r="A127" s="494"/>
      <c r="B127" s="605"/>
      <c r="C127" s="494"/>
      <c r="D127" s="494"/>
      <c r="E127" s="604"/>
      <c r="F127" s="494"/>
      <c r="G127" s="494"/>
      <c r="H127" s="602"/>
      <c r="I127" s="606"/>
      <c r="J127" s="779"/>
      <c r="K127" s="606"/>
      <c r="L127" s="779"/>
      <c r="M127" s="779"/>
    </row>
    <row r="128" spans="1:13" ht="17.100000000000001" customHeight="1">
      <c r="A128" s="494"/>
      <c r="B128" s="605"/>
      <c r="C128" s="494"/>
      <c r="D128" s="494"/>
      <c r="E128" s="604"/>
      <c r="F128" s="494"/>
      <c r="G128" s="494"/>
      <c r="H128" s="602"/>
      <c r="I128" s="606"/>
      <c r="J128" s="779"/>
      <c r="K128" s="606"/>
      <c r="L128" s="779"/>
      <c r="M128" s="779"/>
    </row>
    <row r="129" spans="1:13" ht="30.75" customHeight="1">
      <c r="A129" s="1228" t="s">
        <v>356</v>
      </c>
      <c r="B129" s="1228"/>
      <c r="C129" s="1228"/>
      <c r="D129" s="1228"/>
      <c r="E129" s="1228"/>
      <c r="F129" s="1228"/>
      <c r="G129" s="1228"/>
      <c r="H129" s="1228"/>
      <c r="I129" s="1228"/>
      <c r="J129" s="1228"/>
      <c r="K129" s="1228"/>
      <c r="L129" s="1228"/>
      <c r="M129" s="1228"/>
    </row>
    <row r="130" spans="1:13" ht="15.75" customHeight="1">
      <c r="A130" s="574"/>
      <c r="B130" s="574"/>
      <c r="C130" s="575"/>
      <c r="D130" s="575"/>
      <c r="E130" s="612"/>
      <c r="F130" s="576"/>
      <c r="G130" s="574"/>
      <c r="H130" s="574"/>
      <c r="I130" s="574"/>
      <c r="J130" s="574"/>
      <c r="K130" s="577"/>
      <c r="L130" s="577"/>
    </row>
    <row r="131" spans="1:13" ht="26.45" customHeight="1">
      <c r="A131" s="1245" t="s">
        <v>882</v>
      </c>
      <c r="B131" s="1245" t="s">
        <v>283</v>
      </c>
      <c r="C131" s="1245" t="s">
        <v>284</v>
      </c>
      <c r="D131" s="1248" t="s">
        <v>285</v>
      </c>
      <c r="E131" s="1245" t="s">
        <v>286</v>
      </c>
      <c r="F131" s="1245" t="s">
        <v>287</v>
      </c>
      <c r="G131" s="1254" t="s">
        <v>288</v>
      </c>
      <c r="H131" s="1255"/>
      <c r="I131" s="1255"/>
      <c r="J131" s="1255"/>
      <c r="K131" s="1255"/>
      <c r="L131" s="1256"/>
      <c r="M131" s="1245" t="s">
        <v>409</v>
      </c>
    </row>
    <row r="132" spans="1:13" ht="42.75" customHeight="1">
      <c r="A132" s="1246"/>
      <c r="B132" s="1246"/>
      <c r="C132" s="1246"/>
      <c r="D132" s="1249"/>
      <c r="E132" s="1246"/>
      <c r="F132" s="1246"/>
      <c r="G132" s="1254" t="s">
        <v>289</v>
      </c>
      <c r="H132" s="1256"/>
      <c r="I132" s="1254" t="s">
        <v>312</v>
      </c>
      <c r="J132" s="1256"/>
      <c r="K132" s="1254" t="s">
        <v>313</v>
      </c>
      <c r="L132" s="1256"/>
      <c r="M132" s="1246"/>
    </row>
    <row r="133" spans="1:13" ht="15" customHeight="1">
      <c r="A133" s="1247"/>
      <c r="B133" s="1247"/>
      <c r="C133" s="1247"/>
      <c r="D133" s="1250"/>
      <c r="E133" s="1247"/>
      <c r="F133" s="1247"/>
      <c r="G133" s="468" t="s">
        <v>897</v>
      </c>
      <c r="H133" s="468" t="s">
        <v>986</v>
      </c>
      <c r="I133" s="468" t="s">
        <v>897</v>
      </c>
      <c r="J133" s="468" t="s">
        <v>986</v>
      </c>
      <c r="K133" s="468" t="s">
        <v>897</v>
      </c>
      <c r="L133" s="468" t="s">
        <v>986</v>
      </c>
      <c r="M133" s="1247"/>
    </row>
    <row r="134" spans="1:13" ht="23.45" customHeight="1">
      <c r="A134" s="623">
        <v>1</v>
      </c>
      <c r="B134" s="624" t="s">
        <v>384</v>
      </c>
      <c r="C134" s="623" t="s">
        <v>385</v>
      </c>
      <c r="D134" s="623">
        <v>36</v>
      </c>
      <c r="E134" s="625">
        <f>'Bang gia'!E6</f>
        <v>230000</v>
      </c>
      <c r="F134" s="580">
        <f>E134/(D134*26)</f>
        <v>245.72649572649573</v>
      </c>
      <c r="G134" s="626">
        <v>1.7000000000000001E-2</v>
      </c>
      <c r="H134" s="780">
        <f>F134*G134</f>
        <v>4.1773504273504276</v>
      </c>
      <c r="I134" s="626"/>
      <c r="J134" s="781"/>
      <c r="K134" s="626">
        <v>2.9849999999999999</v>
      </c>
      <c r="L134" s="628">
        <f t="shared" ref="L134:L146" si="19">F134*K134</f>
        <v>733.49358974358972</v>
      </c>
      <c r="M134" s="627">
        <f t="shared" ref="M134:M147" si="20">H134+J134+L134</f>
        <v>737.67094017094018</v>
      </c>
    </row>
    <row r="135" spans="1:13" ht="23.45" customHeight="1">
      <c r="A135" s="578">
        <v>2</v>
      </c>
      <c r="B135" s="630" t="s">
        <v>386</v>
      </c>
      <c r="C135" s="578" t="s">
        <v>385</v>
      </c>
      <c r="D135" s="578">
        <v>96</v>
      </c>
      <c r="E135" s="580">
        <f>'Bang gia'!E7</f>
        <v>360000</v>
      </c>
      <c r="F135" s="580">
        <f>E135/(D135*26)</f>
        <v>144.23076923076923</v>
      </c>
      <c r="G135" s="584">
        <v>1.7000000000000001E-2</v>
      </c>
      <c r="H135" s="580">
        <f>F135*G135</f>
        <v>2.4519230769230771</v>
      </c>
      <c r="I135" s="582"/>
      <c r="J135" s="583"/>
      <c r="K135" s="584">
        <v>3.7850000000000001</v>
      </c>
      <c r="L135" s="585">
        <f t="shared" si="19"/>
        <v>545.91346153846155</v>
      </c>
      <c r="M135" s="586">
        <f t="shared" si="20"/>
        <v>548.36538461538464</v>
      </c>
    </row>
    <row r="136" spans="1:13" ht="23.45" customHeight="1">
      <c r="A136" s="578">
        <v>3</v>
      </c>
      <c r="B136" s="579" t="s">
        <v>387</v>
      </c>
      <c r="C136" s="578" t="s">
        <v>385</v>
      </c>
      <c r="D136" s="578">
        <v>96</v>
      </c>
      <c r="E136" s="580">
        <f>'Bang gia'!E8</f>
        <v>754000</v>
      </c>
      <c r="F136" s="580">
        <f>E136/(D136*26)</f>
        <v>302.08333333333331</v>
      </c>
      <c r="G136" s="584">
        <v>1.7000000000000001E-2</v>
      </c>
      <c r="H136" s="580">
        <f>F136*G136</f>
        <v>5.135416666666667</v>
      </c>
      <c r="I136" s="582"/>
      <c r="J136" s="583"/>
      <c r="K136" s="584">
        <v>3.7850000000000001</v>
      </c>
      <c r="L136" s="585">
        <f t="shared" si="19"/>
        <v>1143.3854166666667</v>
      </c>
      <c r="M136" s="586">
        <f t="shared" si="20"/>
        <v>1148.5208333333335</v>
      </c>
    </row>
    <row r="137" spans="1:13" ht="23.45" customHeight="1">
      <c r="A137" s="578">
        <v>4</v>
      </c>
      <c r="B137" s="579" t="s">
        <v>388</v>
      </c>
      <c r="C137" s="578" t="s">
        <v>385</v>
      </c>
      <c r="D137" s="578">
        <v>96</v>
      </c>
      <c r="E137" s="580">
        <f>'Bang gia'!E9</f>
        <v>2331000</v>
      </c>
      <c r="F137" s="580">
        <f t="shared" ref="F137:F145" si="21">E137/(D137*26)</f>
        <v>933.89423076923072</v>
      </c>
      <c r="G137" s="584">
        <v>1.7000000000000001E-2</v>
      </c>
      <c r="H137" s="580">
        <f>F137*G137</f>
        <v>15.876201923076923</v>
      </c>
      <c r="I137" s="582"/>
      <c r="J137" s="583"/>
      <c r="K137" s="584">
        <v>2.9849999999999999</v>
      </c>
      <c r="L137" s="585">
        <f t="shared" si="19"/>
        <v>2787.6742788461534</v>
      </c>
      <c r="M137" s="586">
        <f t="shared" si="20"/>
        <v>2803.5504807692305</v>
      </c>
    </row>
    <row r="138" spans="1:13" ht="23.45" customHeight="1">
      <c r="A138" s="578">
        <v>5</v>
      </c>
      <c r="B138" s="579" t="s">
        <v>389</v>
      </c>
      <c r="C138" s="578" t="s">
        <v>385</v>
      </c>
      <c r="D138" s="578">
        <v>24</v>
      </c>
      <c r="E138" s="580">
        <f>'Bang gia'!E10</f>
        <v>15000</v>
      </c>
      <c r="F138" s="580">
        <f t="shared" si="21"/>
        <v>24.03846153846154</v>
      </c>
      <c r="G138" s="584"/>
      <c r="H138" s="580"/>
      <c r="I138" s="582"/>
      <c r="J138" s="583"/>
      <c r="K138" s="584">
        <v>0.05</v>
      </c>
      <c r="L138" s="585">
        <f t="shared" si="19"/>
        <v>1.2019230769230771</v>
      </c>
      <c r="M138" s="586">
        <f t="shared" si="20"/>
        <v>1.2019230769230771</v>
      </c>
    </row>
    <row r="139" spans="1:13" ht="23.45" customHeight="1">
      <c r="A139" s="578">
        <v>6</v>
      </c>
      <c r="B139" s="579" t="s">
        <v>390</v>
      </c>
      <c r="C139" s="578" t="s">
        <v>385</v>
      </c>
      <c r="D139" s="578">
        <v>36</v>
      </c>
      <c r="E139" s="580">
        <f>'Bang gia'!E11</f>
        <v>270000</v>
      </c>
      <c r="F139" s="580">
        <f t="shared" si="21"/>
        <v>288.46153846153845</v>
      </c>
      <c r="G139" s="584"/>
      <c r="H139" s="580"/>
      <c r="I139" s="582"/>
      <c r="J139" s="583"/>
      <c r="K139" s="584">
        <v>0.05</v>
      </c>
      <c r="L139" s="585">
        <f t="shared" si="19"/>
        <v>14.423076923076923</v>
      </c>
      <c r="M139" s="586">
        <f t="shared" si="20"/>
        <v>14.423076923076923</v>
      </c>
    </row>
    <row r="140" spans="1:13" ht="23.45" customHeight="1">
      <c r="A140" s="578">
        <v>7</v>
      </c>
      <c r="B140" s="579" t="s">
        <v>392</v>
      </c>
      <c r="C140" s="578" t="s">
        <v>385</v>
      </c>
      <c r="D140" s="578">
        <v>12</v>
      </c>
      <c r="E140" s="580">
        <f>'Bang gia'!E13</f>
        <v>25000</v>
      </c>
      <c r="F140" s="580">
        <f t="shared" si="21"/>
        <v>80.128205128205124</v>
      </c>
      <c r="G140" s="584"/>
      <c r="H140" s="782"/>
      <c r="I140" s="582"/>
      <c r="J140" s="583"/>
      <c r="K140" s="584">
        <v>0.01</v>
      </c>
      <c r="L140" s="783">
        <f t="shared" si="19"/>
        <v>0.80128205128205121</v>
      </c>
      <c r="M140" s="586">
        <f t="shared" si="20"/>
        <v>0.80128205128205121</v>
      </c>
    </row>
    <row r="141" spans="1:13" ht="23.45" customHeight="1">
      <c r="A141" s="578">
        <v>8</v>
      </c>
      <c r="B141" s="579" t="s">
        <v>293</v>
      </c>
      <c r="C141" s="578" t="s">
        <v>385</v>
      </c>
      <c r="D141" s="578">
        <v>12</v>
      </c>
      <c r="E141" s="580">
        <f>'Bang gia'!E16</f>
        <v>100000</v>
      </c>
      <c r="F141" s="580">
        <f t="shared" si="21"/>
        <v>320.5128205128205</v>
      </c>
      <c r="G141" s="584">
        <v>1.7000000000000001E-2</v>
      </c>
      <c r="H141" s="580">
        <f>F141*G141</f>
        <v>5.4487179487179489</v>
      </c>
      <c r="I141" s="582"/>
      <c r="J141" s="583"/>
      <c r="K141" s="584">
        <v>3.7850000000000001</v>
      </c>
      <c r="L141" s="585">
        <f t="shared" si="19"/>
        <v>1213.1410256410256</v>
      </c>
      <c r="M141" s="586">
        <f t="shared" si="20"/>
        <v>1218.5897435897436</v>
      </c>
    </row>
    <row r="142" spans="1:13" ht="23.45" customHeight="1">
      <c r="A142" s="578">
        <v>9</v>
      </c>
      <c r="B142" s="579" t="s">
        <v>396</v>
      </c>
      <c r="C142" s="578" t="s">
        <v>529</v>
      </c>
      <c r="D142" s="578">
        <v>6</v>
      </c>
      <c r="E142" s="580">
        <f>'Bang gia'!E17</f>
        <v>18000</v>
      </c>
      <c r="F142" s="580">
        <f t="shared" si="21"/>
        <v>115.38461538461539</v>
      </c>
      <c r="G142" s="584">
        <v>1.7000000000000001E-2</v>
      </c>
      <c r="H142" s="580">
        <f>F142*G142</f>
        <v>1.9615384615384617</v>
      </c>
      <c r="I142" s="582"/>
      <c r="J142" s="583"/>
      <c r="K142" s="584">
        <v>3.7850000000000001</v>
      </c>
      <c r="L142" s="585">
        <f t="shared" si="19"/>
        <v>436.73076923076928</v>
      </c>
      <c r="M142" s="586">
        <f t="shared" si="20"/>
        <v>438.69230769230774</v>
      </c>
    </row>
    <row r="143" spans="1:13" ht="23.45" customHeight="1">
      <c r="A143" s="578">
        <v>10</v>
      </c>
      <c r="B143" s="735" t="s">
        <v>530</v>
      </c>
      <c r="C143" s="578" t="s">
        <v>385</v>
      </c>
      <c r="D143" s="578">
        <v>12</v>
      </c>
      <c r="E143" s="688">
        <f>'Bang gia'!E18</f>
        <v>25000</v>
      </c>
      <c r="F143" s="580">
        <f t="shared" si="21"/>
        <v>80.128205128205124</v>
      </c>
      <c r="G143" s="683"/>
      <c r="H143" s="580"/>
      <c r="I143" s="684"/>
      <c r="J143" s="583"/>
      <c r="K143" s="683">
        <v>0.1</v>
      </c>
      <c r="L143" s="585">
        <f t="shared" si="19"/>
        <v>8.0128205128205128</v>
      </c>
      <c r="M143" s="586">
        <f t="shared" si="20"/>
        <v>8.0128205128205128</v>
      </c>
    </row>
    <row r="144" spans="1:13" ht="23.45" customHeight="1">
      <c r="A144" s="578">
        <v>11</v>
      </c>
      <c r="B144" s="735" t="s">
        <v>531</v>
      </c>
      <c r="C144" s="578" t="s">
        <v>385</v>
      </c>
      <c r="D144" s="578">
        <v>36</v>
      </c>
      <c r="E144" s="688">
        <f>'Bang gia'!E19</f>
        <v>870000</v>
      </c>
      <c r="F144" s="580">
        <f t="shared" si="21"/>
        <v>929.48717948717945</v>
      </c>
      <c r="G144" s="683">
        <v>8.9999999999999993E-3</v>
      </c>
      <c r="H144" s="580">
        <f>F144*G144</f>
        <v>8.365384615384615</v>
      </c>
      <c r="I144" s="684"/>
      <c r="J144" s="583"/>
      <c r="K144" s="683">
        <v>1.492</v>
      </c>
      <c r="L144" s="585">
        <f t="shared" si="19"/>
        <v>1386.7948717948718</v>
      </c>
      <c r="M144" s="586">
        <f t="shared" si="20"/>
        <v>1395.1602564102564</v>
      </c>
    </row>
    <row r="145" spans="1:19" ht="23.45" customHeight="1">
      <c r="A145" s="578">
        <v>12</v>
      </c>
      <c r="B145" s="735" t="s">
        <v>532</v>
      </c>
      <c r="C145" s="686" t="s">
        <v>533</v>
      </c>
      <c r="D145" s="686">
        <v>30</v>
      </c>
      <c r="E145" s="688">
        <f>'Bang gia'!E20</f>
        <v>65000</v>
      </c>
      <c r="F145" s="580">
        <f t="shared" si="21"/>
        <v>83.333333333333329</v>
      </c>
      <c r="G145" s="683">
        <v>1.7000000000000001E-2</v>
      </c>
      <c r="H145" s="580">
        <f>F145*G145</f>
        <v>1.4166666666666667</v>
      </c>
      <c r="I145" s="684"/>
      <c r="J145" s="583"/>
      <c r="K145" s="683">
        <v>3.7850000000000001</v>
      </c>
      <c r="L145" s="585">
        <f t="shared" si="19"/>
        <v>315.41666666666669</v>
      </c>
      <c r="M145" s="586">
        <f t="shared" si="20"/>
        <v>316.83333333333337</v>
      </c>
    </row>
    <row r="146" spans="1:19" ht="23.45" customHeight="1">
      <c r="A146" s="686">
        <v>13</v>
      </c>
      <c r="B146" s="735" t="s">
        <v>534</v>
      </c>
      <c r="C146" s="686" t="s">
        <v>898</v>
      </c>
      <c r="D146" s="686"/>
      <c r="E146" s="688">
        <f>'Bang gia'!E21</f>
        <v>1554</v>
      </c>
      <c r="F146" s="688">
        <f>E146</f>
        <v>1554</v>
      </c>
      <c r="G146" s="683">
        <v>1.2999999999999999E-2</v>
      </c>
      <c r="H146" s="688">
        <f>F146*G146</f>
        <v>20.201999999999998</v>
      </c>
      <c r="I146" s="684"/>
      <c r="J146" s="689"/>
      <c r="K146" s="683">
        <v>2.4049999999999998</v>
      </c>
      <c r="L146" s="690">
        <f t="shared" si="19"/>
        <v>3737.37</v>
      </c>
      <c r="M146" s="691">
        <f t="shared" si="20"/>
        <v>3757.5720000000001</v>
      </c>
    </row>
    <row r="147" spans="1:19" ht="23.45" customHeight="1">
      <c r="A147" s="697"/>
      <c r="B147" s="697" t="s">
        <v>294</v>
      </c>
      <c r="C147" s="697"/>
      <c r="D147" s="697"/>
      <c r="E147" s="622"/>
      <c r="F147" s="622"/>
      <c r="G147" s="621"/>
      <c r="H147" s="622">
        <f>SUM(H134:H146)</f>
        <v>65.035199786324782</v>
      </c>
      <c r="I147" s="699"/>
      <c r="J147" s="700"/>
      <c r="K147" s="621"/>
      <c r="L147" s="591">
        <f>SUM(L134:L146)</f>
        <v>12324.359182692308</v>
      </c>
      <c r="M147" s="591">
        <f t="shared" si="20"/>
        <v>12389.394382478633</v>
      </c>
    </row>
    <row r="148" spans="1:19" ht="23.45" customHeight="1">
      <c r="A148" s="697"/>
      <c r="B148" s="697" t="s">
        <v>916</v>
      </c>
      <c r="C148" s="697"/>
      <c r="D148" s="697"/>
      <c r="E148" s="622"/>
      <c r="F148" s="622"/>
      <c r="G148" s="621"/>
      <c r="H148" s="622">
        <f>(H147-H146)*5%</f>
        <v>2.2416599893162394</v>
      </c>
      <c r="I148" s="622"/>
      <c r="J148" s="591"/>
      <c r="K148" s="591"/>
      <c r="L148" s="622">
        <f>(L147-L146)*5%</f>
        <v>429.34945913461547</v>
      </c>
      <c r="M148" s="622">
        <f>(M147-M146)*5%</f>
        <v>431.59111912393166</v>
      </c>
    </row>
    <row r="149" spans="1:19" ht="23.45" customHeight="1">
      <c r="A149" s="702"/>
      <c r="B149" s="588" t="s">
        <v>295</v>
      </c>
      <c r="C149" s="702"/>
      <c r="D149" s="702"/>
      <c r="E149" s="784"/>
      <c r="F149" s="702"/>
      <c r="G149" s="702"/>
      <c r="H149" s="589">
        <f>H147+H148</f>
        <v>67.276859775641014</v>
      </c>
      <c r="I149" s="589"/>
      <c r="J149" s="591"/>
      <c r="K149" s="591"/>
      <c r="L149" s="591">
        <f>L147+L148</f>
        <v>12753.708641826923</v>
      </c>
      <c r="M149" s="591">
        <f>M147+M148</f>
        <v>12820.985501602565</v>
      </c>
      <c r="O149" s="637">
        <f>H149*1.3</f>
        <v>87.459917708333322</v>
      </c>
      <c r="P149" s="637">
        <f>I149*1.3</f>
        <v>0</v>
      </c>
      <c r="Q149" s="637">
        <f>J149*1.3</f>
        <v>0</v>
      </c>
      <c r="R149" s="637">
        <f>K149*1.3</f>
        <v>0</v>
      </c>
      <c r="S149" s="637">
        <f>L149*1.3</f>
        <v>16579.821234375002</v>
      </c>
    </row>
    <row r="150" spans="1:19">
      <c r="A150" s="494"/>
      <c r="B150" s="778"/>
      <c r="C150" s="494"/>
      <c r="D150" s="494"/>
      <c r="E150" s="604"/>
      <c r="F150" s="494"/>
      <c r="G150" s="494"/>
      <c r="H150" s="602"/>
      <c r="I150" s="606"/>
      <c r="J150" s="779"/>
      <c r="K150" s="606"/>
      <c r="L150" s="779"/>
      <c r="M150" s="779"/>
    </row>
    <row r="151" spans="1:19">
      <c r="A151" s="494"/>
      <c r="B151" s="599" t="s">
        <v>299</v>
      </c>
      <c r="C151" s="494"/>
      <c r="D151" s="494"/>
      <c r="E151" s="604"/>
      <c r="F151" s="494"/>
      <c r="G151" s="494"/>
      <c r="H151" s="602"/>
      <c r="I151" s="606"/>
      <c r="J151" s="779"/>
      <c r="K151" s="606"/>
      <c r="L151" s="779"/>
      <c r="M151" s="779"/>
    </row>
    <row r="152" spans="1:19" ht="20.45" customHeight="1">
      <c r="A152" s="494"/>
      <c r="B152" s="1268" t="s">
        <v>632</v>
      </c>
      <c r="C152" s="1268"/>
      <c r="D152" s="1268"/>
      <c r="E152" s="1268"/>
      <c r="F152" s="1268"/>
      <c r="G152" s="1268"/>
      <c r="H152" s="1268"/>
      <c r="I152" s="1268"/>
      <c r="J152" s="1268"/>
      <c r="K152" s="1268"/>
      <c r="L152" s="1268"/>
      <c r="M152" s="1268"/>
    </row>
    <row r="153" spans="1:19" ht="28.15" customHeight="1">
      <c r="A153" s="494"/>
      <c r="B153" s="1260" t="s">
        <v>858</v>
      </c>
      <c r="C153" s="1268"/>
      <c r="D153" s="1268"/>
      <c r="E153" s="1268"/>
      <c r="F153" s="1268"/>
      <c r="G153" s="1268"/>
      <c r="H153" s="1268"/>
      <c r="I153" s="1268"/>
      <c r="J153" s="1268"/>
      <c r="K153" s="1268"/>
      <c r="L153" s="1268"/>
      <c r="M153" s="1268"/>
    </row>
    <row r="154" spans="1:19">
      <c r="A154" s="494"/>
      <c r="B154" s="605"/>
      <c r="C154" s="494"/>
      <c r="D154" s="494"/>
      <c r="E154" s="604"/>
      <c r="F154" s="494"/>
      <c r="G154" s="494"/>
      <c r="H154" s="602"/>
      <c r="I154" s="606"/>
      <c r="J154" s="779"/>
      <c r="K154" s="606"/>
      <c r="L154" s="779"/>
      <c r="M154" s="779"/>
    </row>
    <row r="155" spans="1:19" ht="35.25" customHeight="1">
      <c r="A155" s="1264" t="s">
        <v>357</v>
      </c>
      <c r="B155" s="1264"/>
      <c r="C155" s="1264"/>
      <c r="D155" s="1264"/>
      <c r="E155" s="1264"/>
      <c r="F155" s="1264"/>
      <c r="G155" s="1264"/>
      <c r="H155" s="1264"/>
      <c r="I155" s="1264"/>
      <c r="J155" s="1264"/>
      <c r="K155" s="1264"/>
      <c r="L155" s="1264"/>
      <c r="M155" s="1264"/>
    </row>
    <row r="156" spans="1:19" ht="10.5" customHeight="1">
      <c r="A156" s="574"/>
      <c r="B156" s="574"/>
      <c r="C156" s="575"/>
      <c r="D156" s="575"/>
      <c r="E156" s="612"/>
      <c r="F156" s="576"/>
      <c r="G156" s="574"/>
      <c r="H156" s="574"/>
      <c r="I156" s="574"/>
      <c r="J156" s="574"/>
      <c r="K156" s="577"/>
      <c r="L156" s="577"/>
    </row>
    <row r="157" spans="1:19" ht="20.25" customHeight="1">
      <c r="A157" s="1245" t="s">
        <v>882</v>
      </c>
      <c r="B157" s="1245" t="s">
        <v>283</v>
      </c>
      <c r="C157" s="1245" t="s">
        <v>284</v>
      </c>
      <c r="D157" s="1248" t="s">
        <v>285</v>
      </c>
      <c r="E157" s="1245" t="s">
        <v>286</v>
      </c>
      <c r="F157" s="1245" t="s">
        <v>287</v>
      </c>
      <c r="G157" s="1254" t="s">
        <v>288</v>
      </c>
      <c r="H157" s="1255"/>
      <c r="I157" s="1255"/>
      <c r="J157" s="1255"/>
      <c r="K157" s="1255"/>
      <c r="L157" s="1256"/>
      <c r="M157" s="1245" t="s">
        <v>408</v>
      </c>
    </row>
    <row r="158" spans="1:19" ht="45" customHeight="1">
      <c r="A158" s="1246"/>
      <c r="B158" s="1246"/>
      <c r="C158" s="1246"/>
      <c r="D158" s="1249"/>
      <c r="E158" s="1246"/>
      <c r="F158" s="1246"/>
      <c r="G158" s="1254" t="s">
        <v>289</v>
      </c>
      <c r="H158" s="1256"/>
      <c r="I158" s="1254" t="s">
        <v>312</v>
      </c>
      <c r="J158" s="1256"/>
      <c r="K158" s="1254" t="s">
        <v>291</v>
      </c>
      <c r="L158" s="1256"/>
      <c r="M158" s="1246"/>
    </row>
    <row r="159" spans="1:19" ht="20.25" customHeight="1">
      <c r="A159" s="1247"/>
      <c r="B159" s="1247"/>
      <c r="C159" s="1247"/>
      <c r="D159" s="1250"/>
      <c r="E159" s="1247"/>
      <c r="F159" s="1247"/>
      <c r="G159" s="468" t="s">
        <v>897</v>
      </c>
      <c r="H159" s="468" t="s">
        <v>292</v>
      </c>
      <c r="I159" s="468" t="s">
        <v>897</v>
      </c>
      <c r="J159" s="468" t="s">
        <v>292</v>
      </c>
      <c r="K159" s="468" t="s">
        <v>897</v>
      </c>
      <c r="L159" s="468" t="s">
        <v>292</v>
      </c>
      <c r="M159" s="1247"/>
    </row>
    <row r="160" spans="1:19" ht="18" customHeight="1">
      <c r="A160" s="623">
        <v>1</v>
      </c>
      <c r="B160" s="624" t="s">
        <v>384</v>
      </c>
      <c r="C160" s="623" t="s">
        <v>385</v>
      </c>
      <c r="D160" s="578">
        <v>36</v>
      </c>
      <c r="E160" s="625">
        <f>'Bang gia'!E6</f>
        <v>230000</v>
      </c>
      <c r="F160" s="580">
        <f>E160/(D160*26)</f>
        <v>245.72649572649573</v>
      </c>
      <c r="G160" s="626">
        <v>0.51900000000000002</v>
      </c>
      <c r="H160" s="625">
        <f t="shared" ref="H160:H175" si="22">F160*G160</f>
        <v>127.53205128205128</v>
      </c>
      <c r="I160" s="626">
        <v>0.48099999999999998</v>
      </c>
      <c r="J160" s="627">
        <f t="shared" ref="J160:J175" si="23">F160*I160</f>
        <v>118.19444444444444</v>
      </c>
      <c r="K160" s="626">
        <v>0.16900000000000001</v>
      </c>
      <c r="L160" s="628">
        <f t="shared" ref="L160:L171" si="24">F160*K160</f>
        <v>41.527777777777779</v>
      </c>
      <c r="M160" s="627">
        <f t="shared" ref="M160:M176" si="25">H160+J160+L160</f>
        <v>287.2542735042735</v>
      </c>
    </row>
    <row r="161" spans="1:13" ht="18" customHeight="1">
      <c r="A161" s="578">
        <v>2</v>
      </c>
      <c r="B161" s="630" t="s">
        <v>386</v>
      </c>
      <c r="C161" s="578" t="s">
        <v>385</v>
      </c>
      <c r="D161" s="578">
        <v>60</v>
      </c>
      <c r="E161" s="580">
        <f>'Bang gia'!E7</f>
        <v>360000</v>
      </c>
      <c r="F161" s="580">
        <f>E161/(D161*26)</f>
        <v>230.76923076923077</v>
      </c>
      <c r="G161" s="584">
        <v>0.92300000000000004</v>
      </c>
      <c r="H161" s="580">
        <f t="shared" si="22"/>
        <v>213</v>
      </c>
      <c r="I161" s="582">
        <v>0.53800000000000003</v>
      </c>
      <c r="J161" s="583">
        <f t="shared" si="23"/>
        <v>124.15384615384616</v>
      </c>
      <c r="K161" s="626">
        <v>0.16900000000000001</v>
      </c>
      <c r="L161" s="585">
        <f t="shared" si="24"/>
        <v>39</v>
      </c>
      <c r="M161" s="586">
        <f t="shared" si="25"/>
        <v>376.15384615384619</v>
      </c>
    </row>
    <row r="162" spans="1:13" ht="18" customHeight="1">
      <c r="A162" s="578">
        <v>3</v>
      </c>
      <c r="B162" s="579" t="s">
        <v>387</v>
      </c>
      <c r="C162" s="578" t="s">
        <v>385</v>
      </c>
      <c r="D162" s="578">
        <v>60</v>
      </c>
      <c r="E162" s="580">
        <f>'Bang gia'!E8</f>
        <v>754000</v>
      </c>
      <c r="F162" s="580">
        <f>E162/(D162*26)</f>
        <v>483.33333333333331</v>
      </c>
      <c r="G162" s="584">
        <v>0.92300000000000004</v>
      </c>
      <c r="H162" s="580">
        <f t="shared" si="22"/>
        <v>446.11666666666667</v>
      </c>
      <c r="I162" s="582">
        <v>0.53800000000000003</v>
      </c>
      <c r="J162" s="583">
        <f t="shared" si="23"/>
        <v>260.03333333333336</v>
      </c>
      <c r="K162" s="626">
        <v>0.16900000000000001</v>
      </c>
      <c r="L162" s="585">
        <f t="shared" si="24"/>
        <v>81.683333333333337</v>
      </c>
      <c r="M162" s="586">
        <f t="shared" si="25"/>
        <v>787.83333333333348</v>
      </c>
    </row>
    <row r="163" spans="1:13" ht="18" customHeight="1">
      <c r="A163" s="578">
        <v>4</v>
      </c>
      <c r="B163" s="579" t="s">
        <v>388</v>
      </c>
      <c r="C163" s="578" t="s">
        <v>385</v>
      </c>
      <c r="D163" s="578">
        <v>60</v>
      </c>
      <c r="E163" s="580">
        <f>'Bang gia'!E9</f>
        <v>2331000</v>
      </c>
      <c r="F163" s="580">
        <f t="shared" ref="F163:F174" si="26">E163/(D163*26)</f>
        <v>1494.2307692307693</v>
      </c>
      <c r="G163" s="584">
        <v>0.51900000000000002</v>
      </c>
      <c r="H163" s="580">
        <f t="shared" si="22"/>
        <v>775.50576923076926</v>
      </c>
      <c r="I163" s="626">
        <v>0.48099999999999998</v>
      </c>
      <c r="J163" s="583">
        <f t="shared" si="23"/>
        <v>718.72500000000002</v>
      </c>
      <c r="K163" s="626">
        <v>0.16900000000000001</v>
      </c>
      <c r="L163" s="585">
        <f t="shared" si="24"/>
        <v>252.52500000000003</v>
      </c>
      <c r="M163" s="586">
        <f t="shared" si="25"/>
        <v>1746.7557692307694</v>
      </c>
    </row>
    <row r="164" spans="1:13" ht="18" customHeight="1">
      <c r="A164" s="578">
        <v>5</v>
      </c>
      <c r="B164" s="579" t="s">
        <v>389</v>
      </c>
      <c r="C164" s="578" t="s">
        <v>385</v>
      </c>
      <c r="D164" s="578">
        <v>24</v>
      </c>
      <c r="E164" s="580">
        <f>'Bang gia'!E10</f>
        <v>15000</v>
      </c>
      <c r="F164" s="580">
        <f t="shared" si="26"/>
        <v>24.03846153846154</v>
      </c>
      <c r="G164" s="584">
        <v>1.2999999999999999E-2</v>
      </c>
      <c r="H164" s="580">
        <f t="shared" si="22"/>
        <v>0.3125</v>
      </c>
      <c r="I164" s="582">
        <v>2.8000000000000001E-2</v>
      </c>
      <c r="J164" s="583">
        <f t="shared" si="23"/>
        <v>0.67307692307692313</v>
      </c>
      <c r="K164" s="584">
        <v>1E-3</v>
      </c>
      <c r="L164" s="585">
        <f t="shared" si="24"/>
        <v>2.403846153846154E-2</v>
      </c>
      <c r="M164" s="586">
        <f t="shared" si="25"/>
        <v>1.0096153846153846</v>
      </c>
    </row>
    <row r="165" spans="1:13" ht="18" customHeight="1">
      <c r="A165" s="578">
        <v>6</v>
      </c>
      <c r="B165" s="579" t="s">
        <v>390</v>
      </c>
      <c r="C165" s="578" t="s">
        <v>385</v>
      </c>
      <c r="D165" s="578">
        <v>36</v>
      </c>
      <c r="E165" s="580">
        <f>'Bang gia'!E11</f>
        <v>270000</v>
      </c>
      <c r="F165" s="580">
        <f t="shared" si="26"/>
        <v>288.46153846153845</v>
      </c>
      <c r="G165" s="584">
        <v>3.0000000000000001E-3</v>
      </c>
      <c r="H165" s="580">
        <f t="shared" si="22"/>
        <v>0.86538461538461542</v>
      </c>
      <c r="I165" s="582">
        <v>6.0000000000000001E-3</v>
      </c>
      <c r="J165" s="583">
        <f t="shared" si="23"/>
        <v>1.7307692307692308</v>
      </c>
      <c r="K165" s="584">
        <v>1E-3</v>
      </c>
      <c r="L165" s="585">
        <f t="shared" si="24"/>
        <v>0.28846153846153844</v>
      </c>
      <c r="M165" s="586">
        <f t="shared" si="25"/>
        <v>2.8846153846153846</v>
      </c>
    </row>
    <row r="166" spans="1:13" ht="18" customHeight="1">
      <c r="A166" s="578">
        <v>7</v>
      </c>
      <c r="B166" s="579" t="s">
        <v>391</v>
      </c>
      <c r="C166" s="578" t="s">
        <v>385</v>
      </c>
      <c r="D166" s="578">
        <v>12</v>
      </c>
      <c r="E166" s="580">
        <f>'Bang gia'!E12</f>
        <v>48000</v>
      </c>
      <c r="F166" s="580">
        <f t="shared" si="26"/>
        <v>153.84615384615384</v>
      </c>
      <c r="G166" s="584">
        <v>1E-3</v>
      </c>
      <c r="H166" s="580">
        <f t="shared" si="22"/>
        <v>0.15384615384615385</v>
      </c>
      <c r="I166" s="582">
        <v>1E-3</v>
      </c>
      <c r="J166" s="583">
        <f t="shared" si="23"/>
        <v>0.15384615384615385</v>
      </c>
      <c r="K166" s="584">
        <v>1E-3</v>
      </c>
      <c r="L166" s="585">
        <f t="shared" si="24"/>
        <v>0.15384615384615385</v>
      </c>
      <c r="M166" s="586">
        <f t="shared" si="25"/>
        <v>0.46153846153846156</v>
      </c>
    </row>
    <row r="167" spans="1:13" ht="18" customHeight="1">
      <c r="A167" s="578">
        <v>8</v>
      </c>
      <c r="B167" s="579" t="s">
        <v>392</v>
      </c>
      <c r="C167" s="578" t="s">
        <v>385</v>
      </c>
      <c r="D167" s="578">
        <v>12</v>
      </c>
      <c r="E167" s="580">
        <f>'Bang gia'!E13</f>
        <v>25000</v>
      </c>
      <c r="F167" s="580">
        <f t="shared" si="26"/>
        <v>80.128205128205124</v>
      </c>
      <c r="G167" s="584">
        <v>2.5999999999999999E-2</v>
      </c>
      <c r="H167" s="580">
        <f t="shared" si="22"/>
        <v>2.083333333333333</v>
      </c>
      <c r="I167" s="582">
        <v>5.6000000000000001E-2</v>
      </c>
      <c r="J167" s="583">
        <f t="shared" si="23"/>
        <v>4.4871794871794872</v>
      </c>
      <c r="K167" s="584">
        <v>1E-3</v>
      </c>
      <c r="L167" s="585">
        <f t="shared" si="24"/>
        <v>8.0128205128205121E-2</v>
      </c>
      <c r="M167" s="586">
        <f t="shared" si="25"/>
        <v>6.6506410256410255</v>
      </c>
    </row>
    <row r="168" spans="1:13" ht="18" customHeight="1">
      <c r="A168" s="578">
        <v>9</v>
      </c>
      <c r="B168" s="579" t="s">
        <v>393</v>
      </c>
      <c r="C168" s="578" t="s">
        <v>385</v>
      </c>
      <c r="D168" s="578">
        <v>12</v>
      </c>
      <c r="E168" s="580">
        <f>'Bang gia'!E14</f>
        <v>35000</v>
      </c>
      <c r="F168" s="580">
        <f t="shared" si="26"/>
        <v>112.17948717948718</v>
      </c>
      <c r="G168" s="584">
        <v>8.0000000000000002E-3</v>
      </c>
      <c r="H168" s="580">
        <f t="shared" ref="H168:H173" si="27">F168*G168</f>
        <v>0.89743589743589747</v>
      </c>
      <c r="I168" s="582">
        <v>1.9E-2</v>
      </c>
      <c r="J168" s="583">
        <f t="shared" si="23"/>
        <v>2.1314102564102564</v>
      </c>
      <c r="K168" s="584">
        <v>1E-3</v>
      </c>
      <c r="L168" s="585">
        <f t="shared" si="24"/>
        <v>0.11217948717948718</v>
      </c>
      <c r="M168" s="586">
        <f t="shared" si="25"/>
        <v>3.141025641025641</v>
      </c>
    </row>
    <row r="169" spans="1:13" ht="18" customHeight="1">
      <c r="A169" s="578">
        <v>10</v>
      </c>
      <c r="B169" s="579" t="s">
        <v>394</v>
      </c>
      <c r="C169" s="578" t="s">
        <v>385</v>
      </c>
      <c r="D169" s="578">
        <v>9</v>
      </c>
      <c r="E169" s="580">
        <f>'Bang gia'!E15</f>
        <v>15000</v>
      </c>
      <c r="F169" s="580">
        <f t="shared" si="26"/>
        <v>64.102564102564102</v>
      </c>
      <c r="G169" s="584">
        <v>4.0000000000000001E-3</v>
      </c>
      <c r="H169" s="580">
        <f t="shared" si="27"/>
        <v>0.25641025641025639</v>
      </c>
      <c r="I169" s="582">
        <v>8.9999999999999993E-3</v>
      </c>
      <c r="J169" s="583">
        <f t="shared" si="23"/>
        <v>0.57692307692307687</v>
      </c>
      <c r="K169" s="584">
        <v>0</v>
      </c>
      <c r="L169" s="585">
        <f t="shared" si="24"/>
        <v>0</v>
      </c>
      <c r="M169" s="586">
        <f t="shared" si="25"/>
        <v>0.83333333333333326</v>
      </c>
    </row>
    <row r="170" spans="1:13" ht="18" customHeight="1">
      <c r="A170" s="578">
        <v>11</v>
      </c>
      <c r="B170" s="579" t="s">
        <v>293</v>
      </c>
      <c r="C170" s="578" t="s">
        <v>385</v>
      </c>
      <c r="D170" s="578">
        <v>12</v>
      </c>
      <c r="E170" s="580">
        <f>'Bang gia'!E16</f>
        <v>100000</v>
      </c>
      <c r="F170" s="580">
        <f t="shared" si="26"/>
        <v>320.5128205128205</v>
      </c>
      <c r="G170" s="584">
        <v>0.92300000000000004</v>
      </c>
      <c r="H170" s="580">
        <f t="shared" si="27"/>
        <v>295.83333333333331</v>
      </c>
      <c r="I170" s="582">
        <v>0.53800000000000003</v>
      </c>
      <c r="J170" s="583">
        <f t="shared" si="23"/>
        <v>172.43589743589743</v>
      </c>
      <c r="K170" s="584">
        <v>0.16900000000000001</v>
      </c>
      <c r="L170" s="585">
        <f t="shared" si="24"/>
        <v>54.166666666666664</v>
      </c>
      <c r="M170" s="586">
        <f t="shared" si="25"/>
        <v>522.43589743589735</v>
      </c>
    </row>
    <row r="171" spans="1:13" ht="18" customHeight="1">
      <c r="A171" s="578">
        <v>12</v>
      </c>
      <c r="B171" s="579" t="s">
        <v>396</v>
      </c>
      <c r="C171" s="578" t="s">
        <v>529</v>
      </c>
      <c r="D171" s="578">
        <v>6</v>
      </c>
      <c r="E171" s="580">
        <f>'Bang gia'!E17</f>
        <v>18000</v>
      </c>
      <c r="F171" s="580">
        <f t="shared" si="26"/>
        <v>115.38461538461539</v>
      </c>
      <c r="G171" s="584">
        <v>0.92300000000000004</v>
      </c>
      <c r="H171" s="580">
        <f t="shared" si="27"/>
        <v>106.5</v>
      </c>
      <c r="I171" s="582">
        <v>0.53800000000000003</v>
      </c>
      <c r="J171" s="583">
        <f t="shared" si="23"/>
        <v>62.07692307692308</v>
      </c>
      <c r="K171" s="584">
        <v>0.16900000000000001</v>
      </c>
      <c r="L171" s="585">
        <f t="shared" si="24"/>
        <v>19.5</v>
      </c>
      <c r="M171" s="586">
        <f t="shared" si="25"/>
        <v>188.07692307692309</v>
      </c>
    </row>
    <row r="172" spans="1:13" ht="18" customHeight="1">
      <c r="A172" s="578">
        <v>13</v>
      </c>
      <c r="B172" s="735" t="s">
        <v>530</v>
      </c>
      <c r="C172" s="578" t="s">
        <v>385</v>
      </c>
      <c r="D172" s="578">
        <v>12</v>
      </c>
      <c r="E172" s="688">
        <f>'Bang gia'!E18</f>
        <v>25000</v>
      </c>
      <c r="F172" s="580">
        <f t="shared" si="26"/>
        <v>80.128205128205124</v>
      </c>
      <c r="G172" s="683">
        <v>8.0000000000000002E-3</v>
      </c>
      <c r="H172" s="580">
        <f t="shared" si="27"/>
        <v>0.64102564102564097</v>
      </c>
      <c r="I172" s="684">
        <v>1.7999999999999999E-2</v>
      </c>
      <c r="J172" s="583">
        <f t="shared" si="23"/>
        <v>1.4423076923076921</v>
      </c>
      <c r="K172" s="683"/>
      <c r="L172" s="585"/>
      <c r="M172" s="586">
        <f t="shared" si="25"/>
        <v>2.083333333333333</v>
      </c>
    </row>
    <row r="173" spans="1:13" ht="18" customHeight="1">
      <c r="A173" s="578">
        <v>14</v>
      </c>
      <c r="B173" s="735" t="s">
        <v>531</v>
      </c>
      <c r="C173" s="578" t="s">
        <v>385</v>
      </c>
      <c r="D173" s="578">
        <v>36</v>
      </c>
      <c r="E173" s="688">
        <f>'Bang gia'!E19</f>
        <v>870000</v>
      </c>
      <c r="F173" s="580">
        <f t="shared" si="26"/>
        <v>929.48717948717945</v>
      </c>
      <c r="G173" s="683">
        <v>0.36399999999999999</v>
      </c>
      <c r="H173" s="580">
        <f t="shared" si="27"/>
        <v>338.33333333333331</v>
      </c>
      <c r="I173" s="684">
        <v>0.33700000000000002</v>
      </c>
      <c r="J173" s="583">
        <f t="shared" si="23"/>
        <v>313.2371794871795</v>
      </c>
      <c r="K173" s="683">
        <v>0.11799999999999999</v>
      </c>
      <c r="L173" s="585">
        <f>F173*K173</f>
        <v>109.67948717948717</v>
      </c>
      <c r="M173" s="586">
        <f t="shared" si="25"/>
        <v>761.25</v>
      </c>
    </row>
    <row r="174" spans="1:13" ht="18" customHeight="1">
      <c r="A174" s="578">
        <v>15</v>
      </c>
      <c r="B174" s="735" t="s">
        <v>532</v>
      </c>
      <c r="C174" s="686" t="s">
        <v>533</v>
      </c>
      <c r="D174" s="686">
        <v>30</v>
      </c>
      <c r="E174" s="688">
        <f>'Bang gia'!E20</f>
        <v>65000</v>
      </c>
      <c r="F174" s="580">
        <f t="shared" si="26"/>
        <v>83.333333333333329</v>
      </c>
      <c r="G174" s="683">
        <v>0.92300000000000004</v>
      </c>
      <c r="H174" s="580">
        <f t="shared" si="22"/>
        <v>76.916666666666671</v>
      </c>
      <c r="I174" s="684">
        <v>0.53800000000000003</v>
      </c>
      <c r="J174" s="583">
        <f t="shared" si="23"/>
        <v>44.833333333333336</v>
      </c>
      <c r="K174" s="584">
        <v>0.16900000000000001</v>
      </c>
      <c r="L174" s="585">
        <f>F174*K174</f>
        <v>14.083333333333334</v>
      </c>
      <c r="M174" s="586">
        <f t="shared" si="25"/>
        <v>135.83333333333334</v>
      </c>
    </row>
    <row r="175" spans="1:13" ht="18" customHeight="1">
      <c r="A175" s="686">
        <v>16</v>
      </c>
      <c r="B175" s="735" t="s">
        <v>534</v>
      </c>
      <c r="C175" s="686" t="s">
        <v>898</v>
      </c>
      <c r="D175" s="686"/>
      <c r="E175" s="688">
        <f>'Bang gia'!E21</f>
        <v>1554</v>
      </c>
      <c r="F175" s="688">
        <f>E175</f>
        <v>1554</v>
      </c>
      <c r="G175" s="683">
        <v>0.58599999999999997</v>
      </c>
      <c r="H175" s="688">
        <f t="shared" si="22"/>
        <v>910.64399999999989</v>
      </c>
      <c r="I175" s="684">
        <v>0.442</v>
      </c>
      <c r="J175" s="689">
        <f t="shared" si="23"/>
        <v>686.86800000000005</v>
      </c>
      <c r="K175" s="683">
        <v>0.14899999999999999</v>
      </c>
      <c r="L175" s="690">
        <f>F175*K175</f>
        <v>231.54599999999999</v>
      </c>
      <c r="M175" s="691">
        <f t="shared" si="25"/>
        <v>1829.058</v>
      </c>
    </row>
    <row r="176" spans="1:13" ht="18" customHeight="1">
      <c r="A176" s="697"/>
      <c r="B176" s="697" t="s">
        <v>294</v>
      </c>
      <c r="C176" s="697"/>
      <c r="D176" s="697"/>
      <c r="E176" s="622"/>
      <c r="F176" s="622"/>
      <c r="G176" s="621"/>
      <c r="H176" s="622">
        <f>SUM(H160:H175)</f>
        <v>3295.5917564102556</v>
      </c>
      <c r="I176" s="699"/>
      <c r="J176" s="700">
        <f>SUM(J160:J175)</f>
        <v>2511.7534700854699</v>
      </c>
      <c r="K176" s="621"/>
      <c r="L176" s="591">
        <f>SUM(L160:L175)</f>
        <v>844.37025213675224</v>
      </c>
      <c r="M176" s="591">
        <f t="shared" si="25"/>
        <v>6651.7154786324772</v>
      </c>
    </row>
    <row r="177" spans="1:13" ht="18" customHeight="1">
      <c r="A177" s="697"/>
      <c r="B177" s="697" t="s">
        <v>916</v>
      </c>
      <c r="C177" s="697"/>
      <c r="D177" s="697"/>
      <c r="E177" s="622"/>
      <c r="F177" s="622"/>
      <c r="G177" s="621"/>
      <c r="H177" s="622">
        <f>(H176-H175)*5%</f>
        <v>119.2473878205128</v>
      </c>
      <c r="I177" s="622"/>
      <c r="J177" s="622">
        <f>(J176-J175)*5%</f>
        <v>91.244273504273508</v>
      </c>
      <c r="K177" s="700"/>
      <c r="L177" s="622">
        <f>(L176-L175)*5%</f>
        <v>30.641212606837612</v>
      </c>
      <c r="M177" s="622">
        <f>(M176-M175)*5%</f>
        <v>241.13287393162386</v>
      </c>
    </row>
    <row r="178" spans="1:13">
      <c r="A178" s="702"/>
      <c r="B178" s="588" t="s">
        <v>295</v>
      </c>
      <c r="C178" s="702"/>
      <c r="D178" s="702"/>
      <c r="E178" s="784"/>
      <c r="F178" s="702"/>
      <c r="G178" s="702"/>
      <c r="H178" s="589">
        <f>H176+H177</f>
        <v>3414.8391442307684</v>
      </c>
      <c r="I178" s="589"/>
      <c r="J178" s="700">
        <f>J176+J177</f>
        <v>2602.9977435897435</v>
      </c>
      <c r="K178" s="700"/>
      <c r="L178" s="700">
        <f>L176+L177</f>
        <v>875.01146474358984</v>
      </c>
      <c r="M178" s="700">
        <f>M176+M177</f>
        <v>6892.8483525641013</v>
      </c>
    </row>
    <row r="179" spans="1:13" ht="4.5" customHeight="1">
      <c r="A179" s="494"/>
      <c r="B179" s="778"/>
      <c r="C179" s="494"/>
      <c r="D179" s="494"/>
      <c r="E179" s="604"/>
      <c r="F179" s="494"/>
      <c r="G179" s="494"/>
      <c r="H179" s="602"/>
      <c r="I179" s="606"/>
      <c r="J179" s="779"/>
      <c r="K179" s="606"/>
      <c r="L179" s="779"/>
      <c r="M179" s="779"/>
    </row>
    <row r="180" spans="1:13" ht="18.75" customHeight="1">
      <c r="A180" s="743"/>
      <c r="B180" s="785" t="s">
        <v>302</v>
      </c>
      <c r="C180" s="743"/>
      <c r="D180" s="743"/>
      <c r="E180" s="744"/>
      <c r="F180" s="743"/>
      <c r="G180" s="786">
        <v>0.85</v>
      </c>
      <c r="H180" s="746">
        <f>H178*0.85</f>
        <v>2902.6132725961529</v>
      </c>
      <c r="I180" s="787">
        <v>1</v>
      </c>
      <c r="J180" s="788">
        <f>J178*1</f>
        <v>2602.9977435897435</v>
      </c>
      <c r="K180" s="787">
        <v>1</v>
      </c>
      <c r="L180" s="788">
        <f>L178</f>
        <v>875.01146474358984</v>
      </c>
      <c r="M180" s="788">
        <f>H180+J180+L180</f>
        <v>6380.6224809294854</v>
      </c>
    </row>
    <row r="181" spans="1:13" ht="18.75" customHeight="1">
      <c r="A181" s="749"/>
      <c r="B181" s="789" t="s">
        <v>303</v>
      </c>
      <c r="C181" s="749"/>
      <c r="D181" s="749"/>
      <c r="E181" s="750"/>
      <c r="F181" s="749"/>
      <c r="G181" s="790">
        <v>0.9</v>
      </c>
      <c r="H181" s="752">
        <f>H178*0.9</f>
        <v>3073.3552298076916</v>
      </c>
      <c r="I181" s="787">
        <v>1</v>
      </c>
      <c r="J181" s="791">
        <f>J178*1</f>
        <v>2602.9977435897435</v>
      </c>
      <c r="K181" s="787">
        <v>1</v>
      </c>
      <c r="L181" s="791">
        <f>L178</f>
        <v>875.01146474358984</v>
      </c>
      <c r="M181" s="791">
        <f>H181+J181+L181</f>
        <v>6551.3644381410249</v>
      </c>
    </row>
    <row r="182" spans="1:13" ht="18.75" customHeight="1">
      <c r="A182" s="756"/>
      <c r="B182" s="792" t="s">
        <v>304</v>
      </c>
      <c r="C182" s="756"/>
      <c r="D182" s="756"/>
      <c r="E182" s="757"/>
      <c r="F182" s="756"/>
      <c r="G182" s="787">
        <v>1</v>
      </c>
      <c r="H182" s="759">
        <f>H178</f>
        <v>3414.8391442307684</v>
      </c>
      <c r="I182" s="787">
        <v>1</v>
      </c>
      <c r="J182" s="793">
        <f>J178</f>
        <v>2602.9977435897435</v>
      </c>
      <c r="K182" s="787">
        <v>1</v>
      </c>
      <c r="L182" s="793">
        <f>L178</f>
        <v>875.01146474358984</v>
      </c>
      <c r="M182" s="793">
        <f>H182+J182+L182</f>
        <v>6892.8483525641022</v>
      </c>
    </row>
    <row r="183" spans="1:13" ht="6" customHeight="1">
      <c r="A183" s="494"/>
      <c r="B183" s="778"/>
      <c r="C183" s="494"/>
      <c r="D183" s="494"/>
      <c r="E183" s="604"/>
      <c r="F183" s="494"/>
      <c r="G183" s="494"/>
      <c r="H183" s="602"/>
      <c r="I183" s="606"/>
      <c r="J183" s="779"/>
      <c r="K183" s="606"/>
      <c r="L183" s="779"/>
      <c r="M183" s="779"/>
    </row>
    <row r="184" spans="1:13">
      <c r="A184" s="494"/>
      <c r="B184" s="599" t="s">
        <v>299</v>
      </c>
      <c r="C184" s="494"/>
      <c r="D184" s="494"/>
      <c r="E184" s="604"/>
      <c r="F184" s="494"/>
      <c r="G184" s="494"/>
      <c r="H184" s="602"/>
      <c r="I184" s="606"/>
      <c r="J184" s="779"/>
      <c r="K184" s="606"/>
      <c r="L184" s="779"/>
      <c r="M184" s="779"/>
    </row>
    <row r="185" spans="1:13" ht="42.6" customHeight="1">
      <c r="A185" s="494"/>
      <c r="B185" s="1266" t="s">
        <v>859</v>
      </c>
      <c r="C185" s="1267"/>
      <c r="D185" s="1267"/>
      <c r="E185" s="1267"/>
      <c r="F185" s="1267"/>
      <c r="G185" s="1267"/>
      <c r="H185" s="1267"/>
      <c r="I185" s="1267"/>
      <c r="J185" s="1267"/>
      <c r="K185" s="1267"/>
      <c r="L185" s="1267"/>
      <c r="M185" s="1267"/>
    </row>
    <row r="186" spans="1:13" ht="31.9" customHeight="1">
      <c r="A186" s="494"/>
      <c r="B186" s="1260" t="s">
        <v>860</v>
      </c>
      <c r="C186" s="1260"/>
      <c r="D186" s="1260"/>
      <c r="E186" s="1260"/>
      <c r="F186" s="1260"/>
      <c r="G186" s="1260"/>
      <c r="H186" s="1260"/>
      <c r="I186" s="1260"/>
      <c r="J186" s="1260"/>
      <c r="K186" s="1260"/>
      <c r="L186" s="1260"/>
      <c r="M186" s="1260"/>
    </row>
    <row r="187" spans="1:13" ht="15.6" customHeight="1">
      <c r="A187" s="454"/>
      <c r="B187" s="1265" t="s">
        <v>861</v>
      </c>
      <c r="C187" s="1265"/>
      <c r="D187" s="1265"/>
      <c r="E187" s="1265"/>
      <c r="F187" s="1265"/>
      <c r="G187" s="1265"/>
      <c r="H187" s="1265"/>
      <c r="I187" s="1265"/>
      <c r="J187" s="1265"/>
      <c r="K187" s="1265"/>
      <c r="L187" s="1265"/>
      <c r="M187" s="1265"/>
    </row>
    <row r="188" spans="1:13" ht="28.15" customHeight="1">
      <c r="A188" s="454"/>
      <c r="B188" s="1265" t="s">
        <v>862</v>
      </c>
      <c r="C188" s="1265"/>
      <c r="D188" s="1265"/>
      <c r="E188" s="1265"/>
      <c r="F188" s="1265"/>
      <c r="G188" s="1265"/>
      <c r="H188" s="1265"/>
      <c r="I188" s="1265"/>
      <c r="J188" s="1265"/>
      <c r="K188" s="1265"/>
      <c r="L188" s="1265"/>
      <c r="M188" s="1265"/>
    </row>
    <row r="189" spans="1:13" ht="15.6" customHeight="1">
      <c r="A189" s="454"/>
      <c r="B189" s="1265" t="s">
        <v>863</v>
      </c>
      <c r="C189" s="1265"/>
      <c r="D189" s="1265"/>
      <c r="E189" s="1265"/>
      <c r="F189" s="1265"/>
      <c r="G189" s="1265"/>
      <c r="H189" s="1265"/>
      <c r="I189" s="1265"/>
      <c r="J189" s="1265"/>
      <c r="K189" s="1265"/>
      <c r="L189" s="1265"/>
      <c r="M189" s="1265"/>
    </row>
    <row r="190" spans="1:13" ht="11.25" customHeight="1">
      <c r="A190" s="454"/>
      <c r="B190" s="454"/>
      <c r="C190" s="454"/>
    </row>
    <row r="191" spans="1:13" ht="26.45" customHeight="1">
      <c r="A191" s="1264" t="s">
        <v>358</v>
      </c>
      <c r="B191" s="1264"/>
      <c r="C191" s="1264"/>
      <c r="D191" s="1264"/>
      <c r="E191" s="1264"/>
      <c r="F191" s="1264"/>
      <c r="G191" s="1264"/>
      <c r="H191" s="1264"/>
      <c r="I191" s="1264"/>
      <c r="J191" s="1264"/>
      <c r="K191" s="1264"/>
      <c r="L191" s="1264"/>
      <c r="M191" s="1264"/>
    </row>
    <row r="192" spans="1:13">
      <c r="A192" s="574"/>
      <c r="B192" s="574"/>
      <c r="C192" s="575"/>
      <c r="D192" s="575"/>
      <c r="E192" s="612"/>
      <c r="F192" s="576"/>
      <c r="G192" s="574"/>
      <c r="H192" s="574"/>
      <c r="I192" s="574"/>
      <c r="J192" s="574"/>
      <c r="K192" s="577"/>
      <c r="L192" s="577"/>
    </row>
    <row r="193" spans="1:13" ht="21" customHeight="1">
      <c r="A193" s="1245" t="s">
        <v>882</v>
      </c>
      <c r="B193" s="1245" t="s">
        <v>283</v>
      </c>
      <c r="C193" s="1245" t="s">
        <v>284</v>
      </c>
      <c r="D193" s="1248" t="s">
        <v>285</v>
      </c>
      <c r="E193" s="1245" t="s">
        <v>286</v>
      </c>
      <c r="F193" s="1245" t="s">
        <v>287</v>
      </c>
      <c r="G193" s="1254" t="s">
        <v>288</v>
      </c>
      <c r="H193" s="1255"/>
      <c r="I193" s="1255"/>
      <c r="J193" s="1255"/>
      <c r="K193" s="1255"/>
      <c r="L193" s="1256"/>
      <c r="M193" s="1245" t="s">
        <v>864</v>
      </c>
    </row>
    <row r="194" spans="1:13" ht="33" customHeight="1">
      <c r="A194" s="1246"/>
      <c r="B194" s="1246"/>
      <c r="C194" s="1246"/>
      <c r="D194" s="1249"/>
      <c r="E194" s="1246"/>
      <c r="F194" s="1246"/>
      <c r="G194" s="1254" t="s">
        <v>634</v>
      </c>
      <c r="H194" s="1256"/>
      <c r="I194" s="1254" t="s">
        <v>312</v>
      </c>
      <c r="J194" s="1256"/>
      <c r="K194" s="1254" t="s">
        <v>291</v>
      </c>
      <c r="L194" s="1256"/>
      <c r="M194" s="1246"/>
    </row>
    <row r="195" spans="1:13" ht="20.25" customHeight="1">
      <c r="A195" s="1247"/>
      <c r="B195" s="1247"/>
      <c r="C195" s="1247"/>
      <c r="D195" s="1250"/>
      <c r="E195" s="1247"/>
      <c r="F195" s="1247"/>
      <c r="G195" s="468" t="s">
        <v>897</v>
      </c>
      <c r="H195" s="468" t="s">
        <v>57</v>
      </c>
      <c r="I195" s="468" t="s">
        <v>897</v>
      </c>
      <c r="J195" s="468" t="s">
        <v>57</v>
      </c>
      <c r="K195" s="468" t="s">
        <v>897</v>
      </c>
      <c r="L195" s="468" t="s">
        <v>57</v>
      </c>
      <c r="M195" s="1247"/>
    </row>
    <row r="196" spans="1:13" ht="19.149999999999999" customHeight="1">
      <c r="A196" s="623">
        <v>1</v>
      </c>
      <c r="B196" s="624" t="s">
        <v>384</v>
      </c>
      <c r="C196" s="623" t="s">
        <v>385</v>
      </c>
      <c r="D196" s="623">
        <v>36</v>
      </c>
      <c r="E196" s="625">
        <f>'Bang gia'!E6</f>
        <v>230000</v>
      </c>
      <c r="F196" s="580">
        <f>E196/(D196*26)</f>
        <v>245.72649572649573</v>
      </c>
      <c r="G196" s="626"/>
      <c r="H196" s="625">
        <f t="shared" ref="H196:H211" si="28">F196*G196</f>
        <v>0</v>
      </c>
      <c r="I196" s="626">
        <v>1.0069999999999999</v>
      </c>
      <c r="J196" s="627">
        <f t="shared" ref="J196:J211" si="29">F196*I196</f>
        <v>247.44658119658118</v>
      </c>
      <c r="K196" s="626">
        <v>0.17899999999999999</v>
      </c>
      <c r="L196" s="628">
        <f t="shared" ref="L196:L202" si="30">F196*K196</f>
        <v>43.985042735042732</v>
      </c>
      <c r="M196" s="627">
        <f t="shared" ref="M196:M212" si="31">H196+J196+L196</f>
        <v>291.4316239316239</v>
      </c>
    </row>
    <row r="197" spans="1:13" ht="19.149999999999999" customHeight="1">
      <c r="A197" s="578">
        <v>2</v>
      </c>
      <c r="B197" s="630" t="s">
        <v>386</v>
      </c>
      <c r="C197" s="578" t="s">
        <v>385</v>
      </c>
      <c r="D197" s="578">
        <v>96</v>
      </c>
      <c r="E197" s="580">
        <f>'Bang gia'!E7</f>
        <v>360000</v>
      </c>
      <c r="F197" s="580">
        <f>E197/(D197*26)</f>
        <v>144.23076923076923</v>
      </c>
      <c r="G197" s="584"/>
      <c r="H197" s="580">
        <f t="shared" si="28"/>
        <v>0</v>
      </c>
      <c r="I197" s="582">
        <v>1.4990000000000001</v>
      </c>
      <c r="J197" s="583">
        <f t="shared" si="29"/>
        <v>216.20192307692309</v>
      </c>
      <c r="K197" s="626">
        <v>0.17899999999999999</v>
      </c>
      <c r="L197" s="585">
        <f t="shared" si="30"/>
        <v>25.81730769230769</v>
      </c>
      <c r="M197" s="586">
        <f t="shared" si="31"/>
        <v>242.01923076923077</v>
      </c>
    </row>
    <row r="198" spans="1:13" ht="19.149999999999999" customHeight="1">
      <c r="A198" s="578">
        <v>3</v>
      </c>
      <c r="B198" s="579" t="s">
        <v>387</v>
      </c>
      <c r="C198" s="578" t="s">
        <v>385</v>
      </c>
      <c r="D198" s="578">
        <v>96</v>
      </c>
      <c r="E198" s="580">
        <f>'Bang gia'!E8</f>
        <v>754000</v>
      </c>
      <c r="F198" s="580">
        <f>E198/(D198*26)</f>
        <v>302.08333333333331</v>
      </c>
      <c r="G198" s="584"/>
      <c r="H198" s="580">
        <f t="shared" si="28"/>
        <v>0</v>
      </c>
      <c r="I198" s="582">
        <v>1.4990000000000001</v>
      </c>
      <c r="J198" s="583">
        <f t="shared" si="29"/>
        <v>452.82291666666669</v>
      </c>
      <c r="K198" s="626">
        <v>0.17899999999999999</v>
      </c>
      <c r="L198" s="585">
        <f t="shared" si="30"/>
        <v>54.072916666666664</v>
      </c>
      <c r="M198" s="586">
        <f t="shared" si="31"/>
        <v>506.89583333333337</v>
      </c>
    </row>
    <row r="199" spans="1:13" ht="19.149999999999999" customHeight="1">
      <c r="A199" s="578">
        <v>4</v>
      </c>
      <c r="B199" s="579" t="s">
        <v>388</v>
      </c>
      <c r="C199" s="578" t="s">
        <v>385</v>
      </c>
      <c r="D199" s="578">
        <v>96</v>
      </c>
      <c r="E199" s="580">
        <f>'Bang gia'!E9</f>
        <v>2331000</v>
      </c>
      <c r="F199" s="580">
        <f t="shared" ref="F199:F210" si="32">E199/(D199*26)</f>
        <v>933.89423076923072</v>
      </c>
      <c r="G199" s="584"/>
      <c r="H199" s="580">
        <f t="shared" si="28"/>
        <v>0</v>
      </c>
      <c r="I199" s="626">
        <v>1.0069999999999999</v>
      </c>
      <c r="J199" s="583">
        <f t="shared" si="29"/>
        <v>940.43149038461524</v>
      </c>
      <c r="K199" s="626">
        <v>0.17899999999999999</v>
      </c>
      <c r="L199" s="585">
        <f t="shared" si="30"/>
        <v>167.16706730769229</v>
      </c>
      <c r="M199" s="586">
        <f t="shared" si="31"/>
        <v>1107.5985576923076</v>
      </c>
    </row>
    <row r="200" spans="1:13" ht="19.149999999999999" customHeight="1">
      <c r="A200" s="578">
        <v>5</v>
      </c>
      <c r="B200" s="579" t="s">
        <v>389</v>
      </c>
      <c r="C200" s="578" t="s">
        <v>385</v>
      </c>
      <c r="D200" s="578">
        <v>24</v>
      </c>
      <c r="E200" s="580">
        <f>'Bang gia'!E10</f>
        <v>15000</v>
      </c>
      <c r="F200" s="580">
        <f t="shared" si="32"/>
        <v>24.03846153846154</v>
      </c>
      <c r="G200" s="584"/>
      <c r="H200" s="580">
        <f t="shared" si="28"/>
        <v>0</v>
      </c>
      <c r="I200" s="582">
        <v>7.4999999999999997E-2</v>
      </c>
      <c r="J200" s="583">
        <f t="shared" si="29"/>
        <v>1.8028846153846154</v>
      </c>
      <c r="K200" s="584">
        <v>1E-3</v>
      </c>
      <c r="L200" s="783">
        <f t="shared" si="30"/>
        <v>2.403846153846154E-2</v>
      </c>
      <c r="M200" s="586">
        <f t="shared" si="31"/>
        <v>1.8269230769230769</v>
      </c>
    </row>
    <row r="201" spans="1:13" ht="19.149999999999999" customHeight="1">
      <c r="A201" s="578">
        <v>6</v>
      </c>
      <c r="B201" s="579" t="s">
        <v>390</v>
      </c>
      <c r="C201" s="578" t="s">
        <v>385</v>
      </c>
      <c r="D201" s="578">
        <v>36</v>
      </c>
      <c r="E201" s="580">
        <f>'Bang gia'!E11</f>
        <v>270000</v>
      </c>
      <c r="F201" s="580">
        <f t="shared" si="32"/>
        <v>288.46153846153845</v>
      </c>
      <c r="G201" s="584"/>
      <c r="H201" s="580">
        <f t="shared" si="28"/>
        <v>0</v>
      </c>
      <c r="I201" s="582">
        <v>1.4999999999999999E-2</v>
      </c>
      <c r="J201" s="583">
        <f t="shared" si="29"/>
        <v>4.3269230769230766</v>
      </c>
      <c r="K201" s="584">
        <v>1E-3</v>
      </c>
      <c r="L201" s="783">
        <f t="shared" si="30"/>
        <v>0.28846153846153844</v>
      </c>
      <c r="M201" s="586">
        <f t="shared" si="31"/>
        <v>4.615384615384615</v>
      </c>
    </row>
    <row r="202" spans="1:13" ht="19.149999999999999" customHeight="1">
      <c r="A202" s="578">
        <v>7</v>
      </c>
      <c r="B202" s="579" t="s">
        <v>391</v>
      </c>
      <c r="C202" s="578" t="s">
        <v>385</v>
      </c>
      <c r="D202" s="578">
        <v>12</v>
      </c>
      <c r="E202" s="580">
        <f>'Bang gia'!E12</f>
        <v>48000</v>
      </c>
      <c r="F202" s="580">
        <f t="shared" si="32"/>
        <v>153.84615384615384</v>
      </c>
      <c r="G202" s="584"/>
      <c r="H202" s="782">
        <f t="shared" si="28"/>
        <v>0</v>
      </c>
      <c r="I202" s="582">
        <v>4.0000000000000001E-3</v>
      </c>
      <c r="J202" s="583">
        <f t="shared" si="29"/>
        <v>0.61538461538461542</v>
      </c>
      <c r="K202" s="584">
        <v>1E-3</v>
      </c>
      <c r="L202" s="783">
        <f t="shared" si="30"/>
        <v>0.15384615384615385</v>
      </c>
      <c r="M202" s="794">
        <f t="shared" si="31"/>
        <v>0.76923076923076927</v>
      </c>
    </row>
    <row r="203" spans="1:13" ht="19.149999999999999" customHeight="1">
      <c r="A203" s="578">
        <v>8</v>
      </c>
      <c r="B203" s="579" t="s">
        <v>392</v>
      </c>
      <c r="C203" s="578" t="s">
        <v>385</v>
      </c>
      <c r="D203" s="578">
        <v>12</v>
      </c>
      <c r="E203" s="580">
        <f>'Bang gia'!E13</f>
        <v>25000</v>
      </c>
      <c r="F203" s="580">
        <f t="shared" si="32"/>
        <v>80.128205128205124</v>
      </c>
      <c r="G203" s="584"/>
      <c r="H203" s="580">
        <f t="shared" si="28"/>
        <v>0</v>
      </c>
      <c r="I203" s="582">
        <v>1.7000000000000001E-2</v>
      </c>
      <c r="J203" s="583">
        <f t="shared" si="29"/>
        <v>1.3621794871794872</v>
      </c>
      <c r="K203" s="584">
        <v>2E-3</v>
      </c>
      <c r="L203" s="783">
        <f>F203*K203</f>
        <v>0.16025641025641024</v>
      </c>
      <c r="M203" s="586">
        <f t="shared" si="31"/>
        <v>1.5224358974358974</v>
      </c>
    </row>
    <row r="204" spans="1:13" ht="19.149999999999999" customHeight="1">
      <c r="A204" s="578">
        <v>9</v>
      </c>
      <c r="B204" s="579" t="s">
        <v>393</v>
      </c>
      <c r="C204" s="578" t="s">
        <v>385</v>
      </c>
      <c r="D204" s="578">
        <v>12</v>
      </c>
      <c r="E204" s="580">
        <f>'Bang gia'!E14</f>
        <v>35000</v>
      </c>
      <c r="F204" s="580">
        <f t="shared" si="32"/>
        <v>112.17948717948718</v>
      </c>
      <c r="G204" s="584"/>
      <c r="H204" s="580">
        <f t="shared" si="28"/>
        <v>0</v>
      </c>
      <c r="I204" s="582">
        <v>0.05</v>
      </c>
      <c r="J204" s="583">
        <f t="shared" si="29"/>
        <v>5.6089743589743595</v>
      </c>
      <c r="K204" s="584">
        <v>1E-3</v>
      </c>
      <c r="L204" s="783">
        <f>F204*K204</f>
        <v>0.11217948717948718</v>
      </c>
      <c r="M204" s="794">
        <f t="shared" si="31"/>
        <v>5.7211538461538467</v>
      </c>
    </row>
    <row r="205" spans="1:13" ht="19.149999999999999" customHeight="1">
      <c r="A205" s="578">
        <v>10</v>
      </c>
      <c r="B205" s="579" t="s">
        <v>394</v>
      </c>
      <c r="C205" s="578" t="s">
        <v>385</v>
      </c>
      <c r="D205" s="578">
        <v>9</v>
      </c>
      <c r="E205" s="580">
        <f>'Bang gia'!E15</f>
        <v>15000</v>
      </c>
      <c r="F205" s="580">
        <f t="shared" si="32"/>
        <v>64.102564102564102</v>
      </c>
      <c r="G205" s="584"/>
      <c r="H205" s="580">
        <f t="shared" si="28"/>
        <v>0</v>
      </c>
      <c r="I205" s="582">
        <v>2.4E-2</v>
      </c>
      <c r="J205" s="583">
        <f t="shared" si="29"/>
        <v>1.5384615384615385</v>
      </c>
      <c r="K205" s="584">
        <v>1E-3</v>
      </c>
      <c r="L205" s="783">
        <f>F205*K205</f>
        <v>6.4102564102564097E-2</v>
      </c>
      <c r="M205" s="794">
        <f t="shared" si="31"/>
        <v>1.6025641025641026</v>
      </c>
    </row>
    <row r="206" spans="1:13" ht="19.149999999999999" customHeight="1">
      <c r="A206" s="578">
        <v>11</v>
      </c>
      <c r="B206" s="579" t="s">
        <v>293</v>
      </c>
      <c r="C206" s="578" t="s">
        <v>385</v>
      </c>
      <c r="D206" s="578">
        <v>12</v>
      </c>
      <c r="E206" s="580">
        <f>'Bang gia'!E16</f>
        <v>100000</v>
      </c>
      <c r="F206" s="580">
        <f t="shared" si="32"/>
        <v>320.5128205128205</v>
      </c>
      <c r="G206" s="584"/>
      <c r="H206" s="580">
        <f t="shared" si="28"/>
        <v>0</v>
      </c>
      <c r="I206" s="582">
        <v>1.4990000000000001</v>
      </c>
      <c r="J206" s="583">
        <f t="shared" si="29"/>
        <v>480.44871794871796</v>
      </c>
      <c r="K206" s="584">
        <v>0.17899999999999999</v>
      </c>
      <c r="L206" s="585">
        <f>F206*K206</f>
        <v>57.371794871794869</v>
      </c>
      <c r="M206" s="586">
        <f t="shared" si="31"/>
        <v>537.82051282051282</v>
      </c>
    </row>
    <row r="207" spans="1:13" ht="19.149999999999999" customHeight="1">
      <c r="A207" s="578">
        <v>12</v>
      </c>
      <c r="B207" s="579" t="s">
        <v>396</v>
      </c>
      <c r="C207" s="578" t="s">
        <v>529</v>
      </c>
      <c r="D207" s="578">
        <v>6</v>
      </c>
      <c r="E207" s="580">
        <f>'Bang gia'!E17</f>
        <v>18000</v>
      </c>
      <c r="F207" s="580">
        <f t="shared" si="32"/>
        <v>115.38461538461539</v>
      </c>
      <c r="G207" s="584"/>
      <c r="H207" s="580">
        <f t="shared" si="28"/>
        <v>0</v>
      </c>
      <c r="I207" s="582">
        <v>1.4990000000000001</v>
      </c>
      <c r="J207" s="583">
        <f t="shared" si="29"/>
        <v>172.96153846153848</v>
      </c>
      <c r="K207" s="584">
        <v>0.17899999999999999</v>
      </c>
      <c r="L207" s="585">
        <f>F207*K207</f>
        <v>20.653846153846153</v>
      </c>
      <c r="M207" s="586">
        <f t="shared" si="31"/>
        <v>193.61538461538464</v>
      </c>
    </row>
    <row r="208" spans="1:13" ht="19.149999999999999" customHeight="1">
      <c r="A208" s="578">
        <v>13</v>
      </c>
      <c r="B208" s="735" t="s">
        <v>530</v>
      </c>
      <c r="C208" s="578" t="s">
        <v>385</v>
      </c>
      <c r="D208" s="578">
        <v>12</v>
      </c>
      <c r="E208" s="688">
        <f>'Bang gia'!E18</f>
        <v>25000</v>
      </c>
      <c r="F208" s="580">
        <f t="shared" si="32"/>
        <v>80.128205128205124</v>
      </c>
      <c r="G208" s="683"/>
      <c r="H208" s="580">
        <f t="shared" si="28"/>
        <v>0</v>
      </c>
      <c r="I208" s="684">
        <v>4.9000000000000002E-2</v>
      </c>
      <c r="J208" s="583">
        <f t="shared" si="29"/>
        <v>3.9262820512820511</v>
      </c>
      <c r="K208" s="683"/>
      <c r="L208" s="585"/>
      <c r="M208" s="586">
        <f t="shared" si="31"/>
        <v>3.9262820512820511</v>
      </c>
    </row>
    <row r="209" spans="1:17" ht="19.149999999999999" customHeight="1">
      <c r="A209" s="578">
        <v>14</v>
      </c>
      <c r="B209" s="735" t="s">
        <v>531</v>
      </c>
      <c r="C209" s="578" t="s">
        <v>385</v>
      </c>
      <c r="D209" s="578">
        <v>36</v>
      </c>
      <c r="E209" s="688">
        <f>'Bang gia'!E19</f>
        <v>870000</v>
      </c>
      <c r="F209" s="580">
        <f t="shared" si="32"/>
        <v>929.48717948717945</v>
      </c>
      <c r="G209" s="683"/>
      <c r="H209" s="580">
        <f t="shared" si="28"/>
        <v>0</v>
      </c>
      <c r="I209" s="684">
        <v>0.70499999999999996</v>
      </c>
      <c r="J209" s="583">
        <f t="shared" si="29"/>
        <v>655.28846153846143</v>
      </c>
      <c r="K209" s="683">
        <v>0.125</v>
      </c>
      <c r="L209" s="585">
        <f>F209*K209</f>
        <v>116.18589743589743</v>
      </c>
      <c r="M209" s="586">
        <f t="shared" si="31"/>
        <v>771.47435897435889</v>
      </c>
    </row>
    <row r="210" spans="1:17" ht="19.149999999999999" customHeight="1">
      <c r="A210" s="578">
        <v>15</v>
      </c>
      <c r="B210" s="735" t="s">
        <v>532</v>
      </c>
      <c r="C210" s="686" t="s">
        <v>533</v>
      </c>
      <c r="D210" s="686">
        <v>30</v>
      </c>
      <c r="E210" s="688">
        <f>'Bang gia'!E20</f>
        <v>65000</v>
      </c>
      <c r="F210" s="580">
        <f t="shared" si="32"/>
        <v>83.333333333333329</v>
      </c>
      <c r="G210" s="683"/>
      <c r="H210" s="580">
        <f t="shared" si="28"/>
        <v>0</v>
      </c>
      <c r="I210" s="684">
        <v>1.4990000000000001</v>
      </c>
      <c r="J210" s="583">
        <f t="shared" si="29"/>
        <v>124.91666666666667</v>
      </c>
      <c r="K210" s="683">
        <v>0.17899999999999999</v>
      </c>
      <c r="L210" s="585">
        <f>F210*K210</f>
        <v>14.916666666666666</v>
      </c>
      <c r="M210" s="586">
        <f t="shared" si="31"/>
        <v>139.83333333333334</v>
      </c>
    </row>
    <row r="211" spans="1:17" ht="19.149999999999999" customHeight="1">
      <c r="A211" s="686">
        <v>16</v>
      </c>
      <c r="B211" s="735" t="s">
        <v>534</v>
      </c>
      <c r="C211" s="686" t="s">
        <v>898</v>
      </c>
      <c r="D211" s="686"/>
      <c r="E211" s="688">
        <f>'Bang gia'!E21</f>
        <v>1554</v>
      </c>
      <c r="F211" s="688">
        <f>E211</f>
        <v>1554</v>
      </c>
      <c r="G211" s="683"/>
      <c r="H211" s="688">
        <f t="shared" si="28"/>
        <v>0</v>
      </c>
      <c r="I211" s="684">
        <v>1.044</v>
      </c>
      <c r="J211" s="689">
        <f t="shared" si="29"/>
        <v>1622.376</v>
      </c>
      <c r="K211" s="683">
        <v>0.158</v>
      </c>
      <c r="L211" s="690">
        <f>F211*K211</f>
        <v>245.53200000000001</v>
      </c>
      <c r="M211" s="691">
        <f t="shared" si="31"/>
        <v>1867.9079999999999</v>
      </c>
    </row>
    <row r="212" spans="1:17" ht="19.149999999999999" customHeight="1">
      <c r="A212" s="697"/>
      <c r="B212" s="697" t="s">
        <v>294</v>
      </c>
      <c r="C212" s="697"/>
      <c r="D212" s="697"/>
      <c r="E212" s="622"/>
      <c r="F212" s="622"/>
      <c r="G212" s="621"/>
      <c r="H212" s="622">
        <f>SUM(H196:H211)</f>
        <v>0</v>
      </c>
      <c r="I212" s="699"/>
      <c r="J212" s="700">
        <f>SUM(J196:J211)</f>
        <v>4932.07538568376</v>
      </c>
      <c r="K212" s="621"/>
      <c r="L212" s="591">
        <f>SUM(L196:L211)</f>
        <v>746.505424145299</v>
      </c>
      <c r="M212" s="591">
        <f t="shared" si="31"/>
        <v>5678.580809829059</v>
      </c>
    </row>
    <row r="213" spans="1:17" ht="18" customHeight="1">
      <c r="A213" s="697"/>
      <c r="B213" s="697" t="s">
        <v>916</v>
      </c>
      <c r="C213" s="697"/>
      <c r="D213" s="697"/>
      <c r="E213" s="622"/>
      <c r="F213" s="622"/>
      <c r="G213" s="621"/>
      <c r="H213" s="622">
        <f>(H212-H211)*5%</f>
        <v>0</v>
      </c>
      <c r="I213" s="622"/>
      <c r="J213" s="700">
        <f>(J212-J211)*5%</f>
        <v>165.484969284188</v>
      </c>
      <c r="K213" s="700"/>
      <c r="L213" s="700">
        <f>(L212-L211)*5%</f>
        <v>25.048671207264949</v>
      </c>
      <c r="M213" s="700">
        <f>(M212-M211)*5%</f>
        <v>190.53364049145296</v>
      </c>
    </row>
    <row r="214" spans="1:17" ht="18" customHeight="1">
      <c r="A214" s="702"/>
      <c r="B214" s="588" t="s">
        <v>295</v>
      </c>
      <c r="C214" s="702"/>
      <c r="D214" s="702"/>
      <c r="E214" s="784"/>
      <c r="F214" s="702"/>
      <c r="G214" s="702"/>
      <c r="H214" s="589">
        <f>H212+H213</f>
        <v>0</v>
      </c>
      <c r="I214" s="589"/>
      <c r="J214" s="700">
        <f>J212+J213</f>
        <v>5097.5603549679481</v>
      </c>
      <c r="K214" s="700"/>
      <c r="L214" s="700">
        <f>L212+L213</f>
        <v>771.55409535256399</v>
      </c>
      <c r="M214" s="700">
        <f>M212+M213</f>
        <v>5869.1144503205123</v>
      </c>
    </row>
    <row r="215" spans="1:17" ht="5.25" customHeight="1">
      <c r="A215" s="494"/>
      <c r="B215" s="778"/>
      <c r="C215" s="494"/>
      <c r="D215" s="494"/>
      <c r="E215" s="604"/>
      <c r="F215" s="494"/>
      <c r="G215" s="494"/>
      <c r="H215" s="602"/>
      <c r="I215" s="606"/>
      <c r="J215" s="779"/>
      <c r="K215" s="606"/>
      <c r="L215" s="779"/>
      <c r="M215" s="779"/>
    </row>
    <row r="216" spans="1:17">
      <c r="A216" s="743"/>
      <c r="B216" s="785" t="s">
        <v>303</v>
      </c>
      <c r="C216" s="743"/>
      <c r="D216" s="743"/>
      <c r="E216" s="744"/>
      <c r="F216" s="743"/>
      <c r="G216" s="786">
        <v>0.9</v>
      </c>
      <c r="H216" s="746">
        <f>H214*0.8</f>
        <v>0</v>
      </c>
      <c r="I216" s="786">
        <v>1</v>
      </c>
      <c r="J216" s="788">
        <f>J214</f>
        <v>5097.5603549679481</v>
      </c>
      <c r="K216" s="786">
        <v>1</v>
      </c>
      <c r="L216" s="788">
        <f>L214</f>
        <v>771.55409535256399</v>
      </c>
      <c r="M216" s="788">
        <f>H216+J216+L216</f>
        <v>5869.1144503205123</v>
      </c>
      <c r="O216" s="650">
        <f>J216/5000</f>
        <v>1.0195120709935896</v>
      </c>
      <c r="P216" s="650"/>
      <c r="Q216" s="795">
        <f>L216/5000</f>
        <v>0.15431081907051281</v>
      </c>
    </row>
    <row r="217" spans="1:17">
      <c r="A217" s="749"/>
      <c r="B217" s="789" t="s">
        <v>304</v>
      </c>
      <c r="C217" s="749"/>
      <c r="D217" s="749"/>
      <c r="E217" s="750"/>
      <c r="F217" s="749"/>
      <c r="G217" s="790">
        <v>1</v>
      </c>
      <c r="H217" s="752">
        <f>H214*0.9</f>
        <v>0</v>
      </c>
      <c r="I217" s="790">
        <v>1</v>
      </c>
      <c r="J217" s="791">
        <f>J214</f>
        <v>5097.5603549679481</v>
      </c>
      <c r="K217" s="790">
        <v>1</v>
      </c>
      <c r="L217" s="791">
        <f>L214</f>
        <v>771.55409535256399</v>
      </c>
      <c r="M217" s="791">
        <f>H217+J217+L217</f>
        <v>5869.1144503205123</v>
      </c>
    </row>
    <row r="218" spans="1:17">
      <c r="A218" s="796"/>
      <c r="B218" s="789" t="s">
        <v>314</v>
      </c>
      <c r="C218" s="796"/>
      <c r="D218" s="796"/>
      <c r="E218" s="797"/>
      <c r="F218" s="796"/>
      <c r="G218" s="798">
        <v>1.1000000000000001</v>
      </c>
      <c r="H218" s="799"/>
      <c r="I218" s="790">
        <v>1</v>
      </c>
      <c r="J218" s="800">
        <f>J214</f>
        <v>5097.5603549679481</v>
      </c>
      <c r="K218" s="790">
        <v>1</v>
      </c>
      <c r="L218" s="800">
        <f>L217</f>
        <v>771.55409535256399</v>
      </c>
      <c r="M218" s="791">
        <f>H218+J218+L218</f>
        <v>5869.1144503205123</v>
      </c>
    </row>
    <row r="219" spans="1:17">
      <c r="A219" s="756"/>
      <c r="B219" s="792" t="s">
        <v>315</v>
      </c>
      <c r="C219" s="756"/>
      <c r="D219" s="756"/>
      <c r="E219" s="757"/>
      <c r="F219" s="756"/>
      <c r="G219" s="787">
        <v>1.2</v>
      </c>
      <c r="H219" s="759">
        <f>H214</f>
        <v>0</v>
      </c>
      <c r="I219" s="787">
        <v>1</v>
      </c>
      <c r="J219" s="793">
        <f>J214</f>
        <v>5097.5603549679481</v>
      </c>
      <c r="K219" s="787">
        <v>1</v>
      </c>
      <c r="L219" s="793">
        <f>L214</f>
        <v>771.55409535256399</v>
      </c>
      <c r="M219" s="793">
        <f>H219+J219+L219</f>
        <v>5869.1144503205123</v>
      </c>
    </row>
    <row r="220" spans="1:17" ht="9.75" customHeight="1">
      <c r="A220" s="454"/>
      <c r="B220" s="454"/>
      <c r="C220" s="454"/>
    </row>
    <row r="221" spans="1:17">
      <c r="A221" s="494"/>
      <c r="B221" s="599" t="s">
        <v>299</v>
      </c>
      <c r="C221" s="494"/>
      <c r="D221" s="494"/>
      <c r="E221" s="604"/>
      <c r="F221" s="494"/>
      <c r="G221" s="494"/>
      <c r="H221" s="602"/>
      <c r="I221" s="606"/>
      <c r="J221" s="779"/>
      <c r="K221" s="606"/>
      <c r="L221" s="779"/>
      <c r="M221" s="779"/>
    </row>
    <row r="222" spans="1:17" ht="41.45" customHeight="1">
      <c r="A222" s="494"/>
      <c r="B222" s="1266" t="s">
        <v>865</v>
      </c>
      <c r="C222" s="1267"/>
      <c r="D222" s="1267"/>
      <c r="E222" s="1267"/>
      <c r="F222" s="1267"/>
      <c r="G222" s="1267"/>
      <c r="H222" s="1267"/>
      <c r="I222" s="1267"/>
      <c r="J222" s="1267"/>
      <c r="K222" s="1267"/>
      <c r="L222" s="1267"/>
      <c r="M222" s="1267"/>
    </row>
    <row r="223" spans="1:17" ht="24.6" customHeight="1">
      <c r="A223" s="494"/>
      <c r="B223" s="1260" t="s">
        <v>866</v>
      </c>
      <c r="C223" s="1260"/>
      <c r="D223" s="1260"/>
      <c r="E223" s="1260"/>
      <c r="F223" s="1260"/>
      <c r="G223" s="1260"/>
      <c r="H223" s="1260"/>
      <c r="I223" s="1260"/>
      <c r="J223" s="1260"/>
      <c r="K223" s="1260"/>
      <c r="L223" s="1260"/>
      <c r="M223" s="1260"/>
    </row>
    <row r="224" spans="1:17" ht="28.9" customHeight="1">
      <c r="A224" s="494"/>
      <c r="B224" s="1260" t="s">
        <v>867</v>
      </c>
      <c r="C224" s="1260"/>
      <c r="D224" s="1260"/>
      <c r="E224" s="1260"/>
      <c r="F224" s="1260"/>
      <c r="G224" s="1260"/>
      <c r="H224" s="1260"/>
      <c r="I224" s="1260"/>
      <c r="J224" s="1260"/>
      <c r="K224" s="1260"/>
      <c r="L224" s="1260"/>
      <c r="M224" s="1260"/>
    </row>
    <row r="225" spans="1:13" ht="34.15" customHeight="1">
      <c r="A225" s="494"/>
      <c r="B225" s="1260" t="s">
        <v>342</v>
      </c>
      <c r="C225" s="1260"/>
      <c r="D225" s="1260"/>
      <c r="E225" s="1260"/>
      <c r="F225" s="1260"/>
      <c r="G225" s="1260"/>
      <c r="H225" s="1260"/>
      <c r="I225" s="1260"/>
      <c r="J225" s="1260"/>
      <c r="K225" s="1260"/>
      <c r="L225" s="1260"/>
      <c r="M225" s="1260"/>
    </row>
    <row r="226" spans="1:13" ht="28.9" customHeight="1">
      <c r="A226" s="494"/>
      <c r="B226" s="1260" t="s">
        <v>343</v>
      </c>
      <c r="C226" s="1260"/>
      <c r="D226" s="1260"/>
      <c r="E226" s="1260"/>
      <c r="F226" s="1260"/>
      <c r="G226" s="1260"/>
      <c r="H226" s="1260"/>
      <c r="I226" s="1260"/>
      <c r="J226" s="1260"/>
      <c r="K226" s="1260"/>
      <c r="L226" s="1260"/>
      <c r="M226" s="1260"/>
    </row>
    <row r="227" spans="1:13">
      <c r="A227" s="494"/>
      <c r="B227" s="605"/>
      <c r="C227" s="494"/>
      <c r="D227" s="494"/>
      <c r="E227" s="604"/>
      <c r="F227" s="494"/>
      <c r="G227" s="494"/>
      <c r="H227" s="602"/>
      <c r="I227" s="606"/>
      <c r="J227" s="779"/>
      <c r="K227" s="606"/>
      <c r="L227" s="779"/>
      <c r="M227" s="779"/>
    </row>
    <row r="228" spans="1:13" ht="37.5" customHeight="1">
      <c r="A228" s="1228" t="s">
        <v>359</v>
      </c>
      <c r="B228" s="1228"/>
      <c r="C228" s="1228"/>
      <c r="D228" s="1228"/>
      <c r="E228" s="1228"/>
      <c r="F228" s="1228"/>
      <c r="G228" s="1228"/>
      <c r="H228" s="1228"/>
      <c r="I228" s="1228"/>
      <c r="J228" s="1228"/>
      <c r="K228" s="1228"/>
      <c r="L228" s="1228"/>
      <c r="M228" s="1228"/>
    </row>
    <row r="229" spans="1:13" ht="6.75" customHeight="1">
      <c r="A229" s="574"/>
      <c r="B229" s="574"/>
      <c r="C229" s="575"/>
      <c r="D229" s="575"/>
      <c r="E229" s="612"/>
      <c r="F229" s="576"/>
      <c r="G229" s="574"/>
      <c r="H229" s="574"/>
      <c r="I229" s="574"/>
      <c r="J229" s="574"/>
      <c r="K229" s="577"/>
      <c r="L229" s="577"/>
    </row>
    <row r="230" spans="1:13" ht="23.25" customHeight="1">
      <c r="A230" s="1245" t="s">
        <v>882</v>
      </c>
      <c r="B230" s="1245" t="s">
        <v>283</v>
      </c>
      <c r="C230" s="1245" t="s">
        <v>284</v>
      </c>
      <c r="D230" s="1248" t="s">
        <v>285</v>
      </c>
      <c r="E230" s="1245" t="s">
        <v>286</v>
      </c>
      <c r="F230" s="1245" t="s">
        <v>287</v>
      </c>
      <c r="G230" s="1254" t="s">
        <v>288</v>
      </c>
      <c r="H230" s="1255"/>
      <c r="I230" s="1255"/>
      <c r="J230" s="1255"/>
      <c r="K230" s="1255"/>
      <c r="L230" s="1256"/>
      <c r="M230" s="1245" t="s">
        <v>409</v>
      </c>
    </row>
    <row r="231" spans="1:13" ht="41.25" customHeight="1">
      <c r="A231" s="1246"/>
      <c r="B231" s="1246"/>
      <c r="C231" s="1246"/>
      <c r="D231" s="1249"/>
      <c r="E231" s="1246"/>
      <c r="F231" s="1246"/>
      <c r="G231" s="1254" t="s">
        <v>289</v>
      </c>
      <c r="H231" s="1256"/>
      <c r="I231" s="1254" t="s">
        <v>290</v>
      </c>
      <c r="J231" s="1256"/>
      <c r="K231" s="1254" t="s">
        <v>291</v>
      </c>
      <c r="L231" s="1256"/>
      <c r="M231" s="1246"/>
    </row>
    <row r="232" spans="1:13" ht="19.5" customHeight="1">
      <c r="A232" s="1247"/>
      <c r="B232" s="1247"/>
      <c r="C232" s="1247"/>
      <c r="D232" s="1250"/>
      <c r="E232" s="1247"/>
      <c r="F232" s="1247"/>
      <c r="G232" s="468" t="s">
        <v>897</v>
      </c>
      <c r="H232" s="468" t="s">
        <v>986</v>
      </c>
      <c r="I232" s="468" t="s">
        <v>897</v>
      </c>
      <c r="J232" s="468" t="s">
        <v>986</v>
      </c>
      <c r="K232" s="468" t="s">
        <v>897</v>
      </c>
      <c r="L232" s="468" t="s">
        <v>986</v>
      </c>
      <c r="M232" s="1247"/>
    </row>
    <row r="233" spans="1:13" ht="22.15" customHeight="1">
      <c r="A233" s="623">
        <v>1</v>
      </c>
      <c r="B233" s="624" t="s">
        <v>384</v>
      </c>
      <c r="C233" s="623" t="s">
        <v>385</v>
      </c>
      <c r="D233" s="623">
        <v>36</v>
      </c>
      <c r="E233" s="625">
        <f>'Bang gia'!E6</f>
        <v>230000</v>
      </c>
      <c r="F233" s="580">
        <f>E233/(D233*26)</f>
        <v>245.72649572649573</v>
      </c>
      <c r="G233" s="626">
        <v>1.7999999999999999E-2</v>
      </c>
      <c r="H233" s="625">
        <f t="shared" ref="H233:H248" si="33">F233*G233</f>
        <v>4.4230769230769225</v>
      </c>
      <c r="I233" s="626">
        <v>1.8480000000000001</v>
      </c>
      <c r="J233" s="627">
        <f t="shared" ref="J233:J248" si="34">F233*I233</f>
        <v>454.10256410256414</v>
      </c>
      <c r="K233" s="626"/>
      <c r="L233" s="628"/>
      <c r="M233" s="627">
        <f t="shared" ref="M233:M249" si="35">H233+J233+L233</f>
        <v>458.52564102564105</v>
      </c>
    </row>
    <row r="234" spans="1:13" ht="22.15" customHeight="1">
      <c r="A234" s="578">
        <v>2</v>
      </c>
      <c r="B234" s="630" t="s">
        <v>386</v>
      </c>
      <c r="C234" s="578" t="s">
        <v>385</v>
      </c>
      <c r="D234" s="578">
        <v>96</v>
      </c>
      <c r="E234" s="580">
        <f>'Bang gia'!E7</f>
        <v>360000</v>
      </c>
      <c r="F234" s="580">
        <f>E234/(D234*26)</f>
        <v>144.23076923076923</v>
      </c>
      <c r="G234" s="626">
        <v>1.7999999999999999E-2</v>
      </c>
      <c r="H234" s="580">
        <f t="shared" si="33"/>
        <v>2.5961538461538458</v>
      </c>
      <c r="I234" s="582">
        <v>2.448</v>
      </c>
      <c r="J234" s="583">
        <f t="shared" si="34"/>
        <v>353.07692307692304</v>
      </c>
      <c r="K234" s="584"/>
      <c r="L234" s="585"/>
      <c r="M234" s="586">
        <f t="shared" si="35"/>
        <v>355.67307692307691</v>
      </c>
    </row>
    <row r="235" spans="1:13" ht="22.15" customHeight="1">
      <c r="A235" s="578">
        <v>3</v>
      </c>
      <c r="B235" s="579" t="s">
        <v>387</v>
      </c>
      <c r="C235" s="578" t="s">
        <v>385</v>
      </c>
      <c r="D235" s="578">
        <v>96</v>
      </c>
      <c r="E235" s="580">
        <f>'Bang gia'!E8</f>
        <v>754000</v>
      </c>
      <c r="F235" s="580">
        <f>E235/(D235*26)</f>
        <v>302.08333333333331</v>
      </c>
      <c r="G235" s="626">
        <v>1.7999999999999999E-2</v>
      </c>
      <c r="H235" s="580">
        <f t="shared" si="33"/>
        <v>5.4374999999999991</v>
      </c>
      <c r="I235" s="582">
        <v>2.448</v>
      </c>
      <c r="J235" s="583">
        <f t="shared" si="34"/>
        <v>739.49999999999989</v>
      </c>
      <c r="K235" s="584"/>
      <c r="L235" s="585"/>
      <c r="M235" s="586">
        <f t="shared" si="35"/>
        <v>744.93749999999989</v>
      </c>
    </row>
    <row r="236" spans="1:13" ht="22.15" customHeight="1">
      <c r="A236" s="578">
        <v>4</v>
      </c>
      <c r="B236" s="579" t="s">
        <v>388</v>
      </c>
      <c r="C236" s="578" t="s">
        <v>385</v>
      </c>
      <c r="D236" s="578">
        <v>96</v>
      </c>
      <c r="E236" s="580">
        <f>'Bang gia'!E9</f>
        <v>2331000</v>
      </c>
      <c r="F236" s="580">
        <f t="shared" ref="F236:F247" si="36">E236/(D236*26)</f>
        <v>933.89423076923072</v>
      </c>
      <c r="G236" s="626">
        <v>1.7999999999999999E-2</v>
      </c>
      <c r="H236" s="580">
        <f t="shared" si="33"/>
        <v>16.810096153846153</v>
      </c>
      <c r="I236" s="626">
        <v>1.8480000000000001</v>
      </c>
      <c r="J236" s="583">
        <f t="shared" si="34"/>
        <v>1725.8365384615383</v>
      </c>
      <c r="K236" s="584"/>
      <c r="L236" s="585"/>
      <c r="M236" s="586">
        <f t="shared" si="35"/>
        <v>1742.6466346153845</v>
      </c>
    </row>
    <row r="237" spans="1:13" ht="22.15" customHeight="1">
      <c r="A237" s="578">
        <v>5</v>
      </c>
      <c r="B237" s="579" t="s">
        <v>389</v>
      </c>
      <c r="C237" s="578" t="s">
        <v>385</v>
      </c>
      <c r="D237" s="578">
        <v>24</v>
      </c>
      <c r="E237" s="580">
        <f>'Bang gia'!E10</f>
        <v>15000</v>
      </c>
      <c r="F237" s="580">
        <f t="shared" si="36"/>
        <v>24.03846153846154</v>
      </c>
      <c r="G237" s="584"/>
      <c r="H237" s="801">
        <f t="shared" si="33"/>
        <v>0</v>
      </c>
      <c r="I237" s="582">
        <v>0.22700000000000001</v>
      </c>
      <c r="J237" s="583">
        <f t="shared" si="34"/>
        <v>5.4567307692307701</v>
      </c>
      <c r="K237" s="584"/>
      <c r="L237" s="585"/>
      <c r="M237" s="586">
        <f t="shared" si="35"/>
        <v>5.4567307692307701</v>
      </c>
    </row>
    <row r="238" spans="1:13" ht="22.15" customHeight="1">
      <c r="A238" s="578">
        <v>6</v>
      </c>
      <c r="B238" s="579" t="s">
        <v>390</v>
      </c>
      <c r="C238" s="578" t="s">
        <v>385</v>
      </c>
      <c r="D238" s="578">
        <v>36</v>
      </c>
      <c r="E238" s="580">
        <f>'Bang gia'!E11</f>
        <v>270000</v>
      </c>
      <c r="F238" s="580">
        <f t="shared" si="36"/>
        <v>288.46153846153845</v>
      </c>
      <c r="G238" s="584"/>
      <c r="H238" s="801">
        <f t="shared" si="33"/>
        <v>0</v>
      </c>
      <c r="I238" s="582">
        <v>4.3999999999999997E-2</v>
      </c>
      <c r="J238" s="583">
        <f t="shared" si="34"/>
        <v>12.692307692307692</v>
      </c>
      <c r="K238" s="584"/>
      <c r="L238" s="585"/>
      <c r="M238" s="586">
        <f t="shared" si="35"/>
        <v>12.692307692307692</v>
      </c>
    </row>
    <row r="239" spans="1:13" ht="22.15" customHeight="1">
      <c r="A239" s="578">
        <v>7</v>
      </c>
      <c r="B239" s="579" t="s">
        <v>391</v>
      </c>
      <c r="C239" s="578" t="s">
        <v>385</v>
      </c>
      <c r="D239" s="578">
        <v>12</v>
      </c>
      <c r="E239" s="580">
        <f>'Bang gia'!E12</f>
        <v>48000</v>
      </c>
      <c r="F239" s="580">
        <f t="shared" si="36"/>
        <v>153.84615384615384</v>
      </c>
      <c r="G239" s="584"/>
      <c r="H239" s="801"/>
      <c r="I239" s="582">
        <v>1.0999999999999999E-2</v>
      </c>
      <c r="J239" s="802">
        <f t="shared" si="34"/>
        <v>1.6923076923076921</v>
      </c>
      <c r="K239" s="584"/>
      <c r="L239" s="585"/>
      <c r="M239" s="794">
        <f t="shared" si="35"/>
        <v>1.6923076923076921</v>
      </c>
    </row>
    <row r="240" spans="1:13" ht="22.15" customHeight="1">
      <c r="A240" s="578">
        <v>8</v>
      </c>
      <c r="B240" s="579" t="s">
        <v>392</v>
      </c>
      <c r="C240" s="578" t="s">
        <v>385</v>
      </c>
      <c r="D240" s="578">
        <v>12</v>
      </c>
      <c r="E240" s="580">
        <f>'Bang gia'!E13</f>
        <v>25000</v>
      </c>
      <c r="F240" s="580">
        <f t="shared" si="36"/>
        <v>80.128205128205124</v>
      </c>
      <c r="G240" s="584"/>
      <c r="H240" s="801">
        <f t="shared" si="33"/>
        <v>0</v>
      </c>
      <c r="I240" s="582">
        <v>0.48</v>
      </c>
      <c r="J240" s="583">
        <f t="shared" si="34"/>
        <v>38.46153846153846</v>
      </c>
      <c r="K240" s="584"/>
      <c r="L240" s="585"/>
      <c r="M240" s="586">
        <f t="shared" si="35"/>
        <v>38.46153846153846</v>
      </c>
    </row>
    <row r="241" spans="1:19" ht="22.15" customHeight="1">
      <c r="A241" s="578">
        <v>9</v>
      </c>
      <c r="B241" s="579" t="s">
        <v>393</v>
      </c>
      <c r="C241" s="578" t="s">
        <v>385</v>
      </c>
      <c r="D241" s="578">
        <v>12</v>
      </c>
      <c r="E241" s="580">
        <f>'Bang gia'!E14</f>
        <v>35000</v>
      </c>
      <c r="F241" s="580">
        <f t="shared" si="36"/>
        <v>112.17948717948718</v>
      </c>
      <c r="G241" s="584"/>
      <c r="H241" s="580"/>
      <c r="I241" s="582">
        <v>0.15</v>
      </c>
      <c r="J241" s="802">
        <f t="shared" si="34"/>
        <v>16.826923076923077</v>
      </c>
      <c r="K241" s="584"/>
      <c r="L241" s="585"/>
      <c r="M241" s="794">
        <f t="shared" si="35"/>
        <v>16.826923076923077</v>
      </c>
    </row>
    <row r="242" spans="1:19" ht="22.15" customHeight="1">
      <c r="A242" s="578">
        <v>10</v>
      </c>
      <c r="B242" s="579" t="s">
        <v>394</v>
      </c>
      <c r="C242" s="578" t="s">
        <v>385</v>
      </c>
      <c r="D242" s="578">
        <v>9</v>
      </c>
      <c r="E242" s="580">
        <f>'Bang gia'!E15</f>
        <v>15000</v>
      </c>
      <c r="F242" s="580">
        <f t="shared" si="36"/>
        <v>64.102564102564102</v>
      </c>
      <c r="G242" s="584"/>
      <c r="H242" s="580"/>
      <c r="I242" s="582">
        <v>7.1999999999999995E-2</v>
      </c>
      <c r="J242" s="802">
        <f t="shared" si="34"/>
        <v>4.615384615384615</v>
      </c>
      <c r="K242" s="584"/>
      <c r="L242" s="585"/>
      <c r="M242" s="794">
        <f t="shared" si="35"/>
        <v>4.615384615384615</v>
      </c>
    </row>
    <row r="243" spans="1:19" ht="22.15" customHeight="1">
      <c r="A243" s="578">
        <v>11</v>
      </c>
      <c r="B243" s="579" t="s">
        <v>293</v>
      </c>
      <c r="C243" s="578" t="s">
        <v>385</v>
      </c>
      <c r="D243" s="578">
        <v>12</v>
      </c>
      <c r="E243" s="580">
        <f>'Bang gia'!E16</f>
        <v>100000</v>
      </c>
      <c r="F243" s="580">
        <f t="shared" si="36"/>
        <v>320.5128205128205</v>
      </c>
      <c r="G243" s="626">
        <v>1.7999999999999999E-2</v>
      </c>
      <c r="H243" s="580">
        <f t="shared" si="33"/>
        <v>5.7692307692307683</v>
      </c>
      <c r="I243" s="582">
        <v>2.448</v>
      </c>
      <c r="J243" s="583">
        <f t="shared" si="34"/>
        <v>784.61538461538453</v>
      </c>
      <c r="K243" s="584"/>
      <c r="L243" s="585"/>
      <c r="M243" s="586">
        <f t="shared" si="35"/>
        <v>790.38461538461524</v>
      </c>
    </row>
    <row r="244" spans="1:19" ht="22.15" customHeight="1">
      <c r="A244" s="578">
        <v>12</v>
      </c>
      <c r="B244" s="579" t="s">
        <v>396</v>
      </c>
      <c r="C244" s="578" t="s">
        <v>529</v>
      </c>
      <c r="D244" s="578">
        <v>6</v>
      </c>
      <c r="E244" s="580">
        <f>'Bang gia'!E17</f>
        <v>18000</v>
      </c>
      <c r="F244" s="580">
        <f t="shared" si="36"/>
        <v>115.38461538461539</v>
      </c>
      <c r="G244" s="626">
        <v>1.7999999999999999E-2</v>
      </c>
      <c r="H244" s="580">
        <f t="shared" si="33"/>
        <v>2.0769230769230766</v>
      </c>
      <c r="I244" s="582">
        <v>2.448</v>
      </c>
      <c r="J244" s="583">
        <f t="shared" si="34"/>
        <v>282.46153846153845</v>
      </c>
      <c r="K244" s="584"/>
      <c r="L244" s="585"/>
      <c r="M244" s="586">
        <f t="shared" si="35"/>
        <v>284.53846153846155</v>
      </c>
    </row>
    <row r="245" spans="1:19" ht="22.15" customHeight="1">
      <c r="A245" s="578">
        <v>13</v>
      </c>
      <c r="B245" s="735" t="s">
        <v>530</v>
      </c>
      <c r="C245" s="578" t="s">
        <v>385</v>
      </c>
      <c r="D245" s="578">
        <v>12</v>
      </c>
      <c r="E245" s="688">
        <f>'Bang gia'!E18</f>
        <v>25000</v>
      </c>
      <c r="F245" s="580">
        <f t="shared" si="36"/>
        <v>80.128205128205124</v>
      </c>
      <c r="G245" s="683"/>
      <c r="H245" s="580"/>
      <c r="I245" s="684">
        <v>0.15</v>
      </c>
      <c r="J245" s="583">
        <f t="shared" si="34"/>
        <v>12.019230769230768</v>
      </c>
      <c r="K245" s="683"/>
      <c r="L245" s="585"/>
      <c r="M245" s="586">
        <f t="shared" si="35"/>
        <v>12.019230769230768</v>
      </c>
    </row>
    <row r="246" spans="1:19" ht="22.15" customHeight="1">
      <c r="A246" s="578">
        <v>14</v>
      </c>
      <c r="B246" s="735" t="s">
        <v>531</v>
      </c>
      <c r="C246" s="578" t="s">
        <v>385</v>
      </c>
      <c r="D246" s="578">
        <v>36</v>
      </c>
      <c r="E246" s="688">
        <f>'Bang gia'!E19</f>
        <v>870000</v>
      </c>
      <c r="F246" s="580">
        <f t="shared" si="36"/>
        <v>929.48717948717945</v>
      </c>
      <c r="G246" s="683">
        <v>8.9999999999999993E-3</v>
      </c>
      <c r="H246" s="580">
        <f t="shared" si="33"/>
        <v>8.365384615384615</v>
      </c>
      <c r="I246" s="684">
        <v>0.90200000000000002</v>
      </c>
      <c r="J246" s="583">
        <f t="shared" si="34"/>
        <v>838.39743589743591</v>
      </c>
      <c r="K246" s="683"/>
      <c r="L246" s="585"/>
      <c r="M246" s="586">
        <f t="shared" si="35"/>
        <v>846.76282051282055</v>
      </c>
    </row>
    <row r="247" spans="1:19" ht="22.15" customHeight="1">
      <c r="A247" s="578">
        <v>15</v>
      </c>
      <c r="B247" s="735" t="s">
        <v>532</v>
      </c>
      <c r="C247" s="686" t="s">
        <v>533</v>
      </c>
      <c r="D247" s="686">
        <v>30</v>
      </c>
      <c r="E247" s="688">
        <f>'Bang gia'!E20</f>
        <v>65000</v>
      </c>
      <c r="F247" s="580">
        <f t="shared" si="36"/>
        <v>83.333333333333329</v>
      </c>
      <c r="G247" s="683">
        <v>1.7999999999999999E-2</v>
      </c>
      <c r="H247" s="580">
        <f t="shared" si="33"/>
        <v>1.4999999999999998</v>
      </c>
      <c r="I247" s="684">
        <v>2.448</v>
      </c>
      <c r="J247" s="583">
        <f t="shared" si="34"/>
        <v>203.99999999999997</v>
      </c>
      <c r="K247" s="683"/>
      <c r="L247" s="585"/>
      <c r="M247" s="586">
        <f t="shared" si="35"/>
        <v>205.49999999999997</v>
      </c>
    </row>
    <row r="248" spans="1:19" ht="22.15" customHeight="1">
      <c r="A248" s="686">
        <v>16</v>
      </c>
      <c r="B248" s="735" t="s">
        <v>534</v>
      </c>
      <c r="C248" s="686" t="s">
        <v>898</v>
      </c>
      <c r="D248" s="686"/>
      <c r="E248" s="688">
        <f>'Bang gia'!E21</f>
        <v>1554</v>
      </c>
      <c r="F248" s="688">
        <f>E248</f>
        <v>1554</v>
      </c>
      <c r="G248" s="683">
        <v>1.4E-2</v>
      </c>
      <c r="H248" s="688">
        <f t="shared" si="33"/>
        <v>21.756</v>
      </c>
      <c r="I248" s="684">
        <v>1.5049999999999999</v>
      </c>
      <c r="J248" s="689">
        <f t="shared" si="34"/>
        <v>2338.77</v>
      </c>
      <c r="K248" s="683"/>
      <c r="L248" s="690"/>
      <c r="M248" s="691">
        <f t="shared" si="35"/>
        <v>2360.5259999999998</v>
      </c>
    </row>
    <row r="249" spans="1:19" ht="22.15" customHeight="1">
      <c r="A249" s="697"/>
      <c r="B249" s="697" t="s">
        <v>294</v>
      </c>
      <c r="C249" s="697"/>
      <c r="D249" s="697"/>
      <c r="E249" s="622"/>
      <c r="F249" s="622"/>
      <c r="G249" s="621"/>
      <c r="H249" s="622">
        <f>SUM(H233:H248)</f>
        <v>68.734365384615373</v>
      </c>
      <c r="I249" s="699"/>
      <c r="J249" s="700">
        <f>SUM(J233:J248)</f>
        <v>7812.5248076923071</v>
      </c>
      <c r="K249" s="621"/>
      <c r="L249" s="803">
        <f>SUM(L233:L248)</f>
        <v>0</v>
      </c>
      <c r="M249" s="591">
        <f t="shared" si="35"/>
        <v>7881.2591730769227</v>
      </c>
    </row>
    <row r="250" spans="1:19" ht="22.15" customHeight="1">
      <c r="A250" s="697"/>
      <c r="B250" s="697" t="s">
        <v>916</v>
      </c>
      <c r="C250" s="697"/>
      <c r="D250" s="697"/>
      <c r="E250" s="622"/>
      <c r="F250" s="622"/>
      <c r="G250" s="621"/>
      <c r="H250" s="622">
        <f>(H249-H248)*5%</f>
        <v>2.3489182692307686</v>
      </c>
      <c r="I250" s="622"/>
      <c r="J250" s="622">
        <f>(J249-J248)*5%</f>
        <v>273.68774038461532</v>
      </c>
      <c r="K250" s="700"/>
      <c r="L250" s="804">
        <f>(L249-L248)*5%</f>
        <v>0</v>
      </c>
      <c r="M250" s="622">
        <f>(M249-M248)*5%</f>
        <v>276.03665865384613</v>
      </c>
    </row>
    <row r="251" spans="1:19" ht="22.15" customHeight="1">
      <c r="A251" s="702"/>
      <c r="B251" s="588" t="s">
        <v>316</v>
      </c>
      <c r="C251" s="702"/>
      <c r="D251" s="702"/>
      <c r="E251" s="784"/>
      <c r="F251" s="702"/>
      <c r="G251" s="702"/>
      <c r="H251" s="589">
        <f>H249+H250</f>
        <v>71.083283653846138</v>
      </c>
      <c r="I251" s="589"/>
      <c r="J251" s="700">
        <f>J249+J250</f>
        <v>8086.2125480769228</v>
      </c>
      <c r="K251" s="700"/>
      <c r="L251" s="805">
        <f>L249+L250</f>
        <v>0</v>
      </c>
      <c r="M251" s="700">
        <f>M249+M250</f>
        <v>8157.2958317307684</v>
      </c>
      <c r="O251" s="637">
        <f>H251*1.3</f>
        <v>92.408268749999976</v>
      </c>
      <c r="P251" s="637"/>
      <c r="Q251" s="637">
        <f>J251*1.3</f>
        <v>10512.076312499999</v>
      </c>
      <c r="S251" s="454"/>
    </row>
    <row r="252" spans="1:19" ht="5.25" customHeight="1">
      <c r="A252" s="454"/>
      <c r="B252" s="454"/>
      <c r="C252" s="454"/>
    </row>
    <row r="253" spans="1:19" ht="15" customHeight="1">
      <c r="A253" s="494"/>
      <c r="B253" s="599" t="s">
        <v>299</v>
      </c>
      <c r="C253" s="494"/>
      <c r="D253" s="494"/>
      <c r="E253" s="604"/>
      <c r="F253" s="494"/>
      <c r="G253" s="494"/>
      <c r="H253" s="602"/>
      <c r="I253" s="606"/>
      <c r="J253" s="779"/>
      <c r="K253" s="606"/>
      <c r="L253" s="779"/>
      <c r="M253" s="779"/>
    </row>
    <row r="254" spans="1:19" ht="15.95" customHeight="1">
      <c r="A254" s="494"/>
      <c r="B254" s="603" t="s">
        <v>459</v>
      </c>
      <c r="C254" s="494"/>
      <c r="D254" s="494"/>
      <c r="E254" s="604"/>
      <c r="F254" s="494"/>
      <c r="G254" s="494"/>
      <c r="H254" s="602"/>
      <c r="I254" s="606"/>
      <c r="J254" s="779"/>
      <c r="K254" s="606"/>
      <c r="L254" s="779"/>
      <c r="M254" s="779"/>
    </row>
    <row r="255" spans="1:19" ht="27" customHeight="1">
      <c r="A255" s="494"/>
      <c r="B255" s="1260" t="s">
        <v>460</v>
      </c>
      <c r="C255" s="1260"/>
      <c r="D255" s="1260"/>
      <c r="E255" s="1260"/>
      <c r="F255" s="1260"/>
      <c r="G255" s="1260"/>
      <c r="H255" s="1260"/>
      <c r="I255" s="1260"/>
      <c r="J255" s="1260"/>
      <c r="K255" s="1260"/>
      <c r="L255" s="1260"/>
      <c r="M255" s="1260"/>
    </row>
    <row r="256" spans="1:19" ht="15.95" customHeight="1">
      <c r="A256" s="494"/>
      <c r="B256" s="806"/>
      <c r="C256" s="494"/>
      <c r="D256" s="494"/>
      <c r="E256" s="604"/>
      <c r="F256" s="494"/>
      <c r="G256" s="494"/>
      <c r="H256" s="602"/>
      <c r="I256" s="606"/>
      <c r="J256" s="779"/>
      <c r="K256" s="606"/>
      <c r="L256" s="779"/>
      <c r="M256" s="779"/>
    </row>
    <row r="257" spans="1:13" ht="37.5" customHeight="1">
      <c r="A257" s="1228" t="s">
        <v>360</v>
      </c>
      <c r="B257" s="1228"/>
      <c r="C257" s="1228"/>
      <c r="D257" s="1228"/>
      <c r="E257" s="1228"/>
      <c r="F257" s="1228"/>
      <c r="G257" s="1228"/>
      <c r="H257" s="1228"/>
      <c r="I257" s="1228"/>
      <c r="J257" s="1228"/>
      <c r="K257" s="1228"/>
      <c r="L257" s="1228"/>
      <c r="M257" s="1228"/>
    </row>
    <row r="258" spans="1:13" ht="6.75" customHeight="1">
      <c r="A258" s="574"/>
      <c r="B258" s="574"/>
      <c r="C258" s="575"/>
      <c r="D258" s="575"/>
      <c r="E258" s="612"/>
      <c r="F258" s="576"/>
      <c r="G258" s="574"/>
      <c r="H258" s="574"/>
      <c r="I258" s="574"/>
      <c r="J258" s="574"/>
      <c r="K258" s="577"/>
      <c r="L258" s="577"/>
    </row>
    <row r="259" spans="1:13" ht="23.25" customHeight="1">
      <c r="A259" s="1245" t="s">
        <v>882</v>
      </c>
      <c r="B259" s="1245" t="s">
        <v>283</v>
      </c>
      <c r="C259" s="1245" t="s">
        <v>284</v>
      </c>
      <c r="D259" s="1248" t="s">
        <v>285</v>
      </c>
      <c r="E259" s="1245" t="s">
        <v>286</v>
      </c>
      <c r="F259" s="1245" t="s">
        <v>287</v>
      </c>
      <c r="G259" s="1254" t="s">
        <v>288</v>
      </c>
      <c r="H259" s="1255"/>
      <c r="I259" s="1255"/>
      <c r="J259" s="1255"/>
      <c r="K259" s="1255"/>
      <c r="L259" s="1256"/>
      <c r="M259" s="1245" t="s">
        <v>409</v>
      </c>
    </row>
    <row r="260" spans="1:13" ht="41.25" customHeight="1">
      <c r="A260" s="1246"/>
      <c r="B260" s="1246"/>
      <c r="C260" s="1246"/>
      <c r="D260" s="1249"/>
      <c r="E260" s="1246"/>
      <c r="F260" s="1246"/>
      <c r="G260" s="1254" t="s">
        <v>289</v>
      </c>
      <c r="H260" s="1256"/>
      <c r="I260" s="1254" t="s">
        <v>290</v>
      </c>
      <c r="J260" s="1256"/>
      <c r="K260" s="1254" t="s">
        <v>291</v>
      </c>
      <c r="L260" s="1256"/>
      <c r="M260" s="1246"/>
    </row>
    <row r="261" spans="1:13" ht="18.75" customHeight="1">
      <c r="A261" s="1247"/>
      <c r="B261" s="1247"/>
      <c r="C261" s="1247"/>
      <c r="D261" s="1250"/>
      <c r="E261" s="1247"/>
      <c r="F261" s="1247"/>
      <c r="G261" s="468" t="s">
        <v>897</v>
      </c>
      <c r="H261" s="468" t="s">
        <v>986</v>
      </c>
      <c r="I261" s="468" t="s">
        <v>897</v>
      </c>
      <c r="J261" s="468" t="s">
        <v>986</v>
      </c>
      <c r="K261" s="468" t="s">
        <v>897</v>
      </c>
      <c r="L261" s="468" t="s">
        <v>986</v>
      </c>
      <c r="M261" s="1247"/>
    </row>
    <row r="262" spans="1:13" ht="21.6" customHeight="1">
      <c r="A262" s="623">
        <v>1</v>
      </c>
      <c r="B262" s="624" t="s">
        <v>384</v>
      </c>
      <c r="C262" s="623" t="s">
        <v>385</v>
      </c>
      <c r="D262" s="623">
        <v>36</v>
      </c>
      <c r="E262" s="625">
        <f t="shared" ref="E262:E277" si="37">E233</f>
        <v>230000</v>
      </c>
      <c r="F262" s="580">
        <f>E262/(D262*26)</f>
        <v>245.72649572649573</v>
      </c>
      <c r="G262" s="807">
        <v>2.4E-2</v>
      </c>
      <c r="H262" s="625">
        <f t="shared" ref="H262:H267" si="38">F262*G262</f>
        <v>5.8974358974358978</v>
      </c>
      <c r="I262" s="626"/>
      <c r="J262" s="627"/>
      <c r="K262" s="626">
        <v>2.464</v>
      </c>
      <c r="L262" s="628">
        <f>F262*K262</f>
        <v>605.47008547008545</v>
      </c>
      <c r="M262" s="627">
        <f t="shared" ref="M262:M278" si="39">H262+J262+L262</f>
        <v>611.36752136752136</v>
      </c>
    </row>
    <row r="263" spans="1:13" ht="21.6" customHeight="1">
      <c r="A263" s="578">
        <v>2</v>
      </c>
      <c r="B263" s="630" t="s">
        <v>386</v>
      </c>
      <c r="C263" s="578" t="s">
        <v>385</v>
      </c>
      <c r="D263" s="578">
        <v>96</v>
      </c>
      <c r="E263" s="580">
        <f t="shared" si="37"/>
        <v>360000</v>
      </c>
      <c r="F263" s="682">
        <f>E263/(D263*26)</f>
        <v>144.23076923076923</v>
      </c>
      <c r="G263" s="808">
        <v>2.4E-2</v>
      </c>
      <c r="H263" s="809">
        <f t="shared" si="38"/>
        <v>3.4615384615384617</v>
      </c>
      <c r="I263" s="582"/>
      <c r="J263" s="583"/>
      <c r="K263" s="582">
        <v>3.2639999999999998</v>
      </c>
      <c r="L263" s="585">
        <f>K263*F263</f>
        <v>470.76923076923072</v>
      </c>
      <c r="M263" s="586">
        <f t="shared" si="39"/>
        <v>474.23076923076917</v>
      </c>
    </row>
    <row r="264" spans="1:13" ht="21.6" customHeight="1">
      <c r="A264" s="578">
        <v>3</v>
      </c>
      <c r="B264" s="579" t="s">
        <v>387</v>
      </c>
      <c r="C264" s="578" t="s">
        <v>385</v>
      </c>
      <c r="D264" s="578">
        <v>96</v>
      </c>
      <c r="E264" s="580">
        <f t="shared" si="37"/>
        <v>754000</v>
      </c>
      <c r="F264" s="682">
        <f>E264/(D264*26)</f>
        <v>302.08333333333331</v>
      </c>
      <c r="G264" s="808">
        <v>2.4E-2</v>
      </c>
      <c r="H264" s="809">
        <f t="shared" si="38"/>
        <v>7.25</v>
      </c>
      <c r="I264" s="582"/>
      <c r="J264" s="583"/>
      <c r="K264" s="582">
        <v>2.2639999999999998</v>
      </c>
      <c r="L264" s="585">
        <f t="shared" ref="L264:L277" si="40">K264*F264</f>
        <v>683.91666666666652</v>
      </c>
      <c r="M264" s="586">
        <f t="shared" si="39"/>
        <v>691.16666666666652</v>
      </c>
    </row>
    <row r="265" spans="1:13" ht="21.6" customHeight="1">
      <c r="A265" s="578">
        <v>4</v>
      </c>
      <c r="B265" s="579" t="s">
        <v>388</v>
      </c>
      <c r="C265" s="578" t="s">
        <v>385</v>
      </c>
      <c r="D265" s="578">
        <v>96</v>
      </c>
      <c r="E265" s="580">
        <f t="shared" si="37"/>
        <v>2331000</v>
      </c>
      <c r="F265" s="580">
        <f t="shared" ref="F265:F276" si="41">E265/(D265*26)</f>
        <v>933.89423076923072</v>
      </c>
      <c r="G265" s="658">
        <v>2.4E-2</v>
      </c>
      <c r="H265" s="580">
        <f t="shared" si="38"/>
        <v>22.413461538461537</v>
      </c>
      <c r="I265" s="582"/>
      <c r="J265" s="583"/>
      <c r="K265" s="582">
        <v>2.464</v>
      </c>
      <c r="L265" s="585">
        <f t="shared" si="40"/>
        <v>2301.1153846153843</v>
      </c>
      <c r="M265" s="586">
        <f t="shared" si="39"/>
        <v>2323.5288461538457</v>
      </c>
    </row>
    <row r="266" spans="1:13" ht="21.6" customHeight="1">
      <c r="A266" s="578">
        <v>5</v>
      </c>
      <c r="B266" s="579" t="s">
        <v>389</v>
      </c>
      <c r="C266" s="578" t="s">
        <v>385</v>
      </c>
      <c r="D266" s="578">
        <v>24</v>
      </c>
      <c r="E266" s="580">
        <f t="shared" si="37"/>
        <v>15000</v>
      </c>
      <c r="F266" s="580">
        <f t="shared" si="41"/>
        <v>24.03846153846154</v>
      </c>
      <c r="G266" s="584"/>
      <c r="H266" s="801">
        <f t="shared" si="38"/>
        <v>0</v>
      </c>
      <c r="I266" s="582"/>
      <c r="J266" s="583"/>
      <c r="K266" s="582">
        <v>0.30199999999999999</v>
      </c>
      <c r="L266" s="585">
        <f t="shared" si="40"/>
        <v>7.259615384615385</v>
      </c>
      <c r="M266" s="586">
        <f t="shared" si="39"/>
        <v>7.259615384615385</v>
      </c>
    </row>
    <row r="267" spans="1:13" ht="21.6" customHeight="1">
      <c r="A267" s="578">
        <v>6</v>
      </c>
      <c r="B267" s="579" t="s">
        <v>390</v>
      </c>
      <c r="C267" s="578" t="s">
        <v>385</v>
      </c>
      <c r="D267" s="578">
        <v>36</v>
      </c>
      <c r="E267" s="580">
        <f t="shared" si="37"/>
        <v>270000</v>
      </c>
      <c r="F267" s="580">
        <f t="shared" si="41"/>
        <v>288.46153846153845</v>
      </c>
      <c r="G267" s="584"/>
      <c r="H267" s="801">
        <f t="shared" si="38"/>
        <v>0</v>
      </c>
      <c r="I267" s="582"/>
      <c r="J267" s="583"/>
      <c r="K267" s="582">
        <v>5.8000000000000003E-2</v>
      </c>
      <c r="L267" s="585">
        <f t="shared" si="40"/>
        <v>16.73076923076923</v>
      </c>
      <c r="M267" s="586">
        <f t="shared" si="39"/>
        <v>16.73076923076923</v>
      </c>
    </row>
    <row r="268" spans="1:13" ht="21.6" customHeight="1">
      <c r="A268" s="578">
        <v>7</v>
      </c>
      <c r="B268" s="579" t="s">
        <v>391</v>
      </c>
      <c r="C268" s="578" t="s">
        <v>385</v>
      </c>
      <c r="D268" s="578">
        <v>12</v>
      </c>
      <c r="E268" s="580">
        <f t="shared" si="37"/>
        <v>48000</v>
      </c>
      <c r="F268" s="580">
        <f t="shared" si="41"/>
        <v>153.84615384615384</v>
      </c>
      <c r="G268" s="584"/>
      <c r="H268" s="801"/>
      <c r="I268" s="582"/>
      <c r="J268" s="583"/>
      <c r="K268" s="582">
        <v>1.4E-2</v>
      </c>
      <c r="L268" s="585">
        <f t="shared" si="40"/>
        <v>2.1538461538461537</v>
      </c>
      <c r="M268" s="794">
        <f t="shared" si="39"/>
        <v>2.1538461538461537</v>
      </c>
    </row>
    <row r="269" spans="1:13" ht="21.6" customHeight="1">
      <c r="A269" s="578">
        <v>8</v>
      </c>
      <c r="B269" s="579" t="s">
        <v>392</v>
      </c>
      <c r="C269" s="578" t="s">
        <v>385</v>
      </c>
      <c r="D269" s="578">
        <v>12</v>
      </c>
      <c r="E269" s="580">
        <f t="shared" si="37"/>
        <v>25000</v>
      </c>
      <c r="F269" s="580">
        <f t="shared" si="41"/>
        <v>80.128205128205124</v>
      </c>
      <c r="G269" s="584"/>
      <c r="H269" s="801">
        <f>F269*G269</f>
        <v>0</v>
      </c>
      <c r="I269" s="582"/>
      <c r="J269" s="583"/>
      <c r="K269" s="582">
        <v>0.64</v>
      </c>
      <c r="L269" s="585">
        <f t="shared" si="40"/>
        <v>51.282051282051277</v>
      </c>
      <c r="M269" s="586">
        <f t="shared" si="39"/>
        <v>51.282051282051277</v>
      </c>
    </row>
    <row r="270" spans="1:13" ht="21.6" customHeight="1">
      <c r="A270" s="578">
        <v>9</v>
      </c>
      <c r="B270" s="579" t="s">
        <v>393</v>
      </c>
      <c r="C270" s="578" t="s">
        <v>385</v>
      </c>
      <c r="D270" s="578">
        <v>12</v>
      </c>
      <c r="E270" s="580">
        <f t="shared" si="37"/>
        <v>35000</v>
      </c>
      <c r="F270" s="580">
        <f t="shared" si="41"/>
        <v>112.17948717948718</v>
      </c>
      <c r="G270" s="584"/>
      <c r="H270" s="580"/>
      <c r="I270" s="582"/>
      <c r="J270" s="583"/>
      <c r="K270" s="582">
        <v>0.2</v>
      </c>
      <c r="L270" s="585">
        <f t="shared" si="40"/>
        <v>22.435897435897438</v>
      </c>
      <c r="M270" s="794">
        <f t="shared" si="39"/>
        <v>22.435897435897438</v>
      </c>
    </row>
    <row r="271" spans="1:13" ht="21.6" customHeight="1">
      <c r="A271" s="578">
        <v>10</v>
      </c>
      <c r="B271" s="579" t="s">
        <v>394</v>
      </c>
      <c r="C271" s="578" t="s">
        <v>385</v>
      </c>
      <c r="D271" s="578">
        <v>9</v>
      </c>
      <c r="E271" s="580">
        <f t="shared" si="37"/>
        <v>15000</v>
      </c>
      <c r="F271" s="580">
        <f t="shared" si="41"/>
        <v>64.102564102564102</v>
      </c>
      <c r="G271" s="683"/>
      <c r="H271" s="580"/>
      <c r="I271" s="582"/>
      <c r="J271" s="583"/>
      <c r="K271" s="582">
        <v>9.6000000000000002E-2</v>
      </c>
      <c r="L271" s="585">
        <f t="shared" si="40"/>
        <v>6.1538461538461542</v>
      </c>
      <c r="M271" s="794">
        <f t="shared" si="39"/>
        <v>6.1538461538461542</v>
      </c>
    </row>
    <row r="272" spans="1:13" ht="21.6" customHeight="1">
      <c r="A272" s="578">
        <v>11</v>
      </c>
      <c r="B272" s="579" t="s">
        <v>293</v>
      </c>
      <c r="C272" s="578" t="s">
        <v>385</v>
      </c>
      <c r="D272" s="578">
        <v>12</v>
      </c>
      <c r="E272" s="580">
        <f t="shared" si="37"/>
        <v>100000</v>
      </c>
      <c r="F272" s="682">
        <f t="shared" si="41"/>
        <v>320.5128205128205</v>
      </c>
      <c r="G272" s="808">
        <v>2.4E-2</v>
      </c>
      <c r="H272" s="809">
        <f>F272*G272</f>
        <v>7.6923076923076925</v>
      </c>
      <c r="I272" s="582"/>
      <c r="J272" s="583"/>
      <c r="K272" s="582">
        <v>3.2639999999999998</v>
      </c>
      <c r="L272" s="585">
        <f t="shared" si="40"/>
        <v>1046.153846153846</v>
      </c>
      <c r="M272" s="586">
        <f t="shared" si="39"/>
        <v>1053.8461538461536</v>
      </c>
    </row>
    <row r="273" spans="1:17" ht="21.6" customHeight="1">
      <c r="A273" s="578">
        <v>12</v>
      </c>
      <c r="B273" s="579" t="s">
        <v>396</v>
      </c>
      <c r="C273" s="578" t="s">
        <v>529</v>
      </c>
      <c r="D273" s="578">
        <v>6</v>
      </c>
      <c r="E273" s="580">
        <f t="shared" si="37"/>
        <v>18000</v>
      </c>
      <c r="F273" s="580">
        <f t="shared" si="41"/>
        <v>115.38461538461539</v>
      </c>
      <c r="G273" s="658">
        <v>2.4E-2</v>
      </c>
      <c r="H273" s="580">
        <f>F273*G273</f>
        <v>2.7692307692307692</v>
      </c>
      <c r="I273" s="582"/>
      <c r="J273" s="583"/>
      <c r="K273" s="582">
        <v>3.2639999999999998</v>
      </c>
      <c r="L273" s="585">
        <f t="shared" si="40"/>
        <v>376.61538461538458</v>
      </c>
      <c r="M273" s="586">
        <f t="shared" si="39"/>
        <v>379.38461538461536</v>
      </c>
    </row>
    <row r="274" spans="1:17" ht="21.6" customHeight="1">
      <c r="A274" s="578">
        <v>13</v>
      </c>
      <c r="B274" s="735" t="s">
        <v>530</v>
      </c>
      <c r="C274" s="578" t="s">
        <v>385</v>
      </c>
      <c r="D274" s="578">
        <v>12</v>
      </c>
      <c r="E274" s="580">
        <f t="shared" si="37"/>
        <v>25000</v>
      </c>
      <c r="F274" s="580">
        <f t="shared" si="41"/>
        <v>80.128205128205124</v>
      </c>
      <c r="G274" s="683"/>
      <c r="H274" s="580"/>
      <c r="I274" s="684"/>
      <c r="J274" s="583"/>
      <c r="K274" s="684">
        <v>0.2</v>
      </c>
      <c r="L274" s="585">
        <f t="shared" si="40"/>
        <v>16.025641025641026</v>
      </c>
      <c r="M274" s="586">
        <f t="shared" si="39"/>
        <v>16.025641025641026</v>
      </c>
    </row>
    <row r="275" spans="1:17" ht="21.6" customHeight="1">
      <c r="A275" s="578">
        <v>14</v>
      </c>
      <c r="B275" s="735" t="s">
        <v>531</v>
      </c>
      <c r="C275" s="578" t="s">
        <v>385</v>
      </c>
      <c r="D275" s="578">
        <v>36</v>
      </c>
      <c r="E275" s="580">
        <f t="shared" si="37"/>
        <v>870000</v>
      </c>
      <c r="F275" s="580">
        <f t="shared" si="41"/>
        <v>929.48717948717945</v>
      </c>
      <c r="G275" s="683">
        <v>1.2E-2</v>
      </c>
      <c r="H275" s="580">
        <f>F275*G275</f>
        <v>11.153846153846153</v>
      </c>
      <c r="I275" s="684"/>
      <c r="J275" s="583"/>
      <c r="K275" s="684">
        <v>1.202</v>
      </c>
      <c r="L275" s="585">
        <f t="shared" si="40"/>
        <v>1117.2435897435896</v>
      </c>
      <c r="M275" s="586">
        <f t="shared" si="39"/>
        <v>1128.3974358974358</v>
      </c>
    </row>
    <row r="276" spans="1:17" ht="21.6" customHeight="1">
      <c r="A276" s="578">
        <v>15</v>
      </c>
      <c r="B276" s="735" t="s">
        <v>532</v>
      </c>
      <c r="C276" s="686" t="s">
        <v>533</v>
      </c>
      <c r="D276" s="686">
        <v>30</v>
      </c>
      <c r="E276" s="580">
        <f t="shared" si="37"/>
        <v>65000</v>
      </c>
      <c r="F276" s="580">
        <f t="shared" si="41"/>
        <v>83.333333333333329</v>
      </c>
      <c r="G276" s="683">
        <v>2.4E-2</v>
      </c>
      <c r="H276" s="580">
        <f>F276*G276</f>
        <v>2</v>
      </c>
      <c r="I276" s="684"/>
      <c r="J276" s="583"/>
      <c r="K276" s="684">
        <v>3.2639999999999998</v>
      </c>
      <c r="L276" s="585">
        <f t="shared" si="40"/>
        <v>271.99999999999994</v>
      </c>
      <c r="M276" s="586">
        <f t="shared" si="39"/>
        <v>273.99999999999994</v>
      </c>
    </row>
    <row r="277" spans="1:17" ht="21.6" customHeight="1">
      <c r="A277" s="686">
        <v>16</v>
      </c>
      <c r="B277" s="735" t="s">
        <v>534</v>
      </c>
      <c r="C277" s="686" t="s">
        <v>898</v>
      </c>
      <c r="D277" s="686"/>
      <c r="E277" s="688">
        <f t="shared" si="37"/>
        <v>1554</v>
      </c>
      <c r="F277" s="688">
        <f>E277</f>
        <v>1554</v>
      </c>
      <c r="G277" s="683">
        <v>1.7999999999999999E-2</v>
      </c>
      <c r="H277" s="688">
        <f>F277*G277</f>
        <v>27.971999999999998</v>
      </c>
      <c r="I277" s="684"/>
      <c r="J277" s="689"/>
      <c r="K277" s="684">
        <v>2.0059999999999998</v>
      </c>
      <c r="L277" s="585">
        <f t="shared" si="40"/>
        <v>3117.3239999999996</v>
      </c>
      <c r="M277" s="691">
        <f t="shared" si="39"/>
        <v>3145.2959999999998</v>
      </c>
    </row>
    <row r="278" spans="1:17" ht="21.6" customHeight="1">
      <c r="A278" s="697"/>
      <c r="B278" s="697" t="s">
        <v>294</v>
      </c>
      <c r="C278" s="697"/>
      <c r="D278" s="697"/>
      <c r="E278" s="622"/>
      <c r="F278" s="622"/>
      <c r="G278" s="621"/>
      <c r="H278" s="622">
        <f>SUM(H262:H277)</f>
        <v>90.609820512820505</v>
      </c>
      <c r="I278" s="699"/>
      <c r="J278" s="700"/>
      <c r="K278" s="621"/>
      <c r="L278" s="591">
        <f>SUM(L262:L277)</f>
        <v>10112.649854700852</v>
      </c>
      <c r="M278" s="591">
        <f t="shared" si="39"/>
        <v>10203.259675213672</v>
      </c>
    </row>
    <row r="279" spans="1:17" ht="21.6" customHeight="1">
      <c r="A279" s="697"/>
      <c r="B279" s="697" t="s">
        <v>916</v>
      </c>
      <c r="C279" s="697"/>
      <c r="D279" s="697"/>
      <c r="E279" s="622"/>
      <c r="F279" s="622"/>
      <c r="G279" s="621"/>
      <c r="H279" s="622">
        <f>(H278-H277)*5%</f>
        <v>3.1318910256410257</v>
      </c>
      <c r="I279" s="622"/>
      <c r="J279" s="700"/>
      <c r="K279" s="700"/>
      <c r="L279" s="622">
        <f>(L278-L277)*5%</f>
        <v>349.76629273504267</v>
      </c>
      <c r="M279" s="622">
        <f>(M278-M277)*5%</f>
        <v>352.89818376068365</v>
      </c>
    </row>
    <row r="280" spans="1:17" ht="21.6" customHeight="1">
      <c r="A280" s="702"/>
      <c r="B280" s="588" t="s">
        <v>316</v>
      </c>
      <c r="C280" s="702"/>
      <c r="D280" s="702"/>
      <c r="E280" s="784"/>
      <c r="F280" s="702"/>
      <c r="G280" s="702"/>
      <c r="H280" s="803">
        <f>H278+H279</f>
        <v>93.74171153846153</v>
      </c>
      <c r="I280" s="589"/>
      <c r="J280" s="700"/>
      <c r="K280" s="700"/>
      <c r="L280" s="700">
        <f>L278+L279</f>
        <v>10462.416147435895</v>
      </c>
      <c r="M280" s="700">
        <f>M278+M279</f>
        <v>10556.157858974357</v>
      </c>
      <c r="P280" s="810">
        <f>H280*1.3</f>
        <v>121.86422499999999</v>
      </c>
      <c r="Q280" s="454">
        <f>L280*1.3</f>
        <v>13601.140991666663</v>
      </c>
    </row>
    <row r="281" spans="1:17" ht="5.25" customHeight="1">
      <c r="A281" s="454"/>
      <c r="B281" s="454"/>
      <c r="C281" s="454"/>
    </row>
    <row r="282" spans="1:17" ht="15" customHeight="1">
      <c r="A282" s="494"/>
      <c r="B282" s="599" t="s">
        <v>299</v>
      </c>
      <c r="C282" s="494"/>
      <c r="D282" s="494"/>
      <c r="E282" s="604"/>
      <c r="F282" s="494"/>
      <c r="G282" s="494"/>
      <c r="H282" s="602"/>
      <c r="I282" s="606"/>
      <c r="J282" s="779"/>
      <c r="K282" s="606"/>
      <c r="L282" s="779"/>
      <c r="M282" s="779"/>
    </row>
    <row r="283" spans="1:17" ht="15.95" customHeight="1">
      <c r="A283" s="494"/>
      <c r="B283" s="603" t="s">
        <v>225</v>
      </c>
      <c r="C283" s="494"/>
      <c r="D283" s="494"/>
      <c r="E283" s="604"/>
      <c r="F283" s="494"/>
      <c r="G283" s="494"/>
      <c r="H283" s="602"/>
      <c r="I283" s="606"/>
      <c r="J283" s="779"/>
      <c r="K283" s="606"/>
      <c r="L283" s="779"/>
      <c r="M283" s="779"/>
    </row>
    <row r="284" spans="1:17" ht="15.95" customHeight="1">
      <c r="A284" s="494"/>
      <c r="B284" s="605" t="s">
        <v>226</v>
      </c>
      <c r="C284" s="494"/>
      <c r="D284" s="494"/>
      <c r="E284" s="604"/>
      <c r="F284" s="494"/>
      <c r="G284" s="494"/>
      <c r="H284" s="602"/>
      <c r="I284" s="606"/>
      <c r="J284" s="779"/>
      <c r="K284" s="606"/>
      <c r="L284" s="779"/>
      <c r="M284" s="779"/>
    </row>
    <row r="285" spans="1:17" ht="10.5" customHeight="1">
      <c r="A285" s="454"/>
      <c r="B285" s="454"/>
      <c r="C285" s="454"/>
    </row>
    <row r="286" spans="1:17" ht="31.15" customHeight="1">
      <c r="A286" s="1273" t="s">
        <v>361</v>
      </c>
      <c r="B286" s="1273"/>
      <c r="C286" s="1273"/>
      <c r="D286" s="1273"/>
      <c r="E286" s="1273"/>
      <c r="F286" s="1273"/>
      <c r="G286" s="1273"/>
      <c r="H286" s="1273"/>
      <c r="I286" s="1273"/>
      <c r="J286" s="1273"/>
      <c r="K286" s="1273"/>
      <c r="L286" s="1273"/>
      <c r="M286" s="1273"/>
    </row>
    <row r="287" spans="1:17">
      <c r="A287" s="574"/>
      <c r="B287" s="574"/>
      <c r="C287" s="575"/>
      <c r="D287" s="575"/>
      <c r="E287" s="612"/>
      <c r="F287" s="576"/>
      <c r="G287" s="574"/>
      <c r="H287" s="574"/>
      <c r="I287" s="574"/>
      <c r="J287" s="574"/>
      <c r="K287" s="577"/>
      <c r="L287" s="577"/>
    </row>
    <row r="288" spans="1:17" ht="27" customHeight="1">
      <c r="A288" s="1245" t="s">
        <v>882</v>
      </c>
      <c r="B288" s="1245" t="s">
        <v>283</v>
      </c>
      <c r="C288" s="1245" t="s">
        <v>284</v>
      </c>
      <c r="D288" s="1248" t="s">
        <v>285</v>
      </c>
      <c r="E288" s="1245" t="s">
        <v>286</v>
      </c>
      <c r="F288" s="1245" t="s">
        <v>287</v>
      </c>
      <c r="G288" s="1254" t="s">
        <v>288</v>
      </c>
      <c r="H288" s="1255"/>
      <c r="I288" s="1255"/>
      <c r="J288" s="1255"/>
      <c r="K288" s="1255"/>
      <c r="L288" s="1256"/>
      <c r="M288" s="1245" t="s">
        <v>409</v>
      </c>
    </row>
    <row r="289" spans="1:13" ht="41.25" customHeight="1">
      <c r="A289" s="1246"/>
      <c r="B289" s="1246"/>
      <c r="C289" s="1246"/>
      <c r="D289" s="1249"/>
      <c r="E289" s="1246"/>
      <c r="F289" s="1246"/>
      <c r="G289" s="1254" t="s">
        <v>345</v>
      </c>
      <c r="H289" s="1256"/>
      <c r="I289" s="1254" t="s">
        <v>312</v>
      </c>
      <c r="J289" s="1256"/>
      <c r="K289" s="1254" t="s">
        <v>291</v>
      </c>
      <c r="L289" s="1256"/>
      <c r="M289" s="1246"/>
    </row>
    <row r="290" spans="1:13" ht="18.75" customHeight="1">
      <c r="A290" s="1247"/>
      <c r="B290" s="1247"/>
      <c r="C290" s="1247"/>
      <c r="D290" s="1250"/>
      <c r="E290" s="1247"/>
      <c r="F290" s="1247"/>
      <c r="G290" s="468" t="s">
        <v>897</v>
      </c>
      <c r="H290" s="468" t="s">
        <v>986</v>
      </c>
      <c r="I290" s="468" t="s">
        <v>897</v>
      </c>
      <c r="J290" s="468" t="s">
        <v>986</v>
      </c>
      <c r="K290" s="468" t="s">
        <v>897</v>
      </c>
      <c r="L290" s="468" t="s">
        <v>986</v>
      </c>
      <c r="M290" s="1247"/>
    </row>
    <row r="291" spans="1:13" ht="20.45" customHeight="1">
      <c r="A291" s="623">
        <v>1</v>
      </c>
      <c r="B291" s="624" t="s">
        <v>384</v>
      </c>
      <c r="C291" s="623" t="s">
        <v>385</v>
      </c>
      <c r="D291" s="623">
        <v>36</v>
      </c>
      <c r="E291" s="625">
        <f>'Bang gia'!E6</f>
        <v>230000</v>
      </c>
      <c r="F291" s="580">
        <f>E291/(D291*26)</f>
        <v>245.72649572649573</v>
      </c>
      <c r="G291" s="626">
        <v>0.42</v>
      </c>
      <c r="H291" s="625">
        <f t="shared" ref="H291:H306" si="42">F291*G291</f>
        <v>103.2051282051282</v>
      </c>
      <c r="I291" s="626">
        <v>1.98</v>
      </c>
      <c r="J291" s="627">
        <f t="shared" ref="J291:J303" si="43">F291*I291</f>
        <v>486.53846153846155</v>
      </c>
      <c r="K291" s="626"/>
      <c r="L291" s="628"/>
      <c r="M291" s="627">
        <f t="shared" ref="M291:M307" si="44">H291+J291+L291</f>
        <v>589.74358974358972</v>
      </c>
    </row>
    <row r="292" spans="1:13" ht="20.45" customHeight="1">
      <c r="A292" s="578">
        <v>2</v>
      </c>
      <c r="B292" s="630" t="s">
        <v>386</v>
      </c>
      <c r="C292" s="578" t="s">
        <v>385</v>
      </c>
      <c r="D292" s="578">
        <v>96</v>
      </c>
      <c r="E292" s="580">
        <f>'Bang gia'!E7</f>
        <v>360000</v>
      </c>
      <c r="F292" s="580">
        <f>E292/(D292*26)</f>
        <v>144.23076923076923</v>
      </c>
      <c r="G292" s="584">
        <v>0.42</v>
      </c>
      <c r="H292" s="580">
        <f t="shared" si="42"/>
        <v>60.576923076923073</v>
      </c>
      <c r="I292" s="582">
        <v>2.7</v>
      </c>
      <c r="J292" s="583">
        <f t="shared" si="43"/>
        <v>389.42307692307696</v>
      </c>
      <c r="K292" s="584"/>
      <c r="L292" s="585"/>
      <c r="M292" s="586">
        <f t="shared" si="44"/>
        <v>450.00000000000006</v>
      </c>
    </row>
    <row r="293" spans="1:13" ht="20.45" customHeight="1">
      <c r="A293" s="578">
        <v>3</v>
      </c>
      <c r="B293" s="579" t="s">
        <v>387</v>
      </c>
      <c r="C293" s="578" t="s">
        <v>385</v>
      </c>
      <c r="D293" s="578">
        <v>96</v>
      </c>
      <c r="E293" s="580">
        <f>'Bang gia'!E8</f>
        <v>754000</v>
      </c>
      <c r="F293" s="580">
        <f>E293/(D293*26)</f>
        <v>302.08333333333331</v>
      </c>
      <c r="G293" s="584">
        <v>0.42</v>
      </c>
      <c r="H293" s="580">
        <f t="shared" si="42"/>
        <v>126.87499999999999</v>
      </c>
      <c r="I293" s="582">
        <v>2.7</v>
      </c>
      <c r="J293" s="583">
        <f t="shared" si="43"/>
        <v>815.625</v>
      </c>
      <c r="K293" s="584"/>
      <c r="L293" s="585"/>
      <c r="M293" s="586">
        <f t="shared" si="44"/>
        <v>942.5</v>
      </c>
    </row>
    <row r="294" spans="1:13" ht="20.45" customHeight="1">
      <c r="A294" s="578">
        <v>4</v>
      </c>
      <c r="B294" s="579" t="s">
        <v>388</v>
      </c>
      <c r="C294" s="578" t="s">
        <v>385</v>
      </c>
      <c r="D294" s="578">
        <v>96</v>
      </c>
      <c r="E294" s="580">
        <f>'Bang gia'!E9</f>
        <v>2331000</v>
      </c>
      <c r="F294" s="580">
        <f t="shared" ref="F294:F305" si="45">E294/(D294*26)</f>
        <v>933.89423076923072</v>
      </c>
      <c r="G294" s="584">
        <v>0.42</v>
      </c>
      <c r="H294" s="580">
        <f t="shared" si="42"/>
        <v>392.23557692307691</v>
      </c>
      <c r="I294" s="582">
        <v>1.98</v>
      </c>
      <c r="J294" s="583">
        <f t="shared" si="43"/>
        <v>1849.1105769230769</v>
      </c>
      <c r="K294" s="584"/>
      <c r="L294" s="585"/>
      <c r="M294" s="586">
        <f t="shared" si="44"/>
        <v>2241.3461538461538</v>
      </c>
    </row>
    <row r="295" spans="1:13" ht="20.45" customHeight="1">
      <c r="A295" s="578">
        <v>5</v>
      </c>
      <c r="B295" s="579" t="s">
        <v>389</v>
      </c>
      <c r="C295" s="578" t="s">
        <v>385</v>
      </c>
      <c r="D295" s="578">
        <v>24</v>
      </c>
      <c r="E295" s="580">
        <f>'Bang gia'!E10</f>
        <v>15000</v>
      </c>
      <c r="F295" s="580">
        <f t="shared" si="45"/>
        <v>24.03846153846154</v>
      </c>
      <c r="G295" s="584">
        <v>0.02</v>
      </c>
      <c r="H295" s="801">
        <f t="shared" si="42"/>
        <v>0.48076923076923084</v>
      </c>
      <c r="I295" s="582">
        <v>0.53300000000000003</v>
      </c>
      <c r="J295" s="583">
        <f t="shared" si="43"/>
        <v>12.812500000000002</v>
      </c>
      <c r="K295" s="584"/>
      <c r="L295" s="783"/>
      <c r="M295" s="586">
        <f t="shared" si="44"/>
        <v>13.293269230769234</v>
      </c>
    </row>
    <row r="296" spans="1:13" ht="20.25" customHeight="1">
      <c r="A296" s="578">
        <v>6</v>
      </c>
      <c r="B296" s="579" t="s">
        <v>390</v>
      </c>
      <c r="C296" s="578" t="s">
        <v>385</v>
      </c>
      <c r="D296" s="578">
        <v>36</v>
      </c>
      <c r="E296" s="580">
        <f>'Bang gia'!E11</f>
        <v>270000</v>
      </c>
      <c r="F296" s="580">
        <f t="shared" si="45"/>
        <v>288.46153846153845</v>
      </c>
      <c r="G296" s="584">
        <v>6.0000000000000001E-3</v>
      </c>
      <c r="H296" s="801">
        <f t="shared" si="42"/>
        <v>1.7307692307692308</v>
      </c>
      <c r="I296" s="582">
        <v>0.317</v>
      </c>
      <c r="J296" s="583">
        <f t="shared" si="43"/>
        <v>91.442307692307693</v>
      </c>
      <c r="K296" s="584"/>
      <c r="L296" s="783"/>
      <c r="M296" s="586">
        <f t="shared" si="44"/>
        <v>93.17307692307692</v>
      </c>
    </row>
    <row r="297" spans="1:13" ht="20.45" customHeight="1">
      <c r="A297" s="578">
        <v>7</v>
      </c>
      <c r="B297" s="579" t="s">
        <v>391</v>
      </c>
      <c r="C297" s="578" t="s">
        <v>385</v>
      </c>
      <c r="D297" s="578">
        <v>12</v>
      </c>
      <c r="E297" s="580">
        <f>'Bang gia'!E12</f>
        <v>48000</v>
      </c>
      <c r="F297" s="580">
        <f t="shared" si="45"/>
        <v>153.84615384615384</v>
      </c>
      <c r="G297" s="584">
        <v>3.0000000000000001E-3</v>
      </c>
      <c r="H297" s="801">
        <f t="shared" si="42"/>
        <v>0.46153846153846151</v>
      </c>
      <c r="I297" s="582">
        <v>0.33500000000000002</v>
      </c>
      <c r="J297" s="802">
        <f t="shared" si="43"/>
        <v>51.53846153846154</v>
      </c>
      <c r="K297" s="584"/>
      <c r="L297" s="783"/>
      <c r="M297" s="794">
        <f t="shared" si="44"/>
        <v>52</v>
      </c>
    </row>
    <row r="298" spans="1:13" ht="20.45" customHeight="1">
      <c r="A298" s="578">
        <v>8</v>
      </c>
      <c r="B298" s="579" t="s">
        <v>392</v>
      </c>
      <c r="C298" s="578" t="s">
        <v>385</v>
      </c>
      <c r="D298" s="578">
        <v>12</v>
      </c>
      <c r="E298" s="580">
        <f>'Bang gia'!E13</f>
        <v>25000</v>
      </c>
      <c r="F298" s="580">
        <f t="shared" si="45"/>
        <v>80.128205128205124</v>
      </c>
      <c r="G298" s="584">
        <v>6.8000000000000005E-2</v>
      </c>
      <c r="H298" s="801">
        <f t="shared" si="42"/>
        <v>5.4487179487179489</v>
      </c>
      <c r="I298" s="582">
        <v>0.76500000000000001</v>
      </c>
      <c r="J298" s="583">
        <f t="shared" si="43"/>
        <v>61.29807692307692</v>
      </c>
      <c r="K298" s="584"/>
      <c r="L298" s="783"/>
      <c r="M298" s="586">
        <f t="shared" si="44"/>
        <v>66.746794871794862</v>
      </c>
    </row>
    <row r="299" spans="1:13" ht="20.45" customHeight="1">
      <c r="A299" s="578">
        <v>9</v>
      </c>
      <c r="B299" s="579" t="s">
        <v>393</v>
      </c>
      <c r="C299" s="578" t="s">
        <v>385</v>
      </c>
      <c r="D299" s="578">
        <v>12</v>
      </c>
      <c r="E299" s="580">
        <f>'Bang gia'!E14</f>
        <v>35000</v>
      </c>
      <c r="F299" s="580">
        <f t="shared" si="45"/>
        <v>112.17948717948718</v>
      </c>
      <c r="G299" s="584">
        <v>4.2000000000000003E-2</v>
      </c>
      <c r="H299" s="580">
        <f t="shared" si="42"/>
        <v>4.7115384615384617</v>
      </c>
      <c r="I299" s="582">
        <v>0.35399999999999998</v>
      </c>
      <c r="J299" s="802">
        <f t="shared" si="43"/>
        <v>39.71153846153846</v>
      </c>
      <c r="K299" s="584"/>
      <c r="L299" s="783"/>
      <c r="M299" s="794">
        <f t="shared" si="44"/>
        <v>44.42307692307692</v>
      </c>
    </row>
    <row r="300" spans="1:13" ht="20.45" customHeight="1">
      <c r="A300" s="578">
        <v>10</v>
      </c>
      <c r="B300" s="579" t="s">
        <v>394</v>
      </c>
      <c r="C300" s="578" t="s">
        <v>385</v>
      </c>
      <c r="D300" s="578">
        <v>9</v>
      </c>
      <c r="E300" s="580">
        <f>'Bang gia'!E15</f>
        <v>15000</v>
      </c>
      <c r="F300" s="580">
        <f t="shared" si="45"/>
        <v>64.102564102564102</v>
      </c>
      <c r="G300" s="584">
        <v>0.375</v>
      </c>
      <c r="H300" s="580">
        <f t="shared" si="42"/>
        <v>24.03846153846154</v>
      </c>
      <c r="I300" s="582">
        <v>0.626</v>
      </c>
      <c r="J300" s="802">
        <f t="shared" si="43"/>
        <v>40.128205128205131</v>
      </c>
      <c r="K300" s="584"/>
      <c r="L300" s="783"/>
      <c r="M300" s="794">
        <f t="shared" si="44"/>
        <v>64.166666666666671</v>
      </c>
    </row>
    <row r="301" spans="1:13" ht="20.45" customHeight="1">
      <c r="A301" s="578">
        <v>11</v>
      </c>
      <c r="B301" s="579" t="s">
        <v>293</v>
      </c>
      <c r="C301" s="578" t="s">
        <v>385</v>
      </c>
      <c r="D301" s="578">
        <v>12</v>
      </c>
      <c r="E301" s="580">
        <f>'Bang gia'!E16</f>
        <v>100000</v>
      </c>
      <c r="F301" s="580">
        <f t="shared" si="45"/>
        <v>320.5128205128205</v>
      </c>
      <c r="G301" s="584">
        <v>0.42</v>
      </c>
      <c r="H301" s="580">
        <f t="shared" si="42"/>
        <v>134.61538461538461</v>
      </c>
      <c r="I301" s="582">
        <v>2.7</v>
      </c>
      <c r="J301" s="583">
        <f t="shared" si="43"/>
        <v>865.38461538461536</v>
      </c>
      <c r="K301" s="584"/>
      <c r="L301" s="585"/>
      <c r="M301" s="586">
        <f t="shared" si="44"/>
        <v>1000</v>
      </c>
    </row>
    <row r="302" spans="1:13" ht="20.45" customHeight="1">
      <c r="A302" s="578">
        <v>12</v>
      </c>
      <c r="B302" s="579" t="s">
        <v>396</v>
      </c>
      <c r="C302" s="578" t="s">
        <v>529</v>
      </c>
      <c r="D302" s="578">
        <v>6</v>
      </c>
      <c r="E302" s="580">
        <f>'Bang gia'!E17</f>
        <v>18000</v>
      </c>
      <c r="F302" s="580">
        <f t="shared" si="45"/>
        <v>115.38461538461539</v>
      </c>
      <c r="G302" s="584">
        <v>0.42</v>
      </c>
      <c r="H302" s="580">
        <f t="shared" si="42"/>
        <v>48.46153846153846</v>
      </c>
      <c r="I302" s="582">
        <v>2.7</v>
      </c>
      <c r="J302" s="583">
        <f t="shared" si="43"/>
        <v>311.53846153846155</v>
      </c>
      <c r="K302" s="584"/>
      <c r="L302" s="585"/>
      <c r="M302" s="586">
        <f t="shared" si="44"/>
        <v>360</v>
      </c>
    </row>
    <row r="303" spans="1:13" ht="20.45" customHeight="1">
      <c r="A303" s="578">
        <v>13</v>
      </c>
      <c r="B303" s="735" t="s">
        <v>530</v>
      </c>
      <c r="C303" s="578" t="s">
        <v>385</v>
      </c>
      <c r="D303" s="578">
        <v>12</v>
      </c>
      <c r="E303" s="688">
        <f>'Bang gia'!E18</f>
        <v>25000</v>
      </c>
      <c r="F303" s="580">
        <f t="shared" si="45"/>
        <v>80.128205128205124</v>
      </c>
      <c r="G303" s="683">
        <v>7.1999999999999995E-2</v>
      </c>
      <c r="H303" s="580">
        <f t="shared" si="42"/>
        <v>5.7692307692307683</v>
      </c>
      <c r="I303" s="684">
        <v>0.14399999999999999</v>
      </c>
      <c r="J303" s="583">
        <f t="shared" si="43"/>
        <v>11.538461538461537</v>
      </c>
      <c r="K303" s="683"/>
      <c r="L303" s="585"/>
      <c r="M303" s="586">
        <f t="shared" si="44"/>
        <v>17.307692307692307</v>
      </c>
    </row>
    <row r="304" spans="1:13" ht="20.45" customHeight="1">
      <c r="A304" s="578">
        <v>14</v>
      </c>
      <c r="B304" s="735" t="s">
        <v>531</v>
      </c>
      <c r="C304" s="578" t="s">
        <v>385</v>
      </c>
      <c r="D304" s="578">
        <v>36</v>
      </c>
      <c r="E304" s="688">
        <f>'Bang gia'!E19</f>
        <v>870000</v>
      </c>
      <c r="F304" s="580">
        <f t="shared" si="45"/>
        <v>929.48717948717945</v>
      </c>
      <c r="G304" s="683">
        <v>0.28100000000000003</v>
      </c>
      <c r="H304" s="580">
        <f t="shared" si="42"/>
        <v>261.18589743589746</v>
      </c>
      <c r="I304" s="684">
        <v>1.32</v>
      </c>
      <c r="J304" s="583">
        <f>F304*I304</f>
        <v>1226.9230769230769</v>
      </c>
      <c r="K304" s="683"/>
      <c r="L304" s="585"/>
      <c r="M304" s="586">
        <f t="shared" si="44"/>
        <v>1488.1089743589744</v>
      </c>
    </row>
    <row r="305" spans="1:13" ht="20.45" customHeight="1">
      <c r="A305" s="578">
        <v>15</v>
      </c>
      <c r="B305" s="735" t="s">
        <v>532</v>
      </c>
      <c r="C305" s="686" t="s">
        <v>533</v>
      </c>
      <c r="D305" s="686">
        <v>30</v>
      </c>
      <c r="E305" s="688">
        <f>'Bang gia'!E20</f>
        <v>65000</v>
      </c>
      <c r="F305" s="580">
        <f t="shared" si="45"/>
        <v>83.333333333333329</v>
      </c>
      <c r="G305" s="683">
        <v>0.42</v>
      </c>
      <c r="H305" s="580">
        <f t="shared" si="42"/>
        <v>35</v>
      </c>
      <c r="I305" s="684">
        <v>2.7</v>
      </c>
      <c r="J305" s="583">
        <f>F305*I305</f>
        <v>225</v>
      </c>
      <c r="K305" s="683"/>
      <c r="L305" s="585"/>
      <c r="M305" s="586">
        <f t="shared" si="44"/>
        <v>260</v>
      </c>
    </row>
    <row r="306" spans="1:13" ht="20.45" customHeight="1">
      <c r="A306" s="686">
        <v>16</v>
      </c>
      <c r="B306" s="735" t="s">
        <v>534</v>
      </c>
      <c r="C306" s="686" t="s">
        <v>898</v>
      </c>
      <c r="D306" s="686"/>
      <c r="E306" s="688">
        <f>'Bang gia'!E21</f>
        <v>1554</v>
      </c>
      <c r="F306" s="688">
        <f>E306</f>
        <v>1554</v>
      </c>
      <c r="G306" s="683">
        <v>0.35899999999999999</v>
      </c>
      <c r="H306" s="688">
        <f t="shared" si="42"/>
        <v>557.88599999999997</v>
      </c>
      <c r="I306" s="684">
        <v>1.92</v>
      </c>
      <c r="J306" s="689">
        <f>F306*I306</f>
        <v>2983.68</v>
      </c>
      <c r="K306" s="683"/>
      <c r="L306" s="690"/>
      <c r="M306" s="691">
        <f t="shared" si="44"/>
        <v>3541.5659999999998</v>
      </c>
    </row>
    <row r="307" spans="1:13" ht="20.45" customHeight="1">
      <c r="A307" s="697"/>
      <c r="B307" s="697" t="s">
        <v>294</v>
      </c>
      <c r="C307" s="697"/>
      <c r="D307" s="697"/>
      <c r="E307" s="622"/>
      <c r="F307" s="622"/>
      <c r="G307" s="736"/>
      <c r="H307" s="622">
        <f>SUM(H291:H306)</f>
        <v>1762.6824743589743</v>
      </c>
      <c r="I307" s="699"/>
      <c r="J307" s="700">
        <f>SUM(J291:J306)</f>
        <v>9461.6928205128206</v>
      </c>
      <c r="K307" s="736"/>
      <c r="L307" s="591"/>
      <c r="M307" s="591">
        <f t="shared" si="44"/>
        <v>11224.375294871796</v>
      </c>
    </row>
    <row r="308" spans="1:13" ht="20.45" customHeight="1">
      <c r="A308" s="697"/>
      <c r="B308" s="697" t="s">
        <v>916</v>
      </c>
      <c r="C308" s="697"/>
      <c r="D308" s="697"/>
      <c r="E308" s="622"/>
      <c r="F308" s="622"/>
      <c r="G308" s="736"/>
      <c r="H308" s="622">
        <f>(H307-H306)*5%</f>
        <v>60.239823717948724</v>
      </c>
      <c r="I308" s="622"/>
      <c r="J308" s="622">
        <f>(J307-J306)*5%</f>
        <v>323.90064102564105</v>
      </c>
      <c r="K308" s="700"/>
      <c r="L308" s="700"/>
      <c r="M308" s="622">
        <f>(M307-M306)*5%</f>
        <v>384.1404647435898</v>
      </c>
    </row>
    <row r="309" spans="1:13" ht="20.45" customHeight="1">
      <c r="A309" s="702"/>
      <c r="B309" s="588" t="s">
        <v>316</v>
      </c>
      <c r="C309" s="702"/>
      <c r="D309" s="702"/>
      <c r="E309" s="784"/>
      <c r="F309" s="702"/>
      <c r="G309" s="702"/>
      <c r="H309" s="589">
        <f>H307+H308</f>
        <v>1822.922298076923</v>
      </c>
      <c r="I309" s="589"/>
      <c r="J309" s="700">
        <f>J307+J308</f>
        <v>9785.5934615384613</v>
      </c>
      <c r="K309" s="700"/>
      <c r="L309" s="700"/>
      <c r="M309" s="700">
        <f>M307+M308</f>
        <v>11608.515759615386</v>
      </c>
    </row>
    <row r="310" spans="1:13">
      <c r="A310" s="494"/>
      <c r="B310" s="599" t="s">
        <v>299</v>
      </c>
      <c r="C310" s="494"/>
      <c r="D310" s="494"/>
      <c r="E310" s="604"/>
      <c r="F310" s="494"/>
      <c r="G310" s="494"/>
      <c r="H310" s="602"/>
      <c r="I310" s="606"/>
      <c r="J310" s="779"/>
      <c r="K310" s="606"/>
      <c r="L310" s="779"/>
      <c r="M310" s="779"/>
    </row>
    <row r="311" spans="1:13" ht="22.15" customHeight="1">
      <c r="A311" s="494"/>
      <c r="B311" s="603" t="s">
        <v>461</v>
      </c>
      <c r="C311" s="494"/>
      <c r="D311" s="494"/>
      <c r="E311" s="604"/>
      <c r="F311" s="494"/>
      <c r="G311" s="494"/>
      <c r="H311" s="602"/>
      <c r="I311" s="606"/>
      <c r="J311" s="779"/>
      <c r="K311" s="606"/>
      <c r="L311" s="779"/>
      <c r="M311" s="779"/>
    </row>
    <row r="312" spans="1:13" ht="27" customHeight="1">
      <c r="A312" s="494"/>
      <c r="B312" s="1244" t="s">
        <v>462</v>
      </c>
      <c r="C312" s="1244"/>
      <c r="D312" s="1244"/>
      <c r="E312" s="1244"/>
      <c r="F312" s="1244"/>
      <c r="G312" s="1244"/>
      <c r="H312" s="1244"/>
      <c r="I312" s="1244"/>
      <c r="J312" s="1244"/>
      <c r="K312" s="1244"/>
      <c r="L312" s="1244"/>
      <c r="M312" s="1244"/>
    </row>
    <row r="313" spans="1:13" ht="24.6" customHeight="1">
      <c r="A313" s="494"/>
      <c r="B313" s="1244" t="s">
        <v>463</v>
      </c>
      <c r="C313" s="1244"/>
      <c r="D313" s="1244"/>
      <c r="E313" s="1244"/>
      <c r="F313" s="1244"/>
      <c r="G313" s="1244"/>
      <c r="H313" s="1244"/>
      <c r="I313" s="1244"/>
      <c r="J313" s="1244"/>
      <c r="K313" s="1244"/>
      <c r="L313" s="1244"/>
      <c r="M313" s="1244"/>
    </row>
    <row r="314" spans="1:13">
      <c r="A314" s="454"/>
      <c r="B314" s="605"/>
      <c r="C314" s="454"/>
    </row>
    <row r="315" spans="1:13" ht="36.75" customHeight="1">
      <c r="A315" s="1269" t="s">
        <v>362</v>
      </c>
      <c r="B315" s="1269"/>
      <c r="C315" s="1269"/>
      <c r="D315" s="1269"/>
      <c r="E315" s="1269"/>
      <c r="F315" s="1269"/>
      <c r="G315" s="1269"/>
      <c r="H315" s="1269"/>
      <c r="I315" s="1269"/>
      <c r="J315" s="1269"/>
      <c r="K315" s="1269"/>
      <c r="L315" s="1269"/>
      <c r="M315" s="1269"/>
    </row>
    <row r="316" spans="1:13" ht="10.5" customHeight="1">
      <c r="A316" s="811"/>
      <c r="B316" s="574"/>
      <c r="C316" s="575"/>
      <c r="D316" s="575"/>
      <c r="E316" s="612"/>
      <c r="F316" s="576"/>
      <c r="G316" s="574"/>
      <c r="H316" s="574"/>
      <c r="I316" s="574"/>
      <c r="J316" s="574"/>
      <c r="K316" s="577"/>
      <c r="L316" s="577"/>
      <c r="M316" s="577"/>
    </row>
    <row r="317" spans="1:13" ht="22.5" customHeight="1">
      <c r="A317" s="1245" t="s">
        <v>882</v>
      </c>
      <c r="B317" s="1245" t="s">
        <v>283</v>
      </c>
      <c r="C317" s="1245" t="s">
        <v>284</v>
      </c>
      <c r="D317" s="1248" t="s">
        <v>285</v>
      </c>
      <c r="E317" s="1245" t="s">
        <v>286</v>
      </c>
      <c r="F317" s="1245" t="s">
        <v>287</v>
      </c>
      <c r="G317" s="1254" t="s">
        <v>288</v>
      </c>
      <c r="H317" s="1255"/>
      <c r="I317" s="1255"/>
      <c r="J317" s="1255"/>
      <c r="K317" s="1255"/>
      <c r="L317" s="1256"/>
      <c r="M317" s="1245" t="s">
        <v>409</v>
      </c>
    </row>
    <row r="318" spans="1:13" ht="44.25" customHeight="1">
      <c r="A318" s="1246"/>
      <c r="B318" s="1246"/>
      <c r="C318" s="1246"/>
      <c r="D318" s="1249"/>
      <c r="E318" s="1246"/>
      <c r="F318" s="1246"/>
      <c r="G318" s="1254" t="s">
        <v>345</v>
      </c>
      <c r="H318" s="1256"/>
      <c r="I318" s="1254" t="s">
        <v>312</v>
      </c>
      <c r="J318" s="1256"/>
      <c r="K318" s="1254" t="s">
        <v>291</v>
      </c>
      <c r="L318" s="1256"/>
      <c r="M318" s="1246"/>
    </row>
    <row r="319" spans="1:13" ht="21" customHeight="1">
      <c r="A319" s="1247"/>
      <c r="B319" s="1247"/>
      <c r="C319" s="1247"/>
      <c r="D319" s="1250"/>
      <c r="E319" s="1247"/>
      <c r="F319" s="1247"/>
      <c r="G319" s="468" t="s">
        <v>897</v>
      </c>
      <c r="H319" s="468" t="s">
        <v>986</v>
      </c>
      <c r="I319" s="468" t="s">
        <v>897</v>
      </c>
      <c r="J319" s="468" t="s">
        <v>986</v>
      </c>
      <c r="K319" s="468" t="s">
        <v>897</v>
      </c>
      <c r="L319" s="468" t="s">
        <v>986</v>
      </c>
      <c r="M319" s="1247"/>
    </row>
    <row r="320" spans="1:13" ht="20.45" customHeight="1">
      <c r="A320" s="623">
        <v>1</v>
      </c>
      <c r="B320" s="624" t="s">
        <v>384</v>
      </c>
      <c r="C320" s="623" t="s">
        <v>385</v>
      </c>
      <c r="D320" s="623">
        <v>36</v>
      </c>
      <c r="E320" s="625">
        <f>'Bang gia'!E6</f>
        <v>230000</v>
      </c>
      <c r="F320" s="580">
        <f>E320/(D320*26)</f>
        <v>245.72649572649573</v>
      </c>
      <c r="G320" s="626">
        <v>0.18</v>
      </c>
      <c r="H320" s="625">
        <f>F320*G320</f>
        <v>44.230769230769226</v>
      </c>
      <c r="I320" s="626">
        <v>2.2200000000000002</v>
      </c>
      <c r="J320" s="627">
        <f t="shared" ref="J320:J335" si="46">F320*I320</f>
        <v>545.51282051282055</v>
      </c>
      <c r="K320" s="626"/>
      <c r="L320" s="628"/>
      <c r="M320" s="627">
        <f t="shared" ref="M320:M336" si="47">H320+J320+L320</f>
        <v>589.74358974358984</v>
      </c>
    </row>
    <row r="321" spans="1:13" ht="20.45" customHeight="1">
      <c r="A321" s="578">
        <v>2</v>
      </c>
      <c r="B321" s="630" t="s">
        <v>386</v>
      </c>
      <c r="C321" s="578" t="s">
        <v>385</v>
      </c>
      <c r="D321" s="578">
        <v>96</v>
      </c>
      <c r="E321" s="580">
        <f>'Bang gia'!E7</f>
        <v>360000</v>
      </c>
      <c r="F321" s="580">
        <f>E321/(D321*26)</f>
        <v>144.23076923076923</v>
      </c>
      <c r="G321" s="626">
        <v>0.18</v>
      </c>
      <c r="H321" s="580">
        <f t="shared" ref="H321:H335" si="48">F321*G321</f>
        <v>25.96153846153846</v>
      </c>
      <c r="I321" s="582">
        <v>2.94</v>
      </c>
      <c r="J321" s="583">
        <f t="shared" si="46"/>
        <v>424.03846153846149</v>
      </c>
      <c r="K321" s="584"/>
      <c r="L321" s="585"/>
      <c r="M321" s="586">
        <f t="shared" si="47"/>
        <v>449.99999999999994</v>
      </c>
    </row>
    <row r="322" spans="1:13" ht="20.45" customHeight="1">
      <c r="A322" s="578">
        <v>3</v>
      </c>
      <c r="B322" s="579" t="s">
        <v>387</v>
      </c>
      <c r="C322" s="578" t="s">
        <v>385</v>
      </c>
      <c r="D322" s="578">
        <v>96</v>
      </c>
      <c r="E322" s="580">
        <f>'Bang gia'!E8</f>
        <v>754000</v>
      </c>
      <c r="F322" s="580">
        <f>E322/(D322*26)</f>
        <v>302.08333333333331</v>
      </c>
      <c r="G322" s="626">
        <v>0.18</v>
      </c>
      <c r="H322" s="580">
        <f t="shared" si="48"/>
        <v>54.374999999999993</v>
      </c>
      <c r="I322" s="582">
        <v>2.94</v>
      </c>
      <c r="J322" s="583">
        <f t="shared" si="46"/>
        <v>888.12499999999989</v>
      </c>
      <c r="K322" s="584"/>
      <c r="L322" s="585"/>
      <c r="M322" s="586">
        <f t="shared" si="47"/>
        <v>942.49999999999989</v>
      </c>
    </row>
    <row r="323" spans="1:13" ht="20.45" customHeight="1">
      <c r="A323" s="578">
        <v>4</v>
      </c>
      <c r="B323" s="579" t="s">
        <v>388</v>
      </c>
      <c r="C323" s="578" t="s">
        <v>385</v>
      </c>
      <c r="D323" s="578">
        <v>96</v>
      </c>
      <c r="E323" s="580">
        <f>'Bang gia'!E9</f>
        <v>2331000</v>
      </c>
      <c r="F323" s="580">
        <f t="shared" ref="F323:F334" si="49">E323/(D323*26)</f>
        <v>933.89423076923072</v>
      </c>
      <c r="G323" s="626">
        <v>0.18</v>
      </c>
      <c r="H323" s="580">
        <f t="shared" si="48"/>
        <v>168.10096153846152</v>
      </c>
      <c r="I323" s="582">
        <v>2.2200000000000002</v>
      </c>
      <c r="J323" s="583">
        <f t="shared" si="46"/>
        <v>2073.2451923076924</v>
      </c>
      <c r="K323" s="584"/>
      <c r="L323" s="585"/>
      <c r="M323" s="586">
        <f t="shared" si="47"/>
        <v>2241.3461538461538</v>
      </c>
    </row>
    <row r="324" spans="1:13" ht="20.45" customHeight="1">
      <c r="A324" s="578">
        <v>5</v>
      </c>
      <c r="B324" s="579" t="s">
        <v>389</v>
      </c>
      <c r="C324" s="578" t="s">
        <v>385</v>
      </c>
      <c r="D324" s="578">
        <v>24</v>
      </c>
      <c r="E324" s="580">
        <f>'Bang gia'!E10</f>
        <v>15000</v>
      </c>
      <c r="F324" s="580">
        <f t="shared" si="49"/>
        <v>24.03846153846154</v>
      </c>
      <c r="G324" s="584">
        <v>8.9999999999999993E-3</v>
      </c>
      <c r="H324" s="801">
        <f t="shared" si="48"/>
        <v>0.21634615384615385</v>
      </c>
      <c r="I324" s="582">
        <v>0.54300000000000004</v>
      </c>
      <c r="J324" s="802">
        <f t="shared" si="46"/>
        <v>13.052884615384617</v>
      </c>
      <c r="K324" s="584"/>
      <c r="L324" s="783"/>
      <c r="M324" s="794">
        <f t="shared" si="47"/>
        <v>13.26923076923077</v>
      </c>
    </row>
    <row r="325" spans="1:13" ht="20.45" customHeight="1">
      <c r="A325" s="578">
        <v>6</v>
      </c>
      <c r="B325" s="579" t="s">
        <v>390</v>
      </c>
      <c r="C325" s="578" t="s">
        <v>385</v>
      </c>
      <c r="D325" s="578">
        <v>36</v>
      </c>
      <c r="E325" s="580">
        <f>'Bang gia'!E11</f>
        <v>270000</v>
      </c>
      <c r="F325" s="580">
        <f t="shared" si="49"/>
        <v>288.46153846153845</v>
      </c>
      <c r="G325" s="584">
        <v>2E-3</v>
      </c>
      <c r="H325" s="801">
        <f t="shared" si="48"/>
        <v>0.57692307692307687</v>
      </c>
      <c r="I325" s="582">
        <v>0.32100000000000001</v>
      </c>
      <c r="J325" s="802">
        <f t="shared" si="46"/>
        <v>92.59615384615384</v>
      </c>
      <c r="K325" s="584"/>
      <c r="L325" s="783"/>
      <c r="M325" s="586">
        <f t="shared" si="47"/>
        <v>93.17307692307692</v>
      </c>
    </row>
    <row r="326" spans="1:13" ht="20.45" customHeight="1">
      <c r="A326" s="578">
        <v>7</v>
      </c>
      <c r="B326" s="579" t="s">
        <v>391</v>
      </c>
      <c r="C326" s="578" t="s">
        <v>385</v>
      </c>
      <c r="D326" s="578">
        <v>12</v>
      </c>
      <c r="E326" s="580">
        <f>'Bang gia'!E12</f>
        <v>48000</v>
      </c>
      <c r="F326" s="580">
        <f t="shared" si="49"/>
        <v>153.84615384615384</v>
      </c>
      <c r="G326" s="584">
        <v>2E-3</v>
      </c>
      <c r="H326" s="801">
        <f t="shared" si="48"/>
        <v>0.30769230769230771</v>
      </c>
      <c r="I326" s="582">
        <v>0.33600000000000002</v>
      </c>
      <c r="J326" s="802">
        <f t="shared" si="46"/>
        <v>51.692307692307693</v>
      </c>
      <c r="K326" s="584"/>
      <c r="L326" s="783"/>
      <c r="M326" s="794">
        <f t="shared" si="47"/>
        <v>52</v>
      </c>
    </row>
    <row r="327" spans="1:13" ht="20.45" customHeight="1">
      <c r="A327" s="578">
        <v>8</v>
      </c>
      <c r="B327" s="579" t="s">
        <v>392</v>
      </c>
      <c r="C327" s="578" t="s">
        <v>385</v>
      </c>
      <c r="D327" s="578">
        <v>12</v>
      </c>
      <c r="E327" s="580">
        <f>'Bang gia'!E13</f>
        <v>25000</v>
      </c>
      <c r="F327" s="580">
        <f t="shared" si="49"/>
        <v>80.128205128205124</v>
      </c>
      <c r="G327" s="584">
        <v>0.02</v>
      </c>
      <c r="H327" s="801">
        <f t="shared" si="48"/>
        <v>1.6025641025641024</v>
      </c>
      <c r="I327" s="582">
        <v>0.81299999999999994</v>
      </c>
      <c r="J327" s="583">
        <f t="shared" si="46"/>
        <v>65.144230769230759</v>
      </c>
      <c r="K327" s="584"/>
      <c r="L327" s="783"/>
      <c r="M327" s="586">
        <f t="shared" si="47"/>
        <v>66.746794871794862</v>
      </c>
    </row>
    <row r="328" spans="1:13" ht="20.45" customHeight="1">
      <c r="A328" s="578">
        <v>9</v>
      </c>
      <c r="B328" s="579" t="s">
        <v>393</v>
      </c>
      <c r="C328" s="578" t="s">
        <v>385</v>
      </c>
      <c r="D328" s="578">
        <v>12</v>
      </c>
      <c r="E328" s="580">
        <f>'Bang gia'!E14</f>
        <v>35000</v>
      </c>
      <c r="F328" s="580">
        <f t="shared" si="49"/>
        <v>112.17948717948718</v>
      </c>
      <c r="G328" s="584">
        <v>8.0000000000000002E-3</v>
      </c>
      <c r="H328" s="580">
        <f t="shared" si="48"/>
        <v>0.89743589743589747</v>
      </c>
      <c r="I328" s="582">
        <v>0.38900000000000001</v>
      </c>
      <c r="J328" s="802">
        <f t="shared" si="46"/>
        <v>43.637820512820518</v>
      </c>
      <c r="K328" s="584"/>
      <c r="L328" s="783"/>
      <c r="M328" s="794">
        <f t="shared" si="47"/>
        <v>44.535256410256416</v>
      </c>
    </row>
    <row r="329" spans="1:13" ht="20.45" customHeight="1">
      <c r="A329" s="578">
        <v>10</v>
      </c>
      <c r="B329" s="579" t="s">
        <v>394</v>
      </c>
      <c r="C329" s="578" t="s">
        <v>385</v>
      </c>
      <c r="D329" s="578">
        <v>9</v>
      </c>
      <c r="E329" s="580">
        <f>'Bang gia'!E15</f>
        <v>15000</v>
      </c>
      <c r="F329" s="580">
        <f t="shared" si="49"/>
        <v>64.102564102564102</v>
      </c>
      <c r="G329" s="584">
        <v>3.0000000000000001E-3</v>
      </c>
      <c r="H329" s="580">
        <f t="shared" si="48"/>
        <v>0.19230769230769232</v>
      </c>
      <c r="I329" s="582">
        <v>0.998</v>
      </c>
      <c r="J329" s="802">
        <f t="shared" si="46"/>
        <v>63.974358974358971</v>
      </c>
      <c r="K329" s="584"/>
      <c r="L329" s="783"/>
      <c r="M329" s="794">
        <f t="shared" si="47"/>
        <v>64.166666666666657</v>
      </c>
    </row>
    <row r="330" spans="1:13" ht="20.45" customHeight="1">
      <c r="A330" s="578">
        <v>11</v>
      </c>
      <c r="B330" s="579" t="s">
        <v>293</v>
      </c>
      <c r="C330" s="578" t="s">
        <v>385</v>
      </c>
      <c r="D330" s="578">
        <v>12</v>
      </c>
      <c r="E330" s="580">
        <f>'Bang gia'!E16</f>
        <v>100000</v>
      </c>
      <c r="F330" s="580">
        <f t="shared" si="49"/>
        <v>320.5128205128205</v>
      </c>
      <c r="G330" s="584">
        <v>0.18</v>
      </c>
      <c r="H330" s="580">
        <f t="shared" si="48"/>
        <v>57.692307692307686</v>
      </c>
      <c r="I330" s="582">
        <v>2.94</v>
      </c>
      <c r="J330" s="583">
        <f t="shared" si="46"/>
        <v>942.30769230769226</v>
      </c>
      <c r="K330" s="584"/>
      <c r="L330" s="585"/>
      <c r="M330" s="586">
        <f t="shared" si="47"/>
        <v>1000</v>
      </c>
    </row>
    <row r="331" spans="1:13" ht="20.45" customHeight="1">
      <c r="A331" s="578">
        <v>12</v>
      </c>
      <c r="B331" s="579" t="s">
        <v>396</v>
      </c>
      <c r="C331" s="578" t="s">
        <v>529</v>
      </c>
      <c r="D331" s="578">
        <v>6</v>
      </c>
      <c r="E331" s="580">
        <f>'Bang gia'!E17</f>
        <v>18000</v>
      </c>
      <c r="F331" s="580">
        <f t="shared" si="49"/>
        <v>115.38461538461539</v>
      </c>
      <c r="G331" s="584">
        <v>0.18</v>
      </c>
      <c r="H331" s="580">
        <f t="shared" si="48"/>
        <v>20.76923076923077</v>
      </c>
      <c r="I331" s="582">
        <v>2.94</v>
      </c>
      <c r="J331" s="583">
        <f t="shared" si="46"/>
        <v>339.23076923076923</v>
      </c>
      <c r="K331" s="584"/>
      <c r="L331" s="585"/>
      <c r="M331" s="586">
        <f t="shared" si="47"/>
        <v>360</v>
      </c>
    </row>
    <row r="332" spans="1:13" ht="20.45" customHeight="1">
      <c r="A332" s="578">
        <v>13</v>
      </c>
      <c r="B332" s="735" t="s">
        <v>530</v>
      </c>
      <c r="C332" s="578" t="s">
        <v>385</v>
      </c>
      <c r="D332" s="578">
        <v>12</v>
      </c>
      <c r="E332" s="688">
        <f>'Bang gia'!E18</f>
        <v>25000</v>
      </c>
      <c r="F332" s="580">
        <f t="shared" si="49"/>
        <v>80.128205128205124</v>
      </c>
      <c r="G332" s="683">
        <v>0.03</v>
      </c>
      <c r="H332" s="580">
        <f t="shared" si="48"/>
        <v>2.4038461538461537</v>
      </c>
      <c r="I332" s="684">
        <v>0.186</v>
      </c>
      <c r="J332" s="802">
        <f t="shared" si="46"/>
        <v>14.903846153846153</v>
      </c>
      <c r="K332" s="683"/>
      <c r="L332" s="585"/>
      <c r="M332" s="794">
        <f t="shared" si="47"/>
        <v>17.307692307692307</v>
      </c>
    </row>
    <row r="333" spans="1:13" ht="20.45" customHeight="1">
      <c r="A333" s="578">
        <v>14</v>
      </c>
      <c r="B333" s="735" t="s">
        <v>531</v>
      </c>
      <c r="C333" s="578" t="s">
        <v>385</v>
      </c>
      <c r="D333" s="578">
        <v>36</v>
      </c>
      <c r="E333" s="688">
        <f>'Bang gia'!E19</f>
        <v>870000</v>
      </c>
      <c r="F333" s="580">
        <f t="shared" si="49"/>
        <v>929.48717948717945</v>
      </c>
      <c r="G333" s="683">
        <v>0.12</v>
      </c>
      <c r="H333" s="580">
        <f t="shared" si="48"/>
        <v>111.53846153846153</v>
      </c>
      <c r="I333" s="684">
        <v>1.4810000000000001</v>
      </c>
      <c r="J333" s="583">
        <f t="shared" si="46"/>
        <v>1376.5705128205129</v>
      </c>
      <c r="K333" s="683"/>
      <c r="L333" s="585"/>
      <c r="M333" s="586">
        <f t="shared" si="47"/>
        <v>1488.1089743589744</v>
      </c>
    </row>
    <row r="334" spans="1:13" ht="20.45" customHeight="1">
      <c r="A334" s="578">
        <v>15</v>
      </c>
      <c r="B334" s="735" t="s">
        <v>532</v>
      </c>
      <c r="C334" s="686" t="s">
        <v>533</v>
      </c>
      <c r="D334" s="686">
        <v>30</v>
      </c>
      <c r="E334" s="688">
        <f>'Bang gia'!E20</f>
        <v>65000</v>
      </c>
      <c r="F334" s="580">
        <f t="shared" si="49"/>
        <v>83.333333333333329</v>
      </c>
      <c r="G334" s="683">
        <v>0.18</v>
      </c>
      <c r="H334" s="580">
        <f t="shared" si="48"/>
        <v>14.999999999999998</v>
      </c>
      <c r="I334" s="684">
        <v>2.94</v>
      </c>
      <c r="J334" s="583">
        <f t="shared" si="46"/>
        <v>244.99999999999997</v>
      </c>
      <c r="K334" s="683"/>
      <c r="L334" s="585"/>
      <c r="M334" s="586">
        <f t="shared" si="47"/>
        <v>259.99999999999994</v>
      </c>
    </row>
    <row r="335" spans="1:13" ht="20.45" customHeight="1">
      <c r="A335" s="686">
        <v>16</v>
      </c>
      <c r="B335" s="735" t="s">
        <v>534</v>
      </c>
      <c r="C335" s="686" t="s">
        <v>898</v>
      </c>
      <c r="D335" s="686"/>
      <c r="E335" s="688">
        <f>'Bang gia'!E21</f>
        <v>1554</v>
      </c>
      <c r="F335" s="688">
        <f>E335</f>
        <v>1554</v>
      </c>
      <c r="G335" s="683">
        <v>0.153</v>
      </c>
      <c r="H335" s="688">
        <f t="shared" si="48"/>
        <v>237.762</v>
      </c>
      <c r="I335" s="684">
        <v>2.1259999999999999</v>
      </c>
      <c r="J335" s="689">
        <f t="shared" si="46"/>
        <v>3303.8039999999996</v>
      </c>
      <c r="K335" s="683"/>
      <c r="L335" s="690"/>
      <c r="M335" s="691">
        <f t="shared" si="47"/>
        <v>3541.5659999999998</v>
      </c>
    </row>
    <row r="336" spans="1:13" ht="20.45" customHeight="1">
      <c r="A336" s="697"/>
      <c r="B336" s="697" t="s">
        <v>294</v>
      </c>
      <c r="C336" s="697"/>
      <c r="D336" s="697"/>
      <c r="E336" s="622"/>
      <c r="F336" s="622"/>
      <c r="G336" s="621"/>
      <c r="H336" s="622">
        <f>SUM(H320:H335)</f>
        <v>741.62738461538447</v>
      </c>
      <c r="I336" s="699"/>
      <c r="J336" s="700">
        <f>SUM(J320:J335)</f>
        <v>10482.836051282051</v>
      </c>
      <c r="K336" s="621"/>
      <c r="L336" s="591"/>
      <c r="M336" s="591">
        <f t="shared" si="47"/>
        <v>11224.463435897436</v>
      </c>
    </row>
    <row r="337" spans="1:13" ht="20.45" customHeight="1">
      <c r="A337" s="697"/>
      <c r="B337" s="697" t="s">
        <v>916</v>
      </c>
      <c r="C337" s="697"/>
      <c r="D337" s="697"/>
      <c r="E337" s="622"/>
      <c r="F337" s="622"/>
      <c r="G337" s="621"/>
      <c r="H337" s="622">
        <f>(H336-H335)*5%</f>
        <v>25.193269230769225</v>
      </c>
      <c r="I337" s="622"/>
      <c r="J337" s="622">
        <f>(J336-J335)*5%</f>
        <v>358.95160256410259</v>
      </c>
      <c r="K337" s="700"/>
      <c r="L337" s="700"/>
      <c r="M337" s="622">
        <f>(M336-M335)*5%</f>
        <v>384.14487179487185</v>
      </c>
    </row>
    <row r="338" spans="1:13" ht="20.45" customHeight="1">
      <c r="A338" s="702"/>
      <c r="B338" s="588" t="s">
        <v>316</v>
      </c>
      <c r="C338" s="702"/>
      <c r="D338" s="702"/>
      <c r="E338" s="784"/>
      <c r="F338" s="702"/>
      <c r="G338" s="702"/>
      <c r="H338" s="589">
        <f>H336+H337</f>
        <v>766.82065384615373</v>
      </c>
      <c r="I338" s="589"/>
      <c r="J338" s="700">
        <f>J336+J337</f>
        <v>10841.787653846153</v>
      </c>
      <c r="K338" s="700"/>
      <c r="L338" s="700"/>
      <c r="M338" s="700">
        <f>M336+M337</f>
        <v>11608.608307692308</v>
      </c>
    </row>
    <row r="339" spans="1:13">
      <c r="A339" s="454"/>
      <c r="B339" s="454"/>
      <c r="C339" s="454"/>
    </row>
    <row r="340" spans="1:13">
      <c r="A340" s="494"/>
      <c r="B340" s="599" t="s">
        <v>299</v>
      </c>
      <c r="C340" s="494"/>
      <c r="D340" s="494"/>
      <c r="E340" s="604"/>
      <c r="F340" s="494"/>
      <c r="G340" s="494"/>
      <c r="H340" s="602"/>
      <c r="I340" s="606"/>
      <c r="J340" s="779"/>
      <c r="K340" s="606"/>
      <c r="L340" s="779"/>
      <c r="M340" s="779"/>
    </row>
    <row r="341" spans="1:13">
      <c r="A341" s="494"/>
      <c r="B341" s="603" t="s">
        <v>229</v>
      </c>
      <c r="C341" s="494"/>
      <c r="D341" s="494"/>
      <c r="E341" s="604"/>
      <c r="F341" s="494"/>
      <c r="G341" s="494"/>
      <c r="H341" s="602"/>
      <c r="I341" s="606"/>
      <c r="J341" s="779"/>
      <c r="K341" s="606"/>
      <c r="L341" s="779"/>
      <c r="M341" s="779"/>
    </row>
    <row r="342" spans="1:13">
      <c r="A342" s="454"/>
      <c r="B342" s="605" t="s">
        <v>1052</v>
      </c>
      <c r="C342" s="454"/>
    </row>
    <row r="343" spans="1:13">
      <c r="A343" s="454"/>
      <c r="B343" s="605" t="s">
        <v>228</v>
      </c>
      <c r="C343" s="454"/>
    </row>
    <row r="344" spans="1:13">
      <c r="A344" s="454"/>
      <c r="B344" s="454"/>
      <c r="C344" s="454"/>
    </row>
    <row r="345" spans="1:13" ht="31.9" customHeight="1">
      <c r="A345" s="1269" t="s">
        <v>363</v>
      </c>
      <c r="B345" s="1269"/>
      <c r="C345" s="1269"/>
      <c r="D345" s="1269"/>
      <c r="E345" s="1269"/>
      <c r="F345" s="1269"/>
      <c r="G345" s="1269"/>
      <c r="H345" s="1269"/>
      <c r="I345" s="1269"/>
      <c r="J345" s="1269"/>
      <c r="K345" s="1269"/>
      <c r="L345" s="1269"/>
      <c r="M345" s="1269"/>
    </row>
    <row r="346" spans="1:13">
      <c r="A346" s="811"/>
      <c r="B346" s="574"/>
      <c r="C346" s="575"/>
      <c r="D346" s="575"/>
      <c r="E346" s="612"/>
      <c r="F346" s="576"/>
      <c r="G346" s="574"/>
      <c r="H346" s="574"/>
      <c r="I346" s="574"/>
      <c r="J346" s="574"/>
      <c r="K346" s="577"/>
      <c r="L346" s="577"/>
      <c r="M346" s="577"/>
    </row>
    <row r="347" spans="1:13" ht="23.25" customHeight="1">
      <c r="A347" s="1245" t="s">
        <v>882</v>
      </c>
      <c r="B347" s="1245" t="s">
        <v>283</v>
      </c>
      <c r="C347" s="1245" t="s">
        <v>284</v>
      </c>
      <c r="D347" s="1248" t="s">
        <v>285</v>
      </c>
      <c r="E347" s="1245" t="s">
        <v>286</v>
      </c>
      <c r="F347" s="1245" t="s">
        <v>287</v>
      </c>
      <c r="G347" s="1254" t="s">
        <v>288</v>
      </c>
      <c r="H347" s="1255"/>
      <c r="I347" s="1255"/>
      <c r="J347" s="1255"/>
      <c r="K347" s="1255"/>
      <c r="L347" s="1256"/>
      <c r="M347" s="1245" t="s">
        <v>409</v>
      </c>
    </row>
    <row r="348" spans="1:13" ht="29.25" customHeight="1">
      <c r="A348" s="1246"/>
      <c r="B348" s="1246"/>
      <c r="C348" s="1246"/>
      <c r="D348" s="1249"/>
      <c r="E348" s="1246"/>
      <c r="F348" s="1246"/>
      <c r="G348" s="1254" t="s">
        <v>345</v>
      </c>
      <c r="H348" s="1256"/>
      <c r="I348" s="1254" t="s">
        <v>631</v>
      </c>
      <c r="J348" s="1256"/>
      <c r="K348" s="1254" t="s">
        <v>291</v>
      </c>
      <c r="L348" s="1256"/>
      <c r="M348" s="1246"/>
    </row>
    <row r="349" spans="1:13" ht="26.45" customHeight="1">
      <c r="A349" s="1247"/>
      <c r="B349" s="1247"/>
      <c r="C349" s="1247"/>
      <c r="D349" s="1250"/>
      <c r="E349" s="1247"/>
      <c r="F349" s="1247"/>
      <c r="G349" s="468" t="s">
        <v>897</v>
      </c>
      <c r="H349" s="468" t="s">
        <v>986</v>
      </c>
      <c r="I349" s="468" t="s">
        <v>897</v>
      </c>
      <c r="J349" s="468" t="s">
        <v>986</v>
      </c>
      <c r="K349" s="468" t="s">
        <v>897</v>
      </c>
      <c r="L349" s="468" t="s">
        <v>986</v>
      </c>
      <c r="M349" s="1247"/>
    </row>
    <row r="350" spans="1:13" ht="28.9" customHeight="1">
      <c r="A350" s="623">
        <v>1</v>
      </c>
      <c r="B350" s="624" t="s">
        <v>384</v>
      </c>
      <c r="C350" s="623" t="s">
        <v>385</v>
      </c>
      <c r="D350" s="623">
        <v>36</v>
      </c>
      <c r="E350" s="625">
        <f>'Bang gia'!E6</f>
        <v>230000</v>
      </c>
      <c r="F350" s="580">
        <f>E350/(D350*26)</f>
        <v>245.72649572649573</v>
      </c>
      <c r="G350" s="626">
        <v>1.7999999999999999E-2</v>
      </c>
      <c r="H350" s="780">
        <f t="shared" ref="H350:H356" si="50">F350*G350</f>
        <v>4.4230769230769225</v>
      </c>
      <c r="I350" s="626"/>
      <c r="J350" s="781"/>
      <c r="K350" s="626">
        <v>4.4400000000000004</v>
      </c>
      <c r="L350" s="628">
        <f t="shared" ref="L350:L357" si="51">F350*K350</f>
        <v>1091.0256410256411</v>
      </c>
      <c r="M350" s="627">
        <f t="shared" ref="M350:M361" si="52">H350+J350+L350</f>
        <v>1095.448717948718</v>
      </c>
    </row>
    <row r="351" spans="1:13" ht="28.9" customHeight="1">
      <c r="A351" s="578">
        <v>2</v>
      </c>
      <c r="B351" s="630" t="s">
        <v>386</v>
      </c>
      <c r="C351" s="578" t="s">
        <v>385</v>
      </c>
      <c r="D351" s="578">
        <v>96</v>
      </c>
      <c r="E351" s="580">
        <f>'Bang gia'!E7</f>
        <v>360000</v>
      </c>
      <c r="F351" s="580">
        <f>E351/(D351*26)</f>
        <v>144.23076923076923</v>
      </c>
      <c r="G351" s="626">
        <v>1.7999999999999999E-2</v>
      </c>
      <c r="H351" s="580">
        <f t="shared" si="50"/>
        <v>2.5961538461538458</v>
      </c>
      <c r="I351" s="582"/>
      <c r="J351" s="583"/>
      <c r="K351" s="584">
        <v>6.84</v>
      </c>
      <c r="L351" s="585">
        <f t="shared" si="51"/>
        <v>986.53846153846143</v>
      </c>
      <c r="M351" s="586">
        <f t="shared" si="52"/>
        <v>989.13461538461524</v>
      </c>
    </row>
    <row r="352" spans="1:13" ht="28.9" customHeight="1">
      <c r="A352" s="578">
        <v>3</v>
      </c>
      <c r="B352" s="579" t="s">
        <v>387</v>
      </c>
      <c r="C352" s="578" t="s">
        <v>385</v>
      </c>
      <c r="D352" s="578">
        <v>96</v>
      </c>
      <c r="E352" s="580">
        <f>'Bang gia'!E8</f>
        <v>754000</v>
      </c>
      <c r="F352" s="580">
        <f>E352/(D352*26)</f>
        <v>302.08333333333331</v>
      </c>
      <c r="G352" s="626">
        <v>1.7999999999999999E-2</v>
      </c>
      <c r="H352" s="580">
        <f t="shared" si="50"/>
        <v>5.4374999999999991</v>
      </c>
      <c r="I352" s="582"/>
      <c r="J352" s="583"/>
      <c r="K352" s="584">
        <v>6.84</v>
      </c>
      <c r="L352" s="585">
        <f t="shared" si="51"/>
        <v>2066.25</v>
      </c>
      <c r="M352" s="586">
        <f t="shared" si="52"/>
        <v>2071.6875</v>
      </c>
    </row>
    <row r="353" spans="1:13" ht="28.9" customHeight="1">
      <c r="A353" s="578">
        <v>4</v>
      </c>
      <c r="B353" s="579" t="s">
        <v>388</v>
      </c>
      <c r="C353" s="578" t="s">
        <v>385</v>
      </c>
      <c r="D353" s="578">
        <v>96</v>
      </c>
      <c r="E353" s="580">
        <f>'Bang gia'!E9</f>
        <v>2331000</v>
      </c>
      <c r="F353" s="580">
        <f t="shared" ref="F353:F359" si="53">E353/(D353*26)</f>
        <v>933.89423076923072</v>
      </c>
      <c r="G353" s="626">
        <v>1.7999999999999999E-2</v>
      </c>
      <c r="H353" s="580">
        <f t="shared" si="50"/>
        <v>16.810096153846153</v>
      </c>
      <c r="I353" s="582"/>
      <c r="J353" s="583"/>
      <c r="K353" s="626">
        <v>4.4400000000000004</v>
      </c>
      <c r="L353" s="585">
        <f t="shared" si="51"/>
        <v>4146.4903846153848</v>
      </c>
      <c r="M353" s="586">
        <f t="shared" si="52"/>
        <v>4163.3004807692305</v>
      </c>
    </row>
    <row r="354" spans="1:13" ht="28.9" customHeight="1">
      <c r="A354" s="578">
        <v>5</v>
      </c>
      <c r="B354" s="579" t="s">
        <v>392</v>
      </c>
      <c r="C354" s="578" t="s">
        <v>385</v>
      </c>
      <c r="D354" s="578">
        <v>12</v>
      </c>
      <c r="E354" s="580">
        <f>'Bang gia'!E13</f>
        <v>25000</v>
      </c>
      <c r="F354" s="580">
        <f t="shared" si="53"/>
        <v>80.128205128205124</v>
      </c>
      <c r="G354" s="626">
        <v>1.7999999999999999E-2</v>
      </c>
      <c r="H354" s="782">
        <f t="shared" si="50"/>
        <v>1.4423076923076921</v>
      </c>
      <c r="I354" s="582"/>
      <c r="J354" s="812"/>
      <c r="K354" s="584">
        <v>2.3E-2</v>
      </c>
      <c r="L354" s="585">
        <f t="shared" si="51"/>
        <v>1.8429487179487178</v>
      </c>
      <c r="M354" s="586">
        <f t="shared" si="52"/>
        <v>3.2852564102564097</v>
      </c>
    </row>
    <row r="355" spans="1:13" ht="28.9" customHeight="1">
      <c r="A355" s="578">
        <v>6</v>
      </c>
      <c r="B355" s="579" t="s">
        <v>293</v>
      </c>
      <c r="C355" s="578" t="s">
        <v>385</v>
      </c>
      <c r="D355" s="578">
        <v>12</v>
      </c>
      <c r="E355" s="580">
        <f>'Bang gia'!E16</f>
        <v>100000</v>
      </c>
      <c r="F355" s="580">
        <f t="shared" si="53"/>
        <v>320.5128205128205</v>
      </c>
      <c r="G355" s="626">
        <v>1.7999999999999999E-2</v>
      </c>
      <c r="H355" s="580">
        <f t="shared" si="50"/>
        <v>5.7692307692307683</v>
      </c>
      <c r="I355" s="582"/>
      <c r="J355" s="583"/>
      <c r="K355" s="584">
        <v>6.84</v>
      </c>
      <c r="L355" s="585">
        <f t="shared" si="51"/>
        <v>2192.3076923076924</v>
      </c>
      <c r="M355" s="586">
        <f t="shared" si="52"/>
        <v>2198.0769230769233</v>
      </c>
    </row>
    <row r="356" spans="1:13" ht="28.9" customHeight="1">
      <c r="A356" s="578">
        <v>7</v>
      </c>
      <c r="B356" s="579" t="s">
        <v>396</v>
      </c>
      <c r="C356" s="578" t="s">
        <v>529</v>
      </c>
      <c r="D356" s="578">
        <v>6</v>
      </c>
      <c r="E356" s="580">
        <f>'Bang gia'!E17</f>
        <v>18000</v>
      </c>
      <c r="F356" s="580">
        <f t="shared" si="53"/>
        <v>115.38461538461539</v>
      </c>
      <c r="G356" s="626">
        <v>1.7999999999999999E-2</v>
      </c>
      <c r="H356" s="782">
        <f t="shared" si="50"/>
        <v>2.0769230769230766</v>
      </c>
      <c r="I356" s="582"/>
      <c r="J356" s="583"/>
      <c r="K356" s="584">
        <v>6.84</v>
      </c>
      <c r="L356" s="585">
        <f t="shared" si="51"/>
        <v>789.23076923076928</v>
      </c>
      <c r="M356" s="586">
        <f t="shared" si="52"/>
        <v>791.30769230769238</v>
      </c>
    </row>
    <row r="357" spans="1:13" ht="28.9" customHeight="1">
      <c r="A357" s="578">
        <v>8</v>
      </c>
      <c r="B357" s="735" t="s">
        <v>530</v>
      </c>
      <c r="C357" s="578" t="s">
        <v>385</v>
      </c>
      <c r="D357" s="578">
        <v>12</v>
      </c>
      <c r="E357" s="688">
        <f>'Bang gia'!E18</f>
        <v>25000</v>
      </c>
      <c r="F357" s="580">
        <f t="shared" si="53"/>
        <v>80.128205128205124</v>
      </c>
      <c r="G357" s="683"/>
      <c r="H357" s="580"/>
      <c r="I357" s="684"/>
      <c r="J357" s="802"/>
      <c r="K357" s="683">
        <v>1.4999999999999999E-2</v>
      </c>
      <c r="L357" s="585">
        <f t="shared" si="51"/>
        <v>1.2019230769230769</v>
      </c>
      <c r="M357" s="586">
        <f t="shared" si="52"/>
        <v>1.2019230769230769</v>
      </c>
    </row>
    <row r="358" spans="1:13" ht="28.9" customHeight="1">
      <c r="A358" s="578">
        <v>9</v>
      </c>
      <c r="B358" s="735" t="s">
        <v>531</v>
      </c>
      <c r="C358" s="578" t="s">
        <v>385</v>
      </c>
      <c r="D358" s="578">
        <v>36</v>
      </c>
      <c r="E358" s="688">
        <f>'Bang gia'!E19</f>
        <v>870000</v>
      </c>
      <c r="F358" s="580">
        <f t="shared" si="53"/>
        <v>929.48717948717945</v>
      </c>
      <c r="G358" s="683">
        <v>1.2E-2</v>
      </c>
      <c r="H358" s="580">
        <f>F358*G358</f>
        <v>11.153846153846153</v>
      </c>
      <c r="I358" s="684"/>
      <c r="J358" s="583"/>
      <c r="K358" s="683">
        <v>0.36</v>
      </c>
      <c r="L358" s="585">
        <f>F358*K358</f>
        <v>334.61538461538458</v>
      </c>
      <c r="M358" s="586">
        <f t="shared" si="52"/>
        <v>345.76923076923072</v>
      </c>
    </row>
    <row r="359" spans="1:13" ht="28.9" customHeight="1">
      <c r="A359" s="578">
        <v>10</v>
      </c>
      <c r="B359" s="735" t="s">
        <v>532</v>
      </c>
      <c r="C359" s="686" t="s">
        <v>533</v>
      </c>
      <c r="D359" s="686">
        <v>30</v>
      </c>
      <c r="E359" s="688">
        <f>'Bang gia'!E20</f>
        <v>65000</v>
      </c>
      <c r="F359" s="580">
        <f t="shared" si="53"/>
        <v>83.333333333333329</v>
      </c>
      <c r="G359" s="626">
        <v>1.7999999999999999E-2</v>
      </c>
      <c r="H359" s="782">
        <f>F359*G359</f>
        <v>1.4999999999999998</v>
      </c>
      <c r="I359" s="684"/>
      <c r="J359" s="802"/>
      <c r="K359" s="683">
        <v>4.4400000000000004</v>
      </c>
      <c r="L359" s="585">
        <f>F359*K359</f>
        <v>370</v>
      </c>
      <c r="M359" s="586">
        <f t="shared" si="52"/>
        <v>371.5</v>
      </c>
    </row>
    <row r="360" spans="1:13" ht="28.9" customHeight="1">
      <c r="A360" s="686">
        <v>11</v>
      </c>
      <c r="B360" s="735" t="s">
        <v>534</v>
      </c>
      <c r="C360" s="686" t="s">
        <v>898</v>
      </c>
      <c r="D360" s="686"/>
      <c r="E360" s="688">
        <f>'Bang gia'!E21</f>
        <v>1554</v>
      </c>
      <c r="F360" s="688">
        <f>E360</f>
        <v>1554</v>
      </c>
      <c r="G360" s="683">
        <v>1.4999999999999999E-2</v>
      </c>
      <c r="H360" s="688">
        <f>F360*G360</f>
        <v>23.31</v>
      </c>
      <c r="I360" s="684"/>
      <c r="J360" s="689"/>
      <c r="K360" s="683">
        <v>1.7090000000000001</v>
      </c>
      <c r="L360" s="690">
        <f>F360*K360</f>
        <v>2655.7860000000001</v>
      </c>
      <c r="M360" s="691">
        <f t="shared" si="52"/>
        <v>2679.096</v>
      </c>
    </row>
    <row r="361" spans="1:13" ht="28.9" customHeight="1">
      <c r="A361" s="697"/>
      <c r="B361" s="697" t="s">
        <v>294</v>
      </c>
      <c r="C361" s="697"/>
      <c r="D361" s="697"/>
      <c r="E361" s="622"/>
      <c r="F361" s="622"/>
      <c r="G361" s="621"/>
      <c r="H361" s="622">
        <f>SUM(H350:H360)</f>
        <v>74.519134615384601</v>
      </c>
      <c r="I361" s="699"/>
      <c r="J361" s="700"/>
      <c r="K361" s="621"/>
      <c r="L361" s="591">
        <f>SUM(L350:L360)</f>
        <v>14635.289205128207</v>
      </c>
      <c r="M361" s="591">
        <f t="shared" si="52"/>
        <v>14709.808339743591</v>
      </c>
    </row>
    <row r="362" spans="1:13" ht="28.9" customHeight="1">
      <c r="A362" s="697"/>
      <c r="B362" s="697" t="s">
        <v>916</v>
      </c>
      <c r="C362" s="697"/>
      <c r="D362" s="697"/>
      <c r="E362" s="622"/>
      <c r="F362" s="622"/>
      <c r="G362" s="621"/>
      <c r="H362" s="622">
        <f>(H361-H360)*5%</f>
        <v>2.5604567307692303</v>
      </c>
      <c r="I362" s="622"/>
      <c r="J362" s="700"/>
      <c r="K362" s="700"/>
      <c r="L362" s="622">
        <f>(L361-L360)*5%</f>
        <v>598.97516025641039</v>
      </c>
      <c r="M362" s="622">
        <f>(M361-M360)*5%</f>
        <v>601.53561698717965</v>
      </c>
    </row>
    <row r="363" spans="1:13" ht="28.9" customHeight="1">
      <c r="A363" s="702"/>
      <c r="B363" s="588" t="s">
        <v>316</v>
      </c>
      <c r="C363" s="702"/>
      <c r="D363" s="702"/>
      <c r="E363" s="784"/>
      <c r="F363" s="702"/>
      <c r="G363" s="702"/>
      <c r="H363" s="589">
        <f>H361+H362</f>
        <v>77.079591346153833</v>
      </c>
      <c r="I363" s="589"/>
      <c r="J363" s="700"/>
      <c r="K363" s="700"/>
      <c r="L363" s="700">
        <f>L361+L362</f>
        <v>15234.264365384617</v>
      </c>
      <c r="M363" s="700">
        <f>M361+M362</f>
        <v>15311.343956730771</v>
      </c>
    </row>
    <row r="364" spans="1:13">
      <c r="A364" s="454"/>
      <c r="B364" s="454"/>
      <c r="C364" s="454"/>
    </row>
    <row r="365" spans="1:13">
      <c r="A365" s="494"/>
      <c r="B365" s="599" t="s">
        <v>299</v>
      </c>
      <c r="C365" s="494"/>
      <c r="D365" s="494"/>
      <c r="E365" s="604"/>
      <c r="F365" s="494"/>
      <c r="G365" s="494"/>
      <c r="H365" s="602"/>
      <c r="I365" s="606"/>
      <c r="J365" s="779"/>
      <c r="K365" s="606"/>
      <c r="L365" s="779"/>
      <c r="M365" s="779"/>
    </row>
    <row r="366" spans="1:13" ht="21" customHeight="1">
      <c r="A366" s="494"/>
      <c r="B366" s="603" t="s">
        <v>346</v>
      </c>
      <c r="C366" s="494"/>
      <c r="D366" s="494"/>
      <c r="E366" s="604"/>
      <c r="F366" s="494"/>
      <c r="G366" s="494"/>
      <c r="H366" s="602"/>
      <c r="I366" s="606"/>
      <c r="J366" s="779"/>
      <c r="K366" s="606"/>
      <c r="L366" s="779"/>
      <c r="M366" s="605"/>
    </row>
    <row r="367" spans="1:13" ht="27.6" customHeight="1">
      <c r="A367" s="494"/>
      <c r="B367" s="1260" t="s">
        <v>1052</v>
      </c>
      <c r="C367" s="1260"/>
      <c r="D367" s="1260"/>
      <c r="E367" s="1260"/>
      <c r="F367" s="1260"/>
      <c r="G367" s="1260"/>
      <c r="H367" s="1260"/>
      <c r="I367" s="1260"/>
      <c r="J367" s="1260"/>
      <c r="K367" s="1260"/>
      <c r="L367" s="1260"/>
      <c r="M367" s="1260"/>
    </row>
    <row r="368" spans="1:13" ht="33" customHeight="1">
      <c r="A368" s="494"/>
      <c r="B368" s="1260" t="s">
        <v>1053</v>
      </c>
      <c r="C368" s="1260"/>
      <c r="D368" s="1260"/>
      <c r="E368" s="1260"/>
      <c r="F368" s="1260"/>
      <c r="G368" s="1260"/>
      <c r="H368" s="1260"/>
      <c r="I368" s="1260"/>
      <c r="J368" s="1260"/>
      <c r="K368" s="1260"/>
      <c r="L368" s="1260"/>
      <c r="M368" s="1260"/>
    </row>
    <row r="369" spans="1:13" ht="15.6" customHeight="1">
      <c r="A369" s="480"/>
      <c r="C369" s="600"/>
      <c r="D369" s="494"/>
      <c r="E369" s="604"/>
      <c r="F369" s="494"/>
      <c r="G369" s="601"/>
      <c r="H369" s="601"/>
      <c r="I369" s="602"/>
      <c r="J369" s="602"/>
      <c r="K369" s="602"/>
      <c r="L369" s="602"/>
      <c r="M369" s="494"/>
    </row>
    <row r="370" spans="1:13" ht="25.9" customHeight="1">
      <c r="A370" s="1264" t="s">
        <v>945</v>
      </c>
      <c r="B370" s="1264"/>
      <c r="C370" s="1264"/>
      <c r="D370" s="1264"/>
      <c r="E370" s="1264"/>
      <c r="F370" s="1264"/>
      <c r="G370" s="1264"/>
      <c r="H370" s="1264"/>
    </row>
    <row r="371" spans="1:13" ht="10.5" customHeight="1">
      <c r="A371" s="760"/>
      <c r="B371" s="760"/>
      <c r="C371" s="761"/>
      <c r="D371" s="575"/>
      <c r="E371" s="612"/>
      <c r="F371" s="576"/>
      <c r="G371" s="574"/>
      <c r="H371" s="574"/>
    </row>
    <row r="372" spans="1:13" ht="49.5" customHeight="1">
      <c r="A372" s="721" t="s">
        <v>882</v>
      </c>
      <c r="B372" s="721" t="s">
        <v>283</v>
      </c>
      <c r="C372" s="721" t="s">
        <v>284</v>
      </c>
      <c r="D372" s="813" t="s">
        <v>821</v>
      </c>
      <c r="E372" s="721" t="s">
        <v>286</v>
      </c>
      <c r="F372" s="468" t="s">
        <v>287</v>
      </c>
      <c r="G372" s="468" t="s">
        <v>822</v>
      </c>
      <c r="H372" s="468" t="s">
        <v>823</v>
      </c>
      <c r="I372" s="1261" t="s">
        <v>162</v>
      </c>
      <c r="J372" s="1262"/>
      <c r="K372" s="1262"/>
      <c r="L372" s="1262"/>
      <c r="M372" s="1263"/>
    </row>
    <row r="373" spans="1:13" ht="24.6" customHeight="1">
      <c r="A373" s="623">
        <v>1</v>
      </c>
      <c r="B373" s="624" t="s">
        <v>384</v>
      </c>
      <c r="C373" s="623" t="s">
        <v>385</v>
      </c>
      <c r="D373" s="623">
        <v>36</v>
      </c>
      <c r="E373" s="625">
        <f t="shared" ref="E373:E388" si="54">E320</f>
        <v>230000</v>
      </c>
      <c r="F373" s="657">
        <f>E373/(D373*26)</f>
        <v>245.72649572649573</v>
      </c>
      <c r="G373" s="658">
        <v>0.08</v>
      </c>
      <c r="H373" s="814">
        <f>F373*G373</f>
        <v>19.658119658119659</v>
      </c>
      <c r="I373" s="815"/>
      <c r="J373" s="723"/>
      <c r="K373" s="723"/>
      <c r="L373" s="723"/>
      <c r="M373" s="725"/>
    </row>
    <row r="374" spans="1:13" ht="24.6" customHeight="1">
      <c r="A374" s="578">
        <v>2</v>
      </c>
      <c r="B374" s="630" t="s">
        <v>386</v>
      </c>
      <c r="C374" s="578" t="s">
        <v>385</v>
      </c>
      <c r="D374" s="578">
        <v>96</v>
      </c>
      <c r="E374" s="580">
        <f t="shared" si="54"/>
        <v>360000</v>
      </c>
      <c r="F374" s="580">
        <f>E374/(D374*26)</f>
        <v>144.23076923076923</v>
      </c>
      <c r="G374" s="584">
        <v>0.32</v>
      </c>
      <c r="H374" s="816">
        <f>F374*G374</f>
        <v>46.153846153846153</v>
      </c>
      <c r="I374" s="662"/>
      <c r="J374" s="663"/>
      <c r="K374" s="663"/>
      <c r="L374" s="663"/>
      <c r="M374" s="664"/>
    </row>
    <row r="375" spans="1:13" ht="24.6" customHeight="1">
      <c r="A375" s="578">
        <v>3</v>
      </c>
      <c r="B375" s="579" t="s">
        <v>387</v>
      </c>
      <c r="C375" s="578" t="s">
        <v>385</v>
      </c>
      <c r="D375" s="578">
        <v>96</v>
      </c>
      <c r="E375" s="580">
        <f t="shared" si="54"/>
        <v>754000</v>
      </c>
      <c r="F375" s="580">
        <f>E375/(D375*26)</f>
        <v>302.08333333333331</v>
      </c>
      <c r="G375" s="584">
        <v>0.32</v>
      </c>
      <c r="H375" s="816">
        <f t="shared" ref="H375:H388" si="55">F375*G375</f>
        <v>96.666666666666657</v>
      </c>
      <c r="I375" s="662"/>
      <c r="J375" s="663"/>
      <c r="K375" s="663"/>
      <c r="L375" s="663"/>
      <c r="M375" s="664"/>
    </row>
    <row r="376" spans="1:13" ht="24.6" customHeight="1">
      <c r="A376" s="578">
        <v>4</v>
      </c>
      <c r="B376" s="579" t="s">
        <v>388</v>
      </c>
      <c r="C376" s="578" t="s">
        <v>385</v>
      </c>
      <c r="D376" s="578">
        <v>96</v>
      </c>
      <c r="E376" s="580">
        <f t="shared" si="54"/>
        <v>2331000</v>
      </c>
      <c r="F376" s="580">
        <f t="shared" ref="F376:F387" si="56">E376/(D376*26)</f>
        <v>933.89423076923072</v>
      </c>
      <c r="G376" s="584">
        <v>0.08</v>
      </c>
      <c r="H376" s="816">
        <f t="shared" si="55"/>
        <v>74.711538461538453</v>
      </c>
      <c r="I376" s="662"/>
      <c r="J376" s="663"/>
      <c r="K376" s="663"/>
      <c r="L376" s="663"/>
      <c r="M376" s="664"/>
    </row>
    <row r="377" spans="1:13" ht="24.6" customHeight="1">
      <c r="A377" s="578">
        <v>5</v>
      </c>
      <c r="B377" s="579" t="s">
        <v>389</v>
      </c>
      <c r="C377" s="578" t="s">
        <v>385</v>
      </c>
      <c r="D377" s="578">
        <v>24</v>
      </c>
      <c r="E377" s="580">
        <f t="shared" si="54"/>
        <v>15000</v>
      </c>
      <c r="F377" s="580">
        <f t="shared" si="56"/>
        <v>24.03846153846154</v>
      </c>
      <c r="G377" s="584">
        <v>0.05</v>
      </c>
      <c r="H377" s="816">
        <f t="shared" si="55"/>
        <v>1.2019230769230771</v>
      </c>
      <c r="I377" s="662"/>
      <c r="J377" s="663"/>
      <c r="K377" s="663"/>
      <c r="L377" s="663"/>
      <c r="M377" s="664"/>
    </row>
    <row r="378" spans="1:13" ht="24.6" customHeight="1">
      <c r="A378" s="578">
        <v>6</v>
      </c>
      <c r="B378" s="579" t="s">
        <v>390</v>
      </c>
      <c r="C378" s="578" t="s">
        <v>385</v>
      </c>
      <c r="D378" s="578">
        <v>36</v>
      </c>
      <c r="E378" s="580">
        <f t="shared" si="54"/>
        <v>270000</v>
      </c>
      <c r="F378" s="580">
        <f t="shared" si="56"/>
        <v>288.46153846153845</v>
      </c>
      <c r="G378" s="584">
        <v>0.01</v>
      </c>
      <c r="H378" s="816">
        <f t="shared" si="55"/>
        <v>2.8846153846153846</v>
      </c>
      <c r="I378" s="662"/>
      <c r="J378" s="663"/>
      <c r="K378" s="663"/>
      <c r="L378" s="663"/>
      <c r="M378" s="664"/>
    </row>
    <row r="379" spans="1:13" ht="24.6" customHeight="1">
      <c r="A379" s="578">
        <v>7</v>
      </c>
      <c r="B379" s="579" t="s">
        <v>392</v>
      </c>
      <c r="C379" s="578" t="s">
        <v>385</v>
      </c>
      <c r="D379" s="578">
        <v>12</v>
      </c>
      <c r="E379" s="580">
        <f t="shared" si="54"/>
        <v>48000</v>
      </c>
      <c r="F379" s="580">
        <f t="shared" si="56"/>
        <v>153.84615384615384</v>
      </c>
      <c r="G379" s="584">
        <v>0.11</v>
      </c>
      <c r="H379" s="816">
        <f t="shared" si="55"/>
        <v>16.923076923076923</v>
      </c>
      <c r="I379" s="662"/>
      <c r="J379" s="663"/>
      <c r="K379" s="663"/>
      <c r="L379" s="663"/>
      <c r="M379" s="664"/>
    </row>
    <row r="380" spans="1:13" ht="24.6" customHeight="1">
      <c r="A380" s="578">
        <v>8</v>
      </c>
      <c r="B380" s="579" t="s">
        <v>393</v>
      </c>
      <c r="C380" s="578" t="s">
        <v>385</v>
      </c>
      <c r="D380" s="578">
        <v>12</v>
      </c>
      <c r="E380" s="580">
        <f t="shared" si="54"/>
        <v>25000</v>
      </c>
      <c r="F380" s="580">
        <f t="shared" si="56"/>
        <v>80.128205128205124</v>
      </c>
      <c r="G380" s="584">
        <v>0.04</v>
      </c>
      <c r="H380" s="816">
        <f t="shared" si="55"/>
        <v>3.2051282051282048</v>
      </c>
      <c r="I380" s="662"/>
      <c r="J380" s="663"/>
      <c r="K380" s="663"/>
      <c r="L380" s="663"/>
      <c r="M380" s="664"/>
    </row>
    <row r="381" spans="1:13" ht="24.6" customHeight="1">
      <c r="A381" s="578">
        <v>9</v>
      </c>
      <c r="B381" s="579" t="s">
        <v>394</v>
      </c>
      <c r="C381" s="578" t="s">
        <v>385</v>
      </c>
      <c r="D381" s="578">
        <v>9</v>
      </c>
      <c r="E381" s="580">
        <f t="shared" si="54"/>
        <v>35000</v>
      </c>
      <c r="F381" s="580">
        <f t="shared" si="56"/>
        <v>149.57264957264957</v>
      </c>
      <c r="G381" s="584">
        <v>0.02</v>
      </c>
      <c r="H381" s="816">
        <f t="shared" si="55"/>
        <v>2.9914529914529915</v>
      </c>
      <c r="I381" s="662"/>
      <c r="J381" s="663"/>
      <c r="K381" s="663"/>
      <c r="L381" s="663"/>
      <c r="M381" s="664"/>
    </row>
    <row r="382" spans="1:13" ht="24.6" customHeight="1">
      <c r="A382" s="578">
        <v>10</v>
      </c>
      <c r="B382" s="579" t="s">
        <v>293</v>
      </c>
      <c r="C382" s="578" t="s">
        <v>385</v>
      </c>
      <c r="D382" s="578">
        <v>12</v>
      </c>
      <c r="E382" s="580">
        <f t="shared" si="54"/>
        <v>15000</v>
      </c>
      <c r="F382" s="580">
        <f t="shared" si="56"/>
        <v>48.07692307692308</v>
      </c>
      <c r="G382" s="584">
        <v>0.32</v>
      </c>
      <c r="H382" s="816">
        <f t="shared" si="55"/>
        <v>15.384615384615387</v>
      </c>
      <c r="I382" s="662"/>
      <c r="J382" s="663"/>
      <c r="K382" s="663"/>
      <c r="L382" s="663"/>
      <c r="M382" s="664"/>
    </row>
    <row r="383" spans="1:13" ht="24.6" customHeight="1">
      <c r="A383" s="578">
        <v>11</v>
      </c>
      <c r="B383" s="579" t="s">
        <v>396</v>
      </c>
      <c r="C383" s="578" t="s">
        <v>529</v>
      </c>
      <c r="D383" s="578">
        <v>6</v>
      </c>
      <c r="E383" s="580">
        <f t="shared" si="54"/>
        <v>100000</v>
      </c>
      <c r="F383" s="580">
        <f t="shared" si="56"/>
        <v>641.02564102564099</v>
      </c>
      <c r="G383" s="584">
        <v>0.32</v>
      </c>
      <c r="H383" s="816">
        <f t="shared" si="55"/>
        <v>205.12820512820511</v>
      </c>
      <c r="I383" s="662"/>
      <c r="J383" s="663"/>
      <c r="K383" s="663"/>
      <c r="L383" s="663"/>
      <c r="M383" s="664"/>
    </row>
    <row r="384" spans="1:13" ht="24.6" customHeight="1">
      <c r="A384" s="578">
        <v>12</v>
      </c>
      <c r="B384" s="735" t="s">
        <v>61</v>
      </c>
      <c r="C384" s="578" t="s">
        <v>385</v>
      </c>
      <c r="D384" s="578">
        <v>48</v>
      </c>
      <c r="E384" s="580">
        <f t="shared" si="54"/>
        <v>18000</v>
      </c>
      <c r="F384" s="580">
        <f t="shared" si="56"/>
        <v>14.423076923076923</v>
      </c>
      <c r="G384" s="683">
        <v>0.08</v>
      </c>
      <c r="H384" s="816">
        <f t="shared" si="55"/>
        <v>1.153846153846154</v>
      </c>
      <c r="I384" s="662"/>
      <c r="J384" s="663"/>
      <c r="K384" s="663"/>
      <c r="L384" s="663"/>
      <c r="M384" s="664"/>
    </row>
    <row r="385" spans="1:13" ht="24.6" customHeight="1">
      <c r="A385" s="578">
        <v>13</v>
      </c>
      <c r="B385" s="735" t="s">
        <v>62</v>
      </c>
      <c r="C385" s="578" t="s">
        <v>385</v>
      </c>
      <c r="D385" s="578">
        <v>24</v>
      </c>
      <c r="E385" s="580">
        <f t="shared" si="54"/>
        <v>25000</v>
      </c>
      <c r="F385" s="580">
        <f t="shared" si="56"/>
        <v>40.064102564102562</v>
      </c>
      <c r="G385" s="683">
        <v>0.08</v>
      </c>
      <c r="H385" s="816">
        <f t="shared" si="55"/>
        <v>3.2051282051282048</v>
      </c>
      <c r="I385" s="662"/>
      <c r="J385" s="663"/>
      <c r="K385" s="663"/>
      <c r="L385" s="663"/>
      <c r="M385" s="664"/>
    </row>
    <row r="386" spans="1:13" ht="24.6" customHeight="1">
      <c r="A386" s="578">
        <v>14</v>
      </c>
      <c r="B386" s="735" t="s">
        <v>531</v>
      </c>
      <c r="C386" s="578" t="s">
        <v>385</v>
      </c>
      <c r="D386" s="578">
        <v>36</v>
      </c>
      <c r="E386" s="580">
        <f t="shared" si="54"/>
        <v>870000</v>
      </c>
      <c r="F386" s="580">
        <f t="shared" si="56"/>
        <v>929.48717948717945</v>
      </c>
      <c r="G386" s="683">
        <v>0.06</v>
      </c>
      <c r="H386" s="816">
        <f t="shared" si="55"/>
        <v>55.769230769230766</v>
      </c>
      <c r="I386" s="662"/>
      <c r="J386" s="663"/>
      <c r="K386" s="663"/>
      <c r="L386" s="663"/>
      <c r="M386" s="664"/>
    </row>
    <row r="387" spans="1:13" ht="24.6" customHeight="1">
      <c r="A387" s="578">
        <v>15</v>
      </c>
      <c r="B387" s="735" t="s">
        <v>532</v>
      </c>
      <c r="C387" s="686" t="s">
        <v>533</v>
      </c>
      <c r="D387" s="686">
        <v>30</v>
      </c>
      <c r="E387" s="580">
        <f t="shared" si="54"/>
        <v>65000</v>
      </c>
      <c r="F387" s="580">
        <f t="shared" si="56"/>
        <v>83.333333333333329</v>
      </c>
      <c r="G387" s="683">
        <v>0.32</v>
      </c>
      <c r="H387" s="816">
        <f t="shared" si="55"/>
        <v>26.666666666666664</v>
      </c>
      <c r="I387" s="662"/>
      <c r="J387" s="663"/>
      <c r="K387" s="663"/>
      <c r="L387" s="663"/>
      <c r="M387" s="664"/>
    </row>
    <row r="388" spans="1:13" ht="24.6" customHeight="1">
      <c r="A388" s="578">
        <v>16</v>
      </c>
      <c r="B388" s="735" t="s">
        <v>534</v>
      </c>
      <c r="C388" s="686" t="s">
        <v>898</v>
      </c>
      <c r="D388" s="686"/>
      <c r="E388" s="580">
        <f t="shared" si="54"/>
        <v>1554</v>
      </c>
      <c r="F388" s="688">
        <f>E388</f>
        <v>1554</v>
      </c>
      <c r="G388" s="683">
        <v>0.15</v>
      </c>
      <c r="H388" s="816">
        <f t="shared" si="55"/>
        <v>233.1</v>
      </c>
      <c r="I388" s="817"/>
      <c r="J388" s="729"/>
      <c r="K388" s="729"/>
      <c r="L388" s="729"/>
      <c r="M388" s="731"/>
    </row>
    <row r="389" spans="1:13" ht="24.6" customHeight="1">
      <c r="A389" s="614"/>
      <c r="B389" s="697" t="s">
        <v>294</v>
      </c>
      <c r="C389" s="614"/>
      <c r="D389" s="614"/>
      <c r="E389" s="616"/>
      <c r="F389" s="616"/>
      <c r="G389" s="772"/>
      <c r="H389" s="591">
        <f>SUM(H373:H388)</f>
        <v>804.80405982905972</v>
      </c>
      <c r="I389" s="618"/>
      <c r="J389" s="619"/>
      <c r="K389" s="619"/>
      <c r="L389" s="619"/>
      <c r="M389" s="620"/>
    </row>
    <row r="390" spans="1:13" ht="24.6" customHeight="1">
      <c r="A390" s="614"/>
      <c r="B390" s="697" t="s">
        <v>916</v>
      </c>
      <c r="C390" s="614"/>
      <c r="D390" s="614"/>
      <c r="E390" s="616"/>
      <c r="F390" s="616"/>
      <c r="G390" s="772"/>
      <c r="H390" s="591">
        <f>(H389-H388)*5%</f>
        <v>28.585202991452988</v>
      </c>
      <c r="I390" s="618"/>
      <c r="J390" s="619"/>
      <c r="K390" s="619"/>
      <c r="L390" s="619"/>
      <c r="M390" s="620"/>
    </row>
    <row r="391" spans="1:13" ht="24.6" customHeight="1">
      <c r="A391" s="587"/>
      <c r="B391" s="588" t="s">
        <v>295</v>
      </c>
      <c r="C391" s="587"/>
      <c r="D391" s="587"/>
      <c r="E391" s="636"/>
      <c r="F391" s="587"/>
      <c r="G391" s="587"/>
      <c r="H391" s="591">
        <f>H389+H390</f>
        <v>833.38926282051273</v>
      </c>
      <c r="I391" s="618"/>
      <c r="J391" s="619"/>
      <c r="K391" s="619"/>
      <c r="L391" s="619"/>
      <c r="M391" s="620"/>
    </row>
    <row r="393" spans="1:13">
      <c r="B393" s="818" t="s">
        <v>162</v>
      </c>
    </row>
    <row r="394" spans="1:13" ht="66" customHeight="1">
      <c r="B394" s="1258" t="s">
        <v>344</v>
      </c>
      <c r="C394" s="1259"/>
      <c r="D394" s="1259"/>
      <c r="E394" s="1259"/>
      <c r="F394" s="1259"/>
      <c r="G394" s="1259"/>
      <c r="H394" s="1259"/>
      <c r="I394" s="1259"/>
      <c r="J394" s="1259"/>
      <c r="K394" s="1259"/>
      <c r="L394" s="1259"/>
      <c r="M394" s="1259"/>
    </row>
  </sheetData>
  <mergeCells count="181">
    <mergeCell ref="F317:F319"/>
    <mergeCell ref="K318:L318"/>
    <mergeCell ref="G259:L259"/>
    <mergeCell ref="B288:B290"/>
    <mergeCell ref="C288:C290"/>
    <mergeCell ref="F288:F290"/>
    <mergeCell ref="G289:H289"/>
    <mergeCell ref="A317:A319"/>
    <mergeCell ref="B317:B319"/>
    <mergeCell ref="B312:M312"/>
    <mergeCell ref="A315:M315"/>
    <mergeCell ref="C317:C319"/>
    <mergeCell ref="D317:D319"/>
    <mergeCell ref="G317:L317"/>
    <mergeCell ref="I318:J318"/>
    <mergeCell ref="E317:E319"/>
    <mergeCell ref="G318:H318"/>
    <mergeCell ref="A228:M228"/>
    <mergeCell ref="B193:B195"/>
    <mergeCell ref="C259:C261"/>
    <mergeCell ref="K260:L260"/>
    <mergeCell ref="I289:J289"/>
    <mergeCell ref="A286:M286"/>
    <mergeCell ref="M259:M261"/>
    <mergeCell ref="B259:B261"/>
    <mergeCell ref="F259:F261"/>
    <mergeCell ref="C193:C195"/>
    <mergeCell ref="G132:H132"/>
    <mergeCell ref="E157:E159"/>
    <mergeCell ref="D288:D290"/>
    <mergeCell ref="E288:E290"/>
    <mergeCell ref="A155:M155"/>
    <mergeCell ref="I158:J158"/>
    <mergeCell ref="G158:H158"/>
    <mergeCell ref="K194:L194"/>
    <mergeCell ref="B188:M188"/>
    <mergeCell ref="M193:M195"/>
    <mergeCell ref="I194:J194"/>
    <mergeCell ref="M157:M159"/>
    <mergeCell ref="D157:D159"/>
    <mergeCell ref="G193:L193"/>
    <mergeCell ref="K158:L158"/>
    <mergeCell ref="D131:D133"/>
    <mergeCell ref="E131:E133"/>
    <mergeCell ref="B185:M185"/>
    <mergeCell ref="B186:M186"/>
    <mergeCell ref="B187:M187"/>
    <mergeCell ref="A76:M76"/>
    <mergeCell ref="A3:M3"/>
    <mergeCell ref="B75:M75"/>
    <mergeCell ref="G104:L104"/>
    <mergeCell ref="M104:M106"/>
    <mergeCell ref="F131:F133"/>
    <mergeCell ref="M131:M133"/>
    <mergeCell ref="D104:D106"/>
    <mergeCell ref="E104:E106"/>
    <mergeCell ref="F104:F106"/>
    <mergeCell ref="M78:M80"/>
    <mergeCell ref="B36:M36"/>
    <mergeCell ref="A1:M1"/>
    <mergeCell ref="M5:M7"/>
    <mergeCell ref="A5:A7"/>
    <mergeCell ref="B5:B7"/>
    <mergeCell ref="C5:C7"/>
    <mergeCell ref="G6:H6"/>
    <mergeCell ref="I6:J6"/>
    <mergeCell ref="K6:L6"/>
    <mergeCell ref="E5:E7"/>
    <mergeCell ref="B125:K125"/>
    <mergeCell ref="B126:M126"/>
    <mergeCell ref="K105:L105"/>
    <mergeCell ref="F5:F7"/>
    <mergeCell ref="B37:M37"/>
    <mergeCell ref="D5:D7"/>
    <mergeCell ref="G5:L5"/>
    <mergeCell ref="B33:M33"/>
    <mergeCell ref="B34:M34"/>
    <mergeCell ref="B35:M35"/>
    <mergeCell ref="M230:M232"/>
    <mergeCell ref="B230:B232"/>
    <mergeCell ref="C230:C232"/>
    <mergeCell ref="A129:M129"/>
    <mergeCell ref="A78:A80"/>
    <mergeCell ref="I79:J79"/>
    <mergeCell ref="K79:L79"/>
    <mergeCell ref="B78:B80"/>
    <mergeCell ref="G79:H79"/>
    <mergeCell ref="C78:C80"/>
    <mergeCell ref="I231:J231"/>
    <mergeCell ref="F230:F232"/>
    <mergeCell ref="K231:L231"/>
    <mergeCell ref="G231:H231"/>
    <mergeCell ref="D230:D232"/>
    <mergeCell ref="G105:H105"/>
    <mergeCell ref="G157:L157"/>
    <mergeCell ref="B224:M224"/>
    <mergeCell ref="B225:M225"/>
    <mergeCell ref="B226:M226"/>
    <mergeCell ref="M317:M319"/>
    <mergeCell ref="A157:A159"/>
    <mergeCell ref="B157:B159"/>
    <mergeCell ref="C157:C159"/>
    <mergeCell ref="F157:F159"/>
    <mergeCell ref="A230:A232"/>
    <mergeCell ref="G230:L230"/>
    <mergeCell ref="A257:M257"/>
    <mergeCell ref="B223:M223"/>
    <mergeCell ref="E230:E232"/>
    <mergeCell ref="M288:M290"/>
    <mergeCell ref="G260:H260"/>
    <mergeCell ref="A288:A290"/>
    <mergeCell ref="A259:A261"/>
    <mergeCell ref="G288:L288"/>
    <mergeCell ref="I260:J260"/>
    <mergeCell ref="K289:L289"/>
    <mergeCell ref="D259:D261"/>
    <mergeCell ref="E259:E261"/>
    <mergeCell ref="G348:H348"/>
    <mergeCell ref="A347:A349"/>
    <mergeCell ref="B347:B349"/>
    <mergeCell ref="A345:M345"/>
    <mergeCell ref="C347:C349"/>
    <mergeCell ref="F347:F349"/>
    <mergeCell ref="D347:D349"/>
    <mergeCell ref="G347:L347"/>
    <mergeCell ref="M347:M349"/>
    <mergeCell ref="I348:J348"/>
    <mergeCell ref="G78:L78"/>
    <mergeCell ref="D78:D80"/>
    <mergeCell ref="F78:F80"/>
    <mergeCell ref="E78:E80"/>
    <mergeCell ref="B99:K99"/>
    <mergeCell ref="B100:M100"/>
    <mergeCell ref="B152:M152"/>
    <mergeCell ref="B153:M153"/>
    <mergeCell ref="A102:M102"/>
    <mergeCell ref="A131:A133"/>
    <mergeCell ref="B131:B133"/>
    <mergeCell ref="K132:L132"/>
    <mergeCell ref="A104:A106"/>
    <mergeCell ref="B104:B106"/>
    <mergeCell ref="C131:C133"/>
    <mergeCell ref="G131:L131"/>
    <mergeCell ref="I132:J132"/>
    <mergeCell ref="I105:J105"/>
    <mergeCell ref="C104:C106"/>
    <mergeCell ref="B189:M189"/>
    <mergeCell ref="B222:M222"/>
    <mergeCell ref="E193:E195"/>
    <mergeCell ref="A191:M191"/>
    <mergeCell ref="G194:H194"/>
    <mergeCell ref="D193:D195"/>
    <mergeCell ref="A193:A195"/>
    <mergeCell ref="F193:F195"/>
    <mergeCell ref="B394:M394"/>
    <mergeCell ref="B368:M368"/>
    <mergeCell ref="B367:M367"/>
    <mergeCell ref="B255:M255"/>
    <mergeCell ref="B313:M313"/>
    <mergeCell ref="I372:M372"/>
    <mergeCell ref="A370:H370"/>
    <mergeCell ref="E347:E349"/>
    <mergeCell ref="K348:L348"/>
    <mergeCell ref="B38:M38"/>
    <mergeCell ref="M41:M43"/>
    <mergeCell ref="G41:L41"/>
    <mergeCell ref="A39:M39"/>
    <mergeCell ref="I42:J42"/>
    <mergeCell ref="A41:A43"/>
    <mergeCell ref="B41:B43"/>
    <mergeCell ref="E41:E43"/>
    <mergeCell ref="K42:L42"/>
    <mergeCell ref="B74:M74"/>
    <mergeCell ref="C41:C43"/>
    <mergeCell ref="D41:D43"/>
    <mergeCell ref="G42:H42"/>
    <mergeCell ref="F41:F43"/>
    <mergeCell ref="B70:M70"/>
    <mergeCell ref="B73:M73"/>
    <mergeCell ref="B71:M71"/>
    <mergeCell ref="B72:M72"/>
  </mergeCells>
  <phoneticPr fontId="5" type="noConversion"/>
  <printOptions horizontalCentered="1"/>
  <pageMargins left="0.55118110236220497" right="0.55118110236220497" top="0.62992125984252001" bottom="0.66929133858267698" header="0.31496062992126" footer="0.39370078740157499"/>
  <pageSetup paperSize="9" scale="90" firstPageNumber="138" orientation="landscape"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393"/>
  <sheetViews>
    <sheetView topLeftCell="A381" zoomScale="84" zoomScaleNormal="84" workbookViewId="0">
      <selection activeCell="H312" sqref="H312"/>
    </sheetView>
  </sheetViews>
  <sheetFormatPr defaultRowHeight="16.5"/>
  <cols>
    <col min="1" max="1" width="5.6640625" style="572" customWidth="1"/>
    <col min="2" max="2" width="26.21875" style="572" customWidth="1"/>
    <col min="3" max="3" width="8" style="572" customWidth="1"/>
    <col min="4" max="4" width="10" style="454" customWidth="1"/>
    <col min="5" max="5" width="7.77734375" style="652" customWidth="1"/>
    <col min="6" max="6" width="11.33203125" style="454" customWidth="1"/>
    <col min="7" max="7" width="7.88671875" style="652" customWidth="1"/>
    <col min="8" max="8" width="10.5546875" style="454" customWidth="1"/>
    <col min="9" max="9" width="7.44140625" style="652" customWidth="1"/>
    <col min="10" max="10" width="9.88671875" style="454" customWidth="1"/>
    <col min="11" max="11" width="12.44140625" style="454" customWidth="1"/>
    <col min="12" max="12" width="8.88671875" style="572"/>
    <col min="13" max="17" width="9.88671875" style="572" bestFit="1" customWidth="1"/>
    <col min="18" max="16384" width="8.88671875" style="572"/>
  </cols>
  <sheetData>
    <row r="1" spans="1:11" ht="27.75" customHeight="1">
      <c r="A1" s="1270" t="s">
        <v>578</v>
      </c>
      <c r="B1" s="1270"/>
      <c r="C1" s="1270"/>
      <c r="D1" s="1270"/>
      <c r="E1" s="1270"/>
      <c r="F1" s="1270"/>
      <c r="G1" s="1270"/>
      <c r="H1" s="1270"/>
      <c r="I1" s="1270"/>
      <c r="J1" s="1270"/>
      <c r="K1" s="1270"/>
    </row>
    <row r="2" spans="1:11" ht="15" customHeight="1">
      <c r="A2" s="606"/>
      <c r="B2" s="494"/>
      <c r="C2" s="670"/>
      <c r="D2" s="601"/>
      <c r="E2" s="671"/>
      <c r="F2" s="601"/>
      <c r="G2" s="671"/>
      <c r="H2" s="672"/>
      <c r="I2" s="671"/>
      <c r="J2" s="601"/>
      <c r="K2" s="494"/>
    </row>
    <row r="3" spans="1:11" ht="33.75" customHeight="1">
      <c r="A3" s="1257" t="s">
        <v>924</v>
      </c>
      <c r="B3" s="1257"/>
      <c r="C3" s="1257"/>
      <c r="D3" s="1257"/>
      <c r="E3" s="1257"/>
      <c r="F3" s="1257"/>
      <c r="G3" s="1257"/>
      <c r="H3" s="1257"/>
      <c r="I3" s="1257"/>
      <c r="J3" s="1257"/>
      <c r="K3" s="1257"/>
    </row>
    <row r="4" spans="1:11" ht="3.75" customHeight="1">
      <c r="A4" s="673"/>
      <c r="B4" s="480"/>
      <c r="C4" s="670"/>
      <c r="D4" s="601"/>
      <c r="E4" s="671"/>
      <c r="F4" s="601"/>
      <c r="G4" s="671"/>
      <c r="H4" s="672"/>
      <c r="I4" s="674"/>
      <c r="J4" s="601"/>
      <c r="K4" s="494"/>
    </row>
    <row r="5" spans="1:11" ht="18" customHeight="1">
      <c r="A5" s="1245" t="s">
        <v>882</v>
      </c>
      <c r="B5" s="1245" t="s">
        <v>283</v>
      </c>
      <c r="C5" s="1245" t="s">
        <v>284</v>
      </c>
      <c r="D5" s="1245" t="s">
        <v>305</v>
      </c>
      <c r="E5" s="1254" t="s">
        <v>288</v>
      </c>
      <c r="F5" s="1255"/>
      <c r="G5" s="1255"/>
      <c r="H5" s="1255"/>
      <c r="I5" s="1255"/>
      <c r="J5" s="1256"/>
      <c r="K5" s="1245" t="s">
        <v>408</v>
      </c>
    </row>
    <row r="6" spans="1:11" ht="32.25" customHeight="1">
      <c r="A6" s="1246"/>
      <c r="B6" s="1246"/>
      <c r="C6" s="1246"/>
      <c r="D6" s="1246"/>
      <c r="E6" s="1254" t="s">
        <v>345</v>
      </c>
      <c r="F6" s="1256"/>
      <c r="G6" s="1254" t="s">
        <v>633</v>
      </c>
      <c r="H6" s="1256"/>
      <c r="I6" s="1254" t="s">
        <v>291</v>
      </c>
      <c r="J6" s="1256"/>
      <c r="K6" s="1246"/>
    </row>
    <row r="7" spans="1:11" ht="16.5" customHeight="1">
      <c r="A7" s="1247"/>
      <c r="B7" s="1247"/>
      <c r="C7" s="1247"/>
      <c r="D7" s="1247"/>
      <c r="E7" s="675" t="s">
        <v>848</v>
      </c>
      <c r="F7" s="468" t="s">
        <v>292</v>
      </c>
      <c r="G7" s="675" t="s">
        <v>848</v>
      </c>
      <c r="H7" s="468" t="s">
        <v>292</v>
      </c>
      <c r="I7" s="675" t="s">
        <v>848</v>
      </c>
      <c r="J7" s="468" t="s">
        <v>292</v>
      </c>
      <c r="K7" s="1247"/>
    </row>
    <row r="8" spans="1:11" ht="15.95" customHeight="1">
      <c r="A8" s="623">
        <v>1</v>
      </c>
      <c r="B8" s="676" t="s">
        <v>97</v>
      </c>
      <c r="C8" s="677" t="s">
        <v>98</v>
      </c>
      <c r="D8" s="580">
        <f>'Bang gia'!K6</f>
        <v>5000</v>
      </c>
      <c r="E8" s="626">
        <v>2E-3</v>
      </c>
      <c r="F8" s="625">
        <f>D8*E8</f>
        <v>10</v>
      </c>
      <c r="G8" s="626">
        <v>1.7000000000000001E-2</v>
      </c>
      <c r="H8" s="627">
        <f>D8*G8</f>
        <v>85</v>
      </c>
      <c r="I8" s="626">
        <v>2E-3</v>
      </c>
      <c r="J8" s="628">
        <f t="shared" ref="J8:J13" si="0">D8*I8</f>
        <v>10</v>
      </c>
      <c r="K8" s="627">
        <f>F8+H8+J8</f>
        <v>105</v>
      </c>
    </row>
    <row r="9" spans="1:11" ht="15.95" customHeight="1">
      <c r="A9" s="578">
        <v>2</v>
      </c>
      <c r="B9" s="678" t="s">
        <v>99</v>
      </c>
      <c r="C9" s="679" t="s">
        <v>100</v>
      </c>
      <c r="D9" s="580">
        <f>'Bang gia'!K7</f>
        <v>2000</v>
      </c>
      <c r="E9" s="584">
        <v>1E-3</v>
      </c>
      <c r="F9" s="580">
        <f>D9*E9</f>
        <v>2</v>
      </c>
      <c r="G9" s="582">
        <v>1.7000000000000001E-2</v>
      </c>
      <c r="H9" s="583">
        <f>D9*G9</f>
        <v>34</v>
      </c>
      <c r="I9" s="584">
        <v>1E-3</v>
      </c>
      <c r="J9" s="585">
        <f t="shared" si="0"/>
        <v>2</v>
      </c>
      <c r="K9" s="586">
        <f>F9+H9+J9</f>
        <v>38</v>
      </c>
    </row>
    <row r="10" spans="1:11" ht="15.95" customHeight="1">
      <c r="A10" s="578">
        <v>3</v>
      </c>
      <c r="B10" s="678" t="s">
        <v>101</v>
      </c>
      <c r="C10" s="679" t="s">
        <v>100</v>
      </c>
      <c r="D10" s="580">
        <f>'Bang gia'!K8</f>
        <v>2000</v>
      </c>
      <c r="E10" s="584">
        <v>1E-3</v>
      </c>
      <c r="F10" s="580">
        <f t="shared" ref="F10:F28" si="1">D10*E10</f>
        <v>2</v>
      </c>
      <c r="G10" s="582">
        <v>1.0999999999999999E-2</v>
      </c>
      <c r="H10" s="583">
        <f t="shared" ref="H10:H24" si="2">D10*G10</f>
        <v>22</v>
      </c>
      <c r="I10" s="584">
        <v>2E-3</v>
      </c>
      <c r="J10" s="585">
        <f t="shared" si="0"/>
        <v>4</v>
      </c>
      <c r="K10" s="586">
        <f t="shared" ref="K10:K27" si="3">F10+H10+J10</f>
        <v>28</v>
      </c>
    </row>
    <row r="11" spans="1:11" ht="15.95" customHeight="1">
      <c r="A11" s="578">
        <v>4</v>
      </c>
      <c r="B11" s="678" t="s">
        <v>102</v>
      </c>
      <c r="C11" s="679" t="s">
        <v>100</v>
      </c>
      <c r="D11" s="580">
        <f>'Bang gia'!K9</f>
        <v>1450000</v>
      </c>
      <c r="E11" s="584">
        <v>1E-3</v>
      </c>
      <c r="F11" s="580">
        <f t="shared" si="1"/>
        <v>1450</v>
      </c>
      <c r="G11" s="582">
        <v>1E-3</v>
      </c>
      <c r="H11" s="583">
        <f t="shared" si="2"/>
        <v>1450</v>
      </c>
      <c r="I11" s="584">
        <v>1E-3</v>
      </c>
      <c r="J11" s="585">
        <f t="shared" si="0"/>
        <v>1450</v>
      </c>
      <c r="K11" s="586">
        <f t="shared" si="3"/>
        <v>4350</v>
      </c>
    </row>
    <row r="12" spans="1:11" ht="15.95" customHeight="1">
      <c r="A12" s="578">
        <v>5</v>
      </c>
      <c r="B12" s="678" t="s">
        <v>849</v>
      </c>
      <c r="C12" s="679" t="s">
        <v>100</v>
      </c>
      <c r="D12" s="580">
        <f>'Bang gia'!K10</f>
        <v>300000</v>
      </c>
      <c r="E12" s="584"/>
      <c r="F12" s="580"/>
      <c r="G12" s="582">
        <v>2E-3</v>
      </c>
      <c r="H12" s="583">
        <f t="shared" si="2"/>
        <v>600</v>
      </c>
      <c r="I12" s="584">
        <v>3.0000000000000001E-3</v>
      </c>
      <c r="J12" s="585">
        <f t="shared" si="0"/>
        <v>900</v>
      </c>
      <c r="K12" s="586">
        <f t="shared" si="3"/>
        <v>1500</v>
      </c>
    </row>
    <row r="13" spans="1:11" ht="15.95" customHeight="1">
      <c r="A13" s="578">
        <v>6</v>
      </c>
      <c r="B13" s="678" t="s">
        <v>105</v>
      </c>
      <c r="C13" s="679" t="s">
        <v>100</v>
      </c>
      <c r="D13" s="580">
        <f>'Bang gia'!K11</f>
        <v>3350000</v>
      </c>
      <c r="E13" s="584"/>
      <c r="F13" s="580"/>
      <c r="G13" s="582">
        <v>1E-3</v>
      </c>
      <c r="H13" s="583">
        <f t="shared" si="2"/>
        <v>3350</v>
      </c>
      <c r="I13" s="584">
        <v>1E-3</v>
      </c>
      <c r="J13" s="585">
        <f t="shared" si="0"/>
        <v>3350</v>
      </c>
      <c r="K13" s="586">
        <f t="shared" si="3"/>
        <v>6700</v>
      </c>
    </row>
    <row r="14" spans="1:11" ht="15.95" customHeight="1">
      <c r="A14" s="578">
        <v>7</v>
      </c>
      <c r="B14" s="678" t="s">
        <v>106</v>
      </c>
      <c r="C14" s="679" t="s">
        <v>107</v>
      </c>
      <c r="D14" s="580">
        <f>'Bang gia'!K12</f>
        <v>300</v>
      </c>
      <c r="E14" s="584"/>
      <c r="F14" s="580"/>
      <c r="G14" s="582">
        <v>1</v>
      </c>
      <c r="H14" s="583">
        <f t="shared" si="2"/>
        <v>300</v>
      </c>
      <c r="I14" s="584"/>
      <c r="J14" s="585"/>
      <c r="K14" s="586">
        <f t="shared" si="3"/>
        <v>300</v>
      </c>
    </row>
    <row r="15" spans="1:11" ht="15.95" customHeight="1">
      <c r="A15" s="578">
        <v>8</v>
      </c>
      <c r="B15" s="678" t="s">
        <v>319</v>
      </c>
      <c r="C15" s="679" t="s">
        <v>108</v>
      </c>
      <c r="D15" s="580">
        <f>'Bang gia'!K13</f>
        <v>7000</v>
      </c>
      <c r="E15" s="584"/>
      <c r="F15" s="580"/>
      <c r="G15" s="582">
        <v>1</v>
      </c>
      <c r="H15" s="583">
        <f t="shared" si="2"/>
        <v>7000</v>
      </c>
      <c r="I15" s="584"/>
      <c r="J15" s="585"/>
      <c r="K15" s="586">
        <f t="shared" si="3"/>
        <v>7000</v>
      </c>
    </row>
    <row r="16" spans="1:11" ht="15.95" customHeight="1">
      <c r="A16" s="578">
        <v>9</v>
      </c>
      <c r="B16" s="678" t="s">
        <v>318</v>
      </c>
      <c r="C16" s="679" t="s">
        <v>107</v>
      </c>
      <c r="D16" s="580">
        <f>'Bang gia'!K14</f>
        <v>300</v>
      </c>
      <c r="E16" s="584">
        <v>1</v>
      </c>
      <c r="F16" s="580">
        <f t="shared" si="1"/>
        <v>300</v>
      </c>
      <c r="G16" s="582"/>
      <c r="H16" s="583"/>
      <c r="I16" s="584"/>
      <c r="J16" s="585"/>
      <c r="K16" s="586">
        <f t="shared" si="3"/>
        <v>300</v>
      </c>
    </row>
    <row r="17" spans="1:17" ht="15.95" customHeight="1">
      <c r="A17" s="578">
        <v>10</v>
      </c>
      <c r="B17" s="678" t="s">
        <v>109</v>
      </c>
      <c r="C17" s="679" t="s">
        <v>110</v>
      </c>
      <c r="D17" s="580">
        <f>'Bang gia'!K15</f>
        <v>45000</v>
      </c>
      <c r="E17" s="584">
        <v>2E-3</v>
      </c>
      <c r="F17" s="580">
        <f t="shared" si="1"/>
        <v>90</v>
      </c>
      <c r="G17" s="582">
        <v>8.9999999999999993E-3</v>
      </c>
      <c r="H17" s="583">
        <f t="shared" si="2"/>
        <v>404.99999999999994</v>
      </c>
      <c r="I17" s="584">
        <v>2E-3</v>
      </c>
      <c r="J17" s="585">
        <f t="shared" ref="J17:J24" si="4">D17*I17</f>
        <v>90</v>
      </c>
      <c r="K17" s="586">
        <f t="shared" si="3"/>
        <v>585</v>
      </c>
    </row>
    <row r="18" spans="1:17" ht="15.95" customHeight="1">
      <c r="A18" s="578">
        <v>11</v>
      </c>
      <c r="B18" s="678" t="s">
        <v>111</v>
      </c>
      <c r="C18" s="679" t="s">
        <v>110</v>
      </c>
      <c r="D18" s="580">
        <f>'Bang gia'!K16</f>
        <v>90000</v>
      </c>
      <c r="E18" s="584"/>
      <c r="F18" s="580"/>
      <c r="G18" s="582">
        <v>8.9999999999999993E-3</v>
      </c>
      <c r="H18" s="583">
        <f t="shared" si="2"/>
        <v>809.99999999999989</v>
      </c>
      <c r="I18" s="584">
        <v>0.01</v>
      </c>
      <c r="J18" s="585">
        <f t="shared" si="4"/>
        <v>900</v>
      </c>
      <c r="K18" s="586">
        <f t="shared" si="3"/>
        <v>1710</v>
      </c>
    </row>
    <row r="19" spans="1:17" ht="15.95" customHeight="1">
      <c r="A19" s="578">
        <v>12</v>
      </c>
      <c r="B19" s="678" t="s">
        <v>112</v>
      </c>
      <c r="C19" s="679" t="s">
        <v>113</v>
      </c>
      <c r="D19" s="580">
        <f>'Bang gia'!K17</f>
        <v>25000</v>
      </c>
      <c r="E19" s="584">
        <v>4.0000000000000001E-3</v>
      </c>
      <c r="F19" s="580">
        <f t="shared" si="1"/>
        <v>100</v>
      </c>
      <c r="G19" s="582">
        <v>8.9999999999999993E-3</v>
      </c>
      <c r="H19" s="583">
        <f t="shared" si="2"/>
        <v>224.99999999999997</v>
      </c>
      <c r="I19" s="584">
        <v>2E-3</v>
      </c>
      <c r="J19" s="585">
        <f t="shared" si="4"/>
        <v>50</v>
      </c>
      <c r="K19" s="586">
        <f t="shared" si="3"/>
        <v>375</v>
      </c>
    </row>
    <row r="20" spans="1:17" ht="15.95" customHeight="1">
      <c r="A20" s="578">
        <v>13</v>
      </c>
      <c r="B20" s="680" t="s">
        <v>114</v>
      </c>
      <c r="C20" s="681" t="s">
        <v>850</v>
      </c>
      <c r="D20" s="580">
        <f>'Bang gia'!K18</f>
        <v>2500</v>
      </c>
      <c r="E20" s="584">
        <v>1.9E-2</v>
      </c>
      <c r="F20" s="580">
        <f t="shared" si="1"/>
        <v>47.5</v>
      </c>
      <c r="G20" s="582">
        <v>1.0999999999999999E-2</v>
      </c>
      <c r="H20" s="583">
        <f t="shared" si="2"/>
        <v>27.5</v>
      </c>
      <c r="I20" s="584">
        <v>4.0000000000000001E-3</v>
      </c>
      <c r="J20" s="585">
        <f t="shared" si="4"/>
        <v>10</v>
      </c>
      <c r="K20" s="586">
        <f t="shared" si="3"/>
        <v>85</v>
      </c>
    </row>
    <row r="21" spans="1:17" ht="15.95" customHeight="1">
      <c r="A21" s="578">
        <v>14</v>
      </c>
      <c r="B21" s="680" t="s">
        <v>115</v>
      </c>
      <c r="C21" s="681" t="s">
        <v>98</v>
      </c>
      <c r="D21" s="580">
        <f>'Bang gia'!K19</f>
        <v>18000</v>
      </c>
      <c r="E21" s="584">
        <v>2E-3</v>
      </c>
      <c r="F21" s="580">
        <f t="shared" si="1"/>
        <v>36</v>
      </c>
      <c r="G21" s="582">
        <v>6.0000000000000001E-3</v>
      </c>
      <c r="H21" s="583">
        <f t="shared" si="2"/>
        <v>108</v>
      </c>
      <c r="I21" s="584">
        <v>1E-3</v>
      </c>
      <c r="J21" s="585">
        <f t="shared" si="4"/>
        <v>18</v>
      </c>
      <c r="K21" s="586">
        <f t="shared" si="3"/>
        <v>162</v>
      </c>
    </row>
    <row r="22" spans="1:17" ht="15.95" customHeight="1">
      <c r="A22" s="578">
        <v>15</v>
      </c>
      <c r="B22" s="680" t="s">
        <v>116</v>
      </c>
      <c r="C22" s="681" t="s">
        <v>98</v>
      </c>
      <c r="D22" s="580">
        <f>'Bang gia'!K20</f>
        <v>15000</v>
      </c>
      <c r="E22" s="584">
        <v>2E-3</v>
      </c>
      <c r="F22" s="580">
        <f t="shared" si="1"/>
        <v>30</v>
      </c>
      <c r="G22" s="582">
        <v>6.0000000000000001E-3</v>
      </c>
      <c r="H22" s="583">
        <f t="shared" si="2"/>
        <v>90</v>
      </c>
      <c r="I22" s="584">
        <v>1E-3</v>
      </c>
      <c r="J22" s="585">
        <f t="shared" si="4"/>
        <v>15</v>
      </c>
      <c r="K22" s="586">
        <f t="shared" si="3"/>
        <v>135</v>
      </c>
    </row>
    <row r="23" spans="1:17" ht="15.95" customHeight="1">
      <c r="A23" s="578">
        <v>16</v>
      </c>
      <c r="B23" s="680" t="s">
        <v>851</v>
      </c>
      <c r="C23" s="681" t="s">
        <v>118</v>
      </c>
      <c r="D23" s="580">
        <f>'Bang gia'!K21</f>
        <v>1000</v>
      </c>
      <c r="E23" s="584"/>
      <c r="F23" s="580"/>
      <c r="G23" s="582"/>
      <c r="H23" s="583"/>
      <c r="I23" s="584">
        <v>2.4E-2</v>
      </c>
      <c r="J23" s="585">
        <f t="shared" si="4"/>
        <v>24</v>
      </c>
      <c r="K23" s="586">
        <f t="shared" si="3"/>
        <v>24</v>
      </c>
    </row>
    <row r="24" spans="1:17" ht="15.95" customHeight="1">
      <c r="A24" s="578">
        <v>17</v>
      </c>
      <c r="B24" s="680" t="s">
        <v>126</v>
      </c>
      <c r="C24" s="682" t="s">
        <v>120</v>
      </c>
      <c r="D24" s="580">
        <f>'Bang gia'!K27</f>
        <v>10000</v>
      </c>
      <c r="E24" s="683"/>
      <c r="F24" s="580"/>
      <c r="G24" s="684">
        <v>2E-3</v>
      </c>
      <c r="H24" s="583">
        <f t="shared" si="2"/>
        <v>20</v>
      </c>
      <c r="I24" s="683">
        <v>4.0000000000000001E-3</v>
      </c>
      <c r="J24" s="585">
        <f t="shared" si="4"/>
        <v>40</v>
      </c>
      <c r="K24" s="586">
        <f t="shared" si="3"/>
        <v>60</v>
      </c>
    </row>
    <row r="25" spans="1:17" ht="15.95" customHeight="1">
      <c r="A25" s="578">
        <v>18</v>
      </c>
      <c r="B25" s="680" t="s">
        <v>127</v>
      </c>
      <c r="C25" s="682" t="s">
        <v>98</v>
      </c>
      <c r="D25" s="580">
        <f>'Bang gia'!K28</f>
        <v>3000</v>
      </c>
      <c r="E25" s="683">
        <v>1</v>
      </c>
      <c r="F25" s="580">
        <f t="shared" si="1"/>
        <v>3000</v>
      </c>
      <c r="G25" s="685"/>
      <c r="H25" s="583"/>
      <c r="I25" s="683"/>
      <c r="J25" s="585"/>
      <c r="K25" s="586">
        <f t="shared" si="3"/>
        <v>3000</v>
      </c>
    </row>
    <row r="26" spans="1:17" ht="15.95" customHeight="1">
      <c r="A26" s="578">
        <v>19</v>
      </c>
      <c r="B26" s="680" t="s">
        <v>122</v>
      </c>
      <c r="C26" s="682" t="s">
        <v>100</v>
      </c>
      <c r="D26" s="580">
        <f>'Bang gia'!K24</f>
        <v>2400000</v>
      </c>
      <c r="E26" s="683">
        <v>1E-3</v>
      </c>
      <c r="F26" s="580"/>
      <c r="G26" s="685"/>
      <c r="H26" s="583"/>
      <c r="I26" s="683">
        <v>1E-3</v>
      </c>
      <c r="J26" s="585">
        <f>D26*I26</f>
        <v>2400</v>
      </c>
      <c r="K26" s="586">
        <f t="shared" si="3"/>
        <v>2400</v>
      </c>
    </row>
    <row r="27" spans="1:17" ht="15.95" customHeight="1">
      <c r="A27" s="686">
        <v>20</v>
      </c>
      <c r="B27" s="680" t="s">
        <v>852</v>
      </c>
      <c r="C27" s="687" t="s">
        <v>124</v>
      </c>
      <c r="D27" s="688">
        <f>'Bang gia'!K25</f>
        <v>4500</v>
      </c>
      <c r="E27" s="683">
        <v>2.3E-2</v>
      </c>
      <c r="F27" s="580">
        <f t="shared" si="1"/>
        <v>103.5</v>
      </c>
      <c r="G27" s="685"/>
      <c r="H27" s="689"/>
      <c r="I27" s="683">
        <v>6.8000000000000005E-2</v>
      </c>
      <c r="J27" s="690">
        <f>D27*I27</f>
        <v>306</v>
      </c>
      <c r="K27" s="691">
        <f t="shared" si="3"/>
        <v>409.5</v>
      </c>
    </row>
    <row r="28" spans="1:17" ht="15.95" customHeight="1">
      <c r="A28" s="644">
        <v>21</v>
      </c>
      <c r="B28" s="692" t="s">
        <v>128</v>
      </c>
      <c r="C28" s="693" t="s">
        <v>100</v>
      </c>
      <c r="D28" s="646">
        <f>'Bang gia'!K29</f>
        <v>1250000</v>
      </c>
      <c r="E28" s="647">
        <v>1E-3</v>
      </c>
      <c r="F28" s="580">
        <f t="shared" si="1"/>
        <v>1250</v>
      </c>
      <c r="G28" s="694"/>
      <c r="H28" s="649"/>
      <c r="I28" s="647"/>
      <c r="J28" s="695"/>
      <c r="K28" s="696"/>
    </row>
    <row r="29" spans="1:17" ht="15.95" customHeight="1">
      <c r="A29" s="697"/>
      <c r="B29" s="698" t="s">
        <v>853</v>
      </c>
      <c r="C29" s="622"/>
      <c r="D29" s="622"/>
      <c r="E29" s="621"/>
      <c r="F29" s="622">
        <f>SUM(F8:F28)</f>
        <v>6421</v>
      </c>
      <c r="G29" s="699"/>
      <c r="H29" s="700">
        <f>SUM(H8:H28)</f>
        <v>14526.5</v>
      </c>
      <c r="I29" s="621"/>
      <c r="J29" s="591">
        <f>SUM(J8:J28)</f>
        <v>9569</v>
      </c>
      <c r="K29" s="591">
        <f>SUM(K8:K28)</f>
        <v>29266.5</v>
      </c>
    </row>
    <row r="30" spans="1:17" ht="15.95" customHeight="1">
      <c r="A30" s="697"/>
      <c r="B30" s="698" t="s">
        <v>854</v>
      </c>
      <c r="C30" s="622"/>
      <c r="D30" s="622"/>
      <c r="E30" s="621"/>
      <c r="F30" s="622">
        <f>F29*8%</f>
        <v>513.68000000000006</v>
      </c>
      <c r="G30" s="701"/>
      <c r="H30" s="700">
        <f>H29*8%</f>
        <v>1162.1200000000001</v>
      </c>
      <c r="I30" s="699"/>
      <c r="J30" s="700">
        <f>J29*8%</f>
        <v>765.52</v>
      </c>
      <c r="K30" s="700">
        <f>K29*8%</f>
        <v>2341.3200000000002</v>
      </c>
    </row>
    <row r="31" spans="1:17" ht="15.95" customHeight="1">
      <c r="A31" s="702"/>
      <c r="B31" s="588" t="s">
        <v>295</v>
      </c>
      <c r="C31" s="702"/>
      <c r="D31" s="702"/>
      <c r="E31" s="703"/>
      <c r="F31" s="589">
        <f>F29+F30</f>
        <v>6934.68</v>
      </c>
      <c r="G31" s="621"/>
      <c r="H31" s="700">
        <f>H29+H30</f>
        <v>15688.62</v>
      </c>
      <c r="I31" s="699"/>
      <c r="J31" s="700">
        <f>J29+J30</f>
        <v>10334.52</v>
      </c>
      <c r="K31" s="700">
        <f>K29+K30</f>
        <v>31607.82</v>
      </c>
      <c r="M31" s="592">
        <f>F31/8000</f>
        <v>0.86683500000000002</v>
      </c>
      <c r="N31" s="592">
        <f>G31/8000</f>
        <v>0</v>
      </c>
      <c r="O31" s="592">
        <f>H31/8000</f>
        <v>1.9610775</v>
      </c>
      <c r="P31" s="592">
        <f>I31/8000</f>
        <v>0</v>
      </c>
      <c r="Q31" s="592">
        <f>J31/8000</f>
        <v>1.2918150000000002</v>
      </c>
    </row>
    <row r="32" spans="1:17" ht="8.25" customHeight="1">
      <c r="A32" s="596"/>
      <c r="B32" s="704"/>
      <c r="C32" s="596"/>
      <c r="D32" s="596"/>
      <c r="E32" s="705"/>
      <c r="F32" s="598"/>
      <c r="G32" s="706"/>
      <c r="H32" s="707"/>
      <c r="I32" s="706"/>
      <c r="J32" s="707"/>
      <c r="K32" s="707"/>
    </row>
    <row r="33" spans="1:11">
      <c r="A33" s="708"/>
      <c r="B33" s="599" t="s">
        <v>299</v>
      </c>
      <c r="C33" s="603"/>
      <c r="D33" s="601"/>
      <c r="E33" s="671"/>
      <c r="F33" s="601"/>
      <c r="G33" s="671"/>
      <c r="H33" s="672"/>
      <c r="I33" s="674"/>
      <c r="J33" s="601"/>
      <c r="K33" s="494"/>
    </row>
    <row r="34" spans="1:11" ht="21.6" customHeight="1">
      <c r="A34" s="605"/>
      <c r="B34" s="1260" t="s">
        <v>465</v>
      </c>
      <c r="C34" s="1260"/>
      <c r="D34" s="1260"/>
      <c r="E34" s="1260"/>
      <c r="F34" s="1260"/>
      <c r="G34" s="1260"/>
      <c r="H34" s="1260"/>
      <c r="I34" s="1260"/>
      <c r="J34" s="1260"/>
      <c r="K34" s="1260"/>
    </row>
    <row r="35" spans="1:11" ht="26.45" customHeight="1">
      <c r="A35" s="605"/>
      <c r="B35" s="1244" t="s">
        <v>609</v>
      </c>
      <c r="C35" s="1244"/>
      <c r="D35" s="1244"/>
      <c r="E35" s="1244"/>
      <c r="F35" s="1244"/>
      <c r="G35" s="1244"/>
      <c r="H35" s="1244"/>
      <c r="I35" s="1244"/>
      <c r="J35" s="1244"/>
      <c r="K35" s="1244"/>
    </row>
    <row r="36" spans="1:11" ht="33" customHeight="1">
      <c r="A36" s="605"/>
      <c r="B36" s="1244" t="s">
        <v>610</v>
      </c>
      <c r="C36" s="1244"/>
      <c r="D36" s="1244"/>
      <c r="E36" s="1244"/>
      <c r="F36" s="1244"/>
      <c r="G36" s="1244"/>
      <c r="H36" s="1244"/>
      <c r="I36" s="1244"/>
      <c r="J36" s="1244"/>
      <c r="K36" s="1244"/>
    </row>
    <row r="37" spans="1:11" ht="6.75" customHeight="1">
      <c r="A37" s="605"/>
      <c r="B37" s="610"/>
      <c r="C37" s="610"/>
      <c r="D37" s="610"/>
      <c r="E37" s="709"/>
      <c r="F37" s="610"/>
      <c r="G37" s="709"/>
      <c r="H37" s="610"/>
      <c r="I37" s="709"/>
      <c r="J37" s="610"/>
      <c r="K37" s="610"/>
    </row>
    <row r="38" spans="1:11" ht="29.25" customHeight="1">
      <c r="A38" s="1257" t="s">
        <v>818</v>
      </c>
      <c r="B38" s="1257"/>
      <c r="C38" s="1257"/>
      <c r="D38" s="1257"/>
      <c r="E38" s="1257"/>
      <c r="F38" s="1257"/>
      <c r="G38" s="1257"/>
      <c r="H38" s="1257"/>
      <c r="I38" s="1257"/>
      <c r="J38" s="1257"/>
      <c r="K38" s="1257"/>
    </row>
    <row r="39" spans="1:11" ht="6.75" customHeight="1">
      <c r="A39" s="673"/>
      <c r="B39" s="480"/>
      <c r="C39" s="670"/>
      <c r="D39" s="601"/>
      <c r="E39" s="671"/>
      <c r="F39" s="601"/>
      <c r="G39" s="671"/>
      <c r="H39" s="672"/>
      <c r="I39" s="674"/>
      <c r="J39" s="601"/>
      <c r="K39" s="494"/>
    </row>
    <row r="40" spans="1:11" ht="18" customHeight="1">
      <c r="A40" s="1245" t="s">
        <v>882</v>
      </c>
      <c r="B40" s="1245" t="s">
        <v>283</v>
      </c>
      <c r="C40" s="1245" t="s">
        <v>284</v>
      </c>
      <c r="D40" s="1245" t="s">
        <v>305</v>
      </c>
      <c r="E40" s="1254" t="s">
        <v>288</v>
      </c>
      <c r="F40" s="1255"/>
      <c r="G40" s="1255"/>
      <c r="H40" s="1255"/>
      <c r="I40" s="1255"/>
      <c r="J40" s="1256"/>
      <c r="K40" s="1245" t="s">
        <v>613</v>
      </c>
    </row>
    <row r="41" spans="1:11" ht="36" customHeight="1">
      <c r="A41" s="1246"/>
      <c r="B41" s="1246"/>
      <c r="C41" s="1246"/>
      <c r="D41" s="1246"/>
      <c r="E41" s="1254" t="s">
        <v>634</v>
      </c>
      <c r="F41" s="1256"/>
      <c r="G41" s="1254" t="s">
        <v>317</v>
      </c>
      <c r="H41" s="1256"/>
      <c r="I41" s="1254" t="s">
        <v>291</v>
      </c>
      <c r="J41" s="1256"/>
      <c r="K41" s="1246"/>
    </row>
    <row r="42" spans="1:11" ht="19.5" customHeight="1">
      <c r="A42" s="1247"/>
      <c r="B42" s="1247"/>
      <c r="C42" s="1247"/>
      <c r="D42" s="1247"/>
      <c r="E42" s="569" t="s">
        <v>897</v>
      </c>
      <c r="F42" s="569" t="s">
        <v>56</v>
      </c>
      <c r="G42" s="569" t="s">
        <v>897</v>
      </c>
      <c r="H42" s="569" t="s">
        <v>56</v>
      </c>
      <c r="I42" s="569" t="s">
        <v>897</v>
      </c>
      <c r="J42" s="569" t="s">
        <v>56</v>
      </c>
      <c r="K42" s="1247"/>
    </row>
    <row r="43" spans="1:11" ht="18" customHeight="1">
      <c r="A43" s="623">
        <v>1</v>
      </c>
      <c r="B43" s="676" t="s">
        <v>97</v>
      </c>
      <c r="C43" s="677" t="s">
        <v>98</v>
      </c>
      <c r="D43" s="580">
        <f>'Bang gia'!K6</f>
        <v>5000</v>
      </c>
      <c r="E43" s="626">
        <v>1.4999999999999999E-2</v>
      </c>
      <c r="F43" s="625">
        <f>D43*E43</f>
        <v>75</v>
      </c>
      <c r="G43" s="584">
        <v>0.01</v>
      </c>
      <c r="H43" s="627">
        <f>D43*G43</f>
        <v>50</v>
      </c>
      <c r="I43" s="626">
        <v>3.0000000000000001E-3</v>
      </c>
      <c r="J43" s="628">
        <f t="shared" ref="J43:J48" si="5">D43*I43</f>
        <v>15</v>
      </c>
      <c r="K43" s="627">
        <f>F43+H43+J43</f>
        <v>140</v>
      </c>
    </row>
    <row r="44" spans="1:11" ht="18" customHeight="1">
      <c r="A44" s="578">
        <v>2</v>
      </c>
      <c r="B44" s="678" t="s">
        <v>99</v>
      </c>
      <c r="C44" s="679" t="s">
        <v>100</v>
      </c>
      <c r="D44" s="580">
        <f>'Bang gia'!K7</f>
        <v>2000</v>
      </c>
      <c r="E44" s="584">
        <v>0.01</v>
      </c>
      <c r="F44" s="580">
        <f>E44*D44</f>
        <v>20</v>
      </c>
      <c r="G44" s="584">
        <v>2E-3</v>
      </c>
      <c r="H44" s="583">
        <f>D44*G44</f>
        <v>4</v>
      </c>
      <c r="I44" s="584">
        <v>1E-3</v>
      </c>
      <c r="J44" s="585">
        <f t="shared" si="5"/>
        <v>2</v>
      </c>
      <c r="K44" s="586">
        <f>F44+H44+J44</f>
        <v>26</v>
      </c>
    </row>
    <row r="45" spans="1:11" ht="18" customHeight="1">
      <c r="A45" s="578">
        <v>3</v>
      </c>
      <c r="B45" s="678" t="s">
        <v>101</v>
      </c>
      <c r="C45" s="679" t="s">
        <v>100</v>
      </c>
      <c r="D45" s="580">
        <f>'Bang gia'!K8</f>
        <v>2000</v>
      </c>
      <c r="E45" s="584">
        <v>1.4999999999999999E-2</v>
      </c>
      <c r="F45" s="580">
        <f>E45*D45</f>
        <v>30</v>
      </c>
      <c r="G45" s="584">
        <v>2E-3</v>
      </c>
      <c r="H45" s="583">
        <f t="shared" ref="H45:H51" si="6">D45*G45</f>
        <v>4</v>
      </c>
      <c r="I45" s="584">
        <v>3.0000000000000001E-3</v>
      </c>
      <c r="J45" s="585">
        <f t="shared" si="5"/>
        <v>6</v>
      </c>
      <c r="K45" s="586">
        <f t="shared" ref="K45:K62" si="7">F45+H45+J45</f>
        <v>40</v>
      </c>
    </row>
    <row r="46" spans="1:11" ht="18" customHeight="1">
      <c r="A46" s="578">
        <v>4</v>
      </c>
      <c r="B46" s="678" t="s">
        <v>102</v>
      </c>
      <c r="C46" s="679" t="s">
        <v>100</v>
      </c>
      <c r="D46" s="580">
        <f>'Bang gia'!K9</f>
        <v>1450000</v>
      </c>
      <c r="E46" s="584">
        <v>5.0000000000000001E-3</v>
      </c>
      <c r="F46" s="580">
        <f>E46*D46</f>
        <v>7250</v>
      </c>
      <c r="G46" s="584">
        <v>1E-3</v>
      </c>
      <c r="H46" s="583">
        <f t="shared" si="6"/>
        <v>1450</v>
      </c>
      <c r="I46" s="584">
        <v>2E-3</v>
      </c>
      <c r="J46" s="585">
        <f t="shared" si="5"/>
        <v>2900</v>
      </c>
      <c r="K46" s="586">
        <f t="shared" si="7"/>
        <v>11600</v>
      </c>
    </row>
    <row r="47" spans="1:11" ht="18" customHeight="1">
      <c r="A47" s="578">
        <v>5</v>
      </c>
      <c r="B47" s="678" t="s">
        <v>849</v>
      </c>
      <c r="C47" s="679" t="s">
        <v>100</v>
      </c>
      <c r="D47" s="580">
        <f>'Bang gia'!K10</f>
        <v>300000</v>
      </c>
      <c r="E47" s="584">
        <v>5.0000000000000001E-3</v>
      </c>
      <c r="F47" s="580">
        <f>E47*D47</f>
        <v>1500</v>
      </c>
      <c r="G47" s="584">
        <v>2E-3</v>
      </c>
      <c r="H47" s="583">
        <f t="shared" si="6"/>
        <v>600</v>
      </c>
      <c r="I47" s="584">
        <v>2E-3</v>
      </c>
      <c r="J47" s="585">
        <f t="shared" si="5"/>
        <v>600</v>
      </c>
      <c r="K47" s="586">
        <f t="shared" si="7"/>
        <v>2700</v>
      </c>
    </row>
    <row r="48" spans="1:11" ht="18" customHeight="1">
      <c r="A48" s="578">
        <v>6</v>
      </c>
      <c r="B48" s="678" t="s">
        <v>105</v>
      </c>
      <c r="C48" s="679" t="s">
        <v>100</v>
      </c>
      <c r="D48" s="580">
        <f>'Bang gia'!K11</f>
        <v>3350000</v>
      </c>
      <c r="E48" s="584"/>
      <c r="F48" s="580"/>
      <c r="G48" s="584">
        <v>2E-3</v>
      </c>
      <c r="H48" s="583">
        <f t="shared" si="6"/>
        <v>6700</v>
      </c>
      <c r="I48" s="584">
        <v>1E-3</v>
      </c>
      <c r="J48" s="585">
        <f t="shared" si="5"/>
        <v>3350</v>
      </c>
      <c r="K48" s="586">
        <f t="shared" si="7"/>
        <v>10050</v>
      </c>
    </row>
    <row r="49" spans="1:11" ht="18" customHeight="1">
      <c r="A49" s="578">
        <v>7</v>
      </c>
      <c r="B49" s="678" t="s">
        <v>106</v>
      </c>
      <c r="C49" s="679" t="s">
        <v>107</v>
      </c>
      <c r="D49" s="580">
        <f>'Bang gia'!K12</f>
        <v>300</v>
      </c>
      <c r="E49" s="584"/>
      <c r="F49" s="580"/>
      <c r="G49" s="584">
        <v>1</v>
      </c>
      <c r="H49" s="583">
        <f t="shared" si="6"/>
        <v>300</v>
      </c>
      <c r="I49" s="584"/>
      <c r="J49" s="585"/>
      <c r="K49" s="586">
        <f t="shared" si="7"/>
        <v>300</v>
      </c>
    </row>
    <row r="50" spans="1:11" ht="18" customHeight="1">
      <c r="A50" s="578">
        <v>8</v>
      </c>
      <c r="B50" s="678" t="s">
        <v>320</v>
      </c>
      <c r="C50" s="679" t="s">
        <v>108</v>
      </c>
      <c r="D50" s="580">
        <f>'Bang gia'!K13</f>
        <v>7000</v>
      </c>
      <c r="E50" s="584"/>
      <c r="F50" s="580"/>
      <c r="G50" s="584">
        <v>1</v>
      </c>
      <c r="H50" s="583">
        <f t="shared" si="6"/>
        <v>7000</v>
      </c>
      <c r="I50" s="584"/>
      <c r="J50" s="585"/>
      <c r="K50" s="586">
        <f t="shared" si="7"/>
        <v>7000</v>
      </c>
    </row>
    <row r="51" spans="1:11" ht="18" customHeight="1">
      <c r="A51" s="578">
        <v>9</v>
      </c>
      <c r="B51" s="678" t="s">
        <v>318</v>
      </c>
      <c r="C51" s="679" t="s">
        <v>107</v>
      </c>
      <c r="D51" s="580">
        <f>'Bang gia'!K14</f>
        <v>300</v>
      </c>
      <c r="E51" s="584">
        <v>1</v>
      </c>
      <c r="F51" s="580">
        <f>E51*D51</f>
        <v>300</v>
      </c>
      <c r="G51" s="584"/>
      <c r="H51" s="583">
        <f t="shared" si="6"/>
        <v>0</v>
      </c>
      <c r="I51" s="584"/>
      <c r="J51" s="710"/>
      <c r="K51" s="586">
        <f t="shared" si="7"/>
        <v>300</v>
      </c>
    </row>
    <row r="52" spans="1:11" ht="18" customHeight="1">
      <c r="A52" s="578">
        <v>10</v>
      </c>
      <c r="B52" s="678" t="s">
        <v>109</v>
      </c>
      <c r="C52" s="679" t="s">
        <v>110</v>
      </c>
      <c r="D52" s="580">
        <f>'Bang gia'!K15</f>
        <v>45000</v>
      </c>
      <c r="E52" s="584">
        <v>0.01</v>
      </c>
      <c r="F52" s="580">
        <f>E52*D52</f>
        <v>450</v>
      </c>
      <c r="G52" s="584">
        <v>3.0000000000000001E-3</v>
      </c>
      <c r="H52" s="583">
        <f t="shared" ref="H52:H58" si="8">D52*G52</f>
        <v>135</v>
      </c>
      <c r="I52" s="584">
        <v>3.0000000000000001E-3</v>
      </c>
      <c r="J52" s="585">
        <f t="shared" ref="J52:J61" si="9">D52*I52</f>
        <v>135</v>
      </c>
      <c r="K52" s="586">
        <f t="shared" si="7"/>
        <v>720</v>
      </c>
    </row>
    <row r="53" spans="1:11" ht="18" customHeight="1">
      <c r="A53" s="578">
        <v>11</v>
      </c>
      <c r="B53" s="678" t="s">
        <v>111</v>
      </c>
      <c r="C53" s="679" t="s">
        <v>110</v>
      </c>
      <c r="D53" s="580">
        <f>'Bang gia'!K16</f>
        <v>90000</v>
      </c>
      <c r="E53" s="584">
        <v>3.0000000000000001E-3</v>
      </c>
      <c r="F53" s="580"/>
      <c r="G53" s="584">
        <v>8.9999999999999993E-3</v>
      </c>
      <c r="H53" s="583">
        <f t="shared" si="8"/>
        <v>809.99999999999989</v>
      </c>
      <c r="I53" s="584">
        <v>1.7000000000000001E-2</v>
      </c>
      <c r="J53" s="585">
        <f t="shared" si="9"/>
        <v>1530</v>
      </c>
      <c r="K53" s="586">
        <f t="shared" si="7"/>
        <v>2340</v>
      </c>
    </row>
    <row r="54" spans="1:11" ht="18" customHeight="1">
      <c r="A54" s="578">
        <v>12</v>
      </c>
      <c r="B54" s="678" t="s">
        <v>112</v>
      </c>
      <c r="C54" s="679" t="s">
        <v>113</v>
      </c>
      <c r="D54" s="580">
        <f>'Bang gia'!K17</f>
        <v>25000</v>
      </c>
      <c r="E54" s="584">
        <v>0.01</v>
      </c>
      <c r="F54" s="580">
        <f>E54*D54</f>
        <v>250</v>
      </c>
      <c r="G54" s="584">
        <v>2E-3</v>
      </c>
      <c r="H54" s="583">
        <f t="shared" si="8"/>
        <v>50</v>
      </c>
      <c r="I54" s="584">
        <v>3.0000000000000001E-3</v>
      </c>
      <c r="J54" s="585">
        <f t="shared" si="9"/>
        <v>75</v>
      </c>
      <c r="K54" s="586">
        <f t="shared" si="7"/>
        <v>375</v>
      </c>
    </row>
    <row r="55" spans="1:11" ht="18" customHeight="1">
      <c r="A55" s="578">
        <v>13</v>
      </c>
      <c r="B55" s="680" t="s">
        <v>114</v>
      </c>
      <c r="C55" s="681" t="s">
        <v>850</v>
      </c>
      <c r="D55" s="580">
        <f>'Bang gia'!K18</f>
        <v>2500</v>
      </c>
      <c r="E55" s="584">
        <v>0.08</v>
      </c>
      <c r="F55" s="580">
        <f>E55*D55</f>
        <v>200</v>
      </c>
      <c r="G55" s="584">
        <v>5.0000000000000001E-3</v>
      </c>
      <c r="H55" s="583">
        <f t="shared" si="8"/>
        <v>12.5</v>
      </c>
      <c r="I55" s="584">
        <v>5.0000000000000001E-3</v>
      </c>
      <c r="J55" s="585">
        <f t="shared" si="9"/>
        <v>12.5</v>
      </c>
      <c r="K55" s="586">
        <f t="shared" si="7"/>
        <v>225</v>
      </c>
    </row>
    <row r="56" spans="1:11" ht="18" customHeight="1">
      <c r="A56" s="578">
        <v>14</v>
      </c>
      <c r="B56" s="680" t="s">
        <v>115</v>
      </c>
      <c r="C56" s="681" t="s">
        <v>98</v>
      </c>
      <c r="D56" s="580">
        <f>'Bang gia'!K19</f>
        <v>18000</v>
      </c>
      <c r="E56" s="584">
        <v>0.01</v>
      </c>
      <c r="F56" s="580">
        <f>E56*D56</f>
        <v>180</v>
      </c>
      <c r="G56" s="584">
        <v>1E-3</v>
      </c>
      <c r="H56" s="583">
        <f t="shared" si="8"/>
        <v>18</v>
      </c>
      <c r="I56" s="584">
        <v>1E-3</v>
      </c>
      <c r="J56" s="585">
        <f t="shared" si="9"/>
        <v>18</v>
      </c>
      <c r="K56" s="586">
        <f t="shared" si="7"/>
        <v>216</v>
      </c>
    </row>
    <row r="57" spans="1:11" ht="18" customHeight="1">
      <c r="A57" s="578">
        <v>15</v>
      </c>
      <c r="B57" s="680" t="s">
        <v>116</v>
      </c>
      <c r="C57" s="681" t="s">
        <v>98</v>
      </c>
      <c r="D57" s="580">
        <f>'Bang gia'!K20</f>
        <v>15000</v>
      </c>
      <c r="E57" s="584">
        <v>0.01</v>
      </c>
      <c r="F57" s="580">
        <f>E57*D57</f>
        <v>150</v>
      </c>
      <c r="G57" s="584">
        <v>1E-3</v>
      </c>
      <c r="H57" s="583">
        <f t="shared" si="8"/>
        <v>15</v>
      </c>
      <c r="I57" s="584">
        <v>1E-3</v>
      </c>
      <c r="J57" s="585">
        <f t="shared" si="9"/>
        <v>15</v>
      </c>
      <c r="K57" s="586">
        <f t="shared" si="7"/>
        <v>180</v>
      </c>
    </row>
    <row r="58" spans="1:11" ht="18" customHeight="1">
      <c r="A58" s="578">
        <v>16</v>
      </c>
      <c r="B58" s="680" t="s">
        <v>851</v>
      </c>
      <c r="C58" s="681" t="s">
        <v>118</v>
      </c>
      <c r="D58" s="580">
        <f>'Bang gia'!K21</f>
        <v>1000</v>
      </c>
      <c r="E58" s="584"/>
      <c r="F58" s="580"/>
      <c r="G58" s="584"/>
      <c r="H58" s="583">
        <f t="shared" si="8"/>
        <v>0</v>
      </c>
      <c r="I58" s="584">
        <v>9.4E-2</v>
      </c>
      <c r="J58" s="585">
        <f t="shared" si="9"/>
        <v>94</v>
      </c>
      <c r="K58" s="586">
        <f t="shared" si="7"/>
        <v>94</v>
      </c>
    </row>
    <row r="59" spans="1:11" ht="18" customHeight="1">
      <c r="A59" s="578">
        <v>17</v>
      </c>
      <c r="B59" s="680" t="s">
        <v>126</v>
      </c>
      <c r="C59" s="682" t="s">
        <v>120</v>
      </c>
      <c r="D59" s="580">
        <f>'Bang gia'!K27</f>
        <v>10000</v>
      </c>
      <c r="E59" s="683"/>
      <c r="F59" s="580"/>
      <c r="G59" s="584">
        <v>1.7999999999999999E-2</v>
      </c>
      <c r="H59" s="583">
        <f>D59*G59</f>
        <v>180</v>
      </c>
      <c r="I59" s="683">
        <v>3.0000000000000001E-3</v>
      </c>
      <c r="J59" s="585">
        <f t="shared" si="9"/>
        <v>30</v>
      </c>
      <c r="K59" s="586">
        <f t="shared" si="7"/>
        <v>210</v>
      </c>
    </row>
    <row r="60" spans="1:11" ht="18" customHeight="1">
      <c r="A60" s="578">
        <v>18</v>
      </c>
      <c r="B60" s="680" t="s">
        <v>127</v>
      </c>
      <c r="C60" s="682" t="s">
        <v>98</v>
      </c>
      <c r="D60" s="580">
        <f>'Bang gia'!K28</f>
        <v>3000</v>
      </c>
      <c r="E60" s="683">
        <v>1</v>
      </c>
      <c r="F60" s="580">
        <f>E60*D60</f>
        <v>3000</v>
      </c>
      <c r="G60" s="584"/>
      <c r="H60" s="583"/>
      <c r="I60" s="683"/>
      <c r="J60" s="585"/>
      <c r="K60" s="586">
        <f t="shared" si="7"/>
        <v>3000</v>
      </c>
    </row>
    <row r="61" spans="1:11" ht="18" customHeight="1">
      <c r="A61" s="686">
        <v>19</v>
      </c>
      <c r="B61" s="680" t="s">
        <v>122</v>
      </c>
      <c r="C61" s="687" t="s">
        <v>100</v>
      </c>
      <c r="D61" s="688">
        <f>'Bang gia'!K24</f>
        <v>2400000</v>
      </c>
      <c r="E61" s="683"/>
      <c r="F61" s="580"/>
      <c r="G61" s="584"/>
      <c r="H61" s="583"/>
      <c r="I61" s="683">
        <v>1E-3</v>
      </c>
      <c r="J61" s="585">
        <f t="shared" si="9"/>
        <v>2400</v>
      </c>
      <c r="K61" s="586">
        <f t="shared" si="7"/>
        <v>2400</v>
      </c>
    </row>
    <row r="62" spans="1:11" ht="18" customHeight="1">
      <c r="A62" s="686">
        <v>20</v>
      </c>
      <c r="B62" s="680" t="s">
        <v>852</v>
      </c>
      <c r="C62" s="687" t="s">
        <v>107</v>
      </c>
      <c r="D62" s="688">
        <f>'Bang gia'!K25</f>
        <v>4500</v>
      </c>
      <c r="E62" s="683"/>
      <c r="F62" s="580"/>
      <c r="G62" s="584">
        <v>0.03</v>
      </c>
      <c r="H62" s="583"/>
      <c r="I62" s="683">
        <v>0.09</v>
      </c>
      <c r="J62" s="690">
        <f>D62*I62</f>
        <v>405</v>
      </c>
      <c r="K62" s="691">
        <f t="shared" si="7"/>
        <v>405</v>
      </c>
    </row>
    <row r="63" spans="1:11" ht="18" customHeight="1">
      <c r="A63" s="644">
        <v>21</v>
      </c>
      <c r="B63" s="692" t="s">
        <v>128</v>
      </c>
      <c r="C63" s="693" t="s">
        <v>100</v>
      </c>
      <c r="D63" s="646">
        <f>'Bang gia'!K29</f>
        <v>1250000</v>
      </c>
      <c r="E63" s="647">
        <v>1E-3</v>
      </c>
      <c r="F63" s="646">
        <f>D63*E63</f>
        <v>1250</v>
      </c>
      <c r="G63" s="584"/>
      <c r="H63" s="583"/>
      <c r="I63" s="647"/>
      <c r="J63" s="695"/>
      <c r="K63" s="691">
        <f>F63+H63+J63</f>
        <v>1250</v>
      </c>
    </row>
    <row r="64" spans="1:11" ht="18.600000000000001" customHeight="1">
      <c r="A64" s="697"/>
      <c r="B64" s="698" t="s">
        <v>853</v>
      </c>
      <c r="C64" s="622"/>
      <c r="D64" s="622"/>
      <c r="E64" s="621"/>
      <c r="F64" s="700">
        <f>SUM(F43:F63)</f>
        <v>14655</v>
      </c>
      <c r="G64" s="699"/>
      <c r="H64" s="700">
        <f>SUM(H43:H63)</f>
        <v>17328.5</v>
      </c>
      <c r="I64" s="621"/>
      <c r="J64" s="591">
        <f>SUM(J43:J63)</f>
        <v>11587.5</v>
      </c>
      <c r="K64" s="591">
        <f>SUM(K43:K63)</f>
        <v>43571</v>
      </c>
    </row>
    <row r="65" spans="1:13" ht="18.600000000000001" customHeight="1">
      <c r="A65" s="697"/>
      <c r="B65" s="698" t="s">
        <v>854</v>
      </c>
      <c r="C65" s="622"/>
      <c r="D65" s="622"/>
      <c r="E65" s="621"/>
      <c r="F65" s="700">
        <f>F64*8%</f>
        <v>1172.4000000000001</v>
      </c>
      <c r="G65" s="699"/>
      <c r="H65" s="700">
        <f>H64*8%</f>
        <v>1386.28</v>
      </c>
      <c r="I65" s="699"/>
      <c r="J65" s="700">
        <f>J64*8%</f>
        <v>927</v>
      </c>
      <c r="K65" s="700">
        <f>K64*8%</f>
        <v>3485.6800000000003</v>
      </c>
    </row>
    <row r="66" spans="1:13" ht="18.600000000000001" customHeight="1">
      <c r="A66" s="702"/>
      <c r="B66" s="588" t="s">
        <v>295</v>
      </c>
      <c r="C66" s="702"/>
      <c r="D66" s="702"/>
      <c r="E66" s="703"/>
      <c r="F66" s="700">
        <f>F64+F65</f>
        <v>15827.4</v>
      </c>
      <c r="G66" s="699"/>
      <c r="H66" s="700">
        <f>H64+H65</f>
        <v>18714.78</v>
      </c>
      <c r="I66" s="699"/>
      <c r="J66" s="700">
        <f>J64+J65</f>
        <v>12514.5</v>
      </c>
      <c r="K66" s="700">
        <f>K64+K65</f>
        <v>47056.68</v>
      </c>
      <c r="M66" s="592">
        <f>F66/5000</f>
        <v>3.1654800000000001</v>
      </c>
    </row>
    <row r="67" spans="1:13" ht="6" customHeight="1">
      <c r="A67" s="673"/>
      <c r="B67" s="480"/>
      <c r="C67" s="670"/>
      <c r="D67" s="601"/>
      <c r="E67" s="671"/>
      <c r="F67" s="601"/>
      <c r="G67" s="671"/>
      <c r="H67" s="672"/>
      <c r="I67" s="674"/>
      <c r="J67" s="601"/>
      <c r="K67" s="494"/>
    </row>
    <row r="68" spans="1:13">
      <c r="A68" s="708"/>
      <c r="B68" s="599" t="s">
        <v>299</v>
      </c>
      <c r="C68" s="603"/>
      <c r="D68" s="601"/>
      <c r="E68" s="671"/>
      <c r="F68" s="601"/>
      <c r="G68" s="671"/>
      <c r="H68" s="672"/>
      <c r="I68" s="674"/>
      <c r="J68" s="601"/>
      <c r="K68" s="711"/>
    </row>
    <row r="69" spans="1:13" ht="25.15" customHeight="1">
      <c r="A69" s="606"/>
      <c r="B69" s="1260" t="s">
        <v>611</v>
      </c>
      <c r="C69" s="1260"/>
      <c r="D69" s="1260"/>
      <c r="E69" s="1260"/>
      <c r="F69" s="1260"/>
      <c r="G69" s="1260"/>
      <c r="H69" s="1260"/>
      <c r="I69" s="1260"/>
      <c r="J69" s="1260"/>
      <c r="K69" s="1260"/>
    </row>
    <row r="70" spans="1:13" ht="18" customHeight="1">
      <c r="A70" s="606"/>
      <c r="B70" s="1260" t="s">
        <v>612</v>
      </c>
      <c r="C70" s="1260"/>
      <c r="D70" s="1260"/>
      <c r="E70" s="1260"/>
      <c r="F70" s="1260"/>
      <c r="G70" s="1260"/>
      <c r="H70" s="1260"/>
      <c r="I70" s="1260"/>
      <c r="J70" s="1260"/>
      <c r="K70" s="1260"/>
    </row>
    <row r="71" spans="1:13" ht="18" customHeight="1">
      <c r="A71" s="606"/>
      <c r="B71" s="605"/>
      <c r="C71" s="605"/>
      <c r="D71" s="601"/>
      <c r="E71" s="671"/>
      <c r="F71" s="601"/>
      <c r="G71" s="671"/>
      <c r="H71" s="672"/>
      <c r="I71" s="674"/>
      <c r="J71" s="601"/>
      <c r="K71" s="494"/>
    </row>
    <row r="72" spans="1:13" ht="30.6" customHeight="1">
      <c r="A72" s="1228" t="s">
        <v>485</v>
      </c>
      <c r="B72" s="1228"/>
      <c r="C72" s="1228"/>
      <c r="D72" s="1228"/>
      <c r="E72" s="1228"/>
      <c r="F72" s="1228"/>
      <c r="G72" s="1228"/>
      <c r="H72" s="1228"/>
      <c r="I72" s="1228"/>
      <c r="J72" s="1228"/>
      <c r="K72" s="1228"/>
    </row>
    <row r="73" spans="1:13" ht="6.75" customHeight="1">
      <c r="A73" s="712"/>
      <c r="B73" s="713"/>
      <c r="C73" s="714"/>
      <c r="D73" s="601"/>
      <c r="E73" s="671"/>
      <c r="F73" s="601"/>
      <c r="G73" s="671"/>
      <c r="H73" s="672"/>
      <c r="I73" s="674"/>
      <c r="J73" s="601"/>
      <c r="K73" s="494"/>
    </row>
    <row r="74" spans="1:13" ht="27" customHeight="1">
      <c r="A74" s="1245" t="s">
        <v>882</v>
      </c>
      <c r="B74" s="1245" t="s">
        <v>283</v>
      </c>
      <c r="C74" s="1245" t="s">
        <v>284</v>
      </c>
      <c r="D74" s="1245" t="s">
        <v>305</v>
      </c>
      <c r="E74" s="1254" t="s">
        <v>288</v>
      </c>
      <c r="F74" s="1255"/>
      <c r="G74" s="1255"/>
      <c r="H74" s="1255"/>
      <c r="I74" s="1255"/>
      <c r="J74" s="1256"/>
      <c r="K74" s="1245" t="s">
        <v>409</v>
      </c>
    </row>
    <row r="75" spans="1:13" ht="36" customHeight="1">
      <c r="A75" s="1246"/>
      <c r="B75" s="1246"/>
      <c r="C75" s="1246"/>
      <c r="D75" s="1246"/>
      <c r="E75" s="1254" t="s">
        <v>345</v>
      </c>
      <c r="F75" s="1256"/>
      <c r="G75" s="1254" t="s">
        <v>847</v>
      </c>
      <c r="H75" s="1256"/>
      <c r="I75" s="1254" t="s">
        <v>291</v>
      </c>
      <c r="J75" s="1256"/>
      <c r="K75" s="1246"/>
    </row>
    <row r="76" spans="1:13" ht="25.9" customHeight="1">
      <c r="A76" s="1247"/>
      <c r="B76" s="1247"/>
      <c r="C76" s="1247"/>
      <c r="D76" s="1247"/>
      <c r="E76" s="675" t="s">
        <v>848</v>
      </c>
      <c r="F76" s="468" t="s">
        <v>986</v>
      </c>
      <c r="G76" s="675" t="s">
        <v>848</v>
      </c>
      <c r="H76" s="468" t="s">
        <v>986</v>
      </c>
      <c r="I76" s="675" t="s">
        <v>848</v>
      </c>
      <c r="J76" s="468" t="s">
        <v>986</v>
      </c>
      <c r="K76" s="1247"/>
    </row>
    <row r="77" spans="1:13" ht="20.100000000000001" customHeight="1">
      <c r="A77" s="623">
        <v>1</v>
      </c>
      <c r="B77" s="676" t="s">
        <v>97</v>
      </c>
      <c r="C77" s="677" t="s">
        <v>98</v>
      </c>
      <c r="D77" s="580">
        <f>'Bang gia'!K6</f>
        <v>5000</v>
      </c>
      <c r="E77" s="626">
        <v>2E-3</v>
      </c>
      <c r="F77" s="625">
        <f>D77*E77</f>
        <v>10</v>
      </c>
      <c r="G77" s="626">
        <v>2E-3</v>
      </c>
      <c r="H77" s="627">
        <f>D77*G77</f>
        <v>10</v>
      </c>
      <c r="I77" s="626"/>
      <c r="J77" s="628"/>
      <c r="K77" s="627">
        <f>F77+H77+J77</f>
        <v>20</v>
      </c>
    </row>
    <row r="78" spans="1:13" ht="20.100000000000001" customHeight="1">
      <c r="A78" s="578">
        <v>2</v>
      </c>
      <c r="B78" s="678" t="s">
        <v>99</v>
      </c>
      <c r="C78" s="679" t="s">
        <v>100</v>
      </c>
      <c r="D78" s="580">
        <f>'Bang gia'!K7</f>
        <v>2000</v>
      </c>
      <c r="E78" s="584">
        <v>7.0000000000000001E-3</v>
      </c>
      <c r="F78" s="580">
        <f>D78*E78</f>
        <v>14</v>
      </c>
      <c r="G78" s="582">
        <v>0.02</v>
      </c>
      <c r="H78" s="583">
        <f>D78*G78</f>
        <v>40</v>
      </c>
      <c r="I78" s="584"/>
      <c r="J78" s="585"/>
      <c r="K78" s="586">
        <f>F78+H78+J78</f>
        <v>54</v>
      </c>
    </row>
    <row r="79" spans="1:13" ht="20.100000000000001" customHeight="1">
      <c r="A79" s="578">
        <v>3</v>
      </c>
      <c r="B79" s="678" t="s">
        <v>101</v>
      </c>
      <c r="C79" s="679" t="s">
        <v>100</v>
      </c>
      <c r="D79" s="580">
        <f>'Bang gia'!K8</f>
        <v>2000</v>
      </c>
      <c r="E79" s="584">
        <v>0.02</v>
      </c>
      <c r="F79" s="580">
        <f>D79*E79</f>
        <v>40</v>
      </c>
      <c r="G79" s="582">
        <v>0.04</v>
      </c>
      <c r="H79" s="583">
        <f t="shared" ref="H79:H84" si="10">D79*G79</f>
        <v>80</v>
      </c>
      <c r="I79" s="584"/>
      <c r="J79" s="585"/>
      <c r="K79" s="586">
        <f t="shared" ref="K79:K93" si="11">F79+H79+J79</f>
        <v>120</v>
      </c>
    </row>
    <row r="80" spans="1:13" ht="20.100000000000001" customHeight="1">
      <c r="A80" s="578">
        <v>4</v>
      </c>
      <c r="B80" s="678" t="s">
        <v>102</v>
      </c>
      <c r="C80" s="679" t="s">
        <v>100</v>
      </c>
      <c r="D80" s="580">
        <f>'Bang gia'!K9</f>
        <v>1450000</v>
      </c>
      <c r="E80" s="584">
        <v>2E-3</v>
      </c>
      <c r="F80" s="580">
        <f>D80*E80</f>
        <v>2900</v>
      </c>
      <c r="G80" s="582">
        <v>3.0000000000000001E-3</v>
      </c>
      <c r="H80" s="583">
        <f t="shared" si="10"/>
        <v>4350</v>
      </c>
      <c r="I80" s="584"/>
      <c r="J80" s="585"/>
      <c r="K80" s="586">
        <f t="shared" si="11"/>
        <v>7250</v>
      </c>
    </row>
    <row r="81" spans="1:11" ht="20.100000000000001" customHeight="1">
      <c r="A81" s="578">
        <v>5</v>
      </c>
      <c r="B81" s="678" t="s">
        <v>103</v>
      </c>
      <c r="C81" s="679" t="s">
        <v>100</v>
      </c>
      <c r="D81" s="580">
        <f>'Bang gia'!K10</f>
        <v>300000</v>
      </c>
      <c r="E81" s="584">
        <v>3.0000000000000001E-3</v>
      </c>
      <c r="F81" s="580">
        <f>D81*E81</f>
        <v>900</v>
      </c>
      <c r="G81" s="582">
        <v>5.0000000000000001E-3</v>
      </c>
      <c r="H81" s="583">
        <f t="shared" si="10"/>
        <v>1500</v>
      </c>
      <c r="I81" s="584"/>
      <c r="J81" s="585"/>
      <c r="K81" s="586">
        <f t="shared" si="11"/>
        <v>2400</v>
      </c>
    </row>
    <row r="82" spans="1:11" ht="20.100000000000001" customHeight="1">
      <c r="A82" s="578">
        <v>6</v>
      </c>
      <c r="B82" s="678" t="s">
        <v>105</v>
      </c>
      <c r="C82" s="679" t="s">
        <v>100</v>
      </c>
      <c r="D82" s="580">
        <f>'Bang gia'!K11</f>
        <v>3350000</v>
      </c>
      <c r="E82" s="584"/>
      <c r="F82" s="580"/>
      <c r="G82" s="582">
        <v>3.0000000000000001E-3</v>
      </c>
      <c r="H82" s="583">
        <f t="shared" si="10"/>
        <v>10050</v>
      </c>
      <c r="I82" s="584"/>
      <c r="J82" s="585"/>
      <c r="K82" s="586">
        <f t="shared" si="11"/>
        <v>10050</v>
      </c>
    </row>
    <row r="83" spans="1:11" ht="20.100000000000001" customHeight="1">
      <c r="A83" s="578">
        <v>7</v>
      </c>
      <c r="B83" s="678" t="s">
        <v>106</v>
      </c>
      <c r="C83" s="679" t="s">
        <v>107</v>
      </c>
      <c r="D83" s="580">
        <f>'Bang gia'!K12</f>
        <v>300</v>
      </c>
      <c r="E83" s="584"/>
      <c r="F83" s="580"/>
      <c r="G83" s="582">
        <v>1</v>
      </c>
      <c r="H83" s="583">
        <f t="shared" si="10"/>
        <v>300</v>
      </c>
      <c r="I83" s="584"/>
      <c r="J83" s="585"/>
      <c r="K83" s="586">
        <f t="shared" si="11"/>
        <v>300</v>
      </c>
    </row>
    <row r="84" spans="1:11" ht="20.100000000000001" customHeight="1">
      <c r="A84" s="578">
        <v>8</v>
      </c>
      <c r="B84" s="678" t="s">
        <v>319</v>
      </c>
      <c r="C84" s="679" t="s">
        <v>108</v>
      </c>
      <c r="D84" s="580">
        <f>'Bang gia'!K13</f>
        <v>7000</v>
      </c>
      <c r="E84" s="584"/>
      <c r="F84" s="580"/>
      <c r="G84" s="582">
        <v>1</v>
      </c>
      <c r="H84" s="583">
        <f t="shared" si="10"/>
        <v>7000</v>
      </c>
      <c r="I84" s="584"/>
      <c r="J84" s="585"/>
      <c r="K84" s="586">
        <f t="shared" si="11"/>
        <v>7000</v>
      </c>
    </row>
    <row r="85" spans="1:11" ht="20.100000000000001" customHeight="1">
      <c r="A85" s="578">
        <v>9</v>
      </c>
      <c r="B85" s="678" t="s">
        <v>318</v>
      </c>
      <c r="C85" s="679" t="s">
        <v>107</v>
      </c>
      <c r="D85" s="580">
        <f>'Bang gia'!K14</f>
        <v>300</v>
      </c>
      <c r="E85" s="584">
        <v>1</v>
      </c>
      <c r="F85" s="580">
        <f>D85*E85</f>
        <v>300</v>
      </c>
      <c r="G85" s="582"/>
      <c r="H85" s="583"/>
      <c r="I85" s="584"/>
      <c r="J85" s="585"/>
      <c r="K85" s="586">
        <f t="shared" si="11"/>
        <v>300</v>
      </c>
    </row>
    <row r="86" spans="1:11" ht="20.100000000000001" customHeight="1">
      <c r="A86" s="578">
        <v>10</v>
      </c>
      <c r="B86" s="678" t="s">
        <v>109</v>
      </c>
      <c r="C86" s="679" t="s">
        <v>110</v>
      </c>
      <c r="D86" s="580">
        <f>'Bang gia'!K15</f>
        <v>45000</v>
      </c>
      <c r="E86" s="584">
        <v>1.4999999999999999E-2</v>
      </c>
      <c r="F86" s="580">
        <f>D86*E86</f>
        <v>675</v>
      </c>
      <c r="G86" s="582">
        <v>2.3E-2</v>
      </c>
      <c r="H86" s="583">
        <f t="shared" ref="H86:H91" si="12">D86*G86</f>
        <v>1035</v>
      </c>
      <c r="I86" s="584"/>
      <c r="J86" s="585"/>
      <c r="K86" s="586">
        <f t="shared" si="11"/>
        <v>1710</v>
      </c>
    </row>
    <row r="87" spans="1:11" ht="20.100000000000001" customHeight="1">
      <c r="A87" s="578">
        <v>11</v>
      </c>
      <c r="B87" s="678" t="s">
        <v>111</v>
      </c>
      <c r="C87" s="679" t="s">
        <v>110</v>
      </c>
      <c r="D87" s="580">
        <f>'Bang gia'!K16</f>
        <v>90000</v>
      </c>
      <c r="E87" s="584"/>
      <c r="F87" s="580"/>
      <c r="G87" s="582">
        <v>4.0000000000000001E-3</v>
      </c>
      <c r="H87" s="583">
        <f t="shared" si="12"/>
        <v>360</v>
      </c>
      <c r="I87" s="584"/>
      <c r="J87" s="585"/>
      <c r="K87" s="586">
        <f t="shared" si="11"/>
        <v>360</v>
      </c>
    </row>
    <row r="88" spans="1:11" ht="20.100000000000001" customHeight="1">
      <c r="A88" s="578">
        <v>12</v>
      </c>
      <c r="B88" s="678" t="s">
        <v>112</v>
      </c>
      <c r="C88" s="679" t="s">
        <v>113</v>
      </c>
      <c r="D88" s="580">
        <f>'Bang gia'!K17</f>
        <v>25000</v>
      </c>
      <c r="E88" s="584"/>
      <c r="F88" s="580"/>
      <c r="G88" s="582">
        <v>3.0000000000000001E-3</v>
      </c>
      <c r="H88" s="583">
        <f t="shared" si="12"/>
        <v>75</v>
      </c>
      <c r="I88" s="584"/>
      <c r="J88" s="585"/>
      <c r="K88" s="586">
        <f t="shared" si="11"/>
        <v>75</v>
      </c>
    </row>
    <row r="89" spans="1:11" ht="20.100000000000001" customHeight="1">
      <c r="A89" s="578">
        <v>13</v>
      </c>
      <c r="B89" s="680" t="s">
        <v>114</v>
      </c>
      <c r="C89" s="681" t="s">
        <v>850</v>
      </c>
      <c r="D89" s="580">
        <f>'Bang gia'!K18</f>
        <v>2500</v>
      </c>
      <c r="E89" s="584">
        <v>0.01</v>
      </c>
      <c r="F89" s="580">
        <f>D89*E89</f>
        <v>25</v>
      </c>
      <c r="G89" s="582">
        <v>1.6E-2</v>
      </c>
      <c r="H89" s="583">
        <f t="shared" si="12"/>
        <v>40</v>
      </c>
      <c r="I89" s="584"/>
      <c r="J89" s="585"/>
      <c r="K89" s="586">
        <f t="shared" si="11"/>
        <v>65</v>
      </c>
    </row>
    <row r="90" spans="1:11" ht="20.100000000000001" customHeight="1">
      <c r="A90" s="578">
        <v>14</v>
      </c>
      <c r="B90" s="680" t="s">
        <v>115</v>
      </c>
      <c r="C90" s="681" t="s">
        <v>98</v>
      </c>
      <c r="D90" s="580">
        <f>'Bang gia'!K19</f>
        <v>18000</v>
      </c>
      <c r="E90" s="584"/>
      <c r="F90" s="580"/>
      <c r="G90" s="582">
        <v>2E-3</v>
      </c>
      <c r="H90" s="583">
        <f t="shared" si="12"/>
        <v>36</v>
      </c>
      <c r="I90" s="584"/>
      <c r="J90" s="585"/>
      <c r="K90" s="586">
        <f t="shared" si="11"/>
        <v>36</v>
      </c>
    </row>
    <row r="91" spans="1:11" ht="20.100000000000001" customHeight="1">
      <c r="A91" s="578">
        <v>15</v>
      </c>
      <c r="B91" s="680" t="s">
        <v>116</v>
      </c>
      <c r="C91" s="681" t="s">
        <v>98</v>
      </c>
      <c r="D91" s="580">
        <f>'Bang gia'!K20</f>
        <v>15000</v>
      </c>
      <c r="E91" s="584"/>
      <c r="F91" s="580"/>
      <c r="G91" s="582">
        <v>2E-3</v>
      </c>
      <c r="H91" s="583">
        <f t="shared" si="12"/>
        <v>30</v>
      </c>
      <c r="I91" s="584"/>
      <c r="J91" s="585"/>
      <c r="K91" s="586">
        <f t="shared" si="11"/>
        <v>30</v>
      </c>
    </row>
    <row r="92" spans="1:11" ht="20.100000000000001" customHeight="1">
      <c r="A92" s="578">
        <v>16</v>
      </c>
      <c r="B92" s="680" t="s">
        <v>321</v>
      </c>
      <c r="C92" s="682" t="s">
        <v>120</v>
      </c>
      <c r="D92" s="580">
        <f>'Bang gia'!K27</f>
        <v>10000</v>
      </c>
      <c r="E92" s="683"/>
      <c r="F92" s="580"/>
      <c r="G92" s="684">
        <v>3.0000000000000001E-3</v>
      </c>
      <c r="H92" s="583">
        <f>D92*G92</f>
        <v>30</v>
      </c>
      <c r="I92" s="683"/>
      <c r="J92" s="585"/>
      <c r="K92" s="586">
        <f t="shared" si="11"/>
        <v>30</v>
      </c>
    </row>
    <row r="93" spans="1:11" ht="20.100000000000001" customHeight="1">
      <c r="A93" s="686">
        <v>17</v>
      </c>
      <c r="B93" s="680" t="s">
        <v>121</v>
      </c>
      <c r="C93" s="687" t="s">
        <v>107</v>
      </c>
      <c r="D93" s="688">
        <f>'Bang gia'!K23</f>
        <v>1500</v>
      </c>
      <c r="E93" s="683">
        <v>1</v>
      </c>
      <c r="F93" s="688">
        <f>D93*E93</f>
        <v>1500</v>
      </c>
      <c r="G93" s="684"/>
      <c r="H93" s="689"/>
      <c r="I93" s="683"/>
      <c r="J93" s="690"/>
      <c r="K93" s="691">
        <f t="shared" si="11"/>
        <v>1500</v>
      </c>
    </row>
    <row r="94" spans="1:11" ht="20.100000000000001" customHeight="1">
      <c r="A94" s="697"/>
      <c r="B94" s="698" t="s">
        <v>853</v>
      </c>
      <c r="C94" s="622"/>
      <c r="D94" s="622"/>
      <c r="E94" s="621"/>
      <c r="F94" s="622">
        <f>SUM(F77:F93)</f>
        <v>6364</v>
      </c>
      <c r="G94" s="699"/>
      <c r="H94" s="700">
        <f>SUM(H77:H93)</f>
        <v>24936</v>
      </c>
      <c r="I94" s="621"/>
      <c r="J94" s="591"/>
      <c r="K94" s="591">
        <f>SUM(K77:K93)</f>
        <v>31300</v>
      </c>
    </row>
    <row r="95" spans="1:11" ht="20.100000000000001" customHeight="1">
      <c r="A95" s="697"/>
      <c r="B95" s="698" t="s">
        <v>854</v>
      </c>
      <c r="C95" s="622"/>
      <c r="D95" s="622"/>
      <c r="E95" s="621"/>
      <c r="F95" s="622">
        <f>F94*8%</f>
        <v>509.12</v>
      </c>
      <c r="G95" s="701"/>
      <c r="H95" s="622">
        <f>H94*8%</f>
        <v>1994.88</v>
      </c>
      <c r="I95" s="701"/>
      <c r="J95" s="622"/>
      <c r="K95" s="622">
        <f>K94*8%</f>
        <v>2504</v>
      </c>
    </row>
    <row r="96" spans="1:11" ht="20.100000000000001" customHeight="1">
      <c r="A96" s="702"/>
      <c r="B96" s="588" t="s">
        <v>295</v>
      </c>
      <c r="C96" s="702"/>
      <c r="D96" s="702"/>
      <c r="E96" s="703"/>
      <c r="F96" s="589">
        <f>F94+F95</f>
        <v>6873.12</v>
      </c>
      <c r="G96" s="621"/>
      <c r="H96" s="589">
        <f>H94+H95</f>
        <v>26930.880000000001</v>
      </c>
      <c r="I96" s="621"/>
      <c r="J96" s="589"/>
      <c r="K96" s="589">
        <f>K94+K95</f>
        <v>33804</v>
      </c>
    </row>
    <row r="97" spans="1:11" ht="8.25" customHeight="1">
      <c r="A97" s="673"/>
      <c r="B97" s="480"/>
      <c r="C97" s="670"/>
      <c r="D97" s="601"/>
      <c r="E97" s="671"/>
      <c r="F97" s="601"/>
      <c r="G97" s="671"/>
      <c r="H97" s="672"/>
      <c r="I97" s="674"/>
      <c r="J97" s="601"/>
      <c r="K97" s="494"/>
    </row>
    <row r="98" spans="1:11">
      <c r="A98" s="708"/>
      <c r="B98" s="599" t="s">
        <v>299</v>
      </c>
      <c r="C98" s="603"/>
      <c r="D98" s="601"/>
      <c r="E98" s="671"/>
      <c r="F98" s="601"/>
      <c r="G98" s="671"/>
      <c r="H98" s="672"/>
      <c r="I98" s="674"/>
      <c r="J98" s="601"/>
      <c r="K98" s="494"/>
    </row>
    <row r="99" spans="1:11" ht="20.25" customHeight="1">
      <c r="A99" s="606"/>
      <c r="B99" s="1260" t="s">
        <v>614</v>
      </c>
      <c r="C99" s="1260"/>
      <c r="D99" s="1260"/>
      <c r="E99" s="1260"/>
      <c r="F99" s="1260"/>
      <c r="G99" s="1260"/>
      <c r="H99" s="1260"/>
      <c r="I99" s="1260"/>
      <c r="J99" s="1260"/>
      <c r="K99" s="1260"/>
    </row>
    <row r="100" spans="1:11" ht="20.25" customHeight="1">
      <c r="A100" s="673"/>
      <c r="B100" s="605"/>
      <c r="C100" s="670"/>
      <c r="D100" s="601"/>
      <c r="E100" s="671"/>
      <c r="F100" s="601"/>
      <c r="G100" s="671"/>
      <c r="H100" s="672"/>
      <c r="I100" s="674"/>
      <c r="J100" s="601"/>
      <c r="K100" s="494"/>
    </row>
    <row r="101" spans="1:11" ht="32.25" customHeight="1">
      <c r="A101" s="1228" t="s">
        <v>397</v>
      </c>
      <c r="B101" s="1228"/>
      <c r="C101" s="1228"/>
      <c r="D101" s="1228"/>
      <c r="E101" s="1228"/>
      <c r="F101" s="1228"/>
      <c r="G101" s="1228"/>
      <c r="H101" s="1228"/>
      <c r="I101" s="1228"/>
      <c r="J101" s="1228"/>
      <c r="K101" s="1228"/>
    </row>
    <row r="102" spans="1:11" ht="6.75" customHeight="1">
      <c r="A102" s="712"/>
      <c r="B102" s="713"/>
      <c r="C102" s="714"/>
      <c r="D102" s="601"/>
      <c r="E102" s="671"/>
      <c r="F102" s="601"/>
      <c r="G102" s="671"/>
      <c r="H102" s="672"/>
      <c r="I102" s="674"/>
      <c r="J102" s="601"/>
      <c r="K102" s="494"/>
    </row>
    <row r="103" spans="1:11" ht="18" customHeight="1">
      <c r="A103" s="1245" t="s">
        <v>882</v>
      </c>
      <c r="B103" s="1245" t="s">
        <v>283</v>
      </c>
      <c r="C103" s="1245" t="s">
        <v>284</v>
      </c>
      <c r="D103" s="1245" t="s">
        <v>305</v>
      </c>
      <c r="E103" s="1254" t="s">
        <v>288</v>
      </c>
      <c r="F103" s="1255"/>
      <c r="G103" s="1255"/>
      <c r="H103" s="1255"/>
      <c r="I103" s="1255"/>
      <c r="J103" s="1256"/>
      <c r="K103" s="1245" t="s">
        <v>409</v>
      </c>
    </row>
    <row r="104" spans="1:11" ht="42.75" customHeight="1">
      <c r="A104" s="1246"/>
      <c r="B104" s="1246"/>
      <c r="C104" s="1246"/>
      <c r="D104" s="1246"/>
      <c r="E104" s="1254" t="s">
        <v>345</v>
      </c>
      <c r="F104" s="1256"/>
      <c r="G104" s="1254" t="s">
        <v>847</v>
      </c>
      <c r="H104" s="1256"/>
      <c r="I104" s="1254" t="s">
        <v>291</v>
      </c>
      <c r="J104" s="1256"/>
      <c r="K104" s="1246"/>
    </row>
    <row r="105" spans="1:11" ht="19.5" customHeight="1">
      <c r="A105" s="1247"/>
      <c r="B105" s="1247"/>
      <c r="C105" s="1247"/>
      <c r="D105" s="1247"/>
      <c r="E105" s="675" t="s">
        <v>848</v>
      </c>
      <c r="F105" s="468" t="s">
        <v>986</v>
      </c>
      <c r="G105" s="675" t="s">
        <v>848</v>
      </c>
      <c r="H105" s="468" t="s">
        <v>986</v>
      </c>
      <c r="I105" s="675" t="s">
        <v>848</v>
      </c>
      <c r="J105" s="468" t="s">
        <v>986</v>
      </c>
      <c r="K105" s="1247"/>
    </row>
    <row r="106" spans="1:11" ht="20.100000000000001" customHeight="1">
      <c r="A106" s="623">
        <v>1</v>
      </c>
      <c r="B106" s="676" t="s">
        <v>97</v>
      </c>
      <c r="C106" s="677" t="s">
        <v>98</v>
      </c>
      <c r="D106" s="580">
        <f t="shared" ref="D106:D122" si="13">D77</f>
        <v>5000</v>
      </c>
      <c r="E106" s="626">
        <v>2E-3</v>
      </c>
      <c r="F106" s="625">
        <f>D106*E106</f>
        <v>10</v>
      </c>
      <c r="G106" s="626">
        <v>2E-3</v>
      </c>
      <c r="H106" s="627">
        <f>D106*G106</f>
        <v>10</v>
      </c>
      <c r="I106" s="626"/>
      <c r="J106" s="628"/>
      <c r="K106" s="627">
        <f>F106+H106+J106</f>
        <v>20</v>
      </c>
    </row>
    <row r="107" spans="1:11" ht="20.100000000000001" customHeight="1">
      <c r="A107" s="578">
        <v>2</v>
      </c>
      <c r="B107" s="678" t="s">
        <v>99</v>
      </c>
      <c r="C107" s="679" t="s">
        <v>100</v>
      </c>
      <c r="D107" s="580">
        <f t="shared" si="13"/>
        <v>2000</v>
      </c>
      <c r="E107" s="584">
        <v>1.2E-2</v>
      </c>
      <c r="F107" s="580">
        <f>D107*E107</f>
        <v>24</v>
      </c>
      <c r="G107" s="582">
        <v>1.4999999999999999E-2</v>
      </c>
      <c r="H107" s="583">
        <f>D107*G107</f>
        <v>30</v>
      </c>
      <c r="I107" s="584"/>
      <c r="J107" s="585"/>
      <c r="K107" s="586">
        <f>F107+H107+J107</f>
        <v>54</v>
      </c>
    </row>
    <row r="108" spans="1:11" ht="20.100000000000001" customHeight="1">
      <c r="A108" s="578">
        <v>3</v>
      </c>
      <c r="B108" s="678" t="s">
        <v>101</v>
      </c>
      <c r="C108" s="679" t="s">
        <v>100</v>
      </c>
      <c r="D108" s="580">
        <f t="shared" si="13"/>
        <v>2000</v>
      </c>
      <c r="E108" s="584">
        <v>0.02</v>
      </c>
      <c r="F108" s="580">
        <f>D108*E108</f>
        <v>40</v>
      </c>
      <c r="G108" s="582">
        <v>0.04</v>
      </c>
      <c r="H108" s="583">
        <f t="shared" ref="H108:H114" si="14">D108*G108</f>
        <v>80</v>
      </c>
      <c r="I108" s="584"/>
      <c r="J108" s="585"/>
      <c r="K108" s="586">
        <f t="shared" ref="K108:K122" si="15">F108+H108+J108</f>
        <v>120</v>
      </c>
    </row>
    <row r="109" spans="1:11" ht="20.100000000000001" customHeight="1">
      <c r="A109" s="578">
        <v>4</v>
      </c>
      <c r="B109" s="678" t="s">
        <v>102</v>
      </c>
      <c r="C109" s="679" t="s">
        <v>100</v>
      </c>
      <c r="D109" s="580">
        <f t="shared" si="13"/>
        <v>1450000</v>
      </c>
      <c r="E109" s="584"/>
      <c r="F109" s="580">
        <f t="shared" ref="F109:F118" si="16">D109*E109</f>
        <v>0</v>
      </c>
      <c r="G109" s="582">
        <v>5.0000000000000001E-3</v>
      </c>
      <c r="H109" s="583">
        <f t="shared" si="14"/>
        <v>7250</v>
      </c>
      <c r="I109" s="584"/>
      <c r="J109" s="585"/>
      <c r="K109" s="586">
        <f t="shared" si="15"/>
        <v>7250</v>
      </c>
    </row>
    <row r="110" spans="1:11" ht="20.100000000000001" customHeight="1">
      <c r="A110" s="578">
        <v>5</v>
      </c>
      <c r="B110" s="678" t="s">
        <v>103</v>
      </c>
      <c r="C110" s="679" t="s">
        <v>100</v>
      </c>
      <c r="D110" s="580">
        <f t="shared" si="13"/>
        <v>300000</v>
      </c>
      <c r="E110" s="584">
        <v>2E-3</v>
      </c>
      <c r="F110" s="580">
        <f t="shared" si="16"/>
        <v>600</v>
      </c>
      <c r="G110" s="582">
        <v>6.0000000000000001E-3</v>
      </c>
      <c r="H110" s="583">
        <f t="shared" si="14"/>
        <v>1800</v>
      </c>
      <c r="I110" s="584"/>
      <c r="J110" s="585"/>
      <c r="K110" s="586">
        <f t="shared" si="15"/>
        <v>2400</v>
      </c>
    </row>
    <row r="111" spans="1:11" ht="20.100000000000001" customHeight="1">
      <c r="A111" s="578">
        <v>6</v>
      </c>
      <c r="B111" s="678" t="s">
        <v>105</v>
      </c>
      <c r="C111" s="679" t="s">
        <v>100</v>
      </c>
      <c r="D111" s="580">
        <f t="shared" si="13"/>
        <v>3350000</v>
      </c>
      <c r="E111" s="584"/>
      <c r="F111" s="580">
        <f t="shared" si="16"/>
        <v>0</v>
      </c>
      <c r="G111" s="582">
        <v>3.0000000000000001E-3</v>
      </c>
      <c r="H111" s="583">
        <f t="shared" si="14"/>
        <v>10050</v>
      </c>
      <c r="I111" s="584"/>
      <c r="J111" s="585"/>
      <c r="K111" s="586">
        <f t="shared" si="15"/>
        <v>10050</v>
      </c>
    </row>
    <row r="112" spans="1:11" ht="20.100000000000001" customHeight="1">
      <c r="A112" s="578">
        <v>7</v>
      </c>
      <c r="B112" s="678" t="s">
        <v>106</v>
      </c>
      <c r="C112" s="679" t="s">
        <v>107</v>
      </c>
      <c r="D112" s="580">
        <f t="shared" si="13"/>
        <v>300</v>
      </c>
      <c r="E112" s="584"/>
      <c r="F112" s="580">
        <f t="shared" si="16"/>
        <v>0</v>
      </c>
      <c r="G112" s="582">
        <v>1</v>
      </c>
      <c r="H112" s="583">
        <f t="shared" si="14"/>
        <v>300</v>
      </c>
      <c r="I112" s="584"/>
      <c r="J112" s="585"/>
      <c r="K112" s="586">
        <f t="shared" si="15"/>
        <v>300</v>
      </c>
    </row>
    <row r="113" spans="1:11" ht="20.100000000000001" customHeight="1">
      <c r="A113" s="578">
        <v>8</v>
      </c>
      <c r="B113" s="678" t="s">
        <v>319</v>
      </c>
      <c r="C113" s="679" t="s">
        <v>108</v>
      </c>
      <c r="D113" s="580">
        <f t="shared" si="13"/>
        <v>7000</v>
      </c>
      <c r="E113" s="584"/>
      <c r="F113" s="580">
        <f t="shared" si="16"/>
        <v>0</v>
      </c>
      <c r="G113" s="582">
        <v>1</v>
      </c>
      <c r="H113" s="583">
        <f t="shared" si="14"/>
        <v>7000</v>
      </c>
      <c r="I113" s="584"/>
      <c r="J113" s="585"/>
      <c r="K113" s="586">
        <f t="shared" si="15"/>
        <v>7000</v>
      </c>
    </row>
    <row r="114" spans="1:11" ht="20.100000000000001" customHeight="1">
      <c r="A114" s="578">
        <v>9</v>
      </c>
      <c r="B114" s="678" t="s">
        <v>318</v>
      </c>
      <c r="C114" s="679" t="s">
        <v>107</v>
      </c>
      <c r="D114" s="580">
        <f t="shared" si="13"/>
        <v>300</v>
      </c>
      <c r="E114" s="584"/>
      <c r="F114" s="580">
        <f t="shared" si="16"/>
        <v>0</v>
      </c>
      <c r="G114" s="582">
        <v>1</v>
      </c>
      <c r="H114" s="583">
        <f t="shared" si="14"/>
        <v>300</v>
      </c>
      <c r="I114" s="584"/>
      <c r="J114" s="585"/>
      <c r="K114" s="586">
        <f t="shared" si="15"/>
        <v>300</v>
      </c>
    </row>
    <row r="115" spans="1:11" ht="20.100000000000001" customHeight="1">
      <c r="A115" s="578">
        <v>10</v>
      </c>
      <c r="B115" s="678" t="s">
        <v>109</v>
      </c>
      <c r="C115" s="679" t="s">
        <v>110</v>
      </c>
      <c r="D115" s="580">
        <f t="shared" si="13"/>
        <v>45000</v>
      </c>
      <c r="E115" s="584">
        <v>1.0999999999999999E-2</v>
      </c>
      <c r="F115" s="580">
        <f t="shared" si="16"/>
        <v>494.99999999999994</v>
      </c>
      <c r="G115" s="582">
        <v>2.7E-2</v>
      </c>
      <c r="H115" s="583">
        <f t="shared" ref="H115:H120" si="17">D115*G115</f>
        <v>1215</v>
      </c>
      <c r="I115" s="584"/>
      <c r="J115" s="585"/>
      <c r="K115" s="586">
        <f t="shared" si="15"/>
        <v>1710</v>
      </c>
    </row>
    <row r="116" spans="1:11" ht="20.100000000000001" customHeight="1">
      <c r="A116" s="578">
        <v>11</v>
      </c>
      <c r="B116" s="678" t="s">
        <v>111</v>
      </c>
      <c r="C116" s="679" t="s">
        <v>110</v>
      </c>
      <c r="D116" s="580">
        <f t="shared" si="13"/>
        <v>90000</v>
      </c>
      <c r="E116" s="584">
        <v>1E-3</v>
      </c>
      <c r="F116" s="580">
        <f t="shared" si="16"/>
        <v>90</v>
      </c>
      <c r="G116" s="582">
        <v>3.0000000000000001E-3</v>
      </c>
      <c r="H116" s="583">
        <f t="shared" si="17"/>
        <v>270</v>
      </c>
      <c r="I116" s="584"/>
      <c r="J116" s="585"/>
      <c r="K116" s="586">
        <f t="shared" si="15"/>
        <v>360</v>
      </c>
    </row>
    <row r="117" spans="1:11" ht="20.100000000000001" customHeight="1">
      <c r="A117" s="578">
        <v>12</v>
      </c>
      <c r="B117" s="678" t="s">
        <v>112</v>
      </c>
      <c r="C117" s="679" t="s">
        <v>113</v>
      </c>
      <c r="D117" s="580">
        <f t="shared" si="13"/>
        <v>25000</v>
      </c>
      <c r="E117" s="584">
        <v>1E-3</v>
      </c>
      <c r="F117" s="580">
        <f t="shared" si="16"/>
        <v>25</v>
      </c>
      <c r="G117" s="582">
        <v>2E-3</v>
      </c>
      <c r="H117" s="583">
        <f t="shared" si="17"/>
        <v>50</v>
      </c>
      <c r="I117" s="584"/>
      <c r="J117" s="585"/>
      <c r="K117" s="586">
        <f t="shared" si="15"/>
        <v>75</v>
      </c>
    </row>
    <row r="118" spans="1:11" ht="20.100000000000001" customHeight="1">
      <c r="A118" s="578">
        <v>13</v>
      </c>
      <c r="B118" s="680" t="s">
        <v>114</v>
      </c>
      <c r="C118" s="681" t="s">
        <v>850</v>
      </c>
      <c r="D118" s="580">
        <f t="shared" si="13"/>
        <v>2500</v>
      </c>
      <c r="E118" s="584">
        <v>1E-3</v>
      </c>
      <c r="F118" s="580">
        <f t="shared" si="16"/>
        <v>2.5</v>
      </c>
      <c r="G118" s="582">
        <v>2.5000000000000001E-2</v>
      </c>
      <c r="H118" s="583">
        <f t="shared" si="17"/>
        <v>62.5</v>
      </c>
      <c r="I118" s="584"/>
      <c r="J118" s="585"/>
      <c r="K118" s="586">
        <f t="shared" si="15"/>
        <v>65</v>
      </c>
    </row>
    <row r="119" spans="1:11" ht="20.100000000000001" customHeight="1">
      <c r="A119" s="578">
        <v>14</v>
      </c>
      <c r="B119" s="680" t="s">
        <v>115</v>
      </c>
      <c r="C119" s="681" t="s">
        <v>98</v>
      </c>
      <c r="D119" s="580">
        <f t="shared" si="13"/>
        <v>18000</v>
      </c>
      <c r="E119" s="584"/>
      <c r="F119" s="580"/>
      <c r="G119" s="582">
        <v>2E-3</v>
      </c>
      <c r="H119" s="583">
        <f t="shared" si="17"/>
        <v>36</v>
      </c>
      <c r="I119" s="584"/>
      <c r="J119" s="585"/>
      <c r="K119" s="586">
        <f t="shared" si="15"/>
        <v>36</v>
      </c>
    </row>
    <row r="120" spans="1:11" ht="20.100000000000001" customHeight="1">
      <c r="A120" s="578">
        <v>15</v>
      </c>
      <c r="B120" s="680" t="s">
        <v>116</v>
      </c>
      <c r="C120" s="681" t="s">
        <v>98</v>
      </c>
      <c r="D120" s="580">
        <f t="shared" si="13"/>
        <v>15000</v>
      </c>
      <c r="E120" s="584"/>
      <c r="F120" s="580"/>
      <c r="G120" s="582">
        <v>2E-3</v>
      </c>
      <c r="H120" s="583">
        <f t="shared" si="17"/>
        <v>30</v>
      </c>
      <c r="I120" s="584"/>
      <c r="J120" s="585"/>
      <c r="K120" s="586">
        <f t="shared" si="15"/>
        <v>30</v>
      </c>
    </row>
    <row r="121" spans="1:11" ht="20.100000000000001" customHeight="1">
      <c r="A121" s="578">
        <v>16</v>
      </c>
      <c r="B121" s="680" t="s">
        <v>321</v>
      </c>
      <c r="C121" s="682" t="s">
        <v>120</v>
      </c>
      <c r="D121" s="580">
        <f t="shared" si="13"/>
        <v>10000</v>
      </c>
      <c r="E121" s="683"/>
      <c r="F121" s="580"/>
      <c r="G121" s="684">
        <v>3.0000000000000001E-3</v>
      </c>
      <c r="H121" s="583">
        <f>D121*G121</f>
        <v>30</v>
      </c>
      <c r="I121" s="683"/>
      <c r="J121" s="585"/>
      <c r="K121" s="586">
        <f t="shared" si="15"/>
        <v>30</v>
      </c>
    </row>
    <row r="122" spans="1:11" ht="20.100000000000001" customHeight="1">
      <c r="A122" s="686">
        <v>17</v>
      </c>
      <c r="B122" s="680" t="s">
        <v>121</v>
      </c>
      <c r="C122" s="687" t="s">
        <v>107</v>
      </c>
      <c r="D122" s="580">
        <f t="shared" si="13"/>
        <v>1500</v>
      </c>
      <c r="E122" s="683"/>
      <c r="F122" s="688">
        <f>D122*E122</f>
        <v>0</v>
      </c>
      <c r="G122" s="684">
        <v>1</v>
      </c>
      <c r="H122" s="689">
        <f>D122*G122</f>
        <v>1500</v>
      </c>
      <c r="I122" s="683"/>
      <c r="J122" s="690"/>
      <c r="K122" s="691">
        <f t="shared" si="15"/>
        <v>1500</v>
      </c>
    </row>
    <row r="123" spans="1:11" ht="20.100000000000001" customHeight="1">
      <c r="A123" s="697"/>
      <c r="B123" s="698" t="s">
        <v>853</v>
      </c>
      <c r="C123" s="622"/>
      <c r="D123" s="622"/>
      <c r="E123" s="621"/>
      <c r="F123" s="622">
        <f>SUM(F106:F122)</f>
        <v>1286.5</v>
      </c>
      <c r="G123" s="699"/>
      <c r="H123" s="700">
        <f>SUM(H106:H122)</f>
        <v>30013.5</v>
      </c>
      <c r="I123" s="621"/>
      <c r="J123" s="591"/>
      <c r="K123" s="591">
        <f>SUM(K106:K122)</f>
        <v>31300</v>
      </c>
    </row>
    <row r="124" spans="1:11" ht="20.100000000000001" customHeight="1">
      <c r="A124" s="697"/>
      <c r="B124" s="698" t="s">
        <v>854</v>
      </c>
      <c r="C124" s="622"/>
      <c r="D124" s="622"/>
      <c r="E124" s="621"/>
      <c r="F124" s="622">
        <f>F123*8%</f>
        <v>102.92</v>
      </c>
      <c r="G124" s="701"/>
      <c r="H124" s="622">
        <f>H123*8%</f>
        <v>2401.08</v>
      </c>
      <c r="I124" s="701"/>
      <c r="J124" s="622"/>
      <c r="K124" s="622">
        <f>K123*8%</f>
        <v>2504</v>
      </c>
    </row>
    <row r="125" spans="1:11" ht="20.100000000000001" customHeight="1">
      <c r="A125" s="702"/>
      <c r="B125" s="588" t="s">
        <v>295</v>
      </c>
      <c r="C125" s="702"/>
      <c r="D125" s="702"/>
      <c r="E125" s="703"/>
      <c r="F125" s="589">
        <f>F123+F124</f>
        <v>1389.42</v>
      </c>
      <c r="G125" s="621"/>
      <c r="H125" s="589">
        <f>H123+H124</f>
        <v>32414.58</v>
      </c>
      <c r="I125" s="621"/>
      <c r="J125" s="589"/>
      <c r="K125" s="589">
        <f>K123+K124</f>
        <v>33804</v>
      </c>
    </row>
    <row r="126" spans="1:11" ht="8.25" customHeight="1">
      <c r="A126" s="673"/>
      <c r="B126" s="480"/>
      <c r="C126" s="670"/>
      <c r="D126" s="601"/>
      <c r="E126" s="671"/>
      <c r="F126" s="601"/>
      <c r="G126" s="671"/>
      <c r="H126" s="672"/>
      <c r="I126" s="674"/>
      <c r="J126" s="601"/>
      <c r="K126" s="494"/>
    </row>
    <row r="127" spans="1:11">
      <c r="A127" s="708"/>
      <c r="B127" s="599" t="s">
        <v>299</v>
      </c>
      <c r="C127" s="603"/>
      <c r="D127" s="601"/>
      <c r="E127" s="671"/>
      <c r="F127" s="601"/>
      <c r="G127" s="671"/>
      <c r="H127" s="672"/>
      <c r="I127" s="674"/>
      <c r="J127" s="601"/>
      <c r="K127" s="494"/>
    </row>
    <row r="128" spans="1:11" ht="20.25" customHeight="1">
      <c r="A128" s="606"/>
      <c r="B128" s="1260" t="s">
        <v>614</v>
      </c>
      <c r="C128" s="1260"/>
      <c r="D128" s="1260"/>
      <c r="E128" s="1260"/>
      <c r="F128" s="1260"/>
      <c r="G128" s="1260"/>
      <c r="H128" s="1260"/>
      <c r="I128" s="1260"/>
      <c r="J128" s="1260"/>
      <c r="K128" s="1260"/>
    </row>
    <row r="129" spans="1:11" ht="20.25" customHeight="1">
      <c r="A129" s="673"/>
      <c r="B129" s="605"/>
      <c r="C129" s="670"/>
      <c r="D129" s="601"/>
      <c r="E129" s="671"/>
      <c r="F129" s="601"/>
      <c r="G129" s="671"/>
      <c r="H129" s="672"/>
      <c r="I129" s="674"/>
      <c r="J129" s="601"/>
      <c r="K129" s="494"/>
    </row>
    <row r="130" spans="1:11" ht="8.25" customHeight="1">
      <c r="A130" s="673"/>
      <c r="B130" s="480"/>
      <c r="C130" s="670"/>
      <c r="D130" s="601"/>
      <c r="E130" s="671"/>
      <c r="F130" s="601"/>
      <c r="G130" s="671"/>
      <c r="H130" s="672"/>
      <c r="I130" s="674"/>
      <c r="J130" s="601"/>
      <c r="K130" s="494"/>
    </row>
    <row r="131" spans="1:11" ht="31.5" customHeight="1">
      <c r="A131" s="1228" t="s">
        <v>398</v>
      </c>
      <c r="B131" s="1228"/>
      <c r="C131" s="1228"/>
      <c r="D131" s="1228"/>
      <c r="E131" s="1228"/>
      <c r="F131" s="1228"/>
      <c r="G131" s="1228"/>
      <c r="H131" s="1228"/>
      <c r="I131" s="1228"/>
      <c r="J131" s="1228"/>
      <c r="K131" s="1228"/>
    </row>
    <row r="132" spans="1:11" ht="12" customHeight="1">
      <c r="A132" s="673"/>
      <c r="B132" s="480"/>
      <c r="C132" s="670"/>
      <c r="D132" s="601"/>
      <c r="E132" s="671"/>
      <c r="F132" s="601"/>
      <c r="G132" s="671"/>
      <c r="H132" s="672"/>
      <c r="I132" s="674"/>
      <c r="J132" s="601"/>
      <c r="K132" s="494"/>
    </row>
    <row r="133" spans="1:11" ht="19.5" customHeight="1">
      <c r="A133" s="1245" t="s">
        <v>882</v>
      </c>
      <c r="B133" s="1245" t="s">
        <v>283</v>
      </c>
      <c r="C133" s="1245" t="s">
        <v>284</v>
      </c>
      <c r="D133" s="1245" t="s">
        <v>305</v>
      </c>
      <c r="E133" s="1254" t="s">
        <v>288</v>
      </c>
      <c r="F133" s="1255"/>
      <c r="G133" s="1255"/>
      <c r="H133" s="1255"/>
      <c r="I133" s="1255"/>
      <c r="J133" s="1256"/>
      <c r="K133" s="1245" t="s">
        <v>409</v>
      </c>
    </row>
    <row r="134" spans="1:11" ht="39.75" customHeight="1">
      <c r="A134" s="1246"/>
      <c r="B134" s="1246"/>
      <c r="C134" s="1246"/>
      <c r="D134" s="1246"/>
      <c r="E134" s="1254" t="s">
        <v>345</v>
      </c>
      <c r="F134" s="1256"/>
      <c r="G134" s="1254" t="s">
        <v>322</v>
      </c>
      <c r="H134" s="1256"/>
      <c r="I134" s="1254" t="s">
        <v>291</v>
      </c>
      <c r="J134" s="1256"/>
      <c r="K134" s="1246"/>
    </row>
    <row r="135" spans="1:11" ht="19.5" customHeight="1">
      <c r="A135" s="1247"/>
      <c r="B135" s="1247"/>
      <c r="C135" s="1247"/>
      <c r="D135" s="1247"/>
      <c r="E135" s="675" t="s">
        <v>848</v>
      </c>
      <c r="F135" s="468" t="s">
        <v>986</v>
      </c>
      <c r="G135" s="675" t="s">
        <v>848</v>
      </c>
      <c r="H135" s="468" t="s">
        <v>986</v>
      </c>
      <c r="I135" s="675" t="s">
        <v>848</v>
      </c>
      <c r="J135" s="468" t="s">
        <v>986</v>
      </c>
      <c r="K135" s="1247"/>
    </row>
    <row r="136" spans="1:11" ht="19.899999999999999" customHeight="1">
      <c r="A136" s="623">
        <v>1</v>
      </c>
      <c r="B136" s="676" t="s">
        <v>97</v>
      </c>
      <c r="C136" s="677" t="s">
        <v>98</v>
      </c>
      <c r="D136" s="580">
        <f>'Bang gia'!K6</f>
        <v>5000</v>
      </c>
      <c r="E136" s="626">
        <v>2E-3</v>
      </c>
      <c r="F136" s="625">
        <f>D136*E136</f>
        <v>10</v>
      </c>
      <c r="G136" s="626"/>
      <c r="H136" s="627"/>
      <c r="I136" s="626">
        <v>3.0000000000000001E-3</v>
      </c>
      <c r="J136" s="628">
        <f t="shared" ref="J136:J151" si="18">D136*I136</f>
        <v>15</v>
      </c>
      <c r="K136" s="627">
        <f>F136+H136+J136</f>
        <v>25</v>
      </c>
    </row>
    <row r="137" spans="1:11" ht="19.899999999999999" customHeight="1">
      <c r="A137" s="578">
        <v>2</v>
      </c>
      <c r="B137" s="678" t="s">
        <v>99</v>
      </c>
      <c r="C137" s="679" t="s">
        <v>100</v>
      </c>
      <c r="D137" s="580">
        <f>'Bang gia'!K7</f>
        <v>2000</v>
      </c>
      <c r="E137" s="584">
        <v>0.01</v>
      </c>
      <c r="F137" s="580">
        <f>D137*E137</f>
        <v>20</v>
      </c>
      <c r="G137" s="582"/>
      <c r="H137" s="583"/>
      <c r="I137" s="584">
        <v>0.03</v>
      </c>
      <c r="J137" s="585">
        <f t="shared" si="18"/>
        <v>60</v>
      </c>
      <c r="K137" s="586">
        <f>F137+H137+J137</f>
        <v>80</v>
      </c>
    </row>
    <row r="138" spans="1:11" ht="19.899999999999999" customHeight="1">
      <c r="A138" s="578">
        <v>3</v>
      </c>
      <c r="B138" s="678" t="s">
        <v>101</v>
      </c>
      <c r="C138" s="679" t="s">
        <v>100</v>
      </c>
      <c r="D138" s="580">
        <f>'Bang gia'!K8</f>
        <v>2000</v>
      </c>
      <c r="E138" s="584"/>
      <c r="F138" s="580">
        <f t="shared" ref="F138:F151" si="19">D138*E138</f>
        <v>0</v>
      </c>
      <c r="G138" s="582"/>
      <c r="H138" s="583"/>
      <c r="I138" s="584">
        <v>0.04</v>
      </c>
      <c r="J138" s="585">
        <f t="shared" si="18"/>
        <v>80</v>
      </c>
      <c r="K138" s="586">
        <f t="shared" ref="K138:K151" si="20">F138+H138+J138</f>
        <v>80</v>
      </c>
    </row>
    <row r="139" spans="1:11" ht="19.899999999999999" customHeight="1">
      <c r="A139" s="578">
        <v>4</v>
      </c>
      <c r="B139" s="678" t="s">
        <v>102</v>
      </c>
      <c r="C139" s="679" t="s">
        <v>100</v>
      </c>
      <c r="D139" s="580">
        <f>'Bang gia'!K9</f>
        <v>1450000</v>
      </c>
      <c r="E139" s="584"/>
      <c r="F139" s="580">
        <f t="shared" si="19"/>
        <v>0</v>
      </c>
      <c r="G139" s="582"/>
      <c r="H139" s="583"/>
      <c r="I139" s="584">
        <v>3.0000000000000001E-3</v>
      </c>
      <c r="J139" s="585">
        <f t="shared" si="18"/>
        <v>4350</v>
      </c>
      <c r="K139" s="586">
        <f t="shared" si="20"/>
        <v>4350</v>
      </c>
    </row>
    <row r="140" spans="1:11" ht="19.899999999999999" customHeight="1">
      <c r="A140" s="578">
        <v>5</v>
      </c>
      <c r="B140" s="678" t="s">
        <v>103</v>
      </c>
      <c r="C140" s="679" t="s">
        <v>100</v>
      </c>
      <c r="D140" s="580">
        <f>'Bang gia'!K10</f>
        <v>300000</v>
      </c>
      <c r="E140" s="584"/>
      <c r="F140" s="580">
        <f t="shared" si="19"/>
        <v>0</v>
      </c>
      <c r="G140" s="582"/>
      <c r="H140" s="583"/>
      <c r="I140" s="584">
        <v>5.0000000000000001E-3</v>
      </c>
      <c r="J140" s="585">
        <f t="shared" si="18"/>
        <v>1500</v>
      </c>
      <c r="K140" s="586">
        <f t="shared" si="20"/>
        <v>1500</v>
      </c>
    </row>
    <row r="141" spans="1:11" ht="19.899999999999999" customHeight="1">
      <c r="A141" s="578">
        <v>6</v>
      </c>
      <c r="B141" s="678" t="s">
        <v>105</v>
      </c>
      <c r="C141" s="679" t="s">
        <v>100</v>
      </c>
      <c r="D141" s="580">
        <f>'Bang gia'!K11</f>
        <v>3350000</v>
      </c>
      <c r="E141" s="584"/>
      <c r="F141" s="580">
        <f t="shared" si="19"/>
        <v>0</v>
      </c>
      <c r="G141" s="582"/>
      <c r="H141" s="583"/>
      <c r="I141" s="584">
        <v>3.0000000000000001E-3</v>
      </c>
      <c r="J141" s="585">
        <f t="shared" si="18"/>
        <v>10050</v>
      </c>
      <c r="K141" s="586">
        <f t="shared" si="20"/>
        <v>10050</v>
      </c>
    </row>
    <row r="142" spans="1:11" ht="19.899999999999999" customHeight="1">
      <c r="A142" s="578">
        <v>7</v>
      </c>
      <c r="B142" s="678" t="s">
        <v>106</v>
      </c>
      <c r="C142" s="679" t="s">
        <v>107</v>
      </c>
      <c r="D142" s="580">
        <f>'Bang gia'!K12</f>
        <v>300</v>
      </c>
      <c r="E142" s="584"/>
      <c r="F142" s="580">
        <f t="shared" si="19"/>
        <v>0</v>
      </c>
      <c r="G142" s="582"/>
      <c r="H142" s="583"/>
      <c r="I142" s="584">
        <v>1</v>
      </c>
      <c r="J142" s="585">
        <f t="shared" si="18"/>
        <v>300</v>
      </c>
      <c r="K142" s="586">
        <f t="shared" si="20"/>
        <v>300</v>
      </c>
    </row>
    <row r="143" spans="1:11" ht="19.899999999999999" customHeight="1">
      <c r="A143" s="578">
        <v>8</v>
      </c>
      <c r="B143" s="678" t="s">
        <v>320</v>
      </c>
      <c r="C143" s="679" t="s">
        <v>108</v>
      </c>
      <c r="D143" s="580">
        <f>'Bang gia'!K13</f>
        <v>7000</v>
      </c>
      <c r="E143" s="584"/>
      <c r="F143" s="580">
        <f t="shared" si="19"/>
        <v>0</v>
      </c>
      <c r="G143" s="582"/>
      <c r="H143" s="583"/>
      <c r="I143" s="584">
        <v>1</v>
      </c>
      <c r="J143" s="585">
        <f t="shared" si="18"/>
        <v>7000</v>
      </c>
      <c r="K143" s="586">
        <f t="shared" si="20"/>
        <v>7000</v>
      </c>
    </row>
    <row r="144" spans="1:11" ht="19.899999999999999" customHeight="1">
      <c r="A144" s="578">
        <v>9</v>
      </c>
      <c r="B144" s="678" t="s">
        <v>318</v>
      </c>
      <c r="C144" s="679" t="s">
        <v>107</v>
      </c>
      <c r="D144" s="580">
        <f>'Bang gia'!K14</f>
        <v>300</v>
      </c>
      <c r="E144" s="584"/>
      <c r="F144" s="580">
        <f t="shared" si="19"/>
        <v>0</v>
      </c>
      <c r="G144" s="582"/>
      <c r="H144" s="583"/>
      <c r="I144" s="584">
        <v>1</v>
      </c>
      <c r="J144" s="585">
        <f t="shared" si="18"/>
        <v>300</v>
      </c>
      <c r="K144" s="586">
        <f t="shared" si="20"/>
        <v>300</v>
      </c>
    </row>
    <row r="145" spans="1:11" ht="19.899999999999999" customHeight="1">
      <c r="A145" s="578">
        <v>10</v>
      </c>
      <c r="B145" s="678" t="s">
        <v>109</v>
      </c>
      <c r="C145" s="679" t="s">
        <v>110</v>
      </c>
      <c r="D145" s="580">
        <f>'Bang gia'!K15</f>
        <v>45000</v>
      </c>
      <c r="E145" s="584">
        <v>1.2E-2</v>
      </c>
      <c r="F145" s="580">
        <f t="shared" si="19"/>
        <v>540</v>
      </c>
      <c r="G145" s="715"/>
      <c r="H145" s="583"/>
      <c r="I145" s="584">
        <v>0.04</v>
      </c>
      <c r="J145" s="585">
        <f t="shared" si="18"/>
        <v>1800</v>
      </c>
      <c r="K145" s="586">
        <f t="shared" si="20"/>
        <v>2340</v>
      </c>
    </row>
    <row r="146" spans="1:11" ht="19.899999999999999" customHeight="1">
      <c r="A146" s="578">
        <v>11</v>
      </c>
      <c r="B146" s="678" t="s">
        <v>111</v>
      </c>
      <c r="C146" s="679" t="s">
        <v>110</v>
      </c>
      <c r="D146" s="580">
        <f>'Bang gia'!K16</f>
        <v>90000</v>
      </c>
      <c r="E146" s="584"/>
      <c r="F146" s="580">
        <f t="shared" si="19"/>
        <v>0</v>
      </c>
      <c r="G146" s="715"/>
      <c r="H146" s="583"/>
      <c r="I146" s="584">
        <v>4.0000000000000001E-3</v>
      </c>
      <c r="J146" s="585">
        <f t="shared" si="18"/>
        <v>360</v>
      </c>
      <c r="K146" s="586">
        <f t="shared" si="20"/>
        <v>360</v>
      </c>
    </row>
    <row r="147" spans="1:11" ht="19.899999999999999" customHeight="1">
      <c r="A147" s="578">
        <v>12</v>
      </c>
      <c r="B147" s="678" t="s">
        <v>112</v>
      </c>
      <c r="C147" s="679" t="s">
        <v>113</v>
      </c>
      <c r="D147" s="580">
        <f>'Bang gia'!K17</f>
        <v>25000</v>
      </c>
      <c r="E147" s="584"/>
      <c r="F147" s="580">
        <f t="shared" si="19"/>
        <v>0</v>
      </c>
      <c r="G147" s="715"/>
      <c r="H147" s="583"/>
      <c r="I147" s="584">
        <v>3.0000000000000001E-3</v>
      </c>
      <c r="J147" s="585">
        <f t="shared" si="18"/>
        <v>75</v>
      </c>
      <c r="K147" s="586">
        <f t="shared" si="20"/>
        <v>75</v>
      </c>
    </row>
    <row r="148" spans="1:11" ht="19.899999999999999" customHeight="1">
      <c r="A148" s="578">
        <v>13</v>
      </c>
      <c r="B148" s="680" t="s">
        <v>114</v>
      </c>
      <c r="C148" s="681" t="s">
        <v>850</v>
      </c>
      <c r="D148" s="580">
        <f>'Bang gia'!K18</f>
        <v>2500</v>
      </c>
      <c r="E148" s="584">
        <v>0.01</v>
      </c>
      <c r="F148" s="580">
        <f t="shared" si="19"/>
        <v>25</v>
      </c>
      <c r="G148" s="582"/>
      <c r="H148" s="583"/>
      <c r="I148" s="584">
        <v>1.4999999999999999E-2</v>
      </c>
      <c r="J148" s="585">
        <f t="shared" si="18"/>
        <v>37.5</v>
      </c>
      <c r="K148" s="586">
        <f t="shared" si="20"/>
        <v>62.5</v>
      </c>
    </row>
    <row r="149" spans="1:11" ht="19.899999999999999" customHeight="1">
      <c r="A149" s="578">
        <v>14</v>
      </c>
      <c r="B149" s="680" t="s">
        <v>115</v>
      </c>
      <c r="C149" s="681" t="s">
        <v>98</v>
      </c>
      <c r="D149" s="580">
        <f>'Bang gia'!K19</f>
        <v>18000</v>
      </c>
      <c r="E149" s="584"/>
      <c r="F149" s="580">
        <f t="shared" si="19"/>
        <v>0</v>
      </c>
      <c r="G149" s="582"/>
      <c r="H149" s="583"/>
      <c r="I149" s="584">
        <v>2E-3</v>
      </c>
      <c r="J149" s="585">
        <f t="shared" si="18"/>
        <v>36</v>
      </c>
      <c r="K149" s="586">
        <f t="shared" si="20"/>
        <v>36</v>
      </c>
    </row>
    <row r="150" spans="1:11" ht="19.899999999999999" customHeight="1">
      <c r="A150" s="578">
        <v>15</v>
      </c>
      <c r="B150" s="680" t="s">
        <v>116</v>
      </c>
      <c r="C150" s="681" t="s">
        <v>98</v>
      </c>
      <c r="D150" s="580">
        <f>'Bang gia'!K20</f>
        <v>15000</v>
      </c>
      <c r="E150" s="584"/>
      <c r="F150" s="580">
        <f t="shared" si="19"/>
        <v>0</v>
      </c>
      <c r="G150" s="582"/>
      <c r="H150" s="583"/>
      <c r="I150" s="584">
        <v>2E-3</v>
      </c>
      <c r="J150" s="585">
        <f t="shared" si="18"/>
        <v>30</v>
      </c>
      <c r="K150" s="586">
        <f t="shared" si="20"/>
        <v>30</v>
      </c>
    </row>
    <row r="151" spans="1:11" ht="19.899999999999999" customHeight="1">
      <c r="A151" s="686">
        <v>16</v>
      </c>
      <c r="B151" s="680" t="s">
        <v>121</v>
      </c>
      <c r="C151" s="687" t="s">
        <v>107</v>
      </c>
      <c r="D151" s="688">
        <f>'Bang gia'!K23</f>
        <v>1500</v>
      </c>
      <c r="E151" s="683"/>
      <c r="F151" s="580">
        <f t="shared" si="19"/>
        <v>0</v>
      </c>
      <c r="G151" s="684"/>
      <c r="H151" s="689"/>
      <c r="I151" s="683">
        <v>1</v>
      </c>
      <c r="J151" s="690">
        <f t="shared" si="18"/>
        <v>1500</v>
      </c>
      <c r="K151" s="691">
        <f t="shared" si="20"/>
        <v>1500</v>
      </c>
    </row>
    <row r="152" spans="1:11" ht="19.899999999999999" customHeight="1">
      <c r="A152" s="697"/>
      <c r="B152" s="698" t="s">
        <v>853</v>
      </c>
      <c r="C152" s="622"/>
      <c r="D152" s="622"/>
      <c r="E152" s="621"/>
      <c r="F152" s="591">
        <f>SUM(F136:F151)</f>
        <v>595</v>
      </c>
      <c r="G152" s="699"/>
      <c r="H152" s="700"/>
      <c r="I152" s="621"/>
      <c r="J152" s="591">
        <f>SUM(J136:J151)</f>
        <v>27493.5</v>
      </c>
      <c r="K152" s="591">
        <f>F152+H152+J152</f>
        <v>28088.5</v>
      </c>
    </row>
    <row r="153" spans="1:11" ht="19.899999999999999" customHeight="1">
      <c r="A153" s="697"/>
      <c r="B153" s="698" t="s">
        <v>854</v>
      </c>
      <c r="C153" s="622"/>
      <c r="D153" s="622"/>
      <c r="E153" s="621"/>
      <c r="F153" s="700">
        <f>F152*8%</f>
        <v>47.6</v>
      </c>
      <c r="G153" s="699"/>
      <c r="H153" s="700"/>
      <c r="I153" s="699"/>
      <c r="J153" s="700">
        <f>J152*8%</f>
        <v>2199.48</v>
      </c>
      <c r="K153" s="700">
        <f>K152*8%</f>
        <v>2247.08</v>
      </c>
    </row>
    <row r="154" spans="1:11" ht="19.899999999999999" customHeight="1">
      <c r="A154" s="702"/>
      <c r="B154" s="588" t="s">
        <v>295</v>
      </c>
      <c r="C154" s="702"/>
      <c r="D154" s="702"/>
      <c r="E154" s="703"/>
      <c r="F154" s="591">
        <f>F152+F153</f>
        <v>642.6</v>
      </c>
      <c r="G154" s="621"/>
      <c r="H154" s="591"/>
      <c r="I154" s="621"/>
      <c r="J154" s="591">
        <f>J152+J153</f>
        <v>29692.98</v>
      </c>
      <c r="K154" s="591">
        <f>K152+K153</f>
        <v>30335.58</v>
      </c>
    </row>
    <row r="155" spans="1:11" ht="11.25" customHeight="1">
      <c r="A155" s="673"/>
      <c r="B155" s="480"/>
      <c r="C155" s="670"/>
      <c r="D155" s="601"/>
      <c r="E155" s="671"/>
      <c r="F155" s="601"/>
      <c r="G155" s="671"/>
      <c r="H155" s="672"/>
      <c r="I155" s="674"/>
      <c r="J155" s="601"/>
      <c r="K155" s="494"/>
    </row>
    <row r="156" spans="1:11">
      <c r="A156" s="708"/>
      <c r="B156" s="599" t="s">
        <v>299</v>
      </c>
      <c r="C156" s="603"/>
      <c r="D156" s="601"/>
      <c r="E156" s="671"/>
      <c r="F156" s="601"/>
      <c r="G156" s="671"/>
      <c r="H156" s="672"/>
      <c r="I156" s="674"/>
      <c r="J156" s="601"/>
      <c r="K156" s="494"/>
    </row>
    <row r="157" spans="1:11">
      <c r="A157" s="606"/>
      <c r="B157" s="1268" t="s">
        <v>349</v>
      </c>
      <c r="C157" s="1268"/>
      <c r="D157" s="1268"/>
      <c r="E157" s="1268"/>
      <c r="F157" s="1268"/>
      <c r="G157" s="1268"/>
      <c r="H157" s="1268"/>
      <c r="I157" s="1268"/>
      <c r="J157" s="1268"/>
      <c r="K157" s="1268"/>
    </row>
    <row r="158" spans="1:11">
      <c r="A158" s="673"/>
      <c r="B158" s="605"/>
      <c r="C158" s="670"/>
      <c r="D158" s="601"/>
      <c r="E158" s="671"/>
      <c r="F158" s="601"/>
      <c r="G158" s="671"/>
      <c r="H158" s="672"/>
      <c r="I158" s="674"/>
      <c r="J158" s="601"/>
      <c r="K158" s="494"/>
    </row>
    <row r="159" spans="1:11" ht="19.5" customHeight="1">
      <c r="A159" s="673"/>
      <c r="B159" s="605"/>
      <c r="C159" s="670"/>
      <c r="D159" s="601"/>
      <c r="E159" s="671"/>
      <c r="F159" s="601"/>
      <c r="G159" s="671"/>
      <c r="H159" s="672"/>
      <c r="I159" s="674"/>
      <c r="J159" s="601"/>
      <c r="K159" s="494"/>
    </row>
    <row r="160" spans="1:11">
      <c r="A160" s="670"/>
      <c r="B160" s="480"/>
      <c r="C160" s="670"/>
      <c r="D160" s="601"/>
      <c r="E160" s="671"/>
      <c r="F160" s="601"/>
      <c r="G160" s="671"/>
      <c r="H160" s="672"/>
      <c r="I160" s="671"/>
      <c r="J160" s="601"/>
      <c r="K160" s="480"/>
    </row>
    <row r="161" spans="1:11" ht="27.6" customHeight="1">
      <c r="A161" s="1228" t="s">
        <v>399</v>
      </c>
      <c r="B161" s="1228"/>
      <c r="C161" s="1228"/>
      <c r="D161" s="1228"/>
      <c r="E161" s="1228"/>
      <c r="F161" s="1228"/>
      <c r="G161" s="1228"/>
      <c r="H161" s="1228"/>
      <c r="I161" s="1228"/>
      <c r="J161" s="1228"/>
      <c r="K161" s="1228"/>
    </row>
    <row r="162" spans="1:11" ht="9" customHeight="1">
      <c r="A162" s="712"/>
      <c r="B162" s="713"/>
      <c r="C162" s="714"/>
      <c r="D162" s="601"/>
      <c r="E162" s="671"/>
      <c r="F162" s="601"/>
      <c r="G162" s="671"/>
      <c r="H162" s="672"/>
      <c r="I162" s="674"/>
      <c r="J162" s="601"/>
      <c r="K162" s="494"/>
    </row>
    <row r="163" spans="1:11" ht="21.75" customHeight="1">
      <c r="A163" s="1245" t="s">
        <v>882</v>
      </c>
      <c r="B163" s="1245" t="s">
        <v>283</v>
      </c>
      <c r="C163" s="1245" t="s">
        <v>284</v>
      </c>
      <c r="D163" s="1245" t="s">
        <v>305</v>
      </c>
      <c r="E163" s="1254" t="s">
        <v>288</v>
      </c>
      <c r="F163" s="1255"/>
      <c r="G163" s="1255"/>
      <c r="H163" s="1255"/>
      <c r="I163" s="1255"/>
      <c r="J163" s="1256"/>
      <c r="K163" s="1245" t="s">
        <v>408</v>
      </c>
    </row>
    <row r="164" spans="1:11" ht="42" customHeight="1">
      <c r="A164" s="1246"/>
      <c r="B164" s="1246"/>
      <c r="C164" s="1246"/>
      <c r="D164" s="1246"/>
      <c r="E164" s="1254" t="s">
        <v>345</v>
      </c>
      <c r="F164" s="1256"/>
      <c r="G164" s="1254" t="s">
        <v>322</v>
      </c>
      <c r="H164" s="1256"/>
      <c r="I164" s="1254" t="s">
        <v>291</v>
      </c>
      <c r="J164" s="1256"/>
      <c r="K164" s="1246"/>
    </row>
    <row r="165" spans="1:11" ht="22.5" customHeight="1">
      <c r="A165" s="1247"/>
      <c r="B165" s="1247"/>
      <c r="C165" s="1247"/>
      <c r="D165" s="1247"/>
      <c r="E165" s="675" t="s">
        <v>848</v>
      </c>
      <c r="F165" s="468" t="s">
        <v>292</v>
      </c>
      <c r="G165" s="675" t="s">
        <v>848</v>
      </c>
      <c r="H165" s="468" t="s">
        <v>292</v>
      </c>
      <c r="I165" s="675" t="s">
        <v>848</v>
      </c>
      <c r="J165" s="468" t="s">
        <v>292</v>
      </c>
      <c r="K165" s="1247"/>
    </row>
    <row r="166" spans="1:11" ht="17.45" customHeight="1">
      <c r="A166" s="623">
        <v>1</v>
      </c>
      <c r="B166" s="676" t="s">
        <v>97</v>
      </c>
      <c r="C166" s="677" t="s">
        <v>98</v>
      </c>
      <c r="D166" s="580">
        <f>'Bang gia'!K6</f>
        <v>5000</v>
      </c>
      <c r="E166" s="626">
        <v>2E-3</v>
      </c>
      <c r="F166" s="625">
        <f>D166*E166</f>
        <v>10</v>
      </c>
      <c r="G166" s="626">
        <v>1.7000000000000001E-2</v>
      </c>
      <c r="H166" s="627">
        <f>D166*G166</f>
        <v>85</v>
      </c>
      <c r="I166" s="626">
        <v>2E-3</v>
      </c>
      <c r="J166" s="628">
        <f t="shared" ref="J166:J185" si="21">D166*I166</f>
        <v>10</v>
      </c>
      <c r="K166" s="627">
        <f>F166+H166+J166</f>
        <v>105</v>
      </c>
    </row>
    <row r="167" spans="1:11" ht="17.45" customHeight="1">
      <c r="A167" s="578">
        <v>2</v>
      </c>
      <c r="B167" s="678" t="s">
        <v>99</v>
      </c>
      <c r="C167" s="679" t="s">
        <v>100</v>
      </c>
      <c r="D167" s="580">
        <f>'Bang gia'!K7</f>
        <v>2000</v>
      </c>
      <c r="E167" s="584">
        <v>1E-3</v>
      </c>
      <c r="F167" s="580">
        <f>D167*E167</f>
        <v>2</v>
      </c>
      <c r="G167" s="582">
        <v>1.7000000000000001E-2</v>
      </c>
      <c r="H167" s="583">
        <f>D167*G167</f>
        <v>34</v>
      </c>
      <c r="I167" s="584">
        <v>1E-3</v>
      </c>
      <c r="J167" s="585">
        <f t="shared" si="21"/>
        <v>2</v>
      </c>
      <c r="K167" s="586">
        <f>F167+H167+J167</f>
        <v>38</v>
      </c>
    </row>
    <row r="168" spans="1:11" ht="17.45" customHeight="1">
      <c r="A168" s="578">
        <v>3</v>
      </c>
      <c r="B168" s="678" t="s">
        <v>101</v>
      </c>
      <c r="C168" s="679" t="s">
        <v>100</v>
      </c>
      <c r="D168" s="580">
        <f>'Bang gia'!K8</f>
        <v>2000</v>
      </c>
      <c r="E168" s="584">
        <v>1E-3</v>
      </c>
      <c r="F168" s="580">
        <f t="shared" ref="F168:F186" si="22">D168*E168</f>
        <v>2</v>
      </c>
      <c r="G168" s="582">
        <v>1.0999999999999999E-2</v>
      </c>
      <c r="H168" s="583">
        <f t="shared" ref="H168:H186" si="23">D168*G168</f>
        <v>22</v>
      </c>
      <c r="I168" s="584">
        <v>2E-3</v>
      </c>
      <c r="J168" s="585">
        <f t="shared" si="21"/>
        <v>4</v>
      </c>
      <c r="K168" s="586">
        <f t="shared" ref="K168:K186" si="24">F168+H168+J168</f>
        <v>28</v>
      </c>
    </row>
    <row r="169" spans="1:11" ht="17.45" customHeight="1">
      <c r="A169" s="578">
        <v>4</v>
      </c>
      <c r="B169" s="678" t="s">
        <v>102</v>
      </c>
      <c r="C169" s="679" t="s">
        <v>100</v>
      </c>
      <c r="D169" s="580">
        <f>'Bang gia'!K9</f>
        <v>1450000</v>
      </c>
      <c r="E169" s="584">
        <v>1E-3</v>
      </c>
      <c r="F169" s="580">
        <f t="shared" si="22"/>
        <v>1450</v>
      </c>
      <c r="G169" s="582">
        <v>2E-3</v>
      </c>
      <c r="H169" s="583">
        <f t="shared" si="23"/>
        <v>2900</v>
      </c>
      <c r="I169" s="584">
        <v>1E-3</v>
      </c>
      <c r="J169" s="585">
        <f t="shared" si="21"/>
        <v>1450</v>
      </c>
      <c r="K169" s="586">
        <f t="shared" si="24"/>
        <v>5800</v>
      </c>
    </row>
    <row r="170" spans="1:11" ht="17.45" customHeight="1">
      <c r="A170" s="578">
        <v>5</v>
      </c>
      <c r="B170" s="678" t="s">
        <v>103</v>
      </c>
      <c r="C170" s="679" t="s">
        <v>100</v>
      </c>
      <c r="D170" s="580">
        <f>'Bang gia'!K10</f>
        <v>300000</v>
      </c>
      <c r="E170" s="584">
        <v>1E-3</v>
      </c>
      <c r="F170" s="580">
        <f t="shared" si="22"/>
        <v>300</v>
      </c>
      <c r="G170" s="582">
        <v>2E-3</v>
      </c>
      <c r="H170" s="583">
        <f t="shared" si="23"/>
        <v>600</v>
      </c>
      <c r="I170" s="584">
        <v>3.0000000000000001E-3</v>
      </c>
      <c r="J170" s="585">
        <f t="shared" si="21"/>
        <v>900</v>
      </c>
      <c r="K170" s="586">
        <f t="shared" si="24"/>
        <v>1800</v>
      </c>
    </row>
    <row r="171" spans="1:11" ht="17.45" customHeight="1">
      <c r="A171" s="578">
        <v>6</v>
      </c>
      <c r="B171" s="678" t="s">
        <v>105</v>
      </c>
      <c r="C171" s="679" t="s">
        <v>100</v>
      </c>
      <c r="D171" s="580">
        <f>'Bang gia'!K11</f>
        <v>3350000</v>
      </c>
      <c r="E171" s="584"/>
      <c r="F171" s="580">
        <f t="shared" si="22"/>
        <v>0</v>
      </c>
      <c r="G171" s="582">
        <v>3.0000000000000001E-3</v>
      </c>
      <c r="H171" s="583">
        <f t="shared" si="23"/>
        <v>10050</v>
      </c>
      <c r="I171" s="584">
        <v>1E-3</v>
      </c>
      <c r="J171" s="585">
        <f t="shared" si="21"/>
        <v>3350</v>
      </c>
      <c r="K171" s="586">
        <f t="shared" si="24"/>
        <v>13400</v>
      </c>
    </row>
    <row r="172" spans="1:11" ht="17.45" customHeight="1">
      <c r="A172" s="578">
        <v>7</v>
      </c>
      <c r="B172" s="678" t="s">
        <v>106</v>
      </c>
      <c r="C172" s="679" t="s">
        <v>107</v>
      </c>
      <c r="D172" s="580">
        <f>'Bang gia'!K12</f>
        <v>300</v>
      </c>
      <c r="E172" s="584"/>
      <c r="F172" s="580">
        <f t="shared" si="22"/>
        <v>0</v>
      </c>
      <c r="G172" s="582">
        <v>1</v>
      </c>
      <c r="H172" s="583">
        <f t="shared" si="23"/>
        <v>300</v>
      </c>
      <c r="I172" s="584"/>
      <c r="J172" s="580">
        <f t="shared" si="21"/>
        <v>0</v>
      </c>
      <c r="K172" s="586">
        <f t="shared" si="24"/>
        <v>300</v>
      </c>
    </row>
    <row r="173" spans="1:11" ht="17.45" customHeight="1">
      <c r="A173" s="578">
        <v>8</v>
      </c>
      <c r="B173" s="678" t="s">
        <v>320</v>
      </c>
      <c r="C173" s="679" t="s">
        <v>108</v>
      </c>
      <c r="D173" s="580">
        <f>'Bang gia'!K13</f>
        <v>7000</v>
      </c>
      <c r="E173" s="584"/>
      <c r="F173" s="580">
        <f t="shared" si="22"/>
        <v>0</v>
      </c>
      <c r="G173" s="582">
        <v>1</v>
      </c>
      <c r="H173" s="583">
        <f t="shared" si="23"/>
        <v>7000</v>
      </c>
      <c r="I173" s="584"/>
      <c r="J173" s="580">
        <f t="shared" si="21"/>
        <v>0</v>
      </c>
      <c r="K173" s="586">
        <f t="shared" si="24"/>
        <v>7000</v>
      </c>
    </row>
    <row r="174" spans="1:11" ht="17.45" customHeight="1">
      <c r="A174" s="578">
        <v>9</v>
      </c>
      <c r="B174" s="678" t="s">
        <v>323</v>
      </c>
      <c r="C174" s="679" t="s">
        <v>107</v>
      </c>
      <c r="D174" s="580">
        <f>'Bang gia'!K14</f>
        <v>300</v>
      </c>
      <c r="E174" s="584">
        <v>1</v>
      </c>
      <c r="F174" s="580">
        <f t="shared" si="22"/>
        <v>300</v>
      </c>
      <c r="G174" s="582"/>
      <c r="H174" s="583">
        <f t="shared" si="23"/>
        <v>0</v>
      </c>
      <c r="I174" s="584"/>
      <c r="J174" s="580">
        <f t="shared" si="21"/>
        <v>0</v>
      </c>
      <c r="K174" s="586">
        <f t="shared" si="24"/>
        <v>300</v>
      </c>
    </row>
    <row r="175" spans="1:11" ht="17.45" customHeight="1">
      <c r="A175" s="578">
        <v>10</v>
      </c>
      <c r="B175" s="678" t="s">
        <v>109</v>
      </c>
      <c r="C175" s="679" t="s">
        <v>110</v>
      </c>
      <c r="D175" s="580">
        <f>'Bang gia'!K15</f>
        <v>45000</v>
      </c>
      <c r="E175" s="584">
        <v>2E-3</v>
      </c>
      <c r="F175" s="580">
        <f t="shared" si="22"/>
        <v>90</v>
      </c>
      <c r="G175" s="582">
        <v>8.9999999999999993E-3</v>
      </c>
      <c r="H175" s="583">
        <f t="shared" si="23"/>
        <v>404.99999999999994</v>
      </c>
      <c r="I175" s="584">
        <v>2E-3</v>
      </c>
      <c r="J175" s="585">
        <f t="shared" si="21"/>
        <v>90</v>
      </c>
      <c r="K175" s="586">
        <f t="shared" si="24"/>
        <v>585</v>
      </c>
    </row>
    <row r="176" spans="1:11" ht="17.45" customHeight="1">
      <c r="A176" s="578">
        <v>11</v>
      </c>
      <c r="B176" s="678" t="s">
        <v>111</v>
      </c>
      <c r="C176" s="679" t="s">
        <v>110</v>
      </c>
      <c r="D176" s="580">
        <f>'Bang gia'!K16</f>
        <v>90000</v>
      </c>
      <c r="E176" s="584"/>
      <c r="F176" s="580">
        <f t="shared" si="22"/>
        <v>0</v>
      </c>
      <c r="G176" s="582">
        <v>1E-3</v>
      </c>
      <c r="H176" s="583">
        <f t="shared" si="23"/>
        <v>90</v>
      </c>
      <c r="I176" s="584">
        <v>0.01</v>
      </c>
      <c r="J176" s="585">
        <f t="shared" si="21"/>
        <v>900</v>
      </c>
      <c r="K176" s="586">
        <f t="shared" si="24"/>
        <v>990</v>
      </c>
    </row>
    <row r="177" spans="1:11" ht="17.45" customHeight="1">
      <c r="A177" s="578">
        <v>12</v>
      </c>
      <c r="B177" s="678" t="s">
        <v>112</v>
      </c>
      <c r="C177" s="679" t="s">
        <v>113</v>
      </c>
      <c r="D177" s="580">
        <f>'Bang gia'!K17</f>
        <v>25000</v>
      </c>
      <c r="E177" s="584">
        <v>4.0000000000000001E-3</v>
      </c>
      <c r="F177" s="580">
        <f t="shared" si="22"/>
        <v>100</v>
      </c>
      <c r="G177" s="582">
        <v>8.9999999999999993E-3</v>
      </c>
      <c r="H177" s="583">
        <f t="shared" si="23"/>
        <v>224.99999999999997</v>
      </c>
      <c r="I177" s="584">
        <v>2E-3</v>
      </c>
      <c r="J177" s="585">
        <f t="shared" si="21"/>
        <v>50</v>
      </c>
      <c r="K177" s="586">
        <f t="shared" si="24"/>
        <v>375</v>
      </c>
    </row>
    <row r="178" spans="1:11" ht="17.45" customHeight="1">
      <c r="A178" s="578">
        <v>13</v>
      </c>
      <c r="B178" s="680" t="s">
        <v>114</v>
      </c>
      <c r="C178" s="681" t="s">
        <v>850</v>
      </c>
      <c r="D178" s="580">
        <f>'Bang gia'!K18</f>
        <v>2500</v>
      </c>
      <c r="E178" s="584">
        <v>1.9E-2</v>
      </c>
      <c r="F178" s="580">
        <f t="shared" si="22"/>
        <v>47.5</v>
      </c>
      <c r="G178" s="582">
        <v>1.0999999999999999E-2</v>
      </c>
      <c r="H178" s="583">
        <f t="shared" si="23"/>
        <v>27.5</v>
      </c>
      <c r="I178" s="584">
        <v>4.0000000000000001E-3</v>
      </c>
      <c r="J178" s="585">
        <f t="shared" si="21"/>
        <v>10</v>
      </c>
      <c r="K178" s="586">
        <f t="shared" si="24"/>
        <v>85</v>
      </c>
    </row>
    <row r="179" spans="1:11" ht="17.45" customHeight="1">
      <c r="A179" s="578">
        <v>14</v>
      </c>
      <c r="B179" s="680" t="s">
        <v>115</v>
      </c>
      <c r="C179" s="681" t="s">
        <v>98</v>
      </c>
      <c r="D179" s="580">
        <f>'Bang gia'!K19</f>
        <v>18000</v>
      </c>
      <c r="E179" s="584">
        <v>2E-3</v>
      </c>
      <c r="F179" s="580">
        <f t="shared" si="22"/>
        <v>36</v>
      </c>
      <c r="G179" s="582">
        <v>6.0000000000000001E-3</v>
      </c>
      <c r="H179" s="583">
        <f t="shared" si="23"/>
        <v>108</v>
      </c>
      <c r="I179" s="584">
        <v>1E-3</v>
      </c>
      <c r="J179" s="585">
        <f t="shared" si="21"/>
        <v>18</v>
      </c>
      <c r="K179" s="586">
        <f t="shared" si="24"/>
        <v>162</v>
      </c>
    </row>
    <row r="180" spans="1:11" ht="17.45" customHeight="1">
      <c r="A180" s="578">
        <v>15</v>
      </c>
      <c r="B180" s="680" t="s">
        <v>116</v>
      </c>
      <c r="C180" s="681" t="s">
        <v>98</v>
      </c>
      <c r="D180" s="580">
        <f>'Bang gia'!K20</f>
        <v>15000</v>
      </c>
      <c r="E180" s="584">
        <v>2E-3</v>
      </c>
      <c r="F180" s="580">
        <f t="shared" si="22"/>
        <v>30</v>
      </c>
      <c r="G180" s="582">
        <v>6.0000000000000001E-3</v>
      </c>
      <c r="H180" s="583">
        <f t="shared" si="23"/>
        <v>90</v>
      </c>
      <c r="I180" s="584">
        <v>1E-3</v>
      </c>
      <c r="J180" s="585">
        <f t="shared" si="21"/>
        <v>15</v>
      </c>
      <c r="K180" s="586">
        <f t="shared" si="24"/>
        <v>135</v>
      </c>
    </row>
    <row r="181" spans="1:11" ht="17.45" customHeight="1">
      <c r="A181" s="686">
        <v>16</v>
      </c>
      <c r="B181" s="680" t="s">
        <v>324</v>
      </c>
      <c r="C181" s="716" t="s">
        <v>325</v>
      </c>
      <c r="D181" s="688">
        <f>'Bang gia'!K21</f>
        <v>1000</v>
      </c>
      <c r="E181" s="683"/>
      <c r="F181" s="580">
        <f t="shared" si="22"/>
        <v>0</v>
      </c>
      <c r="G181" s="684"/>
      <c r="H181" s="580">
        <f t="shared" si="23"/>
        <v>0</v>
      </c>
      <c r="I181" s="683">
        <v>2.4E-2</v>
      </c>
      <c r="J181" s="690">
        <f t="shared" si="21"/>
        <v>24</v>
      </c>
      <c r="K181" s="691">
        <f t="shared" si="24"/>
        <v>24</v>
      </c>
    </row>
    <row r="182" spans="1:11" ht="17.45" customHeight="1">
      <c r="A182" s="686">
        <v>17</v>
      </c>
      <c r="B182" s="680" t="s">
        <v>711</v>
      </c>
      <c r="C182" s="716" t="s">
        <v>330</v>
      </c>
      <c r="D182" s="688">
        <f>'Bang gia'!K27</f>
        <v>10000</v>
      </c>
      <c r="E182" s="683"/>
      <c r="F182" s="580">
        <f t="shared" si="22"/>
        <v>0</v>
      </c>
      <c r="G182" s="684">
        <v>2E-3</v>
      </c>
      <c r="H182" s="583">
        <f t="shared" si="23"/>
        <v>20</v>
      </c>
      <c r="I182" s="683">
        <v>4.0000000000000001E-3</v>
      </c>
      <c r="J182" s="580">
        <f t="shared" si="21"/>
        <v>40</v>
      </c>
      <c r="K182" s="691">
        <f t="shared" si="24"/>
        <v>60</v>
      </c>
    </row>
    <row r="183" spans="1:11" ht="17.45" customHeight="1">
      <c r="A183" s="686">
        <v>18</v>
      </c>
      <c r="B183" s="680" t="s">
        <v>326</v>
      </c>
      <c r="C183" s="716" t="s">
        <v>385</v>
      </c>
      <c r="D183" s="688">
        <f>'Bang gia'!K28</f>
        <v>3000</v>
      </c>
      <c r="E183" s="683">
        <v>1</v>
      </c>
      <c r="F183" s="580">
        <f t="shared" si="22"/>
        <v>3000</v>
      </c>
      <c r="G183" s="684"/>
      <c r="H183" s="580">
        <f t="shared" si="23"/>
        <v>0</v>
      </c>
      <c r="I183" s="683"/>
      <c r="J183" s="580">
        <f t="shared" si="21"/>
        <v>0</v>
      </c>
      <c r="K183" s="691">
        <f t="shared" si="24"/>
        <v>3000</v>
      </c>
    </row>
    <row r="184" spans="1:11" ht="17.45" customHeight="1">
      <c r="A184" s="686">
        <v>19</v>
      </c>
      <c r="B184" s="680" t="s">
        <v>327</v>
      </c>
      <c r="C184" s="716" t="s">
        <v>717</v>
      </c>
      <c r="D184" s="688">
        <f>'Bang gia'!K24</f>
        <v>2400000</v>
      </c>
      <c r="E184" s="683"/>
      <c r="F184" s="580">
        <f t="shared" si="22"/>
        <v>0</v>
      </c>
      <c r="G184" s="684"/>
      <c r="H184" s="580">
        <f t="shared" si="23"/>
        <v>0</v>
      </c>
      <c r="I184" s="683">
        <v>1E-3</v>
      </c>
      <c r="J184" s="580">
        <f t="shared" si="21"/>
        <v>2400</v>
      </c>
      <c r="K184" s="691">
        <f t="shared" si="24"/>
        <v>2400</v>
      </c>
    </row>
    <row r="185" spans="1:11" ht="17.45" customHeight="1">
      <c r="A185" s="686">
        <v>20</v>
      </c>
      <c r="B185" s="680" t="s">
        <v>328</v>
      </c>
      <c r="C185" s="716" t="s">
        <v>760</v>
      </c>
      <c r="D185" s="688">
        <f>'Bang gia'!K25</f>
        <v>4500</v>
      </c>
      <c r="E185" s="683">
        <v>2.3E-2</v>
      </c>
      <c r="F185" s="580">
        <f t="shared" si="22"/>
        <v>103.5</v>
      </c>
      <c r="G185" s="684">
        <v>1E-3</v>
      </c>
      <c r="H185" s="580">
        <f t="shared" si="23"/>
        <v>4.5</v>
      </c>
      <c r="I185" s="683">
        <v>6.8000000000000005E-2</v>
      </c>
      <c r="J185" s="580">
        <f t="shared" si="21"/>
        <v>306</v>
      </c>
      <c r="K185" s="691">
        <f t="shared" si="24"/>
        <v>414</v>
      </c>
    </row>
    <row r="186" spans="1:11" ht="17.45" customHeight="1">
      <c r="A186" s="686">
        <v>21</v>
      </c>
      <c r="B186" s="680" t="s">
        <v>329</v>
      </c>
      <c r="C186" s="687" t="s">
        <v>717</v>
      </c>
      <c r="D186" s="688">
        <f>'Bang gia'!K29</f>
        <v>1250000</v>
      </c>
      <c r="E186" s="683">
        <v>1E-3</v>
      </c>
      <c r="F186" s="580">
        <f t="shared" si="22"/>
        <v>1250</v>
      </c>
      <c r="G186" s="685"/>
      <c r="H186" s="580">
        <f t="shared" si="23"/>
        <v>0</v>
      </c>
      <c r="I186" s="683"/>
      <c r="J186" s="580"/>
      <c r="K186" s="691">
        <f t="shared" si="24"/>
        <v>1250</v>
      </c>
    </row>
    <row r="187" spans="1:11" ht="17.45" customHeight="1">
      <c r="A187" s="697"/>
      <c r="B187" s="698" t="s">
        <v>853</v>
      </c>
      <c r="C187" s="622"/>
      <c r="D187" s="622"/>
      <c r="E187" s="621"/>
      <c r="F187" s="622">
        <f>SUM(F166:F186)</f>
        <v>6721</v>
      </c>
      <c r="G187" s="699"/>
      <c r="H187" s="700">
        <f>SUM(H166:H186)</f>
        <v>21961</v>
      </c>
      <c r="I187" s="621"/>
      <c r="J187" s="591">
        <f>SUM(J166:J186)</f>
        <v>9569</v>
      </c>
      <c r="K187" s="591">
        <f>SUM(K166:K186)</f>
        <v>38251</v>
      </c>
    </row>
    <row r="188" spans="1:11" ht="17.45" customHeight="1">
      <c r="A188" s="697"/>
      <c r="B188" s="698" t="s">
        <v>854</v>
      </c>
      <c r="C188" s="622"/>
      <c r="D188" s="622"/>
      <c r="E188" s="621"/>
      <c r="F188" s="622">
        <f>F187*8%</f>
        <v>537.68000000000006</v>
      </c>
      <c r="G188" s="701"/>
      <c r="H188" s="700">
        <f>H187*8%</f>
        <v>1756.88</v>
      </c>
      <c r="I188" s="699"/>
      <c r="J188" s="700">
        <f>J187*8%</f>
        <v>765.52</v>
      </c>
      <c r="K188" s="700">
        <f>K187*8%</f>
        <v>3060.08</v>
      </c>
    </row>
    <row r="189" spans="1:11" ht="17.45" customHeight="1">
      <c r="A189" s="702"/>
      <c r="B189" s="588" t="s">
        <v>295</v>
      </c>
      <c r="C189" s="702"/>
      <c r="D189" s="702"/>
      <c r="E189" s="703"/>
      <c r="F189" s="589">
        <f>F187+F188</f>
        <v>7258.68</v>
      </c>
      <c r="G189" s="621"/>
      <c r="H189" s="700">
        <f>H187+H188</f>
        <v>23717.88</v>
      </c>
      <c r="I189" s="699"/>
      <c r="J189" s="700">
        <f>J187+J188</f>
        <v>10334.52</v>
      </c>
      <c r="K189" s="700">
        <f>K187+K188</f>
        <v>41311.08</v>
      </c>
    </row>
    <row r="190" spans="1:11" ht="17.45" customHeight="1">
      <c r="A190" s="708"/>
      <c r="B190" s="599" t="s">
        <v>299</v>
      </c>
      <c r="C190" s="603"/>
      <c r="D190" s="601"/>
      <c r="E190" s="671"/>
      <c r="F190" s="601"/>
      <c r="G190" s="671"/>
      <c r="H190" s="672"/>
      <c r="I190" s="674"/>
      <c r="J190" s="601"/>
      <c r="K190" s="494"/>
    </row>
    <row r="191" spans="1:11" ht="17.45" customHeight="1">
      <c r="A191" s="606"/>
      <c r="B191" s="1268" t="s">
        <v>350</v>
      </c>
      <c r="C191" s="1268"/>
      <c r="D191" s="1268"/>
      <c r="E191" s="1268"/>
      <c r="F191" s="1268"/>
      <c r="G191" s="1268"/>
      <c r="H191" s="1268"/>
      <c r="I191" s="1268"/>
      <c r="J191" s="1268"/>
      <c r="K191" s="1268"/>
    </row>
    <row r="192" spans="1:11" ht="17.45" customHeight="1">
      <c r="A192" s="606"/>
      <c r="B192" s="605" t="s">
        <v>351</v>
      </c>
      <c r="C192" s="605"/>
      <c r="D192" s="605"/>
      <c r="E192" s="605"/>
      <c r="F192" s="605"/>
      <c r="G192" s="605"/>
      <c r="H192" s="605"/>
      <c r="I192" s="605"/>
      <c r="J192" s="605"/>
      <c r="K192" s="605"/>
    </row>
    <row r="193" spans="1:11" ht="26.45" customHeight="1">
      <c r="A193" s="606"/>
      <c r="B193" s="1260" t="s">
        <v>816</v>
      </c>
      <c r="C193" s="1260"/>
      <c r="D193" s="1260"/>
      <c r="E193" s="1260"/>
      <c r="F193" s="1260"/>
      <c r="G193" s="1260"/>
      <c r="H193" s="1260"/>
      <c r="I193" s="1260"/>
      <c r="J193" s="1260"/>
      <c r="K193" s="1260"/>
    </row>
    <row r="194" spans="1:11">
      <c r="A194" s="673"/>
      <c r="B194" s="605"/>
      <c r="C194" s="670"/>
      <c r="D194" s="601"/>
      <c r="E194" s="671"/>
      <c r="F194" s="601"/>
      <c r="G194" s="671"/>
      <c r="H194" s="672"/>
      <c r="I194" s="674"/>
      <c r="J194" s="601"/>
      <c r="K194" s="494"/>
    </row>
    <row r="195" spans="1:11" ht="27" customHeight="1">
      <c r="A195" s="1264" t="s">
        <v>400</v>
      </c>
      <c r="B195" s="1264"/>
      <c r="C195" s="1264"/>
      <c r="D195" s="1264"/>
      <c r="E195" s="1264"/>
      <c r="F195" s="1264"/>
      <c r="G195" s="1264"/>
      <c r="H195" s="1264"/>
      <c r="I195" s="1264"/>
      <c r="J195" s="1264"/>
      <c r="K195" s="1264"/>
    </row>
    <row r="196" spans="1:11" ht="12" customHeight="1">
      <c r="A196" s="673"/>
      <c r="B196" s="480"/>
      <c r="C196" s="670"/>
      <c r="D196" s="601"/>
      <c r="E196" s="671"/>
      <c r="F196" s="601"/>
      <c r="G196" s="671"/>
      <c r="H196" s="672"/>
      <c r="I196" s="674"/>
      <c r="J196" s="601"/>
      <c r="K196" s="494"/>
    </row>
    <row r="197" spans="1:11" ht="19.5" customHeight="1">
      <c r="A197" s="1245" t="s">
        <v>882</v>
      </c>
      <c r="B197" s="1245" t="s">
        <v>283</v>
      </c>
      <c r="C197" s="1245" t="s">
        <v>284</v>
      </c>
      <c r="D197" s="1245" t="s">
        <v>305</v>
      </c>
      <c r="E197" s="1254" t="s">
        <v>288</v>
      </c>
      <c r="F197" s="1255"/>
      <c r="G197" s="1255"/>
      <c r="H197" s="1255"/>
      <c r="I197" s="1255"/>
      <c r="J197" s="1256"/>
      <c r="K197" s="1245" t="s">
        <v>613</v>
      </c>
    </row>
    <row r="198" spans="1:11" ht="35.450000000000003" customHeight="1">
      <c r="A198" s="1246"/>
      <c r="B198" s="1246"/>
      <c r="C198" s="1246"/>
      <c r="D198" s="1246"/>
      <c r="E198" s="1254" t="s">
        <v>289</v>
      </c>
      <c r="F198" s="1256"/>
      <c r="G198" s="1254" t="s">
        <v>847</v>
      </c>
      <c r="H198" s="1256"/>
      <c r="I198" s="1254" t="s">
        <v>291</v>
      </c>
      <c r="J198" s="1256"/>
      <c r="K198" s="1246"/>
    </row>
    <row r="199" spans="1:11" ht="19.5" customHeight="1">
      <c r="A199" s="1247"/>
      <c r="B199" s="1247"/>
      <c r="C199" s="1247"/>
      <c r="D199" s="1247"/>
      <c r="E199" s="717" t="s">
        <v>848</v>
      </c>
      <c r="F199" s="569" t="s">
        <v>56</v>
      </c>
      <c r="G199" s="717" t="s">
        <v>848</v>
      </c>
      <c r="H199" s="569" t="s">
        <v>56</v>
      </c>
      <c r="I199" s="717" t="s">
        <v>848</v>
      </c>
      <c r="J199" s="569" t="s">
        <v>56</v>
      </c>
      <c r="K199" s="1247"/>
    </row>
    <row r="200" spans="1:11" ht="18" customHeight="1">
      <c r="A200" s="623">
        <v>1</v>
      </c>
      <c r="B200" s="676" t="s">
        <v>97</v>
      </c>
      <c r="C200" s="677" t="s">
        <v>98</v>
      </c>
      <c r="D200" s="580">
        <f>'Bang gia'!K6</f>
        <v>5000</v>
      </c>
      <c r="E200" s="626"/>
      <c r="F200" s="625"/>
      <c r="G200" s="626">
        <v>0.02</v>
      </c>
      <c r="H200" s="627">
        <f>D200*G200</f>
        <v>100</v>
      </c>
      <c r="I200" s="626">
        <v>2E-3</v>
      </c>
      <c r="J200" s="628">
        <f>I200*D200</f>
        <v>10</v>
      </c>
      <c r="K200" s="627">
        <f>F200+H200+J200</f>
        <v>110</v>
      </c>
    </row>
    <row r="201" spans="1:11" ht="18" customHeight="1">
      <c r="A201" s="578">
        <v>2</v>
      </c>
      <c r="B201" s="678" t="s">
        <v>99</v>
      </c>
      <c r="C201" s="679" t="s">
        <v>100</v>
      </c>
      <c r="D201" s="580">
        <f>'Bang gia'!K7</f>
        <v>2000</v>
      </c>
      <c r="E201" s="584"/>
      <c r="F201" s="580"/>
      <c r="G201" s="582">
        <v>8.0000000000000002E-3</v>
      </c>
      <c r="H201" s="583">
        <f>D201*G201</f>
        <v>16</v>
      </c>
      <c r="I201" s="584">
        <v>1E-3</v>
      </c>
      <c r="J201" s="585">
        <f>I201*D201</f>
        <v>2</v>
      </c>
      <c r="K201" s="586">
        <f>F201+H201+J201</f>
        <v>18</v>
      </c>
    </row>
    <row r="202" spans="1:11" ht="18" customHeight="1">
      <c r="A202" s="578">
        <v>3</v>
      </c>
      <c r="B202" s="678" t="s">
        <v>101</v>
      </c>
      <c r="C202" s="679" t="s">
        <v>100</v>
      </c>
      <c r="D202" s="580">
        <f>'Bang gia'!K8</f>
        <v>2000</v>
      </c>
      <c r="E202" s="584"/>
      <c r="F202" s="580"/>
      <c r="G202" s="582">
        <v>1.2999999999999999E-2</v>
      </c>
      <c r="H202" s="583">
        <f t="shared" ref="H202:H220" si="25">D202*G202</f>
        <v>26</v>
      </c>
      <c r="I202" s="584">
        <v>2E-3</v>
      </c>
      <c r="J202" s="585">
        <f t="shared" ref="J202:J219" si="26">I202*D202</f>
        <v>4</v>
      </c>
      <c r="K202" s="586">
        <f t="shared" ref="K202:K220" si="27">F202+H202+J202</f>
        <v>30</v>
      </c>
    </row>
    <row r="203" spans="1:11" ht="18" customHeight="1">
      <c r="A203" s="578">
        <v>4</v>
      </c>
      <c r="B203" s="678" t="s">
        <v>102</v>
      </c>
      <c r="C203" s="679" t="s">
        <v>100</v>
      </c>
      <c r="D203" s="580">
        <f>'Bang gia'!K9</f>
        <v>1450000</v>
      </c>
      <c r="E203" s="584"/>
      <c r="F203" s="580"/>
      <c r="G203" s="582">
        <v>2E-3</v>
      </c>
      <c r="H203" s="583">
        <f t="shared" si="25"/>
        <v>2900</v>
      </c>
      <c r="I203" s="584">
        <v>1E-3</v>
      </c>
      <c r="J203" s="585">
        <f t="shared" si="26"/>
        <v>1450</v>
      </c>
      <c r="K203" s="586">
        <f t="shared" si="27"/>
        <v>4350</v>
      </c>
    </row>
    <row r="204" spans="1:11" ht="18" customHeight="1">
      <c r="A204" s="578">
        <v>5</v>
      </c>
      <c r="B204" s="678" t="s">
        <v>103</v>
      </c>
      <c r="C204" s="679" t="s">
        <v>100</v>
      </c>
      <c r="D204" s="580">
        <f>'Bang gia'!K10</f>
        <v>300000</v>
      </c>
      <c r="E204" s="584"/>
      <c r="F204" s="580"/>
      <c r="G204" s="582">
        <v>2E-3</v>
      </c>
      <c r="H204" s="583">
        <f t="shared" si="25"/>
        <v>600</v>
      </c>
      <c r="I204" s="584">
        <v>4.0000000000000001E-3</v>
      </c>
      <c r="J204" s="585">
        <f t="shared" si="26"/>
        <v>1200</v>
      </c>
      <c r="K204" s="586">
        <f t="shared" si="27"/>
        <v>1800</v>
      </c>
    </row>
    <row r="205" spans="1:11" ht="18" customHeight="1">
      <c r="A205" s="578">
        <v>6</v>
      </c>
      <c r="B205" s="678" t="s">
        <v>105</v>
      </c>
      <c r="C205" s="679" t="s">
        <v>100</v>
      </c>
      <c r="D205" s="580">
        <f>'Bang gia'!K11</f>
        <v>3350000</v>
      </c>
      <c r="E205" s="584"/>
      <c r="F205" s="580"/>
      <c r="G205" s="582">
        <v>2E-3</v>
      </c>
      <c r="H205" s="583">
        <f t="shared" si="25"/>
        <v>6700</v>
      </c>
      <c r="I205" s="584">
        <v>1E-3</v>
      </c>
      <c r="J205" s="585">
        <f t="shared" si="26"/>
        <v>3350</v>
      </c>
      <c r="K205" s="586">
        <f t="shared" si="27"/>
        <v>10050</v>
      </c>
    </row>
    <row r="206" spans="1:11" ht="18" customHeight="1">
      <c r="A206" s="578">
        <v>7</v>
      </c>
      <c r="B206" s="678" t="s">
        <v>106</v>
      </c>
      <c r="C206" s="679" t="s">
        <v>107</v>
      </c>
      <c r="D206" s="580">
        <f>'Bang gia'!K12</f>
        <v>300</v>
      </c>
      <c r="E206" s="584"/>
      <c r="F206" s="580"/>
      <c r="G206" s="582">
        <v>1</v>
      </c>
      <c r="H206" s="583">
        <f t="shared" si="25"/>
        <v>300</v>
      </c>
      <c r="I206" s="584"/>
      <c r="J206" s="580">
        <f t="shared" si="26"/>
        <v>0</v>
      </c>
      <c r="K206" s="586">
        <f t="shared" si="27"/>
        <v>300</v>
      </c>
    </row>
    <row r="207" spans="1:11" ht="18" customHeight="1">
      <c r="A207" s="578">
        <v>8</v>
      </c>
      <c r="B207" s="678" t="s">
        <v>320</v>
      </c>
      <c r="C207" s="679" t="s">
        <v>108</v>
      </c>
      <c r="D207" s="580">
        <f>'Bang gia'!K13</f>
        <v>7000</v>
      </c>
      <c r="E207" s="584"/>
      <c r="F207" s="580"/>
      <c r="G207" s="582">
        <v>1</v>
      </c>
      <c r="H207" s="583">
        <f t="shared" si="25"/>
        <v>7000</v>
      </c>
      <c r="I207" s="584"/>
      <c r="J207" s="580">
        <f t="shared" si="26"/>
        <v>0</v>
      </c>
      <c r="K207" s="586">
        <f t="shared" si="27"/>
        <v>7000</v>
      </c>
    </row>
    <row r="208" spans="1:11" ht="18" customHeight="1">
      <c r="A208" s="578">
        <v>9</v>
      </c>
      <c r="B208" s="678" t="s">
        <v>323</v>
      </c>
      <c r="C208" s="679" t="s">
        <v>107</v>
      </c>
      <c r="D208" s="580">
        <f>'Bang gia'!K14</f>
        <v>300</v>
      </c>
      <c r="E208" s="584"/>
      <c r="F208" s="580"/>
      <c r="G208" s="582">
        <v>1</v>
      </c>
      <c r="H208" s="583">
        <f t="shared" si="25"/>
        <v>300</v>
      </c>
      <c r="I208" s="584"/>
      <c r="J208" s="580">
        <f t="shared" si="26"/>
        <v>0</v>
      </c>
      <c r="K208" s="586">
        <f t="shared" si="27"/>
        <v>300</v>
      </c>
    </row>
    <row r="209" spans="1:15" ht="18" customHeight="1">
      <c r="A209" s="578">
        <v>10</v>
      </c>
      <c r="B209" s="678" t="s">
        <v>109</v>
      </c>
      <c r="C209" s="679" t="s">
        <v>110</v>
      </c>
      <c r="D209" s="580">
        <f>'Bang gia'!K15</f>
        <v>45000</v>
      </c>
      <c r="E209" s="584"/>
      <c r="F209" s="580"/>
      <c r="G209" s="582">
        <v>8.0000000000000002E-3</v>
      </c>
      <c r="H209" s="583">
        <f t="shared" si="25"/>
        <v>360</v>
      </c>
      <c r="I209" s="584">
        <v>2E-3</v>
      </c>
      <c r="J209" s="585">
        <f t="shared" si="26"/>
        <v>90</v>
      </c>
      <c r="K209" s="586">
        <f t="shared" si="27"/>
        <v>450</v>
      </c>
    </row>
    <row r="210" spans="1:15" ht="18" customHeight="1">
      <c r="A210" s="578">
        <v>11</v>
      </c>
      <c r="B210" s="678" t="s">
        <v>111</v>
      </c>
      <c r="C210" s="679" t="s">
        <v>110</v>
      </c>
      <c r="D210" s="580">
        <f>'Bang gia'!K16</f>
        <v>90000</v>
      </c>
      <c r="E210" s="584"/>
      <c r="F210" s="580"/>
      <c r="G210" s="582">
        <v>1E-3</v>
      </c>
      <c r="H210" s="583">
        <f t="shared" si="25"/>
        <v>90</v>
      </c>
      <c r="I210" s="584">
        <v>1.4E-2</v>
      </c>
      <c r="J210" s="585">
        <f t="shared" si="26"/>
        <v>1260</v>
      </c>
      <c r="K210" s="586">
        <f t="shared" si="27"/>
        <v>1350</v>
      </c>
    </row>
    <row r="211" spans="1:15" ht="18" customHeight="1">
      <c r="A211" s="578">
        <v>12</v>
      </c>
      <c r="B211" s="678" t="s">
        <v>112</v>
      </c>
      <c r="C211" s="679" t="s">
        <v>113</v>
      </c>
      <c r="D211" s="580">
        <f>'Bang gia'!K17</f>
        <v>25000</v>
      </c>
      <c r="E211" s="584"/>
      <c r="F211" s="580"/>
      <c r="G211" s="582">
        <v>0.01</v>
      </c>
      <c r="H211" s="583">
        <f t="shared" si="25"/>
        <v>250</v>
      </c>
      <c r="I211" s="584">
        <v>2E-3</v>
      </c>
      <c r="J211" s="585">
        <f t="shared" si="26"/>
        <v>50</v>
      </c>
      <c r="K211" s="586">
        <f t="shared" si="27"/>
        <v>300</v>
      </c>
    </row>
    <row r="212" spans="1:15" ht="18" customHeight="1">
      <c r="A212" s="578">
        <v>13</v>
      </c>
      <c r="B212" s="680" t="s">
        <v>114</v>
      </c>
      <c r="C212" s="681" t="s">
        <v>850</v>
      </c>
      <c r="D212" s="580">
        <f>'Bang gia'!K18</f>
        <v>2500</v>
      </c>
      <c r="E212" s="584"/>
      <c r="F212" s="580"/>
      <c r="G212" s="582">
        <v>0.02</v>
      </c>
      <c r="H212" s="583">
        <f t="shared" si="25"/>
        <v>50</v>
      </c>
      <c r="I212" s="584">
        <v>4.0000000000000001E-3</v>
      </c>
      <c r="J212" s="585">
        <f t="shared" si="26"/>
        <v>10</v>
      </c>
      <c r="K212" s="586">
        <f t="shared" si="27"/>
        <v>60</v>
      </c>
    </row>
    <row r="213" spans="1:15" ht="18" customHeight="1">
      <c r="A213" s="578">
        <v>14</v>
      </c>
      <c r="B213" s="680" t="s">
        <v>115</v>
      </c>
      <c r="C213" s="681" t="s">
        <v>98</v>
      </c>
      <c r="D213" s="580">
        <f>'Bang gia'!K19</f>
        <v>18000</v>
      </c>
      <c r="E213" s="584"/>
      <c r="F213" s="580"/>
      <c r="G213" s="582">
        <v>8.0000000000000002E-3</v>
      </c>
      <c r="H213" s="583">
        <f t="shared" si="25"/>
        <v>144</v>
      </c>
      <c r="I213" s="584">
        <v>1E-3</v>
      </c>
      <c r="J213" s="585">
        <f t="shared" si="26"/>
        <v>18</v>
      </c>
      <c r="K213" s="586">
        <f t="shared" si="27"/>
        <v>162</v>
      </c>
    </row>
    <row r="214" spans="1:15" ht="18" customHeight="1">
      <c r="A214" s="578">
        <v>15</v>
      </c>
      <c r="B214" s="680" t="s">
        <v>116</v>
      </c>
      <c r="C214" s="681" t="s">
        <v>98</v>
      </c>
      <c r="D214" s="580">
        <f>'Bang gia'!K20</f>
        <v>15000</v>
      </c>
      <c r="E214" s="584"/>
      <c r="F214" s="580"/>
      <c r="G214" s="582">
        <v>8.0000000000000002E-3</v>
      </c>
      <c r="H214" s="583">
        <f t="shared" si="25"/>
        <v>120</v>
      </c>
      <c r="I214" s="584">
        <v>1E-3</v>
      </c>
      <c r="J214" s="585">
        <f t="shared" si="26"/>
        <v>15</v>
      </c>
      <c r="K214" s="586">
        <f t="shared" si="27"/>
        <v>135</v>
      </c>
    </row>
    <row r="215" spans="1:15" ht="18" customHeight="1">
      <c r="A215" s="578">
        <v>16</v>
      </c>
      <c r="B215" s="680" t="s">
        <v>324</v>
      </c>
      <c r="C215" s="716" t="s">
        <v>325</v>
      </c>
      <c r="D215" s="688">
        <f>'Bang gia'!K21</f>
        <v>1000</v>
      </c>
      <c r="E215" s="683"/>
      <c r="F215" s="580"/>
      <c r="G215" s="684"/>
      <c r="H215" s="583"/>
      <c r="I215" s="683">
        <v>3.4000000000000002E-2</v>
      </c>
      <c r="J215" s="585">
        <f t="shared" si="26"/>
        <v>34</v>
      </c>
      <c r="K215" s="586">
        <f t="shared" si="27"/>
        <v>34</v>
      </c>
    </row>
    <row r="216" spans="1:15" ht="18" customHeight="1">
      <c r="A216" s="686">
        <v>17</v>
      </c>
      <c r="B216" s="680" t="s">
        <v>711</v>
      </c>
      <c r="C216" s="716" t="s">
        <v>330</v>
      </c>
      <c r="D216" s="688">
        <f>'Bang gia'!K27</f>
        <v>10000</v>
      </c>
      <c r="E216" s="683"/>
      <c r="F216" s="688"/>
      <c r="G216" s="684">
        <v>2E-3</v>
      </c>
      <c r="H216" s="583">
        <f t="shared" si="25"/>
        <v>20</v>
      </c>
      <c r="I216" s="683">
        <v>4.0000000000000001E-3</v>
      </c>
      <c r="J216" s="585">
        <f t="shared" si="26"/>
        <v>40</v>
      </c>
      <c r="K216" s="586">
        <f t="shared" si="27"/>
        <v>60</v>
      </c>
    </row>
    <row r="217" spans="1:15" ht="18" customHeight="1">
      <c r="A217" s="686">
        <v>18</v>
      </c>
      <c r="B217" s="680" t="s">
        <v>326</v>
      </c>
      <c r="C217" s="716" t="s">
        <v>385</v>
      </c>
      <c r="D217" s="688">
        <f>'Bang gia'!K28</f>
        <v>3000</v>
      </c>
      <c r="E217" s="683"/>
      <c r="F217" s="688"/>
      <c r="G217" s="684">
        <v>1</v>
      </c>
      <c r="H217" s="583">
        <f t="shared" si="25"/>
        <v>3000</v>
      </c>
      <c r="I217" s="683"/>
      <c r="J217" s="580">
        <f t="shared" si="26"/>
        <v>0</v>
      </c>
      <c r="K217" s="586">
        <f t="shared" si="27"/>
        <v>3000</v>
      </c>
    </row>
    <row r="218" spans="1:15" ht="18" customHeight="1">
      <c r="A218" s="686">
        <v>19</v>
      </c>
      <c r="B218" s="680" t="s">
        <v>327</v>
      </c>
      <c r="C218" s="716" t="s">
        <v>717</v>
      </c>
      <c r="D218" s="688">
        <f>'Bang gia'!K24</f>
        <v>2400000</v>
      </c>
      <c r="E218" s="683"/>
      <c r="F218" s="688"/>
      <c r="G218" s="684"/>
      <c r="H218" s="583"/>
      <c r="I218" s="683">
        <v>1E-3</v>
      </c>
      <c r="J218" s="585">
        <f t="shared" si="26"/>
        <v>2400</v>
      </c>
      <c r="K218" s="586">
        <f t="shared" si="27"/>
        <v>2400</v>
      </c>
    </row>
    <row r="219" spans="1:15" ht="18" customHeight="1">
      <c r="A219" s="686">
        <v>20</v>
      </c>
      <c r="B219" s="680" t="s">
        <v>328</v>
      </c>
      <c r="C219" s="716" t="s">
        <v>760</v>
      </c>
      <c r="D219" s="688">
        <f>'Bang gia'!K25</f>
        <v>4500</v>
      </c>
      <c r="E219" s="683"/>
      <c r="F219" s="688"/>
      <c r="G219" s="684">
        <v>2.4E-2</v>
      </c>
      <c r="H219" s="583">
        <f t="shared" si="25"/>
        <v>108</v>
      </c>
      <c r="I219" s="683">
        <v>7.1999999999999995E-2</v>
      </c>
      <c r="J219" s="585">
        <f t="shared" si="26"/>
        <v>324</v>
      </c>
      <c r="K219" s="586">
        <f t="shared" si="27"/>
        <v>432</v>
      </c>
    </row>
    <row r="220" spans="1:15" ht="18" customHeight="1">
      <c r="A220" s="686">
        <v>21</v>
      </c>
      <c r="B220" s="680" t="s">
        <v>329</v>
      </c>
      <c r="C220" s="687" t="s">
        <v>717</v>
      </c>
      <c r="D220" s="688">
        <f>'Bang gia'!K29</f>
        <v>1250000</v>
      </c>
      <c r="E220" s="683"/>
      <c r="F220" s="688"/>
      <c r="G220" s="684">
        <v>1E-3</v>
      </c>
      <c r="H220" s="583">
        <f t="shared" si="25"/>
        <v>1250</v>
      </c>
      <c r="I220" s="683"/>
      <c r="J220" s="690"/>
      <c r="K220" s="586">
        <f t="shared" si="27"/>
        <v>1250</v>
      </c>
    </row>
    <row r="221" spans="1:15" ht="18" customHeight="1">
      <c r="A221" s="697"/>
      <c r="B221" s="698" t="s">
        <v>853</v>
      </c>
      <c r="C221" s="622"/>
      <c r="D221" s="622"/>
      <c r="E221" s="621"/>
      <c r="F221" s="622"/>
      <c r="G221" s="699"/>
      <c r="H221" s="700">
        <f>SUM(H200:H220)</f>
        <v>23334</v>
      </c>
      <c r="I221" s="621"/>
      <c r="J221" s="591">
        <f>H221*0.1</f>
        <v>2333.4</v>
      </c>
      <c r="K221" s="591">
        <f>F221+H221+J221</f>
        <v>25667.4</v>
      </c>
    </row>
    <row r="222" spans="1:15" ht="18" customHeight="1">
      <c r="A222" s="697"/>
      <c r="B222" s="698" t="s">
        <v>854</v>
      </c>
      <c r="C222" s="622"/>
      <c r="D222" s="622"/>
      <c r="E222" s="621"/>
      <c r="F222" s="622"/>
      <c r="G222" s="701"/>
      <c r="H222" s="700">
        <f>H221*8%</f>
        <v>1866.72</v>
      </c>
      <c r="I222" s="699"/>
      <c r="J222" s="700">
        <f>J221*8%</f>
        <v>186.672</v>
      </c>
      <c r="K222" s="700">
        <f>K221*8%</f>
        <v>2053.3920000000003</v>
      </c>
    </row>
    <row r="223" spans="1:15" ht="18" customHeight="1">
      <c r="A223" s="702"/>
      <c r="B223" s="588" t="s">
        <v>295</v>
      </c>
      <c r="C223" s="702"/>
      <c r="D223" s="702"/>
      <c r="E223" s="703"/>
      <c r="F223" s="589"/>
      <c r="G223" s="621"/>
      <c r="H223" s="700">
        <f>H221+H222</f>
        <v>25200.720000000001</v>
      </c>
      <c r="I223" s="699"/>
      <c r="J223" s="700">
        <f>J221+J222</f>
        <v>2520.0720000000001</v>
      </c>
      <c r="K223" s="700">
        <f>K221+K222</f>
        <v>27720.792000000001</v>
      </c>
      <c r="M223" s="572">
        <f>H223/5000</f>
        <v>5.0401440000000006</v>
      </c>
      <c r="O223" s="572">
        <f>J223/5000</f>
        <v>0.50401439999999997</v>
      </c>
    </row>
    <row r="224" spans="1:15" ht="7.5" customHeight="1">
      <c r="A224" s="673"/>
      <c r="B224" s="480"/>
      <c r="C224" s="670"/>
      <c r="D224" s="601"/>
      <c r="E224" s="671"/>
      <c r="F224" s="601"/>
      <c r="G224" s="671"/>
      <c r="H224" s="672"/>
      <c r="I224" s="674"/>
      <c r="J224" s="601"/>
      <c r="K224" s="494"/>
    </row>
    <row r="225" spans="1:11">
      <c r="A225" s="708"/>
      <c r="B225" s="599" t="s">
        <v>299</v>
      </c>
      <c r="C225" s="603"/>
      <c r="D225" s="601"/>
      <c r="E225" s="671"/>
      <c r="F225" s="601"/>
      <c r="G225" s="671"/>
      <c r="H225" s="672"/>
      <c r="I225" s="674"/>
      <c r="J225" s="601"/>
      <c r="K225" s="494"/>
    </row>
    <row r="226" spans="1:11" ht="25.9" customHeight="1">
      <c r="A226" s="606"/>
      <c r="B226" s="1260" t="s">
        <v>817</v>
      </c>
      <c r="C226" s="1260"/>
      <c r="D226" s="1260"/>
      <c r="E226" s="1260"/>
      <c r="F226" s="1260"/>
      <c r="G226" s="1260"/>
      <c r="H226" s="1260"/>
      <c r="I226" s="1260"/>
      <c r="J226" s="1260"/>
      <c r="K226" s="1260"/>
    </row>
    <row r="227" spans="1:11">
      <c r="A227" s="673"/>
      <c r="B227" s="605" t="s">
        <v>826</v>
      </c>
      <c r="C227" s="670"/>
      <c r="D227" s="601"/>
      <c r="E227" s="671"/>
      <c r="F227" s="601"/>
      <c r="G227" s="671"/>
      <c r="H227" s="672"/>
      <c r="I227" s="674"/>
      <c r="J227" s="601"/>
      <c r="K227" s="494"/>
    </row>
    <row r="228" spans="1:11">
      <c r="A228" s="673"/>
      <c r="B228" s="605"/>
      <c r="C228" s="670"/>
      <c r="D228" s="601"/>
      <c r="E228" s="671"/>
      <c r="F228" s="601"/>
      <c r="G228" s="671"/>
      <c r="H228" s="672"/>
      <c r="I228" s="674"/>
      <c r="J228" s="601"/>
      <c r="K228" s="494"/>
    </row>
    <row r="229" spans="1:11" ht="33.6" customHeight="1">
      <c r="A229" s="1264" t="s">
        <v>401</v>
      </c>
      <c r="B229" s="1264"/>
      <c r="C229" s="1264"/>
      <c r="D229" s="1264"/>
      <c r="E229" s="1264"/>
      <c r="F229" s="1264"/>
      <c r="G229" s="1264"/>
      <c r="H229" s="1264"/>
      <c r="I229" s="1264"/>
      <c r="J229" s="1264"/>
      <c r="K229" s="1264"/>
    </row>
    <row r="230" spans="1:11" ht="6.75" customHeight="1">
      <c r="A230" s="673"/>
      <c r="B230" s="480"/>
      <c r="C230" s="670"/>
      <c r="D230" s="601"/>
      <c r="E230" s="671"/>
      <c r="F230" s="601"/>
      <c r="G230" s="671"/>
      <c r="H230" s="672"/>
      <c r="I230" s="674"/>
      <c r="J230" s="601"/>
      <c r="K230" s="494"/>
    </row>
    <row r="231" spans="1:11" ht="24" customHeight="1">
      <c r="A231" s="1245" t="s">
        <v>882</v>
      </c>
      <c r="B231" s="1245" t="s">
        <v>283</v>
      </c>
      <c r="C231" s="1245" t="s">
        <v>284</v>
      </c>
      <c r="D231" s="1245" t="s">
        <v>305</v>
      </c>
      <c r="E231" s="1254" t="s">
        <v>288</v>
      </c>
      <c r="F231" s="1255"/>
      <c r="G231" s="1255"/>
      <c r="H231" s="1255"/>
      <c r="I231" s="1255"/>
      <c r="J231" s="1256"/>
      <c r="K231" s="1245" t="s">
        <v>409</v>
      </c>
    </row>
    <row r="232" spans="1:11" ht="42" customHeight="1">
      <c r="A232" s="1246"/>
      <c r="B232" s="1246"/>
      <c r="C232" s="1246"/>
      <c r="D232" s="1246"/>
      <c r="E232" s="1254" t="s">
        <v>289</v>
      </c>
      <c r="F232" s="1256"/>
      <c r="G232" s="1254" t="s">
        <v>847</v>
      </c>
      <c r="H232" s="1256"/>
      <c r="I232" s="1254" t="s">
        <v>331</v>
      </c>
      <c r="J232" s="1256"/>
      <c r="K232" s="1246"/>
    </row>
    <row r="233" spans="1:11" ht="23.25" customHeight="1">
      <c r="A233" s="1247"/>
      <c r="B233" s="1247"/>
      <c r="C233" s="1247"/>
      <c r="D233" s="1247"/>
      <c r="E233" s="675" t="s">
        <v>848</v>
      </c>
      <c r="F233" s="468" t="s">
        <v>986</v>
      </c>
      <c r="G233" s="675" t="s">
        <v>848</v>
      </c>
      <c r="H233" s="468" t="s">
        <v>986</v>
      </c>
      <c r="I233" s="675" t="s">
        <v>848</v>
      </c>
      <c r="J233" s="468" t="s">
        <v>986</v>
      </c>
      <c r="K233" s="1247"/>
    </row>
    <row r="234" spans="1:11" ht="18.95" customHeight="1">
      <c r="A234" s="623">
        <v>1</v>
      </c>
      <c r="B234" s="676" t="s">
        <v>97</v>
      </c>
      <c r="C234" s="677" t="s">
        <v>98</v>
      </c>
      <c r="D234" s="580">
        <f>'Bang gia'!K6</f>
        <v>5000</v>
      </c>
      <c r="E234" s="626">
        <v>8.0000000000000002E-3</v>
      </c>
      <c r="F234" s="625">
        <f>D234*E234</f>
        <v>40</v>
      </c>
      <c r="G234" s="718">
        <v>0.03</v>
      </c>
      <c r="H234" s="627">
        <f>D234*G234</f>
        <v>150</v>
      </c>
      <c r="I234" s="626"/>
      <c r="J234" s="628"/>
      <c r="K234" s="627">
        <f>F234+H234+J234</f>
        <v>190</v>
      </c>
    </row>
    <row r="235" spans="1:11" ht="18.95" customHeight="1">
      <c r="A235" s="578">
        <v>2</v>
      </c>
      <c r="B235" s="678" t="s">
        <v>99</v>
      </c>
      <c r="C235" s="679" t="s">
        <v>100</v>
      </c>
      <c r="D235" s="580">
        <f>'Bang gia'!K7</f>
        <v>2000</v>
      </c>
      <c r="E235" s="584"/>
      <c r="F235" s="580"/>
      <c r="G235" s="715">
        <v>3.0000000000000001E-3</v>
      </c>
      <c r="H235" s="583">
        <f>G235*D235</f>
        <v>6</v>
      </c>
      <c r="I235" s="584"/>
      <c r="J235" s="585"/>
      <c r="K235" s="586">
        <f>F235+H235+J235</f>
        <v>6</v>
      </c>
    </row>
    <row r="236" spans="1:11" ht="18.95" customHeight="1">
      <c r="A236" s="578">
        <v>3</v>
      </c>
      <c r="B236" s="678" t="s">
        <v>101</v>
      </c>
      <c r="C236" s="679" t="s">
        <v>100</v>
      </c>
      <c r="D236" s="580">
        <f>'Bang gia'!K8</f>
        <v>2000</v>
      </c>
      <c r="E236" s="584"/>
      <c r="F236" s="580"/>
      <c r="G236" s="715">
        <v>6.0000000000000001E-3</v>
      </c>
      <c r="H236" s="583">
        <f t="shared" ref="H236:H250" si="28">G236*D236</f>
        <v>12</v>
      </c>
      <c r="I236" s="584"/>
      <c r="J236" s="585"/>
      <c r="K236" s="586">
        <f t="shared" ref="K236:K249" si="29">F236+H236+J236</f>
        <v>12</v>
      </c>
    </row>
    <row r="237" spans="1:11" ht="18.95" customHeight="1">
      <c r="A237" s="578">
        <v>4</v>
      </c>
      <c r="B237" s="678" t="s">
        <v>102</v>
      </c>
      <c r="C237" s="679" t="s">
        <v>100</v>
      </c>
      <c r="D237" s="580">
        <f>'Bang gia'!K9</f>
        <v>1450000</v>
      </c>
      <c r="E237" s="584"/>
      <c r="F237" s="580"/>
      <c r="G237" s="715">
        <v>2E-3</v>
      </c>
      <c r="H237" s="583">
        <f t="shared" si="28"/>
        <v>2900</v>
      </c>
      <c r="I237" s="584"/>
      <c r="J237" s="585"/>
      <c r="K237" s="586">
        <f t="shared" si="29"/>
        <v>2900</v>
      </c>
    </row>
    <row r="238" spans="1:11" ht="18.95" customHeight="1">
      <c r="A238" s="578">
        <v>5</v>
      </c>
      <c r="B238" s="678" t="s">
        <v>103</v>
      </c>
      <c r="C238" s="679" t="s">
        <v>100</v>
      </c>
      <c r="D238" s="580">
        <f>'Bang gia'!K10</f>
        <v>300000</v>
      </c>
      <c r="E238" s="584"/>
      <c r="F238" s="580"/>
      <c r="G238" s="715">
        <v>2E-3</v>
      </c>
      <c r="H238" s="583">
        <f t="shared" si="28"/>
        <v>600</v>
      </c>
      <c r="I238" s="611"/>
      <c r="J238" s="585"/>
      <c r="K238" s="586">
        <f t="shared" si="29"/>
        <v>600</v>
      </c>
    </row>
    <row r="239" spans="1:11" ht="18.95" customHeight="1">
      <c r="A239" s="578">
        <v>6</v>
      </c>
      <c r="B239" s="678" t="s">
        <v>105</v>
      </c>
      <c r="C239" s="679" t="s">
        <v>100</v>
      </c>
      <c r="D239" s="580">
        <f>'Bang gia'!K11</f>
        <v>3350000</v>
      </c>
      <c r="E239" s="584"/>
      <c r="F239" s="580"/>
      <c r="G239" s="715">
        <v>0</v>
      </c>
      <c r="H239" s="583">
        <f t="shared" si="28"/>
        <v>0</v>
      </c>
      <c r="I239" s="611"/>
      <c r="J239" s="585"/>
      <c r="K239" s="586">
        <f t="shared" si="29"/>
        <v>0</v>
      </c>
    </row>
    <row r="240" spans="1:11" ht="18.95" customHeight="1">
      <c r="A240" s="578">
        <v>7</v>
      </c>
      <c r="B240" s="678" t="s">
        <v>106</v>
      </c>
      <c r="C240" s="679" t="s">
        <v>107</v>
      </c>
      <c r="D240" s="580">
        <f>'Bang gia'!K12</f>
        <v>300</v>
      </c>
      <c r="E240" s="584"/>
      <c r="F240" s="580"/>
      <c r="G240" s="715">
        <v>1</v>
      </c>
      <c r="H240" s="583">
        <f t="shared" si="28"/>
        <v>300</v>
      </c>
      <c r="I240" s="584"/>
      <c r="J240" s="585"/>
      <c r="K240" s="586">
        <f t="shared" si="29"/>
        <v>300</v>
      </c>
    </row>
    <row r="241" spans="1:11" ht="18.95" customHeight="1">
      <c r="A241" s="578">
        <v>8</v>
      </c>
      <c r="B241" s="678" t="s">
        <v>320</v>
      </c>
      <c r="C241" s="679" t="s">
        <v>108</v>
      </c>
      <c r="D241" s="580">
        <f>'Bang gia'!K13</f>
        <v>7000</v>
      </c>
      <c r="E241" s="584"/>
      <c r="F241" s="580"/>
      <c r="G241" s="715">
        <v>1</v>
      </c>
      <c r="H241" s="583">
        <f t="shared" si="28"/>
        <v>7000</v>
      </c>
      <c r="I241" s="584"/>
      <c r="J241" s="585"/>
      <c r="K241" s="586">
        <f t="shared" si="29"/>
        <v>7000</v>
      </c>
    </row>
    <row r="242" spans="1:11" ht="18.95" customHeight="1">
      <c r="A242" s="578">
        <v>9</v>
      </c>
      <c r="B242" s="678" t="s">
        <v>323</v>
      </c>
      <c r="C242" s="679" t="s">
        <v>107</v>
      </c>
      <c r="D242" s="580">
        <f>'Bang gia'!K14</f>
        <v>300</v>
      </c>
      <c r="E242" s="584"/>
      <c r="F242" s="580"/>
      <c r="G242" s="715">
        <v>1</v>
      </c>
      <c r="H242" s="583">
        <f t="shared" si="28"/>
        <v>300</v>
      </c>
      <c r="I242" s="584"/>
      <c r="J242" s="585"/>
      <c r="K242" s="586">
        <f t="shared" si="29"/>
        <v>300</v>
      </c>
    </row>
    <row r="243" spans="1:11" ht="18.95" customHeight="1">
      <c r="A243" s="578">
        <v>10</v>
      </c>
      <c r="B243" s="678" t="s">
        <v>109</v>
      </c>
      <c r="C243" s="679" t="s">
        <v>110</v>
      </c>
      <c r="D243" s="580">
        <f>'Bang gia'!K15</f>
        <v>45000</v>
      </c>
      <c r="E243" s="584">
        <v>8.9999999999999993E-3</v>
      </c>
      <c r="F243" s="580">
        <f>D243*E243</f>
        <v>404.99999999999994</v>
      </c>
      <c r="G243" s="715">
        <v>6.2E-2</v>
      </c>
      <c r="H243" s="583">
        <f t="shared" si="28"/>
        <v>2790</v>
      </c>
      <c r="I243" s="584"/>
      <c r="J243" s="585"/>
      <c r="K243" s="586">
        <f t="shared" si="29"/>
        <v>3195</v>
      </c>
    </row>
    <row r="244" spans="1:11" ht="18.95" customHeight="1">
      <c r="A244" s="578">
        <v>11</v>
      </c>
      <c r="B244" s="678" t="s">
        <v>111</v>
      </c>
      <c r="C244" s="679" t="s">
        <v>110</v>
      </c>
      <c r="D244" s="580">
        <f>'Bang gia'!K16</f>
        <v>90000</v>
      </c>
      <c r="E244" s="584"/>
      <c r="F244" s="580"/>
      <c r="G244" s="715">
        <v>4.0000000000000001E-3</v>
      </c>
      <c r="H244" s="583">
        <f t="shared" si="28"/>
        <v>360</v>
      </c>
      <c r="I244" s="611"/>
      <c r="J244" s="585"/>
      <c r="K244" s="586">
        <f t="shared" si="29"/>
        <v>360</v>
      </c>
    </row>
    <row r="245" spans="1:11" ht="18.95" customHeight="1">
      <c r="A245" s="578">
        <v>12</v>
      </c>
      <c r="B245" s="678" t="s">
        <v>112</v>
      </c>
      <c r="C245" s="679" t="s">
        <v>113</v>
      </c>
      <c r="D245" s="580">
        <f>'Bang gia'!K17</f>
        <v>25000</v>
      </c>
      <c r="E245" s="584"/>
      <c r="F245" s="580"/>
      <c r="G245" s="715">
        <v>4.0000000000000001E-3</v>
      </c>
      <c r="H245" s="583">
        <f t="shared" si="28"/>
        <v>100</v>
      </c>
      <c r="I245" s="611"/>
      <c r="J245" s="585"/>
      <c r="K245" s="586">
        <f t="shared" si="29"/>
        <v>100</v>
      </c>
    </row>
    <row r="246" spans="1:11" ht="18.95" customHeight="1">
      <c r="A246" s="578">
        <v>13</v>
      </c>
      <c r="B246" s="680" t="s">
        <v>114</v>
      </c>
      <c r="C246" s="681" t="s">
        <v>850</v>
      </c>
      <c r="D246" s="580">
        <f>'Bang gia'!K18</f>
        <v>2500</v>
      </c>
      <c r="E246" s="584">
        <v>1.4999999999999999E-2</v>
      </c>
      <c r="F246" s="580">
        <f>D246*E246</f>
        <v>37.5</v>
      </c>
      <c r="G246" s="715">
        <v>0.06</v>
      </c>
      <c r="H246" s="583">
        <f t="shared" si="28"/>
        <v>150</v>
      </c>
      <c r="I246" s="584"/>
      <c r="J246" s="585"/>
      <c r="K246" s="586">
        <f t="shared" si="29"/>
        <v>187.5</v>
      </c>
    </row>
    <row r="247" spans="1:11" ht="18.95" customHeight="1">
      <c r="A247" s="578">
        <v>14</v>
      </c>
      <c r="B247" s="680" t="s">
        <v>115</v>
      </c>
      <c r="C247" s="681" t="s">
        <v>98</v>
      </c>
      <c r="D247" s="580">
        <f>'Bang gia'!K19</f>
        <v>18000</v>
      </c>
      <c r="E247" s="584">
        <v>8.0000000000000002E-3</v>
      </c>
      <c r="F247" s="580">
        <f>D247*E247</f>
        <v>144</v>
      </c>
      <c r="G247" s="715">
        <v>0.02</v>
      </c>
      <c r="H247" s="583">
        <f t="shared" si="28"/>
        <v>360</v>
      </c>
      <c r="I247" s="584"/>
      <c r="J247" s="585"/>
      <c r="K247" s="586">
        <f t="shared" si="29"/>
        <v>504</v>
      </c>
    </row>
    <row r="248" spans="1:11" ht="18.95" customHeight="1">
      <c r="A248" s="578">
        <v>15</v>
      </c>
      <c r="B248" s="680" t="s">
        <v>116</v>
      </c>
      <c r="C248" s="681" t="s">
        <v>98</v>
      </c>
      <c r="D248" s="580">
        <f>'Bang gia'!K20</f>
        <v>15000</v>
      </c>
      <c r="E248" s="584"/>
      <c r="F248" s="580"/>
      <c r="G248" s="715">
        <v>5.0000000000000001E-3</v>
      </c>
      <c r="H248" s="583">
        <f t="shared" si="28"/>
        <v>75</v>
      </c>
      <c r="I248" s="584"/>
      <c r="J248" s="585"/>
      <c r="K248" s="586">
        <f t="shared" si="29"/>
        <v>75</v>
      </c>
    </row>
    <row r="249" spans="1:11" ht="18.95" customHeight="1">
      <c r="A249" s="578">
        <v>16</v>
      </c>
      <c r="B249" s="680" t="s">
        <v>321</v>
      </c>
      <c r="C249" s="682" t="s">
        <v>120</v>
      </c>
      <c r="D249" s="580">
        <f>'Bang gia'!K27</f>
        <v>10000</v>
      </c>
      <c r="E249" s="683"/>
      <c r="F249" s="580"/>
      <c r="G249" s="719">
        <v>5.0000000000000001E-3</v>
      </c>
      <c r="H249" s="583">
        <f t="shared" si="28"/>
        <v>50</v>
      </c>
      <c r="I249" s="683"/>
      <c r="J249" s="585"/>
      <c r="K249" s="586">
        <f t="shared" si="29"/>
        <v>50</v>
      </c>
    </row>
    <row r="250" spans="1:11" ht="18.95" customHeight="1">
      <c r="A250" s="686">
        <v>17</v>
      </c>
      <c r="B250" s="680" t="s">
        <v>121</v>
      </c>
      <c r="C250" s="687" t="s">
        <v>107</v>
      </c>
      <c r="D250" s="688">
        <f>'Bang gia'!K23</f>
        <v>1500</v>
      </c>
      <c r="E250" s="683"/>
      <c r="F250" s="688"/>
      <c r="G250" s="719">
        <v>1</v>
      </c>
      <c r="H250" s="583">
        <f t="shared" si="28"/>
        <v>1500</v>
      </c>
      <c r="I250" s="683"/>
      <c r="J250" s="690"/>
      <c r="K250" s="691">
        <f>J250+H250+F250</f>
        <v>1500</v>
      </c>
    </row>
    <row r="251" spans="1:11" ht="18.95" customHeight="1">
      <c r="A251" s="697"/>
      <c r="B251" s="698" t="s">
        <v>853</v>
      </c>
      <c r="C251" s="622"/>
      <c r="D251" s="622"/>
      <c r="E251" s="621"/>
      <c r="F251" s="622">
        <f>SUM(F234:F250)</f>
        <v>626.5</v>
      </c>
      <c r="G251" s="699"/>
      <c r="H251" s="700">
        <f>SUM(H234:H250)</f>
        <v>16653</v>
      </c>
      <c r="I251" s="621"/>
      <c r="J251" s="591"/>
      <c r="K251" s="591">
        <f>SUM(K234:K250)</f>
        <v>17279.5</v>
      </c>
    </row>
    <row r="252" spans="1:11" ht="18.95" customHeight="1">
      <c r="A252" s="697"/>
      <c r="B252" s="698" t="s">
        <v>854</v>
      </c>
      <c r="C252" s="622"/>
      <c r="D252" s="622"/>
      <c r="E252" s="621"/>
      <c r="F252" s="622">
        <f>F251*8%</f>
        <v>50.120000000000005</v>
      </c>
      <c r="G252" s="701"/>
      <c r="H252" s="700">
        <f>H251*8%</f>
        <v>1332.24</v>
      </c>
      <c r="I252" s="699"/>
      <c r="J252" s="700"/>
      <c r="K252" s="700">
        <f>K251*8%</f>
        <v>1382.3600000000001</v>
      </c>
    </row>
    <row r="253" spans="1:11" ht="18.95" customHeight="1">
      <c r="A253" s="702"/>
      <c r="B253" s="588" t="s">
        <v>295</v>
      </c>
      <c r="C253" s="702"/>
      <c r="D253" s="702"/>
      <c r="E253" s="703"/>
      <c r="F253" s="589">
        <f>F251+F252</f>
        <v>676.62</v>
      </c>
      <c r="G253" s="589"/>
      <c r="H253" s="589">
        <f>H251+H252</f>
        <v>17985.240000000002</v>
      </c>
      <c r="I253" s="699"/>
      <c r="J253" s="700"/>
      <c r="K253" s="700">
        <f>F253+H253+J253</f>
        <v>18661.86</v>
      </c>
    </row>
    <row r="254" spans="1:11">
      <c r="A254" s="673"/>
      <c r="B254" s="480"/>
      <c r="C254" s="670"/>
      <c r="D254" s="601"/>
      <c r="E254" s="671"/>
      <c r="F254" s="601"/>
      <c r="G254" s="671"/>
      <c r="H254" s="672"/>
      <c r="I254" s="674"/>
      <c r="J254" s="601"/>
      <c r="K254" s="494"/>
    </row>
    <row r="255" spans="1:11">
      <c r="A255" s="708"/>
      <c r="B255" s="599" t="s">
        <v>299</v>
      </c>
      <c r="C255" s="603"/>
      <c r="D255" s="601"/>
      <c r="E255" s="671"/>
      <c r="F255" s="601"/>
      <c r="G255" s="671"/>
      <c r="H255" s="672"/>
      <c r="I255" s="674"/>
      <c r="J255" s="601"/>
      <c r="K255" s="494"/>
    </row>
    <row r="256" spans="1:11">
      <c r="A256" s="606"/>
      <c r="B256" s="605" t="s">
        <v>349</v>
      </c>
      <c r="C256" s="670"/>
      <c r="D256" s="601"/>
      <c r="E256" s="671"/>
      <c r="F256" s="601"/>
      <c r="G256" s="671"/>
      <c r="H256" s="672"/>
      <c r="I256" s="674"/>
      <c r="J256" s="601"/>
      <c r="K256" s="494"/>
    </row>
    <row r="257" spans="1:11" ht="21" customHeight="1">
      <c r="A257" s="673"/>
      <c r="B257" s="605"/>
      <c r="C257" s="670"/>
      <c r="D257" s="601"/>
      <c r="E257" s="671"/>
      <c r="F257" s="601"/>
      <c r="G257" s="671"/>
      <c r="H257" s="672"/>
      <c r="I257" s="674"/>
      <c r="J257" s="601"/>
      <c r="K257" s="494"/>
    </row>
    <row r="258" spans="1:11">
      <c r="A258" s="454"/>
      <c r="B258" s="454"/>
      <c r="C258" s="454"/>
    </row>
    <row r="259" spans="1:11" ht="28.15" customHeight="1">
      <c r="A259" s="1264" t="s">
        <v>402</v>
      </c>
      <c r="B259" s="1264"/>
      <c r="C259" s="1264"/>
      <c r="D259" s="1264"/>
      <c r="E259" s="1264"/>
      <c r="F259" s="1264"/>
      <c r="G259" s="1264"/>
      <c r="H259" s="1264"/>
      <c r="I259" s="1264"/>
      <c r="J259" s="1264"/>
      <c r="K259" s="1264"/>
    </row>
    <row r="260" spans="1:11" ht="8.25" customHeight="1">
      <c r="A260" s="673"/>
      <c r="B260" s="480"/>
      <c r="C260" s="670"/>
      <c r="D260" s="601"/>
      <c r="E260" s="671"/>
      <c r="F260" s="601"/>
      <c r="G260" s="671"/>
      <c r="H260" s="672"/>
      <c r="I260" s="674"/>
      <c r="J260" s="601"/>
      <c r="K260" s="494"/>
    </row>
    <row r="261" spans="1:11" ht="18.75" customHeight="1">
      <c r="A261" s="1245" t="s">
        <v>882</v>
      </c>
      <c r="B261" s="1245" t="s">
        <v>283</v>
      </c>
      <c r="C261" s="1245" t="s">
        <v>284</v>
      </c>
      <c r="D261" s="1245" t="s">
        <v>305</v>
      </c>
      <c r="E261" s="1254" t="s">
        <v>288</v>
      </c>
      <c r="F261" s="1255"/>
      <c r="G261" s="1255"/>
      <c r="H261" s="1255"/>
      <c r="I261" s="1255"/>
      <c r="J261" s="1256"/>
      <c r="K261" s="1245" t="s">
        <v>409</v>
      </c>
    </row>
    <row r="262" spans="1:11" ht="41.25" customHeight="1">
      <c r="A262" s="1246"/>
      <c r="B262" s="1246"/>
      <c r="C262" s="1246"/>
      <c r="D262" s="1246"/>
      <c r="E262" s="1254" t="s">
        <v>345</v>
      </c>
      <c r="F262" s="1256"/>
      <c r="G262" s="1254" t="s">
        <v>322</v>
      </c>
      <c r="H262" s="1256"/>
      <c r="I262" s="1254" t="s">
        <v>291</v>
      </c>
      <c r="J262" s="1256"/>
      <c r="K262" s="1246"/>
    </row>
    <row r="263" spans="1:11" ht="19.5" customHeight="1">
      <c r="A263" s="1247"/>
      <c r="B263" s="1247"/>
      <c r="C263" s="1247"/>
      <c r="D263" s="1247"/>
      <c r="E263" s="675" t="s">
        <v>848</v>
      </c>
      <c r="F263" s="468" t="s">
        <v>986</v>
      </c>
      <c r="G263" s="675" t="s">
        <v>848</v>
      </c>
      <c r="H263" s="468" t="s">
        <v>986</v>
      </c>
      <c r="I263" s="675" t="s">
        <v>848</v>
      </c>
      <c r="J263" s="468" t="s">
        <v>986</v>
      </c>
      <c r="K263" s="1247"/>
    </row>
    <row r="264" spans="1:11" ht="21" customHeight="1">
      <c r="A264" s="623">
        <v>1</v>
      </c>
      <c r="B264" s="676" t="s">
        <v>97</v>
      </c>
      <c r="C264" s="677" t="s">
        <v>98</v>
      </c>
      <c r="D264" s="580">
        <f>'Bang gia'!K6</f>
        <v>5000</v>
      </c>
      <c r="E264" s="626">
        <v>0.01</v>
      </c>
      <c r="F264" s="625">
        <f>E264*D264</f>
        <v>50</v>
      </c>
      <c r="G264" s="626"/>
      <c r="H264" s="627"/>
      <c r="I264" s="718">
        <v>0.04</v>
      </c>
      <c r="J264" s="628">
        <f>D264*I264</f>
        <v>200</v>
      </c>
      <c r="K264" s="627">
        <f>F264+H264+J264</f>
        <v>250</v>
      </c>
    </row>
    <row r="265" spans="1:11" ht="21" customHeight="1">
      <c r="A265" s="578">
        <v>2</v>
      </c>
      <c r="B265" s="678" t="s">
        <v>99</v>
      </c>
      <c r="C265" s="679" t="s">
        <v>100</v>
      </c>
      <c r="D265" s="580">
        <f>'Bang gia'!K7</f>
        <v>2000</v>
      </c>
      <c r="E265" s="584"/>
      <c r="F265" s="580">
        <f>D265*E265</f>
        <v>0</v>
      </c>
      <c r="G265" s="582"/>
      <c r="H265" s="583"/>
      <c r="I265" s="611">
        <v>4.0000000000000001E-3</v>
      </c>
      <c r="J265" s="585">
        <f>D265*I265</f>
        <v>8</v>
      </c>
      <c r="K265" s="586">
        <f>F265+H265+J265</f>
        <v>8</v>
      </c>
    </row>
    <row r="266" spans="1:11" ht="21" customHeight="1">
      <c r="A266" s="578">
        <v>3</v>
      </c>
      <c r="B266" s="678" t="s">
        <v>101</v>
      </c>
      <c r="C266" s="679" t="s">
        <v>100</v>
      </c>
      <c r="D266" s="580">
        <f>'Bang gia'!K8</f>
        <v>2000</v>
      </c>
      <c r="E266" s="584"/>
      <c r="F266" s="580"/>
      <c r="G266" s="582"/>
      <c r="H266" s="583"/>
      <c r="I266" s="611">
        <v>8.0000000000000002E-3</v>
      </c>
      <c r="J266" s="585">
        <f t="shared" ref="J266:J279" si="30">D266*I266</f>
        <v>16</v>
      </c>
      <c r="K266" s="586">
        <f t="shared" ref="K266:K280" si="31">F266+H266+J266</f>
        <v>16</v>
      </c>
    </row>
    <row r="267" spans="1:11" ht="21" customHeight="1">
      <c r="A267" s="578">
        <v>4</v>
      </c>
      <c r="B267" s="678" t="s">
        <v>102</v>
      </c>
      <c r="C267" s="679" t="s">
        <v>100</v>
      </c>
      <c r="D267" s="580">
        <f>'Bang gia'!K9</f>
        <v>1450000</v>
      </c>
      <c r="E267" s="584"/>
      <c r="F267" s="580"/>
      <c r="G267" s="582"/>
      <c r="H267" s="583"/>
      <c r="I267" s="611">
        <v>2E-3</v>
      </c>
      <c r="J267" s="585">
        <f t="shared" si="30"/>
        <v>2900</v>
      </c>
      <c r="K267" s="586">
        <f t="shared" si="31"/>
        <v>2900</v>
      </c>
    </row>
    <row r="268" spans="1:11" ht="21" customHeight="1">
      <c r="A268" s="578">
        <v>5</v>
      </c>
      <c r="B268" s="678" t="s">
        <v>103</v>
      </c>
      <c r="C268" s="679" t="s">
        <v>100</v>
      </c>
      <c r="D268" s="580">
        <f>'Bang gia'!K10</f>
        <v>300000</v>
      </c>
      <c r="E268" s="584"/>
      <c r="F268" s="580"/>
      <c r="G268" s="582"/>
      <c r="H268" s="583"/>
      <c r="I268" s="611">
        <v>3.0000000000000001E-3</v>
      </c>
      <c r="J268" s="585">
        <f t="shared" si="30"/>
        <v>900</v>
      </c>
      <c r="K268" s="586">
        <f t="shared" si="31"/>
        <v>900</v>
      </c>
    </row>
    <row r="269" spans="1:11" ht="21" customHeight="1">
      <c r="A269" s="578">
        <v>6</v>
      </c>
      <c r="B269" s="678" t="s">
        <v>105</v>
      </c>
      <c r="C269" s="679" t="s">
        <v>100</v>
      </c>
      <c r="D269" s="580">
        <f>'Bang gia'!K11</f>
        <v>3350000</v>
      </c>
      <c r="E269" s="584"/>
      <c r="F269" s="580"/>
      <c r="G269" s="582"/>
      <c r="H269" s="583"/>
      <c r="I269" s="611">
        <v>1E-3</v>
      </c>
      <c r="J269" s="585">
        <f t="shared" si="30"/>
        <v>3350</v>
      </c>
      <c r="K269" s="586">
        <f t="shared" si="31"/>
        <v>3350</v>
      </c>
    </row>
    <row r="270" spans="1:11" ht="21" customHeight="1">
      <c r="A270" s="578">
        <v>7</v>
      </c>
      <c r="B270" s="678" t="s">
        <v>106</v>
      </c>
      <c r="C270" s="679" t="s">
        <v>107</v>
      </c>
      <c r="D270" s="580">
        <f>'Bang gia'!K12</f>
        <v>300</v>
      </c>
      <c r="E270" s="584"/>
      <c r="F270" s="580"/>
      <c r="G270" s="582"/>
      <c r="H270" s="583"/>
      <c r="I270" s="611">
        <v>1</v>
      </c>
      <c r="J270" s="585">
        <f t="shared" si="30"/>
        <v>300</v>
      </c>
      <c r="K270" s="586">
        <f t="shared" si="31"/>
        <v>300</v>
      </c>
    </row>
    <row r="271" spans="1:11" ht="21" customHeight="1">
      <c r="A271" s="578">
        <v>8</v>
      </c>
      <c r="B271" s="678" t="s">
        <v>320</v>
      </c>
      <c r="C271" s="679" t="s">
        <v>108</v>
      </c>
      <c r="D271" s="580">
        <f>'Bang gia'!K13</f>
        <v>7000</v>
      </c>
      <c r="E271" s="584"/>
      <c r="F271" s="580"/>
      <c r="G271" s="582"/>
      <c r="H271" s="583"/>
      <c r="I271" s="611">
        <v>1</v>
      </c>
      <c r="J271" s="585">
        <f t="shared" si="30"/>
        <v>7000</v>
      </c>
      <c r="K271" s="586">
        <f t="shared" si="31"/>
        <v>7000</v>
      </c>
    </row>
    <row r="272" spans="1:11" ht="21" customHeight="1">
      <c r="A272" s="578">
        <v>9</v>
      </c>
      <c r="B272" s="678" t="s">
        <v>323</v>
      </c>
      <c r="C272" s="679" t="s">
        <v>107</v>
      </c>
      <c r="D272" s="580">
        <f>'Bang gia'!K26</f>
        <v>300</v>
      </c>
      <c r="E272" s="584"/>
      <c r="F272" s="580">
        <f>D272*E272</f>
        <v>0</v>
      </c>
      <c r="G272" s="582"/>
      <c r="H272" s="583"/>
      <c r="I272" s="611">
        <v>1</v>
      </c>
      <c r="J272" s="585">
        <f t="shared" si="30"/>
        <v>300</v>
      </c>
      <c r="K272" s="586">
        <f t="shared" si="31"/>
        <v>300</v>
      </c>
    </row>
    <row r="273" spans="1:11" ht="21" customHeight="1">
      <c r="A273" s="578">
        <v>10</v>
      </c>
      <c r="B273" s="678" t="s">
        <v>109</v>
      </c>
      <c r="C273" s="679" t="s">
        <v>110</v>
      </c>
      <c r="D273" s="580">
        <f>'Bang gia'!K15</f>
        <v>45000</v>
      </c>
      <c r="E273" s="584">
        <v>1.2E-2</v>
      </c>
      <c r="F273" s="580">
        <f>D273*E273</f>
        <v>540</v>
      </c>
      <c r="G273" s="582"/>
      <c r="H273" s="583"/>
      <c r="I273" s="611">
        <v>8.2000000000000003E-2</v>
      </c>
      <c r="J273" s="585">
        <f t="shared" si="30"/>
        <v>3690</v>
      </c>
      <c r="K273" s="586">
        <f t="shared" si="31"/>
        <v>4230</v>
      </c>
    </row>
    <row r="274" spans="1:11" ht="21" customHeight="1">
      <c r="A274" s="578">
        <v>11</v>
      </c>
      <c r="B274" s="678" t="s">
        <v>111</v>
      </c>
      <c r="C274" s="679" t="s">
        <v>110</v>
      </c>
      <c r="D274" s="580">
        <f>'Bang gia'!K16</f>
        <v>90000</v>
      </c>
      <c r="E274" s="584"/>
      <c r="F274" s="580"/>
      <c r="G274" s="582"/>
      <c r="H274" s="583"/>
      <c r="I274" s="611">
        <v>5.0000000000000001E-3</v>
      </c>
      <c r="J274" s="585">
        <f t="shared" si="30"/>
        <v>450</v>
      </c>
      <c r="K274" s="586">
        <f t="shared" si="31"/>
        <v>450</v>
      </c>
    </row>
    <row r="275" spans="1:11" ht="21" customHeight="1">
      <c r="A275" s="578">
        <v>12</v>
      </c>
      <c r="B275" s="678" t="s">
        <v>112</v>
      </c>
      <c r="C275" s="679" t="s">
        <v>113</v>
      </c>
      <c r="D275" s="580">
        <f>'Bang gia'!K17</f>
        <v>25000</v>
      </c>
      <c r="E275" s="584"/>
      <c r="F275" s="580"/>
      <c r="G275" s="582"/>
      <c r="H275" s="583"/>
      <c r="I275" s="611">
        <v>5.0000000000000001E-3</v>
      </c>
      <c r="J275" s="585">
        <f t="shared" si="30"/>
        <v>125</v>
      </c>
      <c r="K275" s="586">
        <f t="shared" si="31"/>
        <v>125</v>
      </c>
    </row>
    <row r="276" spans="1:11" ht="21" customHeight="1">
      <c r="A276" s="578">
        <v>13</v>
      </c>
      <c r="B276" s="680" t="s">
        <v>114</v>
      </c>
      <c r="C276" s="681" t="s">
        <v>850</v>
      </c>
      <c r="D276" s="580">
        <f>'Bang gia'!K18</f>
        <v>2500</v>
      </c>
      <c r="E276" s="584">
        <v>0.02</v>
      </c>
      <c r="F276" s="580">
        <f>D276*E276</f>
        <v>50</v>
      </c>
      <c r="G276" s="582"/>
      <c r="H276" s="583"/>
      <c r="I276" s="611">
        <v>0.08</v>
      </c>
      <c r="J276" s="585">
        <f t="shared" si="30"/>
        <v>200</v>
      </c>
      <c r="K276" s="586">
        <f t="shared" si="31"/>
        <v>250</v>
      </c>
    </row>
    <row r="277" spans="1:11" ht="21" customHeight="1">
      <c r="A277" s="578">
        <v>14</v>
      </c>
      <c r="B277" s="680" t="s">
        <v>115</v>
      </c>
      <c r="C277" s="681" t="s">
        <v>98</v>
      </c>
      <c r="D277" s="580">
        <f>'Bang gia'!K19</f>
        <v>18000</v>
      </c>
      <c r="E277" s="584">
        <v>0.01</v>
      </c>
      <c r="F277" s="580">
        <f>D277*E277</f>
        <v>180</v>
      </c>
      <c r="G277" s="582"/>
      <c r="H277" s="583"/>
      <c r="I277" s="611">
        <v>2.5999999999999999E-2</v>
      </c>
      <c r="J277" s="585">
        <f t="shared" si="30"/>
        <v>468</v>
      </c>
      <c r="K277" s="586">
        <f t="shared" si="31"/>
        <v>648</v>
      </c>
    </row>
    <row r="278" spans="1:11" ht="21" customHeight="1">
      <c r="A278" s="578">
        <v>15</v>
      </c>
      <c r="B278" s="680" t="s">
        <v>116</v>
      </c>
      <c r="C278" s="681" t="s">
        <v>98</v>
      </c>
      <c r="D278" s="580">
        <f>'Bang gia'!K20</f>
        <v>15000</v>
      </c>
      <c r="E278" s="584"/>
      <c r="F278" s="580">
        <f>D278*E278</f>
        <v>0</v>
      </c>
      <c r="G278" s="582"/>
      <c r="H278" s="583"/>
      <c r="I278" s="611">
        <v>6.0000000000000001E-3</v>
      </c>
      <c r="J278" s="585">
        <f t="shared" si="30"/>
        <v>90</v>
      </c>
      <c r="K278" s="586">
        <f t="shared" si="31"/>
        <v>90</v>
      </c>
    </row>
    <row r="279" spans="1:11" ht="21" customHeight="1">
      <c r="A279" s="578">
        <v>16</v>
      </c>
      <c r="B279" s="680" t="s">
        <v>321</v>
      </c>
      <c r="C279" s="682" t="s">
        <v>120</v>
      </c>
      <c r="D279" s="580">
        <f>'Bang gia'!K27</f>
        <v>10000</v>
      </c>
      <c r="E279" s="683"/>
      <c r="F279" s="580"/>
      <c r="G279" s="684"/>
      <c r="H279" s="583"/>
      <c r="I279" s="720">
        <v>6.0000000000000001E-3</v>
      </c>
      <c r="J279" s="585">
        <f t="shared" si="30"/>
        <v>60</v>
      </c>
      <c r="K279" s="586">
        <f t="shared" si="31"/>
        <v>60</v>
      </c>
    </row>
    <row r="280" spans="1:11" ht="21" customHeight="1">
      <c r="A280" s="686">
        <v>17</v>
      </c>
      <c r="B280" s="680" t="s">
        <v>121</v>
      </c>
      <c r="C280" s="687" t="s">
        <v>107</v>
      </c>
      <c r="D280" s="688">
        <f>'Bang gia'!K23</f>
        <v>1500</v>
      </c>
      <c r="E280" s="683"/>
      <c r="F280" s="688"/>
      <c r="G280" s="684"/>
      <c r="H280" s="689"/>
      <c r="I280" s="720">
        <v>1</v>
      </c>
      <c r="J280" s="690">
        <f>D280*I280</f>
        <v>1500</v>
      </c>
      <c r="K280" s="691">
        <f t="shared" si="31"/>
        <v>1500</v>
      </c>
    </row>
    <row r="281" spans="1:11" ht="21" customHeight="1">
      <c r="A281" s="697"/>
      <c r="B281" s="698" t="s">
        <v>853</v>
      </c>
      <c r="C281" s="622"/>
      <c r="D281" s="622"/>
      <c r="E281" s="621"/>
      <c r="F281" s="622">
        <f>SUM(F264:F280)</f>
        <v>820</v>
      </c>
      <c r="G281" s="699"/>
      <c r="H281" s="700"/>
      <c r="I281" s="621"/>
      <c r="J281" s="591">
        <f>SUM(J264:J280)</f>
        <v>21557</v>
      </c>
      <c r="K281" s="591">
        <f>SUM(K264:K280)</f>
        <v>22377</v>
      </c>
    </row>
    <row r="282" spans="1:11" ht="21" customHeight="1">
      <c r="A282" s="697"/>
      <c r="B282" s="698" t="s">
        <v>854</v>
      </c>
      <c r="C282" s="622"/>
      <c r="D282" s="622"/>
      <c r="E282" s="621"/>
      <c r="F282" s="622">
        <f>F281*8%</f>
        <v>65.599999999999994</v>
      </c>
      <c r="G282" s="701"/>
      <c r="H282" s="700"/>
      <c r="I282" s="699"/>
      <c r="J282" s="700">
        <f>J281*8%</f>
        <v>1724.56</v>
      </c>
      <c r="K282" s="700">
        <f>K281*8%</f>
        <v>1790.16</v>
      </c>
    </row>
    <row r="283" spans="1:11" ht="21" customHeight="1">
      <c r="A283" s="702"/>
      <c r="B283" s="588" t="s">
        <v>295</v>
      </c>
      <c r="C283" s="702"/>
      <c r="D283" s="702"/>
      <c r="E283" s="703"/>
      <c r="F283" s="622">
        <f>F281+F282</f>
        <v>885.6</v>
      </c>
      <c r="G283" s="701"/>
      <c r="H283" s="700"/>
      <c r="I283" s="699"/>
      <c r="J283" s="700">
        <f>J281+J282</f>
        <v>23281.56</v>
      </c>
      <c r="K283" s="700">
        <f>K281+K282</f>
        <v>24167.16</v>
      </c>
    </row>
    <row r="284" spans="1:11" ht="7.5" customHeight="1">
      <c r="A284" s="454"/>
      <c r="B284" s="454"/>
      <c r="C284" s="454"/>
    </row>
    <row r="285" spans="1:11">
      <c r="A285" s="708"/>
      <c r="B285" s="599" t="s">
        <v>299</v>
      </c>
      <c r="C285" s="454"/>
    </row>
    <row r="286" spans="1:11">
      <c r="A286" s="606"/>
      <c r="B286" s="605" t="s">
        <v>827</v>
      </c>
      <c r="C286" s="454"/>
    </row>
    <row r="287" spans="1:11">
      <c r="A287" s="673"/>
      <c r="B287" s="605"/>
      <c r="C287" s="454"/>
    </row>
    <row r="288" spans="1:11" ht="30" customHeight="1">
      <c r="A288" s="1264" t="s">
        <v>403</v>
      </c>
      <c r="B288" s="1264"/>
      <c r="C288" s="1264"/>
      <c r="D288" s="1264"/>
      <c r="E288" s="1264"/>
      <c r="F288" s="1264"/>
      <c r="G288" s="1264"/>
      <c r="H288" s="1264"/>
      <c r="I288" s="1264"/>
      <c r="J288" s="1264"/>
      <c r="K288" s="1264"/>
    </row>
    <row r="289" spans="1:11" ht="9" customHeight="1">
      <c r="A289" s="673"/>
      <c r="B289" s="480"/>
      <c r="C289" s="670"/>
      <c r="D289" s="601"/>
      <c r="E289" s="671"/>
      <c r="F289" s="601"/>
      <c r="G289" s="671"/>
      <c r="H289" s="672"/>
      <c r="I289" s="674"/>
      <c r="J289" s="601"/>
      <c r="K289" s="494"/>
    </row>
    <row r="290" spans="1:11" ht="24.6" customHeight="1">
      <c r="A290" s="1245" t="s">
        <v>882</v>
      </c>
      <c r="B290" s="1245" t="s">
        <v>283</v>
      </c>
      <c r="C290" s="1245" t="s">
        <v>284</v>
      </c>
      <c r="D290" s="1245" t="s">
        <v>305</v>
      </c>
      <c r="E290" s="1254" t="s">
        <v>288</v>
      </c>
      <c r="F290" s="1255"/>
      <c r="G290" s="1255"/>
      <c r="H290" s="1255"/>
      <c r="I290" s="1255"/>
      <c r="J290" s="1256"/>
      <c r="K290" s="1245" t="s">
        <v>409</v>
      </c>
    </row>
    <row r="291" spans="1:11" ht="42" customHeight="1">
      <c r="A291" s="1246"/>
      <c r="B291" s="1246"/>
      <c r="C291" s="1246"/>
      <c r="D291" s="1246"/>
      <c r="E291" s="1254" t="s">
        <v>345</v>
      </c>
      <c r="F291" s="1256"/>
      <c r="G291" s="1254" t="s">
        <v>322</v>
      </c>
      <c r="H291" s="1256"/>
      <c r="I291" s="1254" t="s">
        <v>291</v>
      </c>
      <c r="J291" s="1256"/>
      <c r="K291" s="1246"/>
    </row>
    <row r="292" spans="1:11" ht="19.5" customHeight="1">
      <c r="A292" s="1247"/>
      <c r="B292" s="1247"/>
      <c r="C292" s="1247"/>
      <c r="D292" s="1247"/>
      <c r="E292" s="675" t="s">
        <v>848</v>
      </c>
      <c r="F292" s="468" t="s">
        <v>986</v>
      </c>
      <c r="G292" s="675" t="s">
        <v>848</v>
      </c>
      <c r="H292" s="468" t="s">
        <v>986</v>
      </c>
      <c r="I292" s="675" t="s">
        <v>848</v>
      </c>
      <c r="J292" s="468" t="s">
        <v>986</v>
      </c>
      <c r="K292" s="1247"/>
    </row>
    <row r="293" spans="1:11" ht="20.45" customHeight="1">
      <c r="A293" s="623">
        <v>1</v>
      </c>
      <c r="B293" s="676" t="s">
        <v>97</v>
      </c>
      <c r="C293" s="677" t="s">
        <v>98</v>
      </c>
      <c r="D293" s="580">
        <f>'Bang gia'!K6</f>
        <v>5000</v>
      </c>
      <c r="E293" s="626">
        <v>2E-3</v>
      </c>
      <c r="F293" s="625">
        <f>E293*D293</f>
        <v>10</v>
      </c>
      <c r="G293" s="626">
        <v>8.0000000000000002E-3</v>
      </c>
      <c r="H293" s="627">
        <f>D293*G293</f>
        <v>40</v>
      </c>
      <c r="I293" s="626"/>
      <c r="J293" s="628"/>
      <c r="K293" s="627">
        <f>F293+H293+J293</f>
        <v>50</v>
      </c>
    </row>
    <row r="294" spans="1:11" ht="20.45" customHeight="1">
      <c r="A294" s="578">
        <v>2</v>
      </c>
      <c r="B294" s="678" t="s">
        <v>99</v>
      </c>
      <c r="C294" s="679" t="s">
        <v>100</v>
      </c>
      <c r="D294" s="580">
        <f>'Bang gia'!K7</f>
        <v>2000</v>
      </c>
      <c r="E294" s="584">
        <v>0.02</v>
      </c>
      <c r="F294" s="580">
        <f>D294*E294</f>
        <v>40</v>
      </c>
      <c r="G294" s="582">
        <v>1.7999999999999999E-2</v>
      </c>
      <c r="H294" s="583">
        <f>D294*G294</f>
        <v>36</v>
      </c>
      <c r="I294" s="584"/>
      <c r="J294" s="585"/>
      <c r="K294" s="586">
        <f>F294+H294+J294</f>
        <v>76</v>
      </c>
    </row>
    <row r="295" spans="1:11" ht="20.45" customHeight="1">
      <c r="A295" s="578">
        <v>3</v>
      </c>
      <c r="B295" s="678" t="s">
        <v>101</v>
      </c>
      <c r="C295" s="679" t="s">
        <v>100</v>
      </c>
      <c r="D295" s="580">
        <f>'Bang gia'!K8</f>
        <v>2000</v>
      </c>
      <c r="E295" s="584"/>
      <c r="F295" s="580"/>
      <c r="G295" s="582">
        <v>6.0000000000000001E-3</v>
      </c>
      <c r="H295" s="583">
        <f t="shared" ref="H295:H300" si="32">D295*G295</f>
        <v>12</v>
      </c>
      <c r="I295" s="584"/>
      <c r="J295" s="585"/>
      <c r="K295" s="586">
        <f t="shared" ref="K295:K309" si="33">F295+H295+J295</f>
        <v>12</v>
      </c>
    </row>
    <row r="296" spans="1:11" ht="20.45" customHeight="1">
      <c r="A296" s="578">
        <v>4</v>
      </c>
      <c r="B296" s="678" t="s">
        <v>102</v>
      </c>
      <c r="C296" s="679" t="s">
        <v>100</v>
      </c>
      <c r="D296" s="580">
        <f>'Bang gia'!K9</f>
        <v>1450000</v>
      </c>
      <c r="E296" s="584"/>
      <c r="F296" s="580"/>
      <c r="G296" s="582">
        <v>2E-3</v>
      </c>
      <c r="H296" s="583">
        <f t="shared" si="32"/>
        <v>2900</v>
      </c>
      <c r="I296" s="584"/>
      <c r="J296" s="585"/>
      <c r="K296" s="586">
        <f t="shared" si="33"/>
        <v>2900</v>
      </c>
    </row>
    <row r="297" spans="1:11" ht="20.45" customHeight="1">
      <c r="A297" s="578">
        <v>5</v>
      </c>
      <c r="B297" s="678" t="s">
        <v>103</v>
      </c>
      <c r="C297" s="679" t="s">
        <v>100</v>
      </c>
      <c r="D297" s="580">
        <f>'Bang gia'!K10</f>
        <v>300000</v>
      </c>
      <c r="E297" s="584"/>
      <c r="F297" s="580"/>
      <c r="G297" s="582">
        <v>3.0000000000000001E-3</v>
      </c>
      <c r="H297" s="583">
        <f t="shared" si="32"/>
        <v>900</v>
      </c>
      <c r="I297" s="584"/>
      <c r="J297" s="585"/>
      <c r="K297" s="586">
        <f t="shared" si="33"/>
        <v>900</v>
      </c>
    </row>
    <row r="298" spans="1:11" ht="20.45" customHeight="1">
      <c r="A298" s="578">
        <v>6</v>
      </c>
      <c r="B298" s="678" t="s">
        <v>105</v>
      </c>
      <c r="C298" s="679" t="s">
        <v>100</v>
      </c>
      <c r="D298" s="580">
        <f>'Bang gia'!K11</f>
        <v>3350000</v>
      </c>
      <c r="E298" s="584"/>
      <c r="F298" s="580"/>
      <c r="G298" s="582">
        <v>2E-3</v>
      </c>
      <c r="H298" s="583">
        <f t="shared" si="32"/>
        <v>6700</v>
      </c>
      <c r="I298" s="584"/>
      <c r="J298" s="585"/>
      <c r="K298" s="586">
        <f t="shared" si="33"/>
        <v>6700</v>
      </c>
    </row>
    <row r="299" spans="1:11" ht="20.45" customHeight="1">
      <c r="A299" s="578">
        <v>7</v>
      </c>
      <c r="B299" s="678" t="s">
        <v>106</v>
      </c>
      <c r="C299" s="679" t="s">
        <v>107</v>
      </c>
      <c r="D299" s="580">
        <f>'Bang gia'!K12</f>
        <v>300</v>
      </c>
      <c r="E299" s="584"/>
      <c r="F299" s="580"/>
      <c r="G299" s="582">
        <v>1</v>
      </c>
      <c r="H299" s="583">
        <f t="shared" si="32"/>
        <v>300</v>
      </c>
      <c r="I299" s="584"/>
      <c r="J299" s="585"/>
      <c r="K299" s="586">
        <f t="shared" si="33"/>
        <v>300</v>
      </c>
    </row>
    <row r="300" spans="1:11" ht="20.45" customHeight="1">
      <c r="A300" s="578">
        <v>8</v>
      </c>
      <c r="B300" s="678" t="s">
        <v>320</v>
      </c>
      <c r="C300" s="679" t="s">
        <v>108</v>
      </c>
      <c r="D300" s="580">
        <f>'Bang gia'!K13</f>
        <v>7000</v>
      </c>
      <c r="E300" s="584"/>
      <c r="F300" s="580"/>
      <c r="G300" s="582">
        <v>1</v>
      </c>
      <c r="H300" s="583">
        <f t="shared" si="32"/>
        <v>7000</v>
      </c>
      <c r="I300" s="584"/>
      <c r="J300" s="585"/>
      <c r="K300" s="586">
        <f t="shared" si="33"/>
        <v>7000</v>
      </c>
    </row>
    <row r="301" spans="1:11" ht="20.45" customHeight="1">
      <c r="A301" s="578">
        <v>9</v>
      </c>
      <c r="B301" s="678" t="s">
        <v>332</v>
      </c>
      <c r="C301" s="679" t="s">
        <v>107</v>
      </c>
      <c r="D301" s="580">
        <f>'Bang gia'!K26</f>
        <v>300</v>
      </c>
      <c r="E301" s="584">
        <v>1</v>
      </c>
      <c r="F301" s="580">
        <f>D301*E301</f>
        <v>300</v>
      </c>
      <c r="G301" s="582"/>
      <c r="H301" s="583"/>
      <c r="I301" s="584"/>
      <c r="J301" s="585"/>
      <c r="K301" s="586">
        <f t="shared" si="33"/>
        <v>300</v>
      </c>
    </row>
    <row r="302" spans="1:11" ht="20.45" customHeight="1">
      <c r="A302" s="578">
        <v>10</v>
      </c>
      <c r="B302" s="678" t="s">
        <v>109</v>
      </c>
      <c r="C302" s="679" t="s">
        <v>110</v>
      </c>
      <c r="D302" s="580">
        <f>'Bang gia'!K15</f>
        <v>45000</v>
      </c>
      <c r="E302" s="584">
        <v>0.05</v>
      </c>
      <c r="F302" s="580">
        <f>D302*E302</f>
        <v>2250</v>
      </c>
      <c r="G302" s="582">
        <v>4.2000000000000003E-2</v>
      </c>
      <c r="H302" s="583">
        <f t="shared" ref="H302:H307" si="34">D302*G302</f>
        <v>1890.0000000000002</v>
      </c>
      <c r="I302" s="584"/>
      <c r="J302" s="585"/>
      <c r="K302" s="586">
        <f t="shared" si="33"/>
        <v>4140</v>
      </c>
    </row>
    <row r="303" spans="1:11" ht="20.45" customHeight="1">
      <c r="A303" s="578">
        <v>11</v>
      </c>
      <c r="B303" s="678" t="s">
        <v>111</v>
      </c>
      <c r="C303" s="679" t="s">
        <v>110</v>
      </c>
      <c r="D303" s="580">
        <f>'Bang gia'!K16</f>
        <v>90000</v>
      </c>
      <c r="E303" s="584">
        <v>2E-3</v>
      </c>
      <c r="F303" s="580">
        <f>D303*E303</f>
        <v>180</v>
      </c>
      <c r="G303" s="582">
        <v>5.0000000000000001E-3</v>
      </c>
      <c r="H303" s="583">
        <f t="shared" si="34"/>
        <v>450</v>
      </c>
      <c r="I303" s="584"/>
      <c r="J303" s="585"/>
      <c r="K303" s="586">
        <f t="shared" si="33"/>
        <v>630</v>
      </c>
    </row>
    <row r="304" spans="1:11" ht="20.45" customHeight="1">
      <c r="A304" s="578">
        <v>12</v>
      </c>
      <c r="B304" s="678" t="s">
        <v>112</v>
      </c>
      <c r="C304" s="679" t="s">
        <v>113</v>
      </c>
      <c r="D304" s="580">
        <f>'Bang gia'!K17</f>
        <v>25000</v>
      </c>
      <c r="E304" s="584"/>
      <c r="F304" s="580"/>
      <c r="G304" s="582">
        <v>5.0000000000000001E-3</v>
      </c>
      <c r="H304" s="583">
        <f t="shared" si="34"/>
        <v>125</v>
      </c>
      <c r="I304" s="584"/>
      <c r="J304" s="585"/>
      <c r="K304" s="586">
        <f t="shared" si="33"/>
        <v>125</v>
      </c>
    </row>
    <row r="305" spans="1:11" ht="20.45" customHeight="1">
      <c r="A305" s="578">
        <v>13</v>
      </c>
      <c r="B305" s="680" t="s">
        <v>114</v>
      </c>
      <c r="C305" s="681" t="s">
        <v>850</v>
      </c>
      <c r="D305" s="580">
        <f>'Bang gia'!K18</f>
        <v>2500</v>
      </c>
      <c r="E305" s="584">
        <v>0.01</v>
      </c>
      <c r="F305" s="580">
        <f>D305*E305</f>
        <v>25</v>
      </c>
      <c r="G305" s="582">
        <v>1.9E-2</v>
      </c>
      <c r="H305" s="583">
        <f t="shared" si="34"/>
        <v>47.5</v>
      </c>
      <c r="I305" s="584"/>
      <c r="J305" s="585"/>
      <c r="K305" s="586">
        <f t="shared" si="33"/>
        <v>72.5</v>
      </c>
    </row>
    <row r="306" spans="1:11" ht="20.45" customHeight="1">
      <c r="A306" s="578">
        <v>14</v>
      </c>
      <c r="B306" s="680" t="s">
        <v>115</v>
      </c>
      <c r="C306" s="681" t="s">
        <v>98</v>
      </c>
      <c r="D306" s="580">
        <f>'Bang gia'!K19</f>
        <v>18000</v>
      </c>
      <c r="E306" s="584">
        <v>2E-3</v>
      </c>
      <c r="F306" s="580">
        <f>D306*E306</f>
        <v>36</v>
      </c>
      <c r="G306" s="582">
        <v>8.0000000000000002E-3</v>
      </c>
      <c r="H306" s="583">
        <f t="shared" si="34"/>
        <v>144</v>
      </c>
      <c r="I306" s="584"/>
      <c r="J306" s="585"/>
      <c r="K306" s="586">
        <f t="shared" si="33"/>
        <v>180</v>
      </c>
    </row>
    <row r="307" spans="1:11" ht="20.45" customHeight="1">
      <c r="A307" s="578">
        <v>15</v>
      </c>
      <c r="B307" s="680" t="s">
        <v>116</v>
      </c>
      <c r="C307" s="681" t="s">
        <v>98</v>
      </c>
      <c r="D307" s="580">
        <f>'Bang gia'!K20</f>
        <v>15000</v>
      </c>
      <c r="E307" s="584">
        <v>2E-3</v>
      </c>
      <c r="F307" s="580">
        <f>D307*E307</f>
        <v>30</v>
      </c>
      <c r="G307" s="582">
        <v>5.0000000000000001E-3</v>
      </c>
      <c r="H307" s="583">
        <f t="shared" si="34"/>
        <v>75</v>
      </c>
      <c r="I307" s="584"/>
      <c r="J307" s="585"/>
      <c r="K307" s="586">
        <f t="shared" si="33"/>
        <v>105</v>
      </c>
    </row>
    <row r="308" spans="1:11" ht="20.45" customHeight="1">
      <c r="A308" s="578">
        <v>16</v>
      </c>
      <c r="B308" s="680" t="s">
        <v>321</v>
      </c>
      <c r="C308" s="682" t="s">
        <v>330</v>
      </c>
      <c r="D308" s="580">
        <f>'Bang gia'!K27</f>
        <v>10000</v>
      </c>
      <c r="E308" s="720"/>
      <c r="F308" s="580"/>
      <c r="G308" s="684">
        <v>3.0000000000000001E-3</v>
      </c>
      <c r="H308" s="583">
        <f>D308*G308</f>
        <v>30</v>
      </c>
      <c r="I308" s="683"/>
      <c r="J308" s="585"/>
      <c r="K308" s="586">
        <f t="shared" si="33"/>
        <v>30</v>
      </c>
    </row>
    <row r="309" spans="1:11" ht="20.45" customHeight="1">
      <c r="A309" s="686">
        <v>17</v>
      </c>
      <c r="B309" s="680" t="s">
        <v>121</v>
      </c>
      <c r="C309" s="687" t="s">
        <v>107</v>
      </c>
      <c r="D309" s="688">
        <f>'Bang gia'!K23</f>
        <v>1500</v>
      </c>
      <c r="E309" s="720"/>
      <c r="F309" s="688"/>
      <c r="G309" s="684">
        <v>1</v>
      </c>
      <c r="H309" s="689">
        <f>D309*G309</f>
        <v>1500</v>
      </c>
      <c r="I309" s="683"/>
      <c r="J309" s="690"/>
      <c r="K309" s="691">
        <f t="shared" si="33"/>
        <v>1500</v>
      </c>
    </row>
    <row r="310" spans="1:11" ht="20.45" customHeight="1">
      <c r="A310" s="697"/>
      <c r="B310" s="698" t="s">
        <v>853</v>
      </c>
      <c r="C310" s="622"/>
      <c r="D310" s="622"/>
      <c r="E310" s="621"/>
      <c r="F310" s="622">
        <f>SUM(F293:F309)</f>
        <v>2871</v>
      </c>
      <c r="G310" s="699"/>
      <c r="H310" s="700">
        <f>SUM(H293:H309)</f>
        <v>22149.5</v>
      </c>
      <c r="I310" s="621"/>
      <c r="J310" s="591"/>
      <c r="K310" s="591">
        <f>SUM(K293:K309)</f>
        <v>25020.5</v>
      </c>
    </row>
    <row r="311" spans="1:11" ht="20.45" customHeight="1">
      <c r="A311" s="697"/>
      <c r="B311" s="698" t="s">
        <v>854</v>
      </c>
      <c r="C311" s="622"/>
      <c r="D311" s="622"/>
      <c r="E311" s="621"/>
      <c r="F311" s="622">
        <f>F310*8%</f>
        <v>229.68</v>
      </c>
      <c r="G311" s="701"/>
      <c r="H311" s="700">
        <f>H310*8%</f>
        <v>1771.96</v>
      </c>
      <c r="I311" s="699"/>
      <c r="J311" s="700"/>
      <c r="K311" s="700">
        <f>K310*8%</f>
        <v>2001.64</v>
      </c>
    </row>
    <row r="312" spans="1:11" ht="20.45" customHeight="1">
      <c r="A312" s="702"/>
      <c r="B312" s="588" t="s">
        <v>295</v>
      </c>
      <c r="C312" s="702"/>
      <c r="D312" s="702"/>
      <c r="E312" s="703"/>
      <c r="F312" s="622">
        <f>F310+F311</f>
        <v>3100.68</v>
      </c>
      <c r="G312" s="621"/>
      <c r="H312" s="700">
        <f>H310+H311</f>
        <v>23921.46</v>
      </c>
      <c r="I312" s="699"/>
      <c r="J312" s="700"/>
      <c r="K312" s="700">
        <f>K310+K311</f>
        <v>27022.14</v>
      </c>
    </row>
    <row r="313" spans="1:11" ht="10.5" customHeight="1">
      <c r="A313" s="454"/>
      <c r="B313" s="454"/>
      <c r="C313" s="454"/>
    </row>
    <row r="314" spans="1:11">
      <c r="A314" s="708"/>
      <c r="B314" s="599" t="s">
        <v>299</v>
      </c>
      <c r="C314" s="454"/>
    </row>
    <row r="315" spans="1:11" ht="27.6" customHeight="1">
      <c r="A315" s="606"/>
      <c r="B315" s="1260" t="s">
        <v>827</v>
      </c>
      <c r="C315" s="1260"/>
      <c r="D315" s="1260"/>
      <c r="E315" s="1260"/>
      <c r="F315" s="1260"/>
      <c r="G315" s="1260"/>
      <c r="H315" s="1260"/>
      <c r="I315" s="1260"/>
      <c r="J315" s="1260"/>
      <c r="K315" s="1260"/>
    </row>
    <row r="316" spans="1:11" ht="38.450000000000003" customHeight="1">
      <c r="A316" s="606"/>
      <c r="B316" s="1266" t="s">
        <v>780</v>
      </c>
      <c r="C316" s="1266"/>
      <c r="D316" s="1266"/>
      <c r="E316" s="1266"/>
      <c r="F316" s="1266"/>
      <c r="G316" s="1266"/>
      <c r="H316" s="1266"/>
      <c r="I316" s="1266"/>
      <c r="J316" s="1266"/>
      <c r="K316" s="1266"/>
    </row>
    <row r="317" spans="1:11">
      <c r="A317" s="673"/>
      <c r="B317" s="605"/>
      <c r="C317" s="454"/>
    </row>
    <row r="318" spans="1:11" ht="28.9" customHeight="1">
      <c r="A318" s="1264" t="s">
        <v>404</v>
      </c>
      <c r="B318" s="1264"/>
      <c r="C318" s="1264"/>
      <c r="D318" s="1264"/>
      <c r="E318" s="1264"/>
      <c r="F318" s="1264"/>
      <c r="G318" s="1264"/>
      <c r="H318" s="1264"/>
      <c r="I318" s="1264"/>
      <c r="J318" s="1264"/>
      <c r="K318" s="1264"/>
    </row>
    <row r="319" spans="1:11">
      <c r="A319" s="673"/>
      <c r="B319" s="480"/>
      <c r="C319" s="670"/>
      <c r="D319" s="601"/>
      <c r="E319" s="671"/>
      <c r="F319" s="601"/>
      <c r="G319" s="671"/>
      <c r="H319" s="672"/>
      <c r="I319" s="674"/>
      <c r="J319" s="601"/>
      <c r="K319" s="494"/>
    </row>
    <row r="320" spans="1:11" ht="18" customHeight="1">
      <c r="A320" s="1245" t="s">
        <v>882</v>
      </c>
      <c r="B320" s="1245" t="s">
        <v>283</v>
      </c>
      <c r="C320" s="1245" t="s">
        <v>284</v>
      </c>
      <c r="D320" s="1245" t="s">
        <v>305</v>
      </c>
      <c r="E320" s="1254" t="s">
        <v>288</v>
      </c>
      <c r="F320" s="1255"/>
      <c r="G320" s="1255"/>
      <c r="H320" s="1255"/>
      <c r="I320" s="1255"/>
      <c r="J320" s="1256"/>
      <c r="K320" s="1245" t="s">
        <v>409</v>
      </c>
    </row>
    <row r="321" spans="1:11" ht="42.75" customHeight="1">
      <c r="A321" s="1246"/>
      <c r="B321" s="1246"/>
      <c r="C321" s="1246"/>
      <c r="D321" s="1246"/>
      <c r="E321" s="1254" t="s">
        <v>345</v>
      </c>
      <c r="F321" s="1256"/>
      <c r="G321" s="1254" t="s">
        <v>322</v>
      </c>
      <c r="H321" s="1256"/>
      <c r="I321" s="1254" t="s">
        <v>291</v>
      </c>
      <c r="J321" s="1256"/>
      <c r="K321" s="1246"/>
    </row>
    <row r="322" spans="1:11" ht="19.5" customHeight="1">
      <c r="A322" s="1247"/>
      <c r="B322" s="1247"/>
      <c r="C322" s="1247"/>
      <c r="D322" s="1247"/>
      <c r="E322" s="675" t="s">
        <v>848</v>
      </c>
      <c r="F322" s="468" t="s">
        <v>986</v>
      </c>
      <c r="G322" s="675" t="s">
        <v>848</v>
      </c>
      <c r="H322" s="468" t="s">
        <v>986</v>
      </c>
      <c r="I322" s="675" t="s">
        <v>848</v>
      </c>
      <c r="J322" s="468" t="s">
        <v>986</v>
      </c>
      <c r="K322" s="1247"/>
    </row>
    <row r="323" spans="1:11" ht="20.45" customHeight="1">
      <c r="A323" s="623">
        <v>1</v>
      </c>
      <c r="B323" s="676" t="s">
        <v>97</v>
      </c>
      <c r="C323" s="677" t="s">
        <v>98</v>
      </c>
      <c r="D323" s="580">
        <f>'Bang gia'!K6</f>
        <v>5000</v>
      </c>
      <c r="E323" s="584">
        <v>2E-3</v>
      </c>
      <c r="F323" s="625">
        <f>E323*D323</f>
        <v>10</v>
      </c>
      <c r="G323" s="584">
        <v>7.0000000000000001E-3</v>
      </c>
      <c r="H323" s="627">
        <f>D323*G323</f>
        <v>35</v>
      </c>
      <c r="I323" s="626"/>
      <c r="J323" s="628"/>
      <c r="K323" s="627">
        <f>F323+H323+J323</f>
        <v>45</v>
      </c>
    </row>
    <row r="324" spans="1:11" ht="20.45" customHeight="1">
      <c r="A324" s="578">
        <v>2</v>
      </c>
      <c r="B324" s="678" t="s">
        <v>99</v>
      </c>
      <c r="C324" s="679" t="s">
        <v>100</v>
      </c>
      <c r="D324" s="580">
        <f>'Bang gia'!K7</f>
        <v>2000</v>
      </c>
      <c r="E324" s="584">
        <v>8.0000000000000002E-3</v>
      </c>
      <c r="F324" s="580">
        <f>D324*E324</f>
        <v>16</v>
      </c>
      <c r="G324" s="584">
        <v>3.3000000000000002E-2</v>
      </c>
      <c r="H324" s="583">
        <f>D324*G324</f>
        <v>66</v>
      </c>
      <c r="I324" s="584"/>
      <c r="J324" s="585"/>
      <c r="K324" s="586">
        <f>F324+H324+J324</f>
        <v>82</v>
      </c>
    </row>
    <row r="325" spans="1:11" ht="20.45" customHeight="1">
      <c r="A325" s="578">
        <v>3</v>
      </c>
      <c r="B325" s="678" t="s">
        <v>101</v>
      </c>
      <c r="C325" s="679" t="s">
        <v>100</v>
      </c>
      <c r="D325" s="580">
        <f>'Bang gia'!K8</f>
        <v>2000</v>
      </c>
      <c r="E325" s="584"/>
      <c r="F325" s="580">
        <f t="shared" ref="F325:F334" si="35">D325*E325</f>
        <v>0</v>
      </c>
      <c r="G325" s="584">
        <v>6.0000000000000001E-3</v>
      </c>
      <c r="H325" s="583">
        <f t="shared" ref="H325:H331" si="36">D325*G325</f>
        <v>12</v>
      </c>
      <c r="I325" s="584"/>
      <c r="J325" s="585"/>
      <c r="K325" s="586">
        <f t="shared" ref="K325:K339" si="37">F325+H325+J325</f>
        <v>12</v>
      </c>
    </row>
    <row r="326" spans="1:11" ht="20.45" customHeight="1">
      <c r="A326" s="578">
        <v>4</v>
      </c>
      <c r="B326" s="678" t="s">
        <v>102</v>
      </c>
      <c r="C326" s="679" t="s">
        <v>100</v>
      </c>
      <c r="D326" s="580">
        <f>'Bang gia'!K9</f>
        <v>1450000</v>
      </c>
      <c r="E326" s="584"/>
      <c r="F326" s="580">
        <f t="shared" si="35"/>
        <v>0</v>
      </c>
      <c r="G326" s="584">
        <v>2E-3</v>
      </c>
      <c r="H326" s="583">
        <f t="shared" si="36"/>
        <v>2900</v>
      </c>
      <c r="I326" s="584"/>
      <c r="J326" s="585"/>
      <c r="K326" s="586">
        <f t="shared" si="37"/>
        <v>2900</v>
      </c>
    </row>
    <row r="327" spans="1:11" ht="20.45" customHeight="1">
      <c r="A327" s="578">
        <v>5</v>
      </c>
      <c r="B327" s="678" t="s">
        <v>103</v>
      </c>
      <c r="C327" s="679" t="s">
        <v>100</v>
      </c>
      <c r="D327" s="580">
        <f>'Bang gia'!K10</f>
        <v>300000</v>
      </c>
      <c r="E327" s="584"/>
      <c r="F327" s="580"/>
      <c r="G327" s="584">
        <v>3.0000000000000001E-3</v>
      </c>
      <c r="H327" s="583">
        <f t="shared" si="36"/>
        <v>900</v>
      </c>
      <c r="I327" s="584"/>
      <c r="J327" s="585"/>
      <c r="K327" s="586">
        <f t="shared" si="37"/>
        <v>900</v>
      </c>
    </row>
    <row r="328" spans="1:11" ht="20.45" customHeight="1">
      <c r="A328" s="578">
        <v>6</v>
      </c>
      <c r="B328" s="678" t="s">
        <v>105</v>
      </c>
      <c r="C328" s="679" t="s">
        <v>100</v>
      </c>
      <c r="D328" s="580">
        <f>'Bang gia'!K11</f>
        <v>3350000</v>
      </c>
      <c r="E328" s="584"/>
      <c r="F328" s="580"/>
      <c r="G328" s="584">
        <v>2E-3</v>
      </c>
      <c r="H328" s="583">
        <f t="shared" si="36"/>
        <v>6700</v>
      </c>
      <c r="I328" s="584"/>
      <c r="J328" s="585"/>
      <c r="K328" s="586">
        <f t="shared" si="37"/>
        <v>6700</v>
      </c>
    </row>
    <row r="329" spans="1:11" ht="20.45" customHeight="1">
      <c r="A329" s="578">
        <v>7</v>
      </c>
      <c r="B329" s="678" t="s">
        <v>106</v>
      </c>
      <c r="C329" s="679" t="s">
        <v>107</v>
      </c>
      <c r="D329" s="580">
        <f>'Bang gia'!K12</f>
        <v>300</v>
      </c>
      <c r="E329" s="584"/>
      <c r="F329" s="580"/>
      <c r="G329" s="584">
        <v>1</v>
      </c>
      <c r="H329" s="583">
        <f t="shared" si="36"/>
        <v>300</v>
      </c>
      <c r="I329" s="584"/>
      <c r="J329" s="585"/>
      <c r="K329" s="586">
        <f t="shared" si="37"/>
        <v>300</v>
      </c>
    </row>
    <row r="330" spans="1:11" ht="20.45" customHeight="1">
      <c r="A330" s="578">
        <v>8</v>
      </c>
      <c r="B330" s="678" t="s">
        <v>320</v>
      </c>
      <c r="C330" s="679" t="s">
        <v>108</v>
      </c>
      <c r="D330" s="580">
        <f>'Bang gia'!K13</f>
        <v>7000</v>
      </c>
      <c r="E330" s="584"/>
      <c r="F330" s="580"/>
      <c r="G330" s="584">
        <v>1</v>
      </c>
      <c r="H330" s="583">
        <f t="shared" si="36"/>
        <v>7000</v>
      </c>
      <c r="I330" s="584"/>
      <c r="J330" s="585"/>
      <c r="K330" s="586">
        <f t="shared" si="37"/>
        <v>7000</v>
      </c>
    </row>
    <row r="331" spans="1:11" ht="20.45" customHeight="1">
      <c r="A331" s="578">
        <v>9</v>
      </c>
      <c r="B331" s="678" t="s">
        <v>332</v>
      </c>
      <c r="C331" s="679" t="s">
        <v>107</v>
      </c>
      <c r="D331" s="580">
        <f>'Bang gia'!K26</f>
        <v>300</v>
      </c>
      <c r="E331" s="584"/>
      <c r="F331" s="580">
        <f t="shared" si="35"/>
        <v>0</v>
      </c>
      <c r="G331" s="584">
        <v>1</v>
      </c>
      <c r="H331" s="583">
        <f t="shared" si="36"/>
        <v>300</v>
      </c>
      <c r="I331" s="584"/>
      <c r="J331" s="585"/>
      <c r="K331" s="586">
        <f t="shared" si="37"/>
        <v>300</v>
      </c>
    </row>
    <row r="332" spans="1:11" ht="20.45" customHeight="1">
      <c r="A332" s="578">
        <v>10</v>
      </c>
      <c r="B332" s="678" t="s">
        <v>109</v>
      </c>
      <c r="C332" s="679" t="s">
        <v>110</v>
      </c>
      <c r="D332" s="580">
        <f>'Bang gia'!K15</f>
        <v>45000</v>
      </c>
      <c r="E332" s="584">
        <v>0.03</v>
      </c>
      <c r="F332" s="580">
        <f t="shared" si="35"/>
        <v>1350</v>
      </c>
      <c r="G332" s="584">
        <v>6.2E-2</v>
      </c>
      <c r="H332" s="583">
        <f t="shared" ref="H332:H337" si="38">D332*G332</f>
        <v>2790</v>
      </c>
      <c r="I332" s="584"/>
      <c r="J332" s="585"/>
      <c r="K332" s="586">
        <f t="shared" si="37"/>
        <v>4140</v>
      </c>
    </row>
    <row r="333" spans="1:11" ht="20.45" customHeight="1">
      <c r="A333" s="578">
        <v>11</v>
      </c>
      <c r="B333" s="678" t="s">
        <v>111</v>
      </c>
      <c r="C333" s="679" t="s">
        <v>110</v>
      </c>
      <c r="D333" s="580">
        <f>'Bang gia'!K16</f>
        <v>90000</v>
      </c>
      <c r="E333" s="584"/>
      <c r="F333" s="580"/>
      <c r="G333" s="584">
        <v>5.0000000000000001E-3</v>
      </c>
      <c r="H333" s="583">
        <f t="shared" si="38"/>
        <v>450</v>
      </c>
      <c r="I333" s="584"/>
      <c r="J333" s="585"/>
      <c r="K333" s="586">
        <f t="shared" si="37"/>
        <v>450</v>
      </c>
    </row>
    <row r="334" spans="1:11" ht="20.45" customHeight="1">
      <c r="A334" s="578">
        <v>12</v>
      </c>
      <c r="B334" s="678" t="s">
        <v>112</v>
      </c>
      <c r="C334" s="679" t="s">
        <v>113</v>
      </c>
      <c r="D334" s="580">
        <f>'Bang gia'!K17</f>
        <v>25000</v>
      </c>
      <c r="E334" s="584"/>
      <c r="F334" s="580">
        <f t="shared" si="35"/>
        <v>0</v>
      </c>
      <c r="G334" s="584">
        <v>4.0000000000000001E-3</v>
      </c>
      <c r="H334" s="583">
        <f t="shared" si="38"/>
        <v>100</v>
      </c>
      <c r="I334" s="584"/>
      <c r="J334" s="585"/>
      <c r="K334" s="586">
        <f t="shared" si="37"/>
        <v>100</v>
      </c>
    </row>
    <row r="335" spans="1:11" ht="20.45" customHeight="1">
      <c r="A335" s="578">
        <v>13</v>
      </c>
      <c r="B335" s="680" t="s">
        <v>114</v>
      </c>
      <c r="C335" s="681" t="s">
        <v>850</v>
      </c>
      <c r="D335" s="580">
        <f>'Bang gia'!K18</f>
        <v>2500</v>
      </c>
      <c r="E335" s="584">
        <v>0.02</v>
      </c>
      <c r="F335" s="580">
        <f>D335*E335</f>
        <v>50</v>
      </c>
      <c r="G335" s="584">
        <v>2.5000000000000001E-2</v>
      </c>
      <c r="H335" s="583">
        <f t="shared" si="38"/>
        <v>62.5</v>
      </c>
      <c r="I335" s="584"/>
      <c r="J335" s="585"/>
      <c r="K335" s="586">
        <f t="shared" si="37"/>
        <v>112.5</v>
      </c>
    </row>
    <row r="336" spans="1:11" ht="20.45" customHeight="1">
      <c r="A336" s="578">
        <v>14</v>
      </c>
      <c r="B336" s="680" t="s">
        <v>115</v>
      </c>
      <c r="C336" s="681" t="s">
        <v>98</v>
      </c>
      <c r="D336" s="580">
        <f>'Bang gia'!K19</f>
        <v>18000</v>
      </c>
      <c r="E336" s="584">
        <v>2E-3</v>
      </c>
      <c r="F336" s="580">
        <f>D336*E336</f>
        <v>36</v>
      </c>
      <c r="G336" s="584">
        <v>8.9999999999999993E-3</v>
      </c>
      <c r="H336" s="583">
        <f t="shared" si="38"/>
        <v>162</v>
      </c>
      <c r="I336" s="584"/>
      <c r="J336" s="585"/>
      <c r="K336" s="586">
        <f t="shared" si="37"/>
        <v>198</v>
      </c>
    </row>
    <row r="337" spans="1:11" ht="20.45" customHeight="1">
      <c r="A337" s="578">
        <v>15</v>
      </c>
      <c r="B337" s="680" t="s">
        <v>116</v>
      </c>
      <c r="C337" s="681" t="s">
        <v>98</v>
      </c>
      <c r="D337" s="580">
        <f>'Bang gia'!K20</f>
        <v>15000</v>
      </c>
      <c r="E337" s="584">
        <v>2E-3</v>
      </c>
      <c r="F337" s="580">
        <f>D337*E337</f>
        <v>30</v>
      </c>
      <c r="G337" s="584">
        <v>8.0000000000000002E-3</v>
      </c>
      <c r="H337" s="583">
        <f t="shared" si="38"/>
        <v>120</v>
      </c>
      <c r="I337" s="584"/>
      <c r="J337" s="585"/>
      <c r="K337" s="586">
        <f t="shared" si="37"/>
        <v>150</v>
      </c>
    </row>
    <row r="338" spans="1:11" ht="20.45" customHeight="1">
      <c r="A338" s="578">
        <v>16</v>
      </c>
      <c r="B338" s="680" t="s">
        <v>321</v>
      </c>
      <c r="C338" s="682" t="s">
        <v>330</v>
      </c>
      <c r="D338" s="580">
        <f>'Bang gia'!K27</f>
        <v>10000</v>
      </c>
      <c r="E338" s="584"/>
      <c r="F338" s="580">
        <f>D338*E338</f>
        <v>0</v>
      </c>
      <c r="G338" s="584">
        <v>4.0000000000000001E-3</v>
      </c>
      <c r="H338" s="583">
        <f>D338*G338</f>
        <v>40</v>
      </c>
      <c r="I338" s="683"/>
      <c r="J338" s="585"/>
      <c r="K338" s="586">
        <f t="shared" si="37"/>
        <v>40</v>
      </c>
    </row>
    <row r="339" spans="1:11" ht="20.45" customHeight="1">
      <c r="A339" s="686">
        <v>17</v>
      </c>
      <c r="B339" s="680" t="s">
        <v>121</v>
      </c>
      <c r="C339" s="687" t="s">
        <v>107</v>
      </c>
      <c r="D339" s="688">
        <f>'Bang gia'!K23</f>
        <v>1500</v>
      </c>
      <c r="E339" s="584"/>
      <c r="F339" s="688"/>
      <c r="G339" s="584">
        <v>1</v>
      </c>
      <c r="H339" s="689">
        <f>D339*G339</f>
        <v>1500</v>
      </c>
      <c r="I339" s="683"/>
      <c r="J339" s="690"/>
      <c r="K339" s="691">
        <f t="shared" si="37"/>
        <v>1500</v>
      </c>
    </row>
    <row r="340" spans="1:11" ht="20.45" customHeight="1">
      <c r="A340" s="697"/>
      <c r="B340" s="698" t="s">
        <v>853</v>
      </c>
      <c r="C340" s="622"/>
      <c r="D340" s="622"/>
      <c r="E340" s="621"/>
      <c r="F340" s="622">
        <f>SUM(F323:F339)</f>
        <v>1492</v>
      </c>
      <c r="G340" s="699"/>
      <c r="H340" s="700">
        <f>SUM(H323:H339)</f>
        <v>23437.5</v>
      </c>
      <c r="I340" s="621"/>
      <c r="J340" s="591"/>
      <c r="K340" s="591">
        <f>SUM(K323:K339)</f>
        <v>24929.5</v>
      </c>
    </row>
    <row r="341" spans="1:11" ht="20.45" customHeight="1">
      <c r="A341" s="697"/>
      <c r="B341" s="698" t="s">
        <v>854</v>
      </c>
      <c r="C341" s="622"/>
      <c r="D341" s="622"/>
      <c r="E341" s="621"/>
      <c r="F341" s="622">
        <f>F340*8%</f>
        <v>119.36</v>
      </c>
      <c r="G341" s="701"/>
      <c r="H341" s="700">
        <f>H340*8%</f>
        <v>1875</v>
      </c>
      <c r="I341" s="699"/>
      <c r="J341" s="700"/>
      <c r="K341" s="700">
        <f>K340*8%</f>
        <v>1994.3600000000001</v>
      </c>
    </row>
    <row r="342" spans="1:11" ht="20.45" customHeight="1">
      <c r="A342" s="702"/>
      <c r="B342" s="588" t="s">
        <v>295</v>
      </c>
      <c r="C342" s="702"/>
      <c r="D342" s="702"/>
      <c r="E342" s="703"/>
      <c r="F342" s="622">
        <f>F340+F341</f>
        <v>1611.36</v>
      </c>
      <c r="G342" s="621"/>
      <c r="H342" s="591">
        <f>H340+H341</f>
        <v>25312.5</v>
      </c>
      <c r="I342" s="621"/>
      <c r="J342" s="591"/>
      <c r="K342" s="591">
        <f>K340+K341</f>
        <v>26923.86</v>
      </c>
    </row>
    <row r="343" spans="1:11" ht="9.75" customHeight="1">
      <c r="A343" s="454"/>
      <c r="B343" s="454"/>
      <c r="C343" s="454"/>
    </row>
    <row r="344" spans="1:11">
      <c r="A344" s="708"/>
      <c r="B344" s="599" t="s">
        <v>299</v>
      </c>
      <c r="C344" s="454"/>
    </row>
    <row r="345" spans="1:11">
      <c r="A345" s="606"/>
      <c r="B345" s="1260" t="s">
        <v>827</v>
      </c>
      <c r="C345" s="1260"/>
      <c r="D345" s="1260"/>
      <c r="E345" s="1260"/>
      <c r="F345" s="1260"/>
      <c r="G345" s="1260"/>
      <c r="H345" s="1260"/>
      <c r="I345" s="1260"/>
      <c r="J345" s="1260"/>
      <c r="K345" s="1260"/>
    </row>
    <row r="346" spans="1:11" ht="45" customHeight="1">
      <c r="A346" s="606"/>
      <c r="B346" s="1266" t="s">
        <v>223</v>
      </c>
      <c r="C346" s="1266"/>
      <c r="D346" s="1266"/>
      <c r="E346" s="1266"/>
      <c r="F346" s="1266"/>
      <c r="G346" s="1266"/>
      <c r="H346" s="1266"/>
      <c r="I346" s="1266"/>
      <c r="J346" s="1266"/>
      <c r="K346" s="1266"/>
    </row>
    <row r="347" spans="1:11" ht="19.5" customHeight="1">
      <c r="A347" s="673"/>
      <c r="B347" s="1278"/>
      <c r="C347" s="1278"/>
      <c r="D347" s="1278"/>
      <c r="E347" s="1278"/>
      <c r="F347" s="1278"/>
      <c r="G347" s="1278"/>
      <c r="H347" s="1278"/>
      <c r="I347" s="1278"/>
      <c r="J347" s="1278"/>
      <c r="K347" s="1278"/>
    </row>
    <row r="348" spans="1:11" ht="27" customHeight="1">
      <c r="A348" s="1264" t="s">
        <v>405</v>
      </c>
      <c r="B348" s="1264"/>
      <c r="C348" s="1264"/>
      <c r="D348" s="1264"/>
      <c r="E348" s="1264"/>
      <c r="F348" s="1264"/>
      <c r="G348" s="1264"/>
      <c r="H348" s="1264"/>
      <c r="I348" s="1264"/>
      <c r="J348" s="1264"/>
      <c r="K348" s="1264"/>
    </row>
    <row r="349" spans="1:11" ht="12.75" customHeight="1">
      <c r="A349" s="673"/>
      <c r="B349" s="480"/>
      <c r="C349" s="670"/>
      <c r="D349" s="601"/>
      <c r="E349" s="671"/>
      <c r="F349" s="601"/>
      <c r="G349" s="671"/>
      <c r="H349" s="672"/>
      <c r="I349" s="674"/>
      <c r="J349" s="601"/>
      <c r="K349" s="494"/>
    </row>
    <row r="350" spans="1:11" ht="21.75" customHeight="1">
      <c r="A350" s="1245" t="s">
        <v>882</v>
      </c>
      <c r="B350" s="1245" t="s">
        <v>283</v>
      </c>
      <c r="C350" s="1245" t="s">
        <v>284</v>
      </c>
      <c r="D350" s="1245" t="s">
        <v>305</v>
      </c>
      <c r="E350" s="1254" t="s">
        <v>288</v>
      </c>
      <c r="F350" s="1255"/>
      <c r="G350" s="1255"/>
      <c r="H350" s="1255"/>
      <c r="I350" s="1255"/>
      <c r="J350" s="1256"/>
      <c r="K350" s="1245" t="s">
        <v>409</v>
      </c>
    </row>
    <row r="351" spans="1:11" ht="32.25" customHeight="1">
      <c r="A351" s="1246"/>
      <c r="B351" s="1246"/>
      <c r="C351" s="1246"/>
      <c r="D351" s="1246"/>
      <c r="E351" s="1254" t="s">
        <v>289</v>
      </c>
      <c r="F351" s="1256"/>
      <c r="G351" s="1254" t="s">
        <v>847</v>
      </c>
      <c r="H351" s="1256"/>
      <c r="I351" s="1254" t="s">
        <v>291</v>
      </c>
      <c r="J351" s="1256"/>
      <c r="K351" s="1246"/>
    </row>
    <row r="352" spans="1:11" ht="19.5" customHeight="1">
      <c r="A352" s="1247"/>
      <c r="B352" s="1247"/>
      <c r="C352" s="1247"/>
      <c r="D352" s="1247"/>
      <c r="E352" s="675" t="s">
        <v>848</v>
      </c>
      <c r="F352" s="468" t="s">
        <v>986</v>
      </c>
      <c r="G352" s="675" t="s">
        <v>848</v>
      </c>
      <c r="H352" s="468" t="s">
        <v>986</v>
      </c>
      <c r="I352" s="675" t="s">
        <v>848</v>
      </c>
      <c r="J352" s="468" t="s">
        <v>986</v>
      </c>
      <c r="K352" s="1247"/>
    </row>
    <row r="353" spans="1:11" ht="20.45" customHeight="1">
      <c r="A353" s="623">
        <v>1</v>
      </c>
      <c r="B353" s="676" t="s">
        <v>97</v>
      </c>
      <c r="C353" s="677" t="s">
        <v>98</v>
      </c>
      <c r="D353" s="580">
        <f>'Bang gia'!K6</f>
        <v>5000</v>
      </c>
      <c r="E353" s="626"/>
      <c r="F353" s="625"/>
      <c r="G353" s="626"/>
      <c r="H353" s="627"/>
      <c r="I353" s="626">
        <v>8.0000000000000002E-3</v>
      </c>
      <c r="J353" s="628">
        <f>D353*I353</f>
        <v>40</v>
      </c>
      <c r="K353" s="627">
        <f>F353+H353+J353</f>
        <v>40</v>
      </c>
    </row>
    <row r="354" spans="1:11" ht="20.45" customHeight="1">
      <c r="A354" s="578">
        <v>2</v>
      </c>
      <c r="B354" s="678" t="s">
        <v>99</v>
      </c>
      <c r="C354" s="679" t="s">
        <v>100</v>
      </c>
      <c r="D354" s="580">
        <f>'Bang gia'!K7</f>
        <v>2000</v>
      </c>
      <c r="E354" s="584"/>
      <c r="F354" s="580"/>
      <c r="G354" s="582"/>
      <c r="H354" s="583"/>
      <c r="I354" s="584">
        <v>4.0000000000000001E-3</v>
      </c>
      <c r="J354" s="585">
        <f>D354*I354</f>
        <v>8</v>
      </c>
      <c r="K354" s="586">
        <f>F354+H354+J354</f>
        <v>8</v>
      </c>
    </row>
    <row r="355" spans="1:11" ht="20.45" customHeight="1">
      <c r="A355" s="578">
        <v>3</v>
      </c>
      <c r="B355" s="678" t="s">
        <v>101</v>
      </c>
      <c r="C355" s="679" t="s">
        <v>100</v>
      </c>
      <c r="D355" s="580">
        <f>'Bang gia'!K8</f>
        <v>2000</v>
      </c>
      <c r="E355" s="584"/>
      <c r="F355" s="580"/>
      <c r="G355" s="582"/>
      <c r="H355" s="583"/>
      <c r="I355" s="584">
        <v>6.0000000000000001E-3</v>
      </c>
      <c r="J355" s="585">
        <f t="shared" ref="J355:J368" si="39">D355*I355</f>
        <v>12</v>
      </c>
      <c r="K355" s="586">
        <f t="shared" ref="K355:K368" si="40">F355+H355+J355</f>
        <v>12</v>
      </c>
    </row>
    <row r="356" spans="1:11" ht="20.45" customHeight="1">
      <c r="A356" s="578">
        <v>4</v>
      </c>
      <c r="B356" s="678" t="s">
        <v>102</v>
      </c>
      <c r="C356" s="679" t="s">
        <v>100</v>
      </c>
      <c r="D356" s="580">
        <f>'Bang gia'!K9</f>
        <v>1450000</v>
      </c>
      <c r="E356" s="584"/>
      <c r="F356" s="580"/>
      <c r="G356" s="582"/>
      <c r="H356" s="583"/>
      <c r="I356" s="584">
        <v>2E-3</v>
      </c>
      <c r="J356" s="585">
        <f t="shared" si="39"/>
        <v>2900</v>
      </c>
      <c r="K356" s="586">
        <f t="shared" si="40"/>
        <v>2900</v>
      </c>
    </row>
    <row r="357" spans="1:11" ht="20.45" customHeight="1">
      <c r="A357" s="578">
        <v>5</v>
      </c>
      <c r="B357" s="678" t="s">
        <v>103</v>
      </c>
      <c r="C357" s="679" t="s">
        <v>100</v>
      </c>
      <c r="D357" s="580">
        <f>'Bang gia'!K10</f>
        <v>300000</v>
      </c>
      <c r="E357" s="584"/>
      <c r="F357" s="580"/>
      <c r="G357" s="715"/>
      <c r="H357" s="583"/>
      <c r="I357" s="584">
        <v>3.0000000000000001E-3</v>
      </c>
      <c r="J357" s="585">
        <f t="shared" si="39"/>
        <v>900</v>
      </c>
      <c r="K357" s="586">
        <f t="shared" si="40"/>
        <v>900</v>
      </c>
    </row>
    <row r="358" spans="1:11" ht="20.45" customHeight="1">
      <c r="A358" s="578">
        <v>6</v>
      </c>
      <c r="B358" s="678" t="s">
        <v>105</v>
      </c>
      <c r="C358" s="679" t="s">
        <v>100</v>
      </c>
      <c r="D358" s="580">
        <f>'Bang gia'!K11</f>
        <v>3350000</v>
      </c>
      <c r="E358" s="584"/>
      <c r="F358" s="580"/>
      <c r="G358" s="715"/>
      <c r="H358" s="583"/>
      <c r="I358" s="584">
        <v>2E-3</v>
      </c>
      <c r="J358" s="585">
        <f t="shared" si="39"/>
        <v>6700</v>
      </c>
      <c r="K358" s="586">
        <f t="shared" si="40"/>
        <v>6700</v>
      </c>
    </row>
    <row r="359" spans="1:11" ht="20.45" customHeight="1">
      <c r="A359" s="578">
        <v>7</v>
      </c>
      <c r="B359" s="678" t="s">
        <v>106</v>
      </c>
      <c r="C359" s="679" t="s">
        <v>107</v>
      </c>
      <c r="D359" s="580">
        <f>'Bang gia'!K12</f>
        <v>300</v>
      </c>
      <c r="E359" s="584"/>
      <c r="F359" s="580"/>
      <c r="G359" s="582"/>
      <c r="H359" s="583"/>
      <c r="I359" s="584">
        <v>1</v>
      </c>
      <c r="J359" s="585">
        <f t="shared" si="39"/>
        <v>300</v>
      </c>
      <c r="K359" s="586">
        <f t="shared" si="40"/>
        <v>300</v>
      </c>
    </row>
    <row r="360" spans="1:11" ht="20.45" customHeight="1">
      <c r="A360" s="578">
        <v>8</v>
      </c>
      <c r="B360" s="678" t="s">
        <v>320</v>
      </c>
      <c r="C360" s="679" t="s">
        <v>108</v>
      </c>
      <c r="D360" s="580">
        <f>'Bang gia'!K13</f>
        <v>7000</v>
      </c>
      <c r="E360" s="584"/>
      <c r="F360" s="580"/>
      <c r="G360" s="582"/>
      <c r="H360" s="583"/>
      <c r="I360" s="584">
        <v>1</v>
      </c>
      <c r="J360" s="585">
        <f t="shared" si="39"/>
        <v>7000</v>
      </c>
      <c r="K360" s="586">
        <f t="shared" si="40"/>
        <v>7000</v>
      </c>
    </row>
    <row r="361" spans="1:11" ht="20.45" customHeight="1">
      <c r="A361" s="578">
        <v>9</v>
      </c>
      <c r="B361" s="678" t="s">
        <v>332</v>
      </c>
      <c r="C361" s="679" t="s">
        <v>107</v>
      </c>
      <c r="D361" s="580">
        <f>'Bang gia'!K26</f>
        <v>300</v>
      </c>
      <c r="E361" s="584"/>
      <c r="F361" s="580"/>
      <c r="G361" s="582"/>
      <c r="H361" s="583"/>
      <c r="I361" s="584">
        <v>1</v>
      </c>
      <c r="J361" s="585">
        <f t="shared" si="39"/>
        <v>300</v>
      </c>
      <c r="K361" s="586">
        <f t="shared" si="40"/>
        <v>300</v>
      </c>
    </row>
    <row r="362" spans="1:11" ht="20.45" customHeight="1">
      <c r="A362" s="578">
        <v>10</v>
      </c>
      <c r="B362" s="678" t="s">
        <v>109</v>
      </c>
      <c r="C362" s="679" t="s">
        <v>110</v>
      </c>
      <c r="D362" s="580">
        <f>'Bang gia'!K15</f>
        <v>45000</v>
      </c>
      <c r="E362" s="584"/>
      <c r="F362" s="580"/>
      <c r="G362" s="582"/>
      <c r="H362" s="583"/>
      <c r="I362" s="584">
        <v>2.9000000000000001E-2</v>
      </c>
      <c r="J362" s="585">
        <f t="shared" si="39"/>
        <v>1305</v>
      </c>
      <c r="K362" s="586">
        <f t="shared" si="40"/>
        <v>1305</v>
      </c>
    </row>
    <row r="363" spans="1:11" ht="20.45" customHeight="1">
      <c r="A363" s="578">
        <v>11</v>
      </c>
      <c r="B363" s="678" t="s">
        <v>111</v>
      </c>
      <c r="C363" s="679" t="s">
        <v>110</v>
      </c>
      <c r="D363" s="580">
        <f>'Bang gia'!K16</f>
        <v>90000</v>
      </c>
      <c r="E363" s="584"/>
      <c r="F363" s="580"/>
      <c r="G363" s="582"/>
      <c r="H363" s="583"/>
      <c r="I363" s="584">
        <v>6.0000000000000001E-3</v>
      </c>
      <c r="J363" s="585">
        <f t="shared" si="39"/>
        <v>540</v>
      </c>
      <c r="K363" s="586">
        <f t="shared" si="40"/>
        <v>540</v>
      </c>
    </row>
    <row r="364" spans="1:11" ht="20.45" customHeight="1">
      <c r="A364" s="578">
        <v>12</v>
      </c>
      <c r="B364" s="678" t="s">
        <v>112</v>
      </c>
      <c r="C364" s="679" t="s">
        <v>113</v>
      </c>
      <c r="D364" s="580">
        <f>'Bang gia'!K17</f>
        <v>25000</v>
      </c>
      <c r="E364" s="584"/>
      <c r="F364" s="580"/>
      <c r="G364" s="582"/>
      <c r="H364" s="583"/>
      <c r="I364" s="584">
        <v>5.0000000000000001E-3</v>
      </c>
      <c r="J364" s="585">
        <f t="shared" si="39"/>
        <v>125</v>
      </c>
      <c r="K364" s="586">
        <f t="shared" si="40"/>
        <v>125</v>
      </c>
    </row>
    <row r="365" spans="1:11" ht="20.45" customHeight="1">
      <c r="A365" s="578">
        <v>13</v>
      </c>
      <c r="B365" s="680" t="s">
        <v>114</v>
      </c>
      <c r="C365" s="681" t="s">
        <v>850</v>
      </c>
      <c r="D365" s="580">
        <f>'Bang gia'!K18</f>
        <v>2500</v>
      </c>
      <c r="E365" s="584"/>
      <c r="F365" s="580"/>
      <c r="G365" s="582"/>
      <c r="H365" s="583"/>
      <c r="I365" s="584">
        <v>0.03</v>
      </c>
      <c r="J365" s="585">
        <f t="shared" si="39"/>
        <v>75</v>
      </c>
      <c r="K365" s="586">
        <f t="shared" si="40"/>
        <v>75</v>
      </c>
    </row>
    <row r="366" spans="1:11" ht="20.45" customHeight="1">
      <c r="A366" s="578">
        <v>14</v>
      </c>
      <c r="B366" s="680" t="s">
        <v>115</v>
      </c>
      <c r="C366" s="681" t="s">
        <v>98</v>
      </c>
      <c r="D366" s="580">
        <f>'Bang gia'!K19</f>
        <v>18000</v>
      </c>
      <c r="E366" s="584"/>
      <c r="F366" s="580"/>
      <c r="G366" s="582"/>
      <c r="H366" s="583"/>
      <c r="I366" s="584">
        <v>5.0000000000000001E-3</v>
      </c>
      <c r="J366" s="585">
        <f t="shared" si="39"/>
        <v>90</v>
      </c>
      <c r="K366" s="586">
        <f t="shared" si="40"/>
        <v>90</v>
      </c>
    </row>
    <row r="367" spans="1:11" ht="20.45" customHeight="1">
      <c r="A367" s="578">
        <v>15</v>
      </c>
      <c r="B367" s="680" t="s">
        <v>116</v>
      </c>
      <c r="C367" s="681" t="s">
        <v>98</v>
      </c>
      <c r="D367" s="580">
        <f>'Bang gia'!K20</f>
        <v>15000</v>
      </c>
      <c r="E367" s="584"/>
      <c r="F367" s="580"/>
      <c r="G367" s="582"/>
      <c r="H367" s="583"/>
      <c r="I367" s="584">
        <v>4.0000000000000001E-3</v>
      </c>
      <c r="J367" s="585">
        <f t="shared" si="39"/>
        <v>60</v>
      </c>
      <c r="K367" s="586">
        <f t="shared" si="40"/>
        <v>60</v>
      </c>
    </row>
    <row r="368" spans="1:11" ht="20.45" customHeight="1">
      <c r="A368" s="686">
        <v>16</v>
      </c>
      <c r="B368" s="680" t="s">
        <v>121</v>
      </c>
      <c r="C368" s="687" t="s">
        <v>107</v>
      </c>
      <c r="D368" s="688">
        <f>'Bang gia'!K23</f>
        <v>1500</v>
      </c>
      <c r="E368" s="683"/>
      <c r="F368" s="688"/>
      <c r="G368" s="684"/>
      <c r="H368" s="689"/>
      <c r="I368" s="683">
        <v>1</v>
      </c>
      <c r="J368" s="585">
        <f t="shared" si="39"/>
        <v>1500</v>
      </c>
      <c r="K368" s="691">
        <f t="shared" si="40"/>
        <v>1500</v>
      </c>
    </row>
    <row r="369" spans="1:12" ht="20.45" customHeight="1">
      <c r="A369" s="697"/>
      <c r="B369" s="698" t="s">
        <v>853</v>
      </c>
      <c r="C369" s="622"/>
      <c r="D369" s="622"/>
      <c r="E369" s="621"/>
      <c r="F369" s="622">
        <f>J369*0.02</f>
        <v>437.1</v>
      </c>
      <c r="G369" s="699"/>
      <c r="H369" s="700"/>
      <c r="I369" s="621"/>
      <c r="J369" s="591">
        <f>SUM(J353:J368)</f>
        <v>21855</v>
      </c>
      <c r="K369" s="591">
        <f>SUM(K353:K368)</f>
        <v>21855</v>
      </c>
    </row>
    <row r="370" spans="1:12" ht="20.45" customHeight="1">
      <c r="A370" s="697"/>
      <c r="B370" s="698" t="s">
        <v>854</v>
      </c>
      <c r="C370" s="622"/>
      <c r="D370" s="622"/>
      <c r="E370" s="621"/>
      <c r="F370" s="622">
        <f>F369*8%</f>
        <v>34.968000000000004</v>
      </c>
      <c r="G370" s="701"/>
      <c r="H370" s="700"/>
      <c r="I370" s="699"/>
      <c r="J370" s="700">
        <f>J369*8%</f>
        <v>1748.4</v>
      </c>
      <c r="K370" s="700">
        <f>K369*8%</f>
        <v>1748.4</v>
      </c>
    </row>
    <row r="371" spans="1:12" ht="20.45" customHeight="1">
      <c r="A371" s="702"/>
      <c r="B371" s="588" t="s">
        <v>295</v>
      </c>
      <c r="C371" s="702"/>
      <c r="D371" s="702"/>
      <c r="E371" s="703"/>
      <c r="F371" s="622">
        <f>F369+F370</f>
        <v>472.06800000000004</v>
      </c>
      <c r="G371" s="621"/>
      <c r="H371" s="591"/>
      <c r="I371" s="621"/>
      <c r="J371" s="591">
        <f>J369+J370</f>
        <v>23603.4</v>
      </c>
      <c r="K371" s="591">
        <f>K369+K370</f>
        <v>23603.4</v>
      </c>
    </row>
    <row r="372" spans="1:12" ht="12" customHeight="1">
      <c r="A372" s="454"/>
      <c r="B372" s="454"/>
      <c r="C372" s="454"/>
    </row>
    <row r="373" spans="1:12">
      <c r="A373" s="708"/>
      <c r="B373" s="599" t="s">
        <v>299</v>
      </c>
      <c r="C373" s="454"/>
    </row>
    <row r="374" spans="1:12">
      <c r="A374" s="606"/>
      <c r="B374" s="605" t="s">
        <v>827</v>
      </c>
      <c r="C374" s="454"/>
    </row>
    <row r="375" spans="1:12">
      <c r="A375" s="673"/>
      <c r="B375" s="605" t="s">
        <v>781</v>
      </c>
      <c r="C375" s="454"/>
    </row>
    <row r="376" spans="1:12" ht="42.6" customHeight="1">
      <c r="A376" s="454"/>
      <c r="B376" s="1265" t="s">
        <v>222</v>
      </c>
      <c r="C376" s="1277"/>
      <c r="D376" s="1277"/>
      <c r="E376" s="1277"/>
      <c r="F376" s="1277"/>
      <c r="G376" s="1277"/>
      <c r="H376" s="1277"/>
      <c r="I376" s="1277"/>
      <c r="J376" s="1277"/>
      <c r="K376" s="1277"/>
    </row>
    <row r="378" spans="1:12" ht="31.9" customHeight="1">
      <c r="A378" s="1264" t="s">
        <v>945</v>
      </c>
      <c r="B378" s="1264"/>
      <c r="C378" s="1264"/>
      <c r="D378" s="1264"/>
      <c r="E378" s="1264"/>
      <c r="F378" s="1264"/>
      <c r="L378" s="572" t="s">
        <v>406</v>
      </c>
    </row>
    <row r="379" spans="1:12" ht="9.75" customHeight="1">
      <c r="A379" s="712"/>
      <c r="B379" s="713"/>
      <c r="C379" s="714"/>
      <c r="D379" s="601"/>
      <c r="E379" s="671"/>
      <c r="F379" s="601"/>
    </row>
    <row r="380" spans="1:12" ht="51.75" customHeight="1">
      <c r="A380" s="721" t="s">
        <v>882</v>
      </c>
      <c r="B380" s="468" t="s">
        <v>283</v>
      </c>
      <c r="C380" s="468" t="s">
        <v>284</v>
      </c>
      <c r="D380" s="468" t="s">
        <v>305</v>
      </c>
      <c r="E380" s="468" t="s">
        <v>824</v>
      </c>
      <c r="F380" s="468" t="s">
        <v>825</v>
      </c>
      <c r="G380" s="1274" t="s">
        <v>162</v>
      </c>
      <c r="H380" s="1275"/>
      <c r="I380" s="1275"/>
      <c r="J380" s="1275"/>
      <c r="K380" s="1276"/>
    </row>
    <row r="381" spans="1:12" ht="31.9" customHeight="1">
      <c r="A381" s="623">
        <v>1</v>
      </c>
      <c r="B381" s="676" t="s">
        <v>97</v>
      </c>
      <c r="C381" s="677" t="s">
        <v>98</v>
      </c>
      <c r="D381" s="657">
        <f>'Bang gia'!K6</f>
        <v>5000</v>
      </c>
      <c r="E381" s="718">
        <v>1.4999999999999999E-2</v>
      </c>
      <c r="F381" s="625">
        <f t="shared" ref="F381:F386" si="41">D381*E381</f>
        <v>75</v>
      </c>
      <c r="G381" s="722"/>
      <c r="H381" s="723"/>
      <c r="I381" s="724"/>
      <c r="J381" s="723"/>
      <c r="K381" s="725"/>
    </row>
    <row r="382" spans="1:12" ht="31.9" customHeight="1">
      <c r="A382" s="578">
        <v>2</v>
      </c>
      <c r="B382" s="678" t="s">
        <v>99</v>
      </c>
      <c r="C382" s="679" t="s">
        <v>100</v>
      </c>
      <c r="D382" s="580">
        <f>'Bang gia'!K7</f>
        <v>2000</v>
      </c>
      <c r="E382" s="611">
        <v>0.3</v>
      </c>
      <c r="F382" s="580">
        <f t="shared" si="41"/>
        <v>600</v>
      </c>
      <c r="G382" s="726"/>
      <c r="H382" s="663"/>
      <c r="I382" s="727"/>
      <c r="J382" s="663"/>
      <c r="K382" s="664"/>
    </row>
    <row r="383" spans="1:12" ht="31.9" customHeight="1">
      <c r="A383" s="578">
        <v>3</v>
      </c>
      <c r="B383" s="678" t="s">
        <v>101</v>
      </c>
      <c r="C383" s="679" t="s">
        <v>100</v>
      </c>
      <c r="D383" s="580">
        <f>'Bang gia'!K8</f>
        <v>2000</v>
      </c>
      <c r="E383" s="611">
        <v>0.15</v>
      </c>
      <c r="F383" s="580">
        <f t="shared" si="41"/>
        <v>300</v>
      </c>
      <c r="G383" s="726"/>
      <c r="H383" s="663"/>
      <c r="I383" s="727"/>
      <c r="J383" s="663"/>
      <c r="K383" s="664"/>
    </row>
    <row r="384" spans="1:12" ht="31.9" customHeight="1">
      <c r="A384" s="578">
        <v>4</v>
      </c>
      <c r="B384" s="678" t="s">
        <v>102</v>
      </c>
      <c r="C384" s="679" t="s">
        <v>100</v>
      </c>
      <c r="D384" s="580">
        <f>'Bang gia'!K9</f>
        <v>1450000</v>
      </c>
      <c r="E384" s="611">
        <v>6.0000000000000001E-3</v>
      </c>
      <c r="F384" s="580">
        <f t="shared" si="41"/>
        <v>8700</v>
      </c>
      <c r="G384" s="726"/>
      <c r="H384" s="663"/>
      <c r="I384" s="727"/>
      <c r="J384" s="663"/>
      <c r="K384" s="664"/>
    </row>
    <row r="385" spans="1:11" ht="31.9" customHeight="1">
      <c r="A385" s="578">
        <v>5</v>
      </c>
      <c r="B385" s="678" t="s">
        <v>849</v>
      </c>
      <c r="C385" s="679" t="s">
        <v>100</v>
      </c>
      <c r="D385" s="580">
        <f>'Bang gia'!K10</f>
        <v>300000</v>
      </c>
      <c r="E385" s="611">
        <v>1.2E-2</v>
      </c>
      <c r="F385" s="580">
        <f t="shared" si="41"/>
        <v>3600</v>
      </c>
      <c r="G385" s="726"/>
      <c r="H385" s="663"/>
      <c r="I385" s="727"/>
      <c r="J385" s="663"/>
      <c r="K385" s="664"/>
    </row>
    <row r="386" spans="1:11" ht="31.9" customHeight="1">
      <c r="A386" s="578">
        <v>6</v>
      </c>
      <c r="B386" s="678" t="s">
        <v>109</v>
      </c>
      <c r="C386" s="679" t="s">
        <v>110</v>
      </c>
      <c r="D386" s="580">
        <f>'Bang gia'!K15</f>
        <v>45000</v>
      </c>
      <c r="E386" s="611">
        <v>0.09</v>
      </c>
      <c r="F386" s="580">
        <f t="shared" si="41"/>
        <v>4050</v>
      </c>
      <c r="G386" s="728"/>
      <c r="H386" s="729"/>
      <c r="I386" s="730"/>
      <c r="J386" s="729"/>
      <c r="K386" s="731"/>
    </row>
    <row r="387" spans="1:11" ht="31.9" customHeight="1">
      <c r="A387" s="697"/>
      <c r="B387" s="698" t="s">
        <v>853</v>
      </c>
      <c r="C387" s="622"/>
      <c r="D387" s="622"/>
      <c r="E387" s="621"/>
      <c r="F387" s="622">
        <f>SUM(F381:F386)</f>
        <v>17325</v>
      </c>
      <c r="G387" s="732"/>
      <c r="H387" s="619"/>
      <c r="I387" s="733"/>
      <c r="J387" s="619"/>
      <c r="K387" s="620"/>
    </row>
    <row r="388" spans="1:11" ht="31.9" customHeight="1">
      <c r="A388" s="697"/>
      <c r="B388" s="698" t="s">
        <v>854</v>
      </c>
      <c r="C388" s="622"/>
      <c r="D388" s="622"/>
      <c r="E388" s="621"/>
      <c r="F388" s="622">
        <f>F387*8%</f>
        <v>1386</v>
      </c>
      <c r="G388" s="732"/>
      <c r="H388" s="619"/>
      <c r="I388" s="733"/>
      <c r="J388" s="619"/>
      <c r="K388" s="620"/>
    </row>
    <row r="389" spans="1:11" ht="31.9" customHeight="1">
      <c r="A389" s="702"/>
      <c r="B389" s="588" t="s">
        <v>295</v>
      </c>
      <c r="C389" s="702"/>
      <c r="D389" s="702"/>
      <c r="E389" s="703"/>
      <c r="F389" s="589">
        <f>F387+F388</f>
        <v>18711</v>
      </c>
      <c r="G389" s="732"/>
      <c r="H389" s="619"/>
      <c r="I389" s="733"/>
      <c r="J389" s="619"/>
      <c r="K389" s="620"/>
    </row>
    <row r="391" spans="1:11">
      <c r="B391" s="734" t="s">
        <v>162</v>
      </c>
    </row>
    <row r="392" spans="1:11">
      <c r="B392" s="1265" t="s">
        <v>224</v>
      </c>
      <c r="C392" s="1265"/>
      <c r="D392" s="1265"/>
      <c r="E392" s="1265"/>
      <c r="F392" s="1265"/>
      <c r="G392" s="1265"/>
      <c r="H392" s="1265"/>
      <c r="I392" s="1265"/>
      <c r="J392" s="1265"/>
      <c r="K392" s="1265"/>
    </row>
    <row r="393" spans="1:11" ht="66" customHeight="1">
      <c r="B393" s="1265"/>
      <c r="C393" s="1265"/>
      <c r="D393" s="1265"/>
      <c r="E393" s="1265"/>
      <c r="F393" s="1265"/>
      <c r="G393" s="1265"/>
      <c r="H393" s="1265"/>
      <c r="I393" s="1265"/>
      <c r="J393" s="1265"/>
      <c r="K393" s="1265"/>
    </row>
  </sheetData>
  <mergeCells count="141">
    <mergeCell ref="B376:K376"/>
    <mergeCell ref="E41:F41"/>
    <mergeCell ref="B392:K393"/>
    <mergeCell ref="B193:K193"/>
    <mergeCell ref="B226:K226"/>
    <mergeCell ref="B315:K315"/>
    <mergeCell ref="B316:K316"/>
    <mergeCell ref="B345:K345"/>
    <mergeCell ref="B347:K347"/>
    <mergeCell ref="B346:K346"/>
    <mergeCell ref="B70:K70"/>
    <mergeCell ref="K103:K105"/>
    <mergeCell ref="A74:A76"/>
    <mergeCell ref="A72:K72"/>
    <mergeCell ref="B74:B76"/>
    <mergeCell ref="C74:C76"/>
    <mergeCell ref="E74:J74"/>
    <mergeCell ref="G75:H75"/>
    <mergeCell ref="D74:D76"/>
    <mergeCell ref="B99:K99"/>
    <mergeCell ref="A38:K38"/>
    <mergeCell ref="D40:D42"/>
    <mergeCell ref="I41:J41"/>
    <mergeCell ref="K40:K42"/>
    <mergeCell ref="E40:J40"/>
    <mergeCell ref="A40:A42"/>
    <mergeCell ref="B40:B42"/>
    <mergeCell ref="C40:C42"/>
    <mergeCell ref="G41:H41"/>
    <mergeCell ref="K320:K322"/>
    <mergeCell ref="K261:K263"/>
    <mergeCell ref="G232:H232"/>
    <mergeCell ref="E231:J231"/>
    <mergeCell ref="B191:K191"/>
    <mergeCell ref="E198:F198"/>
    <mergeCell ref="A195:K195"/>
    <mergeCell ref="K290:K292"/>
    <mergeCell ref="G262:H262"/>
    <mergeCell ref="I262:J262"/>
    <mergeCell ref="B69:K69"/>
    <mergeCell ref="E291:F291"/>
    <mergeCell ref="B231:B233"/>
    <mergeCell ref="B290:B292"/>
    <mergeCell ref="D290:D292"/>
    <mergeCell ref="B261:B263"/>
    <mergeCell ref="I75:J75"/>
    <mergeCell ref="K197:K199"/>
    <mergeCell ref="I198:J198"/>
    <mergeCell ref="G198:H198"/>
    <mergeCell ref="E261:J261"/>
    <mergeCell ref="A229:K229"/>
    <mergeCell ref="E197:J197"/>
    <mergeCell ref="A197:A199"/>
    <mergeCell ref="B197:B199"/>
    <mergeCell ref="G291:H291"/>
    <mergeCell ref="C290:C292"/>
    <mergeCell ref="K231:K233"/>
    <mergeCell ref="I232:J232"/>
    <mergeCell ref="E232:F232"/>
    <mergeCell ref="A259:K259"/>
    <mergeCell ref="A290:A292"/>
    <mergeCell ref="A261:A263"/>
    <mergeCell ref="A231:A233"/>
    <mergeCell ref="I291:J291"/>
    <mergeCell ref="C197:C199"/>
    <mergeCell ref="D197:D199"/>
    <mergeCell ref="E262:F262"/>
    <mergeCell ref="E290:J290"/>
    <mergeCell ref="D261:D263"/>
    <mergeCell ref="C261:C263"/>
    <mergeCell ref="C231:C233"/>
    <mergeCell ref="D231:D233"/>
    <mergeCell ref="A161:K161"/>
    <mergeCell ref="I164:J164"/>
    <mergeCell ref="A163:A165"/>
    <mergeCell ref="B163:B165"/>
    <mergeCell ref="C163:C165"/>
    <mergeCell ref="K163:K165"/>
    <mergeCell ref="D163:D165"/>
    <mergeCell ref="G164:H164"/>
    <mergeCell ref="E164:F164"/>
    <mergeCell ref="E163:J163"/>
    <mergeCell ref="B157:K157"/>
    <mergeCell ref="E134:F134"/>
    <mergeCell ref="G134:H134"/>
    <mergeCell ref="I134:J134"/>
    <mergeCell ref="C133:C135"/>
    <mergeCell ref="K133:K135"/>
    <mergeCell ref="E133:J133"/>
    <mergeCell ref="B128:K128"/>
    <mergeCell ref="D133:D135"/>
    <mergeCell ref="B133:B135"/>
    <mergeCell ref="A131:K131"/>
    <mergeCell ref="A103:A105"/>
    <mergeCell ref="B103:B105"/>
    <mergeCell ref="C103:C105"/>
    <mergeCell ref="A133:A135"/>
    <mergeCell ref="D103:D105"/>
    <mergeCell ref="A1:K1"/>
    <mergeCell ref="D5:D7"/>
    <mergeCell ref="A3:K3"/>
    <mergeCell ref="A5:A7"/>
    <mergeCell ref="E5:J5"/>
    <mergeCell ref="I6:J6"/>
    <mergeCell ref="B34:K34"/>
    <mergeCell ref="B36:K36"/>
    <mergeCell ref="K5:K7"/>
    <mergeCell ref="E6:F6"/>
    <mergeCell ref="B5:B7"/>
    <mergeCell ref="C5:C7"/>
    <mergeCell ref="B35:K35"/>
    <mergeCell ref="G6:H6"/>
    <mergeCell ref="I351:J351"/>
    <mergeCell ref="A320:A322"/>
    <mergeCell ref="B320:B322"/>
    <mergeCell ref="C320:C322"/>
    <mergeCell ref="D320:D322"/>
    <mergeCell ref="G321:H321"/>
    <mergeCell ref="E321:F321"/>
    <mergeCell ref="E350:J350"/>
    <mergeCell ref="E320:J320"/>
    <mergeCell ref="G380:K380"/>
    <mergeCell ref="K74:K76"/>
    <mergeCell ref="E75:F75"/>
    <mergeCell ref="E104:F104"/>
    <mergeCell ref="G104:H104"/>
    <mergeCell ref="I104:J104"/>
    <mergeCell ref="A348:K348"/>
    <mergeCell ref="K350:K352"/>
    <mergeCell ref="A318:K318"/>
    <mergeCell ref="I321:J321"/>
    <mergeCell ref="A378:F378"/>
    <mergeCell ref="A101:K101"/>
    <mergeCell ref="E351:F351"/>
    <mergeCell ref="A288:K288"/>
    <mergeCell ref="E103:J103"/>
    <mergeCell ref="G351:H351"/>
    <mergeCell ref="A350:A352"/>
    <mergeCell ref="B350:B352"/>
    <mergeCell ref="C350:C352"/>
    <mergeCell ref="D350:D352"/>
  </mergeCells>
  <phoneticPr fontId="5" type="noConversion"/>
  <printOptions horizontalCentered="1"/>
  <pageMargins left="0.80118110200000003" right="0.80118110200000003" top="0.511811023622047" bottom="0.66929133858267698" header="0.31496062992126" footer="0.39370078740157499"/>
  <pageSetup paperSize="9" scale="93" firstPageNumber="151" orientation="landscape"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Y229"/>
  <sheetViews>
    <sheetView topLeftCell="A217" zoomScale="80" zoomScaleNormal="80" workbookViewId="0">
      <selection activeCell="B229" sqref="B229:I229"/>
    </sheetView>
  </sheetViews>
  <sheetFormatPr defaultRowHeight="16.5"/>
  <cols>
    <col min="1" max="1" width="5.109375" style="454" customWidth="1"/>
    <col min="2" max="2" width="18.5546875" style="454" customWidth="1"/>
    <col min="3" max="3" width="6.6640625" style="454" customWidth="1"/>
    <col min="4" max="4" width="6.33203125" style="454" customWidth="1"/>
    <col min="5" max="5" width="5.33203125" style="454" customWidth="1"/>
    <col min="6" max="6" width="10.88671875" style="454" customWidth="1"/>
    <col min="7" max="7" width="8.44140625" style="454" customWidth="1"/>
    <col min="8" max="8" width="8.88671875" style="454"/>
    <col min="9" max="9" width="9" style="454" customWidth="1"/>
    <col min="10" max="10" width="7.77734375" style="454" customWidth="1"/>
    <col min="11" max="11" width="9" style="454" customWidth="1"/>
    <col min="12" max="12" width="7.5546875" style="454" customWidth="1"/>
    <col min="13" max="13" width="9.33203125" style="454" customWidth="1"/>
    <col min="14" max="14" width="11.21875" style="454" customWidth="1"/>
    <col min="15" max="15" width="10.21875" style="454" bestFit="1" customWidth="1"/>
    <col min="16" max="23" width="8.88671875" style="454"/>
    <col min="24" max="16384" width="8.88671875" style="572"/>
  </cols>
  <sheetData>
    <row r="1" spans="1:20" ht="24.75" customHeight="1">
      <c r="A1" s="1270" t="s">
        <v>579</v>
      </c>
      <c r="B1" s="1270"/>
      <c r="C1" s="1270"/>
      <c r="D1" s="1270"/>
      <c r="E1" s="1270"/>
      <c r="F1" s="1270"/>
      <c r="G1" s="1270"/>
      <c r="H1" s="1270"/>
      <c r="I1" s="1270"/>
      <c r="J1" s="1270"/>
      <c r="K1" s="1270"/>
      <c r="L1" s="1270"/>
      <c r="M1" s="1270"/>
      <c r="N1" s="1270"/>
    </row>
    <row r="2" spans="1:20" ht="15" customHeight="1">
      <c r="A2" s="573"/>
      <c r="B2" s="573"/>
      <c r="C2" s="573"/>
      <c r="D2" s="573"/>
      <c r="E2" s="573"/>
      <c r="F2" s="573"/>
      <c r="G2" s="573"/>
      <c r="H2" s="573"/>
      <c r="I2" s="573"/>
      <c r="J2" s="573"/>
      <c r="K2" s="573"/>
      <c r="L2" s="573"/>
      <c r="M2" s="573"/>
    </row>
    <row r="3" spans="1:20" ht="24" customHeight="1">
      <c r="A3" s="1280" t="s">
        <v>407</v>
      </c>
      <c r="B3" s="1280"/>
      <c r="C3" s="1280"/>
      <c r="D3" s="1280"/>
      <c r="E3" s="1280"/>
      <c r="F3" s="1280"/>
      <c r="G3" s="1280"/>
      <c r="H3" s="1280"/>
      <c r="I3" s="1280"/>
      <c r="J3" s="1280"/>
      <c r="K3" s="1280"/>
      <c r="L3" s="1280"/>
      <c r="M3" s="1280"/>
      <c r="N3" s="1280"/>
    </row>
    <row r="4" spans="1:20" ht="24.75" customHeight="1">
      <c r="A4" s="1245" t="s">
        <v>882</v>
      </c>
      <c r="B4" s="1245" t="s">
        <v>283</v>
      </c>
      <c r="C4" s="1245" t="s">
        <v>615</v>
      </c>
      <c r="D4" s="1245" t="s">
        <v>284</v>
      </c>
      <c r="E4" s="1248" t="s">
        <v>616</v>
      </c>
      <c r="F4" s="1245" t="s">
        <v>617</v>
      </c>
      <c r="G4" s="1245" t="s">
        <v>287</v>
      </c>
      <c r="H4" s="1254" t="s">
        <v>288</v>
      </c>
      <c r="I4" s="1255"/>
      <c r="J4" s="1255"/>
      <c r="K4" s="1255"/>
      <c r="L4" s="1255"/>
      <c r="M4" s="1256"/>
      <c r="N4" s="1245" t="s">
        <v>58</v>
      </c>
    </row>
    <row r="5" spans="1:20" ht="37.9" customHeight="1">
      <c r="A5" s="1246"/>
      <c r="B5" s="1246"/>
      <c r="C5" s="1246"/>
      <c r="D5" s="1246"/>
      <c r="E5" s="1249"/>
      <c r="F5" s="1246"/>
      <c r="G5" s="1246"/>
      <c r="H5" s="1254" t="s">
        <v>289</v>
      </c>
      <c r="I5" s="1256"/>
      <c r="J5" s="1254" t="s">
        <v>322</v>
      </c>
      <c r="K5" s="1256"/>
      <c r="L5" s="1254" t="s">
        <v>291</v>
      </c>
      <c r="M5" s="1256"/>
      <c r="N5" s="1246"/>
    </row>
    <row r="6" spans="1:20" ht="22.5" customHeight="1">
      <c r="A6" s="1247"/>
      <c r="B6" s="1247"/>
      <c r="C6" s="1247"/>
      <c r="D6" s="1247"/>
      <c r="E6" s="1250"/>
      <c r="F6" s="1247"/>
      <c r="G6" s="1247"/>
      <c r="H6" s="468" t="s">
        <v>926</v>
      </c>
      <c r="I6" s="468" t="s">
        <v>618</v>
      </c>
      <c r="J6" s="468" t="s">
        <v>926</v>
      </c>
      <c r="K6" s="468" t="s">
        <v>618</v>
      </c>
      <c r="L6" s="468" t="s">
        <v>926</v>
      </c>
      <c r="M6" s="468" t="s">
        <v>618</v>
      </c>
      <c r="N6" s="1247"/>
    </row>
    <row r="7" spans="1:20" ht="19.149999999999999" customHeight="1">
      <c r="A7" s="623">
        <v>1</v>
      </c>
      <c r="B7" s="624" t="s">
        <v>133</v>
      </c>
      <c r="C7" s="623">
        <v>0.4</v>
      </c>
      <c r="D7" s="623" t="s">
        <v>385</v>
      </c>
      <c r="E7" s="623">
        <f>'Bang gia'!P9</f>
        <v>5</v>
      </c>
      <c r="F7" s="625">
        <f>'Bang gia'!Q9</f>
        <v>15000000</v>
      </c>
      <c r="G7" s="580">
        <f t="shared" ref="G7:G13" si="0">F7/E7/500</f>
        <v>6000</v>
      </c>
      <c r="H7" s="626">
        <v>2.3E-2</v>
      </c>
      <c r="I7" s="625">
        <f>G7*H7</f>
        <v>138</v>
      </c>
      <c r="J7" s="626">
        <v>0.23799999999999999</v>
      </c>
      <c r="K7" s="627">
        <f t="shared" ref="K7:K12" si="1">G7*J7</f>
        <v>1428</v>
      </c>
      <c r="L7" s="626">
        <v>0.129</v>
      </c>
      <c r="M7" s="628">
        <f t="shared" ref="M7:M13" si="2">G7*L7</f>
        <v>774</v>
      </c>
      <c r="N7" s="627">
        <f t="shared" ref="N7:N13" si="3">I7+K7+M7</f>
        <v>2340</v>
      </c>
      <c r="O7" s="629"/>
    </row>
    <row r="8" spans="1:20" ht="19.149999999999999" customHeight="1">
      <c r="A8" s="578">
        <v>2</v>
      </c>
      <c r="B8" s="630" t="s">
        <v>143</v>
      </c>
      <c r="C8" s="631">
        <v>0.6</v>
      </c>
      <c r="D8" s="578" t="s">
        <v>385</v>
      </c>
      <c r="E8" s="578">
        <f>'Bang gia'!P21</f>
        <v>10</v>
      </c>
      <c r="F8" s="580">
        <f>'Bang gia'!Q21</f>
        <v>5800000</v>
      </c>
      <c r="G8" s="580">
        <f t="shared" si="0"/>
        <v>1160</v>
      </c>
      <c r="H8" s="584">
        <v>3.0000000000000001E-3</v>
      </c>
      <c r="I8" s="580">
        <f>G8*H8</f>
        <v>3.48</v>
      </c>
      <c r="J8" s="582">
        <v>2.4E-2</v>
      </c>
      <c r="K8" s="583">
        <f t="shared" si="1"/>
        <v>27.84</v>
      </c>
      <c r="L8" s="584">
        <v>3.0000000000000001E-3</v>
      </c>
      <c r="M8" s="585">
        <f t="shared" si="2"/>
        <v>3.48</v>
      </c>
      <c r="N8" s="586">
        <f t="shared" si="3"/>
        <v>34.799999999999997</v>
      </c>
      <c r="O8" s="629"/>
    </row>
    <row r="9" spans="1:20" ht="19.149999999999999" customHeight="1">
      <c r="A9" s="578">
        <v>3</v>
      </c>
      <c r="B9" s="579" t="s">
        <v>141</v>
      </c>
      <c r="C9" s="578">
        <v>0.6</v>
      </c>
      <c r="D9" s="578" t="s">
        <v>385</v>
      </c>
      <c r="E9" s="578">
        <f>'Bang gia'!P19</f>
        <v>10</v>
      </c>
      <c r="F9" s="580">
        <f>'Bang gia'!Q19</f>
        <v>24800000</v>
      </c>
      <c r="G9" s="580">
        <f t="shared" si="0"/>
        <v>4960</v>
      </c>
      <c r="H9" s="584"/>
      <c r="I9" s="580"/>
      <c r="J9" s="582">
        <v>0.04</v>
      </c>
      <c r="K9" s="583">
        <f t="shared" si="1"/>
        <v>198.4</v>
      </c>
      <c r="L9" s="584">
        <v>8.0000000000000002E-3</v>
      </c>
      <c r="M9" s="585">
        <f t="shared" si="2"/>
        <v>39.68</v>
      </c>
      <c r="N9" s="586">
        <f t="shared" si="3"/>
        <v>238.08</v>
      </c>
      <c r="O9" s="629"/>
    </row>
    <row r="10" spans="1:20" ht="19.149999999999999" customHeight="1">
      <c r="A10" s="578">
        <v>4</v>
      </c>
      <c r="B10" s="579" t="s">
        <v>333</v>
      </c>
      <c r="C10" s="578">
        <v>0.6</v>
      </c>
      <c r="D10" s="578" t="s">
        <v>385</v>
      </c>
      <c r="E10" s="578">
        <v>10</v>
      </c>
      <c r="F10" s="580">
        <f>'Bang gia'!Q22</f>
        <v>28500000</v>
      </c>
      <c r="G10" s="580">
        <f t="shared" si="0"/>
        <v>5700</v>
      </c>
      <c r="H10" s="584"/>
      <c r="I10" s="580"/>
      <c r="J10" s="582">
        <v>0.04</v>
      </c>
      <c r="K10" s="583">
        <f t="shared" si="1"/>
        <v>228</v>
      </c>
      <c r="L10" s="584"/>
      <c r="M10" s="585"/>
      <c r="N10" s="586">
        <f t="shared" si="3"/>
        <v>228</v>
      </c>
      <c r="O10" s="629"/>
    </row>
    <row r="11" spans="1:20" ht="19.149999999999999" customHeight="1">
      <c r="A11" s="578">
        <v>5</v>
      </c>
      <c r="B11" s="579" t="s">
        <v>619</v>
      </c>
      <c r="C11" s="578">
        <v>2.2000000000000002</v>
      </c>
      <c r="D11" s="578" t="s">
        <v>385</v>
      </c>
      <c r="E11" s="578">
        <f>'Bang gia'!P11</f>
        <v>10</v>
      </c>
      <c r="F11" s="580">
        <f>'Bang gia'!Q11</f>
        <v>14500000</v>
      </c>
      <c r="G11" s="580">
        <f t="shared" si="0"/>
        <v>2900</v>
      </c>
      <c r="H11" s="584">
        <v>6.0000000000000001E-3</v>
      </c>
      <c r="I11" s="580">
        <f>G11*H11</f>
        <v>17.400000000000002</v>
      </c>
      <c r="J11" s="582">
        <v>7.0999999999999994E-2</v>
      </c>
      <c r="K11" s="583">
        <f t="shared" si="1"/>
        <v>205.89999999999998</v>
      </c>
      <c r="L11" s="584">
        <v>3.7999999999999999E-2</v>
      </c>
      <c r="M11" s="585">
        <f t="shared" si="2"/>
        <v>110.2</v>
      </c>
      <c r="N11" s="586">
        <f t="shared" si="3"/>
        <v>333.5</v>
      </c>
    </row>
    <row r="12" spans="1:20" ht="19.149999999999999" customHeight="1">
      <c r="A12" s="578">
        <v>6</v>
      </c>
      <c r="B12" s="579" t="s">
        <v>336</v>
      </c>
      <c r="C12" s="578">
        <v>1.5</v>
      </c>
      <c r="D12" s="578" t="s">
        <v>385</v>
      </c>
      <c r="E12" s="578">
        <f>'Bang gia'!P20</f>
        <v>10</v>
      </c>
      <c r="F12" s="580">
        <f>'Bang gia'!Q20</f>
        <v>25500000</v>
      </c>
      <c r="G12" s="580">
        <f t="shared" si="0"/>
        <v>5100</v>
      </c>
      <c r="H12" s="584">
        <v>1E-3</v>
      </c>
      <c r="I12" s="580">
        <f>G12*H12</f>
        <v>5.1000000000000005</v>
      </c>
      <c r="J12" s="582">
        <v>2.4E-2</v>
      </c>
      <c r="K12" s="583">
        <f t="shared" si="1"/>
        <v>122.4</v>
      </c>
      <c r="L12" s="584">
        <v>3.0000000000000001E-3</v>
      </c>
      <c r="M12" s="585">
        <f t="shared" si="2"/>
        <v>15.3</v>
      </c>
      <c r="N12" s="586">
        <f t="shared" si="3"/>
        <v>142.80000000000001</v>
      </c>
    </row>
    <row r="13" spans="1:20" ht="19.149999999999999" customHeight="1">
      <c r="A13" s="578">
        <v>7</v>
      </c>
      <c r="B13" s="579" t="s">
        <v>620</v>
      </c>
      <c r="C13" s="578">
        <v>0.4</v>
      </c>
      <c r="D13" s="578" t="s">
        <v>385</v>
      </c>
      <c r="E13" s="578">
        <f>'Bang gia'!P10</f>
        <v>10</v>
      </c>
      <c r="F13" s="580">
        <f>'Bang gia'!Q10</f>
        <v>105000000</v>
      </c>
      <c r="G13" s="580">
        <f t="shared" si="0"/>
        <v>21000</v>
      </c>
      <c r="H13" s="581"/>
      <c r="I13" s="580"/>
      <c r="J13" s="632"/>
      <c r="K13" s="583"/>
      <c r="L13" s="584">
        <v>1E-3</v>
      </c>
      <c r="M13" s="585">
        <f t="shared" si="2"/>
        <v>21</v>
      </c>
      <c r="N13" s="586">
        <f t="shared" si="3"/>
        <v>21</v>
      </c>
    </row>
    <row r="14" spans="1:20" ht="19.149999999999999" customHeight="1">
      <c r="A14" s="633"/>
      <c r="B14" s="588" t="s">
        <v>621</v>
      </c>
      <c r="C14" s="588"/>
      <c r="D14" s="633"/>
      <c r="E14" s="633"/>
      <c r="F14" s="634"/>
      <c r="G14" s="633"/>
      <c r="H14" s="633"/>
      <c r="I14" s="589">
        <f>SUM(I7:I13)</f>
        <v>163.98</v>
      </c>
      <c r="J14" s="590"/>
      <c r="K14" s="591">
        <f>SUM(K7:K13)</f>
        <v>2210.54</v>
      </c>
      <c r="L14" s="590"/>
      <c r="M14" s="591">
        <f>SUM(M7:M13)</f>
        <v>963.66</v>
      </c>
      <c r="N14" s="591">
        <f>SUM(N7:N13)</f>
        <v>3338.1800000000003</v>
      </c>
      <c r="P14" s="635">
        <f>I14/8000</f>
        <v>2.0497499999999998E-2</v>
      </c>
      <c r="Q14" s="635">
        <f>J14/8000</f>
        <v>0</v>
      </c>
      <c r="R14" s="635">
        <f>K14/8000</f>
        <v>0.27631749999999999</v>
      </c>
      <c r="S14" s="635">
        <f>L14/8000</f>
        <v>0</v>
      </c>
      <c r="T14" s="635">
        <f>M14/8000</f>
        <v>0.1204575</v>
      </c>
    </row>
    <row r="15" spans="1:20">
      <c r="A15" s="606"/>
      <c r="B15" s="599" t="s">
        <v>299</v>
      </c>
      <c r="D15" s="603"/>
      <c r="E15" s="494"/>
      <c r="F15" s="604"/>
      <c r="G15" s="494"/>
      <c r="H15" s="601"/>
      <c r="I15" s="601"/>
      <c r="J15" s="602"/>
      <c r="K15" s="602"/>
      <c r="L15" s="602"/>
      <c r="M15" s="602"/>
      <c r="N15" s="494"/>
    </row>
    <row r="16" spans="1:20" ht="52.9" customHeight="1">
      <c r="A16" s="606"/>
      <c r="B16" s="1266" t="s">
        <v>188</v>
      </c>
      <c r="C16" s="1266"/>
      <c r="D16" s="1266"/>
      <c r="E16" s="1266"/>
      <c r="F16" s="1266"/>
      <c r="G16" s="1266"/>
      <c r="H16" s="1266"/>
      <c r="I16" s="1266"/>
      <c r="J16" s="1266"/>
      <c r="K16" s="1266"/>
      <c r="L16" s="1266"/>
      <c r="M16" s="1266"/>
      <c r="N16" s="1266"/>
    </row>
    <row r="17" spans="1:16" ht="37.15" customHeight="1">
      <c r="A17" s="606"/>
      <c r="B17" s="1266" t="s">
        <v>189</v>
      </c>
      <c r="C17" s="1266"/>
      <c r="D17" s="1266"/>
      <c r="E17" s="1266"/>
      <c r="F17" s="1266"/>
      <c r="G17" s="1266"/>
      <c r="H17" s="1266"/>
      <c r="I17" s="1266"/>
      <c r="J17" s="1266"/>
      <c r="K17" s="1266"/>
      <c r="L17" s="1266"/>
      <c r="M17" s="1266"/>
      <c r="N17" s="1266"/>
    </row>
    <row r="18" spans="1:16" ht="25.9" customHeight="1">
      <c r="A18" s="606"/>
      <c r="B18" s="1260" t="s">
        <v>190</v>
      </c>
      <c r="C18" s="1260"/>
      <c r="D18" s="1260"/>
      <c r="E18" s="1260"/>
      <c r="F18" s="1260"/>
      <c r="G18" s="1260"/>
      <c r="H18" s="1260"/>
      <c r="I18" s="1260"/>
      <c r="J18" s="1260"/>
      <c r="K18" s="1260"/>
      <c r="L18" s="1260"/>
      <c r="M18" s="1260"/>
      <c r="N18" s="1260"/>
    </row>
    <row r="19" spans="1:16" ht="38.450000000000003" customHeight="1">
      <c r="A19" s="606"/>
      <c r="B19" s="1266" t="s">
        <v>191</v>
      </c>
      <c r="C19" s="1266"/>
      <c r="D19" s="1266"/>
      <c r="E19" s="1266"/>
      <c r="F19" s="1266"/>
      <c r="G19" s="1266"/>
      <c r="H19" s="1266"/>
      <c r="I19" s="1266"/>
      <c r="J19" s="1266"/>
      <c r="K19" s="1266"/>
      <c r="L19" s="1266"/>
      <c r="M19" s="1266"/>
      <c r="N19" s="1266"/>
    </row>
    <row r="20" spans="1:16" ht="20.25" customHeight="1">
      <c r="A20" s="606"/>
      <c r="B20" s="603"/>
      <c r="C20" s="603"/>
      <c r="D20" s="603"/>
      <c r="E20" s="494"/>
      <c r="F20" s="604"/>
      <c r="G20" s="494"/>
      <c r="H20" s="601"/>
      <c r="I20" s="601"/>
      <c r="J20" s="602"/>
      <c r="K20" s="602"/>
      <c r="L20" s="602"/>
      <c r="M20" s="602"/>
      <c r="N20" s="494"/>
    </row>
    <row r="21" spans="1:16" ht="35.25" customHeight="1">
      <c r="A21" s="1280" t="s">
        <v>1039</v>
      </c>
      <c r="B21" s="1280"/>
      <c r="C21" s="1280"/>
      <c r="D21" s="1280"/>
      <c r="E21" s="1280"/>
      <c r="F21" s="1280"/>
      <c r="G21" s="1280"/>
      <c r="H21" s="1280"/>
      <c r="I21" s="1280"/>
      <c r="J21" s="1280"/>
      <c r="K21" s="1280"/>
      <c r="L21" s="1280"/>
      <c r="M21" s="1280"/>
      <c r="N21" s="1280"/>
    </row>
    <row r="22" spans="1:16" ht="22.15" customHeight="1">
      <c r="A22" s="1245" t="s">
        <v>882</v>
      </c>
      <c r="B22" s="1245" t="s">
        <v>283</v>
      </c>
      <c r="C22" s="1245" t="s">
        <v>615</v>
      </c>
      <c r="D22" s="1245" t="s">
        <v>284</v>
      </c>
      <c r="E22" s="1248" t="s">
        <v>616</v>
      </c>
      <c r="F22" s="1245" t="s">
        <v>617</v>
      </c>
      <c r="G22" s="1245" t="s">
        <v>287</v>
      </c>
      <c r="H22" s="1254" t="s">
        <v>288</v>
      </c>
      <c r="I22" s="1255"/>
      <c r="J22" s="1255"/>
      <c r="K22" s="1255"/>
      <c r="L22" s="1255"/>
      <c r="M22" s="1256"/>
      <c r="N22" s="1245" t="s">
        <v>927</v>
      </c>
    </row>
    <row r="23" spans="1:16" ht="31.15" customHeight="1">
      <c r="A23" s="1246"/>
      <c r="B23" s="1246"/>
      <c r="C23" s="1246"/>
      <c r="D23" s="1246"/>
      <c r="E23" s="1249"/>
      <c r="F23" s="1246"/>
      <c r="G23" s="1246"/>
      <c r="H23" s="1254" t="s">
        <v>634</v>
      </c>
      <c r="I23" s="1256"/>
      <c r="J23" s="1254" t="s">
        <v>847</v>
      </c>
      <c r="K23" s="1256"/>
      <c r="L23" s="1254" t="s">
        <v>291</v>
      </c>
      <c r="M23" s="1256"/>
      <c r="N23" s="1246"/>
    </row>
    <row r="24" spans="1:16" ht="22.15" customHeight="1">
      <c r="A24" s="1247"/>
      <c r="B24" s="1247"/>
      <c r="C24" s="1247"/>
      <c r="D24" s="1247"/>
      <c r="E24" s="1250"/>
      <c r="F24" s="1247"/>
      <c r="G24" s="1247"/>
      <c r="H24" s="569" t="s">
        <v>928</v>
      </c>
      <c r="I24" s="569" t="s">
        <v>57</v>
      </c>
      <c r="J24" s="569" t="s">
        <v>928</v>
      </c>
      <c r="K24" s="569" t="s">
        <v>57</v>
      </c>
      <c r="L24" s="569" t="s">
        <v>928</v>
      </c>
      <c r="M24" s="569" t="s">
        <v>57</v>
      </c>
      <c r="N24" s="1247"/>
    </row>
    <row r="25" spans="1:16" ht="22.9" customHeight="1">
      <c r="A25" s="623">
        <v>1</v>
      </c>
      <c r="B25" s="624" t="s">
        <v>133</v>
      </c>
      <c r="C25" s="623">
        <v>0.4</v>
      </c>
      <c r="D25" s="623" t="s">
        <v>385</v>
      </c>
      <c r="E25" s="623">
        <f>E7</f>
        <v>5</v>
      </c>
      <c r="F25" s="625">
        <f>'Bang gia'!Q9</f>
        <v>15000000</v>
      </c>
      <c r="G25" s="580">
        <f t="shared" ref="G25:G31" si="4">F25/E25/500</f>
        <v>6000</v>
      </c>
      <c r="H25" s="626">
        <v>1.2999999999999999E-2</v>
      </c>
      <c r="I25" s="625">
        <f>G25*H25</f>
        <v>78</v>
      </c>
      <c r="J25" s="626">
        <v>0.3</v>
      </c>
      <c r="K25" s="627">
        <f t="shared" ref="K25:K30" si="5">G25*J25</f>
        <v>1800</v>
      </c>
      <c r="L25" s="626">
        <v>0.14099999999999999</v>
      </c>
      <c r="M25" s="628">
        <f>G25*L25</f>
        <v>845.99999999999989</v>
      </c>
      <c r="N25" s="627">
        <f t="shared" ref="N25:N31" si="6">I25+K25+M25</f>
        <v>2724</v>
      </c>
    </row>
    <row r="26" spans="1:16" ht="21.75" customHeight="1">
      <c r="A26" s="578">
        <v>2</v>
      </c>
      <c r="B26" s="630" t="s">
        <v>143</v>
      </c>
      <c r="C26" s="631">
        <v>0.6</v>
      </c>
      <c r="D26" s="578" t="s">
        <v>385</v>
      </c>
      <c r="E26" s="578">
        <f>E8</f>
        <v>10</v>
      </c>
      <c r="F26" s="580">
        <f>'Bang gia'!Q21</f>
        <v>5800000</v>
      </c>
      <c r="G26" s="580">
        <f t="shared" si="4"/>
        <v>1160</v>
      </c>
      <c r="H26" s="584">
        <v>3.0000000000000001E-3</v>
      </c>
      <c r="I26" s="580">
        <f>G26*H26</f>
        <v>3.48</v>
      </c>
      <c r="J26" s="582">
        <v>0.03</v>
      </c>
      <c r="K26" s="583">
        <f t="shared" si="5"/>
        <v>34.799999999999997</v>
      </c>
      <c r="L26" s="584">
        <v>3.0000000000000001E-3</v>
      </c>
      <c r="M26" s="585">
        <f>G26*L26</f>
        <v>3.48</v>
      </c>
      <c r="N26" s="586">
        <f t="shared" si="6"/>
        <v>41.759999999999991</v>
      </c>
    </row>
    <row r="27" spans="1:16" ht="22.9" customHeight="1">
      <c r="A27" s="578">
        <v>3</v>
      </c>
      <c r="B27" s="579" t="s">
        <v>141</v>
      </c>
      <c r="C27" s="578">
        <v>0.6</v>
      </c>
      <c r="D27" s="578" t="s">
        <v>385</v>
      </c>
      <c r="E27" s="578">
        <f>E9</f>
        <v>10</v>
      </c>
      <c r="F27" s="580">
        <f>'Bang gia'!Q19</f>
        <v>24800000</v>
      </c>
      <c r="G27" s="580">
        <f t="shared" si="4"/>
        <v>4960</v>
      </c>
      <c r="H27" s="584"/>
      <c r="I27" s="580"/>
      <c r="J27" s="582">
        <v>0.04</v>
      </c>
      <c r="K27" s="583">
        <f t="shared" si="5"/>
        <v>198.4</v>
      </c>
      <c r="L27" s="584">
        <v>1.7999999999999999E-2</v>
      </c>
      <c r="M27" s="585">
        <f>G27*L27</f>
        <v>89.279999999999987</v>
      </c>
      <c r="N27" s="586">
        <f t="shared" si="6"/>
        <v>287.68</v>
      </c>
    </row>
    <row r="28" spans="1:16" ht="22.9" customHeight="1">
      <c r="A28" s="578">
        <v>4</v>
      </c>
      <c r="B28" s="579" t="s">
        <v>333</v>
      </c>
      <c r="C28" s="578">
        <v>0.6</v>
      </c>
      <c r="D28" s="578" t="s">
        <v>385</v>
      </c>
      <c r="E28" s="578">
        <v>10</v>
      </c>
      <c r="F28" s="580">
        <f>'Bang gia'!Q22</f>
        <v>28500000</v>
      </c>
      <c r="G28" s="580">
        <f t="shared" si="4"/>
        <v>5700</v>
      </c>
      <c r="H28" s="584"/>
      <c r="I28" s="580"/>
      <c r="J28" s="582">
        <v>0.04</v>
      </c>
      <c r="K28" s="583">
        <f t="shared" si="5"/>
        <v>228</v>
      </c>
      <c r="L28" s="584"/>
      <c r="M28" s="585"/>
      <c r="N28" s="586">
        <f t="shared" si="6"/>
        <v>228</v>
      </c>
    </row>
    <row r="29" spans="1:16" ht="22.9" customHeight="1">
      <c r="A29" s="578">
        <v>5</v>
      </c>
      <c r="B29" s="579" t="s">
        <v>619</v>
      </c>
      <c r="C29" s="578">
        <v>2.2000000000000002</v>
      </c>
      <c r="D29" s="578" t="s">
        <v>385</v>
      </c>
      <c r="E29" s="578">
        <f>E11</f>
        <v>10</v>
      </c>
      <c r="F29" s="580">
        <f>'Bang gia'!Q11</f>
        <v>14500000</v>
      </c>
      <c r="G29" s="580">
        <f t="shared" si="4"/>
        <v>2900</v>
      </c>
      <c r="H29" s="584">
        <v>4.0000000000000001E-3</v>
      </c>
      <c r="I29" s="580">
        <f>G29*H29</f>
        <v>11.6</v>
      </c>
      <c r="J29" s="582">
        <v>0.13500000000000001</v>
      </c>
      <c r="K29" s="583">
        <f t="shared" si="5"/>
        <v>391.5</v>
      </c>
      <c r="L29" s="584">
        <v>6.4000000000000001E-2</v>
      </c>
      <c r="M29" s="585">
        <f>G29*L29</f>
        <v>185.6</v>
      </c>
      <c r="N29" s="586">
        <f t="shared" si="6"/>
        <v>588.70000000000005</v>
      </c>
    </row>
    <row r="30" spans="1:16" ht="22.9" customHeight="1">
      <c r="A30" s="578">
        <v>6</v>
      </c>
      <c r="B30" s="579" t="s">
        <v>51</v>
      </c>
      <c r="C30" s="578">
        <v>1.5</v>
      </c>
      <c r="D30" s="578" t="s">
        <v>385</v>
      </c>
      <c r="E30" s="578">
        <f>E12</f>
        <v>10</v>
      </c>
      <c r="F30" s="580">
        <f>'Bang gia'!Q20</f>
        <v>25500000</v>
      </c>
      <c r="G30" s="580">
        <f t="shared" si="4"/>
        <v>5100</v>
      </c>
      <c r="H30" s="581"/>
      <c r="I30" s="580"/>
      <c r="J30" s="582">
        <v>4.9000000000000002E-2</v>
      </c>
      <c r="K30" s="583">
        <f t="shared" si="5"/>
        <v>249.9</v>
      </c>
      <c r="L30" s="584">
        <v>6.0000000000000001E-3</v>
      </c>
      <c r="M30" s="585">
        <f>G30*L30</f>
        <v>30.6</v>
      </c>
      <c r="N30" s="586">
        <f t="shared" si="6"/>
        <v>280.5</v>
      </c>
    </row>
    <row r="31" spans="1:16" ht="22.9" customHeight="1">
      <c r="A31" s="578">
        <v>7</v>
      </c>
      <c r="B31" s="579" t="s">
        <v>620</v>
      </c>
      <c r="C31" s="578">
        <v>0.4</v>
      </c>
      <c r="D31" s="578" t="s">
        <v>385</v>
      </c>
      <c r="E31" s="578">
        <f>E13</f>
        <v>10</v>
      </c>
      <c r="F31" s="580">
        <f>'Bang gia'!Q10</f>
        <v>105000000</v>
      </c>
      <c r="G31" s="580">
        <f t="shared" si="4"/>
        <v>21000</v>
      </c>
      <c r="H31" s="581"/>
      <c r="I31" s="580"/>
      <c r="J31" s="632"/>
      <c r="K31" s="583"/>
      <c r="L31" s="584">
        <v>2E-3</v>
      </c>
      <c r="M31" s="585">
        <f>G31*L31</f>
        <v>42</v>
      </c>
      <c r="N31" s="586">
        <f t="shared" si="6"/>
        <v>42</v>
      </c>
    </row>
    <row r="32" spans="1:16" ht="22.9" customHeight="1">
      <c r="A32" s="633"/>
      <c r="B32" s="588" t="s">
        <v>621</v>
      </c>
      <c r="C32" s="588"/>
      <c r="D32" s="633"/>
      <c r="E32" s="633"/>
      <c r="F32" s="634"/>
      <c r="G32" s="633"/>
      <c r="H32" s="633"/>
      <c r="I32" s="591">
        <f>SUM(I25:I31)</f>
        <v>93.08</v>
      </c>
      <c r="J32" s="591"/>
      <c r="K32" s="591">
        <f>SUM(K25:K31)</f>
        <v>2902.6</v>
      </c>
      <c r="L32" s="590"/>
      <c r="M32" s="591">
        <f>SUM(M25:M31)</f>
        <v>1196.9599999999998</v>
      </c>
      <c r="N32" s="591">
        <f>SUM(N25:N31)</f>
        <v>4192.6400000000003</v>
      </c>
      <c r="P32" s="635">
        <f>I32/5000</f>
        <v>1.8616000000000001E-2</v>
      </c>
    </row>
    <row r="33" spans="1:15">
      <c r="A33" s="606"/>
      <c r="B33" s="599" t="s">
        <v>299</v>
      </c>
      <c r="C33" s="603"/>
      <c r="D33" s="603"/>
      <c r="E33" s="494"/>
      <c r="F33" s="604"/>
      <c r="G33" s="494"/>
      <c r="H33" s="601"/>
      <c r="I33" s="601"/>
      <c r="J33" s="602"/>
      <c r="K33" s="602"/>
      <c r="L33" s="602"/>
      <c r="M33" s="602"/>
      <c r="N33" s="494"/>
    </row>
    <row r="34" spans="1:15" ht="46.15" customHeight="1">
      <c r="A34" s="606"/>
      <c r="B34" s="1266" t="s">
        <v>496</v>
      </c>
      <c r="C34" s="1266"/>
      <c r="D34" s="1266"/>
      <c r="E34" s="1266"/>
      <c r="F34" s="1266"/>
      <c r="G34" s="1266"/>
      <c r="H34" s="1266"/>
      <c r="I34" s="1266"/>
      <c r="J34" s="1266"/>
      <c r="K34" s="1266"/>
      <c r="L34" s="1266"/>
      <c r="M34" s="1266"/>
      <c r="N34" s="1266"/>
    </row>
    <row r="35" spans="1:15" ht="20.25" customHeight="1">
      <c r="A35" s="606"/>
      <c r="B35" s="603" t="s">
        <v>497</v>
      </c>
      <c r="C35" s="603"/>
      <c r="D35" s="603"/>
      <c r="E35" s="494"/>
      <c r="F35" s="604"/>
      <c r="G35" s="494"/>
      <c r="H35" s="601"/>
      <c r="I35" s="601"/>
      <c r="J35" s="602"/>
      <c r="K35" s="602"/>
      <c r="L35" s="602"/>
      <c r="M35" s="602"/>
      <c r="N35" s="494"/>
    </row>
    <row r="36" spans="1:15" ht="32.450000000000003" customHeight="1">
      <c r="A36" s="606"/>
      <c r="B36" s="1266" t="s">
        <v>246</v>
      </c>
      <c r="C36" s="1266"/>
      <c r="D36" s="1266"/>
      <c r="E36" s="1266"/>
      <c r="F36" s="1266"/>
      <c r="G36" s="1266"/>
      <c r="H36" s="1266"/>
      <c r="I36" s="1266"/>
      <c r="J36" s="1266"/>
      <c r="K36" s="1266"/>
      <c r="L36" s="1266"/>
      <c r="M36" s="1266"/>
      <c r="N36" s="1266"/>
    </row>
    <row r="37" spans="1:15" ht="38.450000000000003" customHeight="1">
      <c r="A37" s="606"/>
      <c r="B37" s="1260" t="s">
        <v>247</v>
      </c>
      <c r="C37" s="1260"/>
      <c r="D37" s="1260"/>
      <c r="E37" s="1260"/>
      <c r="F37" s="1260"/>
      <c r="G37" s="1260"/>
      <c r="H37" s="1260"/>
      <c r="I37" s="1260"/>
      <c r="J37" s="1260"/>
      <c r="K37" s="1260"/>
      <c r="L37" s="1260"/>
      <c r="M37" s="1260"/>
      <c r="N37" s="1260"/>
    </row>
    <row r="38" spans="1:15" ht="20.25" customHeight="1">
      <c r="A38" s="606"/>
      <c r="B38" s="603"/>
      <c r="C38" s="603"/>
      <c r="D38" s="603"/>
      <c r="E38" s="494"/>
      <c r="F38" s="604"/>
      <c r="G38" s="494"/>
      <c r="H38" s="601"/>
      <c r="I38" s="601"/>
      <c r="J38" s="602"/>
      <c r="K38" s="602"/>
      <c r="L38" s="602"/>
      <c r="M38" s="602"/>
      <c r="N38" s="494"/>
    </row>
    <row r="39" spans="1:15" ht="32.25" customHeight="1">
      <c r="A39" s="1264" t="s">
        <v>1040</v>
      </c>
      <c r="B39" s="1264"/>
      <c r="C39" s="1264"/>
      <c r="D39" s="1264"/>
      <c r="E39" s="1264"/>
      <c r="F39" s="1264"/>
      <c r="G39" s="1264"/>
      <c r="H39" s="1264"/>
      <c r="I39" s="1264"/>
      <c r="J39" s="1264"/>
      <c r="K39" s="1264"/>
      <c r="L39" s="1264"/>
      <c r="M39" s="1264"/>
      <c r="N39" s="1264"/>
    </row>
    <row r="40" spans="1:15" ht="5.25" customHeight="1">
      <c r="A40" s="480"/>
      <c r="B40" s="606"/>
      <c r="C40" s="606"/>
      <c r="D40" s="600"/>
      <c r="E40" s="480"/>
      <c r="F40" s="601"/>
      <c r="G40" s="601"/>
      <c r="H40" s="480"/>
      <c r="I40" s="480"/>
      <c r="J40" s="606"/>
      <c r="K40" s="606"/>
      <c r="L40" s="607"/>
      <c r="M40" s="607"/>
      <c r="N40" s="494"/>
    </row>
    <row r="41" spans="1:15" ht="18.75" customHeight="1">
      <c r="A41" s="1245" t="s">
        <v>882</v>
      </c>
      <c r="B41" s="1245" t="s">
        <v>283</v>
      </c>
      <c r="C41" s="1245" t="s">
        <v>615</v>
      </c>
      <c r="D41" s="1245" t="s">
        <v>284</v>
      </c>
      <c r="E41" s="1248" t="s">
        <v>616</v>
      </c>
      <c r="F41" s="1245" t="s">
        <v>617</v>
      </c>
      <c r="G41" s="1245" t="s">
        <v>287</v>
      </c>
      <c r="H41" s="1254" t="s">
        <v>288</v>
      </c>
      <c r="I41" s="1255"/>
      <c r="J41" s="1255"/>
      <c r="K41" s="1255"/>
      <c r="L41" s="1255"/>
      <c r="M41" s="1256"/>
      <c r="N41" s="1245" t="s">
        <v>983</v>
      </c>
    </row>
    <row r="42" spans="1:15" ht="41.25" customHeight="1">
      <c r="A42" s="1246"/>
      <c r="B42" s="1246"/>
      <c r="C42" s="1246"/>
      <c r="D42" s="1246"/>
      <c r="E42" s="1249"/>
      <c r="F42" s="1246"/>
      <c r="G42" s="1246"/>
      <c r="H42" s="1254" t="s">
        <v>289</v>
      </c>
      <c r="I42" s="1256"/>
      <c r="J42" s="1254" t="s">
        <v>847</v>
      </c>
      <c r="K42" s="1256"/>
      <c r="L42" s="1254" t="s">
        <v>291</v>
      </c>
      <c r="M42" s="1256"/>
      <c r="N42" s="1246"/>
    </row>
    <row r="43" spans="1:15" ht="20.25" customHeight="1">
      <c r="A43" s="1247"/>
      <c r="B43" s="1247"/>
      <c r="C43" s="1247"/>
      <c r="D43" s="1247"/>
      <c r="E43" s="1250"/>
      <c r="F43" s="1247"/>
      <c r="G43" s="1247"/>
      <c r="H43" s="468" t="s">
        <v>352</v>
      </c>
      <c r="I43" s="468" t="s">
        <v>353</v>
      </c>
      <c r="J43" s="468" t="s">
        <v>352</v>
      </c>
      <c r="K43" s="468" t="s">
        <v>353</v>
      </c>
      <c r="L43" s="468" t="s">
        <v>352</v>
      </c>
      <c r="M43" s="468" t="s">
        <v>353</v>
      </c>
      <c r="N43" s="1247"/>
    </row>
    <row r="44" spans="1:15" ht="21.6" customHeight="1">
      <c r="A44" s="623">
        <v>1</v>
      </c>
      <c r="B44" s="624" t="s">
        <v>133</v>
      </c>
      <c r="C44" s="623">
        <v>0.4</v>
      </c>
      <c r="D44" s="623" t="s">
        <v>385</v>
      </c>
      <c r="E44" s="623">
        <f>E25</f>
        <v>5</v>
      </c>
      <c r="F44" s="625">
        <f>'Bang gia'!Q9</f>
        <v>15000000</v>
      </c>
      <c r="G44" s="580">
        <f t="shared" ref="G44:G49" si="7">F44/E44/500</f>
        <v>6000</v>
      </c>
      <c r="H44" s="626">
        <v>0.06</v>
      </c>
      <c r="I44" s="625">
        <f>G44*H44</f>
        <v>360</v>
      </c>
      <c r="J44" s="626">
        <v>0.57499999999999996</v>
      </c>
      <c r="K44" s="627">
        <f t="shared" ref="K44:K49" si="8">G44*J44</f>
        <v>3449.9999999999995</v>
      </c>
      <c r="L44" s="626"/>
      <c r="M44" s="628"/>
      <c r="N44" s="627">
        <f t="shared" ref="N44:N49" si="9">I44+K44+M44</f>
        <v>3809.9999999999995</v>
      </c>
      <c r="O44" s="629"/>
    </row>
    <row r="45" spans="1:15" ht="21.6" customHeight="1">
      <c r="A45" s="578">
        <v>2</v>
      </c>
      <c r="B45" s="630" t="s">
        <v>143</v>
      </c>
      <c r="C45" s="631">
        <v>0.6</v>
      </c>
      <c r="D45" s="578" t="s">
        <v>385</v>
      </c>
      <c r="E45" s="578">
        <f>E26</f>
        <v>10</v>
      </c>
      <c r="F45" s="580">
        <f>'Bang gia'!Q21</f>
        <v>5800000</v>
      </c>
      <c r="G45" s="580">
        <f t="shared" si="7"/>
        <v>1160</v>
      </c>
      <c r="H45" s="584">
        <v>2E-3</v>
      </c>
      <c r="I45" s="580">
        <f>G45*H45</f>
        <v>2.3199999999999998</v>
      </c>
      <c r="J45" s="582">
        <v>1.6E-2</v>
      </c>
      <c r="K45" s="583">
        <f t="shared" si="8"/>
        <v>18.559999999999999</v>
      </c>
      <c r="L45" s="584"/>
      <c r="M45" s="585"/>
      <c r="N45" s="586">
        <f t="shared" si="9"/>
        <v>20.88</v>
      </c>
      <c r="O45" s="629"/>
    </row>
    <row r="46" spans="1:15" ht="21.6" customHeight="1">
      <c r="A46" s="578">
        <v>3</v>
      </c>
      <c r="B46" s="579" t="s">
        <v>141</v>
      </c>
      <c r="C46" s="578">
        <v>0.6</v>
      </c>
      <c r="D46" s="578" t="s">
        <v>385</v>
      </c>
      <c r="E46" s="578">
        <f>E27</f>
        <v>10</v>
      </c>
      <c r="F46" s="580">
        <f>'Bang gia'!Q19</f>
        <v>24800000</v>
      </c>
      <c r="G46" s="580">
        <f t="shared" si="7"/>
        <v>4960</v>
      </c>
      <c r="H46" s="584"/>
      <c r="I46" s="580"/>
      <c r="J46" s="582">
        <v>0.02</v>
      </c>
      <c r="K46" s="583">
        <f t="shared" si="8"/>
        <v>99.2</v>
      </c>
      <c r="L46" s="584"/>
      <c r="M46" s="585"/>
      <c r="N46" s="586">
        <f t="shared" si="9"/>
        <v>99.2</v>
      </c>
      <c r="O46" s="629"/>
    </row>
    <row r="47" spans="1:15" ht="21.6" customHeight="1">
      <c r="A47" s="578">
        <v>4</v>
      </c>
      <c r="B47" s="579" t="s">
        <v>333</v>
      </c>
      <c r="C47" s="578">
        <v>0.6</v>
      </c>
      <c r="D47" s="578" t="s">
        <v>385</v>
      </c>
      <c r="E47" s="578">
        <v>10</v>
      </c>
      <c r="F47" s="580">
        <f>'Bang gia'!Q22</f>
        <v>28500000</v>
      </c>
      <c r="G47" s="580">
        <f t="shared" si="7"/>
        <v>5700</v>
      </c>
      <c r="H47" s="584"/>
      <c r="I47" s="580"/>
      <c r="J47" s="582">
        <v>0.02</v>
      </c>
      <c r="K47" s="583">
        <f t="shared" si="8"/>
        <v>114</v>
      </c>
      <c r="L47" s="584"/>
      <c r="M47" s="585"/>
      <c r="N47" s="586">
        <f t="shared" si="9"/>
        <v>114</v>
      </c>
      <c r="O47" s="629"/>
    </row>
    <row r="48" spans="1:15" ht="21.6" customHeight="1">
      <c r="A48" s="578">
        <v>5</v>
      </c>
      <c r="B48" s="579" t="s">
        <v>619</v>
      </c>
      <c r="C48" s="578">
        <v>2.2000000000000002</v>
      </c>
      <c r="D48" s="578" t="s">
        <v>385</v>
      </c>
      <c r="E48" s="578">
        <f>E29</f>
        <v>10</v>
      </c>
      <c r="F48" s="580">
        <f>'Bang gia'!Q11</f>
        <v>14500000</v>
      </c>
      <c r="G48" s="580">
        <f t="shared" si="7"/>
        <v>2900</v>
      </c>
      <c r="H48" s="584">
        <v>0.02</v>
      </c>
      <c r="I48" s="580">
        <f>G48*H48</f>
        <v>58</v>
      </c>
      <c r="J48" s="582">
        <v>0.17299999999999999</v>
      </c>
      <c r="K48" s="583">
        <f t="shared" si="8"/>
        <v>501.7</v>
      </c>
      <c r="L48" s="584"/>
      <c r="M48" s="585"/>
      <c r="N48" s="586">
        <f t="shared" si="9"/>
        <v>559.70000000000005</v>
      </c>
    </row>
    <row r="49" spans="1:20" ht="21.6" customHeight="1">
      <c r="A49" s="578">
        <v>6</v>
      </c>
      <c r="B49" s="579" t="s">
        <v>622</v>
      </c>
      <c r="C49" s="578">
        <v>1.5</v>
      </c>
      <c r="D49" s="578" t="s">
        <v>385</v>
      </c>
      <c r="E49" s="578">
        <f>E30</f>
        <v>10</v>
      </c>
      <c r="F49" s="580">
        <f>'Bang gia'!Q20</f>
        <v>25500000</v>
      </c>
      <c r="G49" s="580">
        <f t="shared" si="7"/>
        <v>5100</v>
      </c>
      <c r="H49" s="584"/>
      <c r="I49" s="580"/>
      <c r="J49" s="582">
        <v>0.02</v>
      </c>
      <c r="K49" s="583">
        <f t="shared" si="8"/>
        <v>102</v>
      </c>
      <c r="L49" s="584"/>
      <c r="M49" s="585"/>
      <c r="N49" s="586">
        <f t="shared" si="9"/>
        <v>102</v>
      </c>
    </row>
    <row r="50" spans="1:20" ht="21.6" customHeight="1">
      <c r="A50" s="587"/>
      <c r="B50" s="588" t="s">
        <v>621</v>
      </c>
      <c r="C50" s="588"/>
      <c r="D50" s="587"/>
      <c r="E50" s="587"/>
      <c r="F50" s="636"/>
      <c r="G50" s="587"/>
      <c r="H50" s="587"/>
      <c r="I50" s="589">
        <f>SUM(I44:I49)</f>
        <v>420.32</v>
      </c>
      <c r="J50" s="590"/>
      <c r="K50" s="591">
        <f>SUM(K44:K49)</f>
        <v>4285.4599999999991</v>
      </c>
      <c r="L50" s="590"/>
      <c r="M50" s="591"/>
      <c r="N50" s="591">
        <f>SUM(N44:N49)</f>
        <v>4705.78</v>
      </c>
      <c r="P50" s="637">
        <f>I50*1.3</f>
        <v>546.41600000000005</v>
      </c>
      <c r="Q50" s="637">
        <f>J50*1.3</f>
        <v>0</v>
      </c>
      <c r="R50" s="637">
        <f>K50*1.3</f>
        <v>5571.097999999999</v>
      </c>
      <c r="S50" s="637">
        <f>L50*1.3</f>
        <v>0</v>
      </c>
      <c r="T50" s="637">
        <f>M50*1.3</f>
        <v>0</v>
      </c>
    </row>
    <row r="51" spans="1:20" ht="7.5" customHeight="1">
      <c r="A51" s="593"/>
      <c r="B51" s="594"/>
      <c r="C51" s="594"/>
      <c r="D51" s="595"/>
      <c r="E51" s="596"/>
      <c r="F51" s="638"/>
      <c r="G51" s="596"/>
      <c r="H51" s="597"/>
      <c r="I51" s="597"/>
      <c r="J51" s="598"/>
      <c r="K51" s="598"/>
      <c r="L51" s="598"/>
      <c r="M51" s="598"/>
      <c r="N51" s="596"/>
    </row>
    <row r="52" spans="1:20" ht="16.5" customHeight="1">
      <c r="A52" s="606"/>
      <c r="B52" s="599" t="s">
        <v>299</v>
      </c>
      <c r="C52" s="603"/>
      <c r="D52" s="603"/>
      <c r="E52" s="494"/>
      <c r="F52" s="604"/>
      <c r="G52" s="494"/>
      <c r="H52" s="601"/>
      <c r="I52" s="601"/>
      <c r="J52" s="602"/>
      <c r="K52" s="602"/>
      <c r="L52" s="602"/>
      <c r="M52" s="602"/>
      <c r="N52" s="494"/>
    </row>
    <row r="53" spans="1:20" ht="18.75" customHeight="1">
      <c r="A53" s="606"/>
      <c r="B53" s="603" t="s">
        <v>248</v>
      </c>
      <c r="C53" s="603"/>
      <c r="D53" s="603"/>
      <c r="E53" s="494"/>
      <c r="F53" s="604"/>
      <c r="G53" s="494"/>
      <c r="H53" s="601"/>
      <c r="I53" s="601"/>
      <c r="J53" s="602"/>
      <c r="K53" s="602"/>
      <c r="L53" s="602"/>
      <c r="M53" s="602"/>
      <c r="N53" s="494"/>
    </row>
    <row r="54" spans="1:20" ht="33" customHeight="1">
      <c r="A54" s="606"/>
      <c r="B54" s="1260" t="s">
        <v>249</v>
      </c>
      <c r="C54" s="1260"/>
      <c r="D54" s="1260"/>
      <c r="E54" s="1260"/>
      <c r="F54" s="1260"/>
      <c r="G54" s="1260"/>
      <c r="H54" s="1260"/>
      <c r="I54" s="1260"/>
      <c r="J54" s="1260"/>
      <c r="K54" s="1260"/>
      <c r="L54" s="1260"/>
      <c r="M54" s="1260"/>
      <c r="N54" s="1260"/>
    </row>
    <row r="55" spans="1:20" ht="18.75" customHeight="1">
      <c r="A55" s="606"/>
      <c r="B55" s="603"/>
      <c r="C55" s="603"/>
      <c r="D55" s="603"/>
      <c r="E55" s="494"/>
      <c r="F55" s="604"/>
      <c r="G55" s="494"/>
      <c r="H55" s="601"/>
      <c r="I55" s="601"/>
      <c r="J55" s="602"/>
      <c r="K55" s="602"/>
      <c r="L55" s="602"/>
      <c r="M55" s="602"/>
      <c r="N55" s="494"/>
    </row>
    <row r="56" spans="1:20" ht="32.25" customHeight="1">
      <c r="A56" s="1264" t="s">
        <v>1041</v>
      </c>
      <c r="B56" s="1264"/>
      <c r="C56" s="1264"/>
      <c r="D56" s="1264"/>
      <c r="E56" s="1264"/>
      <c r="F56" s="1264"/>
      <c r="G56" s="1264"/>
      <c r="H56" s="1264"/>
      <c r="I56" s="1264"/>
      <c r="J56" s="1264"/>
      <c r="K56" s="1264"/>
      <c r="L56" s="1264"/>
      <c r="M56" s="1264"/>
      <c r="N56" s="1264"/>
    </row>
    <row r="57" spans="1:20" ht="5.25" customHeight="1">
      <c r="A57" s="480"/>
      <c r="B57" s="606"/>
      <c r="C57" s="606"/>
      <c r="D57" s="600"/>
      <c r="E57" s="480"/>
      <c r="F57" s="601"/>
      <c r="G57" s="601"/>
      <c r="H57" s="480"/>
      <c r="I57" s="480"/>
      <c r="J57" s="606"/>
      <c r="K57" s="606"/>
      <c r="L57" s="607"/>
      <c r="M57" s="607"/>
      <c r="N57" s="494"/>
    </row>
    <row r="58" spans="1:20" ht="18.75" customHeight="1">
      <c r="A58" s="1245" t="s">
        <v>882</v>
      </c>
      <c r="B58" s="1245" t="s">
        <v>283</v>
      </c>
      <c r="C58" s="1245" t="s">
        <v>615</v>
      </c>
      <c r="D58" s="1245" t="s">
        <v>284</v>
      </c>
      <c r="E58" s="1248" t="s">
        <v>616</v>
      </c>
      <c r="F58" s="1245" t="s">
        <v>617</v>
      </c>
      <c r="G58" s="1245" t="s">
        <v>287</v>
      </c>
      <c r="H58" s="1254" t="s">
        <v>288</v>
      </c>
      <c r="I58" s="1255"/>
      <c r="J58" s="1255"/>
      <c r="K58" s="1255"/>
      <c r="L58" s="1255"/>
      <c r="M58" s="1256"/>
      <c r="N58" s="1245" t="s">
        <v>983</v>
      </c>
    </row>
    <row r="59" spans="1:20" ht="41.25" customHeight="1">
      <c r="A59" s="1246"/>
      <c r="B59" s="1246"/>
      <c r="C59" s="1246"/>
      <c r="D59" s="1246"/>
      <c r="E59" s="1249"/>
      <c r="F59" s="1246"/>
      <c r="G59" s="1246"/>
      <c r="H59" s="1254" t="s">
        <v>289</v>
      </c>
      <c r="I59" s="1256"/>
      <c r="J59" s="1254" t="s">
        <v>847</v>
      </c>
      <c r="K59" s="1256"/>
      <c r="L59" s="1254" t="s">
        <v>291</v>
      </c>
      <c r="M59" s="1256"/>
      <c r="N59" s="1246"/>
    </row>
    <row r="60" spans="1:20" ht="20.25" customHeight="1">
      <c r="A60" s="1247"/>
      <c r="B60" s="1247"/>
      <c r="C60" s="1247"/>
      <c r="D60" s="1247"/>
      <c r="E60" s="1250"/>
      <c r="F60" s="1247"/>
      <c r="G60" s="1247"/>
      <c r="H60" s="468" t="s">
        <v>352</v>
      </c>
      <c r="I60" s="468" t="s">
        <v>353</v>
      </c>
      <c r="J60" s="468" t="s">
        <v>352</v>
      </c>
      <c r="K60" s="468" t="s">
        <v>353</v>
      </c>
      <c r="L60" s="468" t="s">
        <v>352</v>
      </c>
      <c r="M60" s="468" t="s">
        <v>353</v>
      </c>
      <c r="N60" s="1247"/>
    </row>
    <row r="61" spans="1:20" ht="22.15" customHeight="1">
      <c r="A61" s="623">
        <v>1</v>
      </c>
      <c r="B61" s="624" t="s">
        <v>133</v>
      </c>
      <c r="C61" s="623">
        <v>0.4</v>
      </c>
      <c r="D61" s="623" t="s">
        <v>385</v>
      </c>
      <c r="E61" s="623">
        <f t="shared" ref="E61:E66" si="10">E44</f>
        <v>5</v>
      </c>
      <c r="F61" s="625">
        <f>'Bang gia'!Q9</f>
        <v>15000000</v>
      </c>
      <c r="G61" s="580">
        <f t="shared" ref="G61:G66" si="11">F61/E61/500</f>
        <v>6000</v>
      </c>
      <c r="H61" s="626">
        <v>0.02</v>
      </c>
      <c r="I61" s="625">
        <f>G61*H61</f>
        <v>120</v>
      </c>
      <c r="J61" s="626">
        <v>0.61499999999999999</v>
      </c>
      <c r="K61" s="627">
        <f t="shared" ref="K61:K66" si="12">G61*J61</f>
        <v>3690</v>
      </c>
      <c r="L61" s="626"/>
      <c r="M61" s="628"/>
      <c r="N61" s="627">
        <f t="shared" ref="N61:N66" si="13">I61+K61+M61</f>
        <v>3810</v>
      </c>
      <c r="O61" s="629"/>
    </row>
    <row r="62" spans="1:20" ht="22.15" customHeight="1">
      <c r="A62" s="578">
        <v>2</v>
      </c>
      <c r="B62" s="630" t="s">
        <v>143</v>
      </c>
      <c r="C62" s="631">
        <v>0.6</v>
      </c>
      <c r="D62" s="578" t="s">
        <v>385</v>
      </c>
      <c r="E62" s="578">
        <f t="shared" si="10"/>
        <v>10</v>
      </c>
      <c r="F62" s="580">
        <f>'Bang gia'!Q21</f>
        <v>5800000</v>
      </c>
      <c r="G62" s="580">
        <f t="shared" si="11"/>
        <v>1160</v>
      </c>
      <c r="H62" s="584">
        <v>1E-3</v>
      </c>
      <c r="I62" s="580">
        <f>G62*H62</f>
        <v>1.1599999999999999</v>
      </c>
      <c r="J62" s="582">
        <v>1.7000000000000001E-2</v>
      </c>
      <c r="K62" s="583">
        <f t="shared" si="12"/>
        <v>19.720000000000002</v>
      </c>
      <c r="L62" s="584"/>
      <c r="M62" s="585"/>
      <c r="N62" s="586">
        <f t="shared" si="13"/>
        <v>20.880000000000003</v>
      </c>
      <c r="O62" s="629"/>
    </row>
    <row r="63" spans="1:20" ht="22.15" customHeight="1">
      <c r="A63" s="578">
        <v>3</v>
      </c>
      <c r="B63" s="579" t="s">
        <v>141</v>
      </c>
      <c r="C63" s="578">
        <v>0.6</v>
      </c>
      <c r="D63" s="578" t="s">
        <v>385</v>
      </c>
      <c r="E63" s="578">
        <f t="shared" si="10"/>
        <v>10</v>
      </c>
      <c r="F63" s="580">
        <f>'Bang gia'!Q19</f>
        <v>24800000</v>
      </c>
      <c r="G63" s="580">
        <f t="shared" si="11"/>
        <v>4960</v>
      </c>
      <c r="H63" s="584"/>
      <c r="I63" s="580"/>
      <c r="J63" s="582">
        <v>0.02</v>
      </c>
      <c r="K63" s="583">
        <f t="shared" si="12"/>
        <v>99.2</v>
      </c>
      <c r="L63" s="584"/>
      <c r="M63" s="585"/>
      <c r="N63" s="586">
        <f t="shared" si="13"/>
        <v>99.2</v>
      </c>
      <c r="O63" s="629"/>
    </row>
    <row r="64" spans="1:20" ht="22.15" customHeight="1">
      <c r="A64" s="578">
        <v>4</v>
      </c>
      <c r="B64" s="579" t="s">
        <v>333</v>
      </c>
      <c r="C64" s="578">
        <v>0.6</v>
      </c>
      <c r="D64" s="578" t="s">
        <v>385</v>
      </c>
      <c r="E64" s="578">
        <f t="shared" si="10"/>
        <v>10</v>
      </c>
      <c r="F64" s="580">
        <f>'Bang gia'!Q22</f>
        <v>28500000</v>
      </c>
      <c r="G64" s="580">
        <f t="shared" si="11"/>
        <v>5700</v>
      </c>
      <c r="H64" s="584"/>
      <c r="I64" s="580"/>
      <c r="J64" s="582">
        <v>0.02</v>
      </c>
      <c r="K64" s="583">
        <f t="shared" si="12"/>
        <v>114</v>
      </c>
      <c r="L64" s="584"/>
      <c r="M64" s="585"/>
      <c r="N64" s="586">
        <f t="shared" si="13"/>
        <v>114</v>
      </c>
      <c r="O64" s="629"/>
    </row>
    <row r="65" spans="1:14" ht="22.15" customHeight="1">
      <c r="A65" s="578">
        <v>5</v>
      </c>
      <c r="B65" s="579" t="s">
        <v>619</v>
      </c>
      <c r="C65" s="578">
        <v>2.2000000000000002</v>
      </c>
      <c r="D65" s="578" t="s">
        <v>385</v>
      </c>
      <c r="E65" s="578">
        <f t="shared" si="10"/>
        <v>10</v>
      </c>
      <c r="F65" s="580">
        <f>'Bang gia'!Q11</f>
        <v>14500000</v>
      </c>
      <c r="G65" s="580">
        <f t="shared" si="11"/>
        <v>2900</v>
      </c>
      <c r="H65" s="584">
        <v>6.0000000000000001E-3</v>
      </c>
      <c r="I65" s="580">
        <f>G65*H65</f>
        <v>17.400000000000002</v>
      </c>
      <c r="J65" s="582">
        <v>0.187</v>
      </c>
      <c r="K65" s="583">
        <f t="shared" si="12"/>
        <v>542.29999999999995</v>
      </c>
      <c r="L65" s="584"/>
      <c r="M65" s="585"/>
      <c r="N65" s="586">
        <f t="shared" si="13"/>
        <v>559.69999999999993</v>
      </c>
    </row>
    <row r="66" spans="1:14" ht="22.15" customHeight="1">
      <c r="A66" s="578">
        <v>6</v>
      </c>
      <c r="B66" s="579" t="s">
        <v>622</v>
      </c>
      <c r="C66" s="578">
        <v>1.5</v>
      </c>
      <c r="D66" s="578" t="s">
        <v>385</v>
      </c>
      <c r="E66" s="578">
        <f t="shared" si="10"/>
        <v>10</v>
      </c>
      <c r="F66" s="580">
        <f>'Bang gia'!Q20</f>
        <v>25500000</v>
      </c>
      <c r="G66" s="580">
        <f t="shared" si="11"/>
        <v>5100</v>
      </c>
      <c r="H66" s="584"/>
      <c r="I66" s="580"/>
      <c r="J66" s="582">
        <v>0.02</v>
      </c>
      <c r="K66" s="583">
        <f t="shared" si="12"/>
        <v>102</v>
      </c>
      <c r="L66" s="584"/>
      <c r="M66" s="585"/>
      <c r="N66" s="586">
        <f t="shared" si="13"/>
        <v>102</v>
      </c>
    </row>
    <row r="67" spans="1:14" ht="22.15" customHeight="1">
      <c r="A67" s="587"/>
      <c r="B67" s="588" t="s">
        <v>621</v>
      </c>
      <c r="C67" s="588"/>
      <c r="D67" s="587"/>
      <c r="E67" s="587"/>
      <c r="F67" s="636"/>
      <c r="G67" s="587"/>
      <c r="H67" s="587"/>
      <c r="I67" s="589">
        <f>SUM(I61:I66)</f>
        <v>138.56</v>
      </c>
      <c r="J67" s="590"/>
      <c r="K67" s="591">
        <f>SUM(K61:K66)</f>
        <v>4567.2199999999993</v>
      </c>
      <c r="L67" s="590"/>
      <c r="M67" s="591"/>
      <c r="N67" s="591">
        <f>SUM(N61:N66)</f>
        <v>4705.78</v>
      </c>
    </row>
    <row r="68" spans="1:14" ht="7.5" customHeight="1">
      <c r="A68" s="593"/>
      <c r="B68" s="594"/>
      <c r="C68" s="594"/>
      <c r="D68" s="595"/>
      <c r="E68" s="596"/>
      <c r="F68" s="638"/>
      <c r="G68" s="596"/>
      <c r="H68" s="597"/>
      <c r="I68" s="597"/>
      <c r="J68" s="598"/>
      <c r="K68" s="598"/>
      <c r="L68" s="598"/>
      <c r="M68" s="598"/>
      <c r="N68" s="596"/>
    </row>
    <row r="69" spans="1:14" ht="16.5" customHeight="1">
      <c r="A69" s="606"/>
      <c r="B69" s="599" t="s">
        <v>299</v>
      </c>
      <c r="C69" s="603"/>
      <c r="D69" s="603"/>
      <c r="E69" s="494"/>
      <c r="F69" s="604"/>
      <c r="G69" s="494"/>
      <c r="H69" s="601"/>
      <c r="I69" s="601"/>
      <c r="J69" s="602"/>
      <c r="K69" s="602"/>
      <c r="L69" s="602"/>
      <c r="M69" s="602"/>
      <c r="N69" s="494"/>
    </row>
    <row r="70" spans="1:14" ht="18.75" customHeight="1">
      <c r="A70" s="606"/>
      <c r="B70" s="603" t="s">
        <v>250</v>
      </c>
      <c r="C70" s="603"/>
      <c r="D70" s="603"/>
      <c r="E70" s="494"/>
      <c r="F70" s="604"/>
      <c r="G70" s="494"/>
      <c r="H70" s="601"/>
      <c r="I70" s="601"/>
      <c r="J70" s="602"/>
      <c r="K70" s="602"/>
      <c r="L70" s="602"/>
      <c r="M70" s="602"/>
      <c r="N70" s="494"/>
    </row>
    <row r="71" spans="1:14" ht="34.15" customHeight="1">
      <c r="A71" s="606"/>
      <c r="B71" s="1260" t="s">
        <v>192</v>
      </c>
      <c r="C71" s="1260"/>
      <c r="D71" s="1260"/>
      <c r="E71" s="1260"/>
      <c r="F71" s="1260"/>
      <c r="G71" s="1260"/>
      <c r="H71" s="1260"/>
      <c r="I71" s="1260"/>
      <c r="J71" s="1260"/>
      <c r="K71" s="1260"/>
      <c r="L71" s="1260"/>
      <c r="M71" s="1260"/>
      <c r="N71" s="1260"/>
    </row>
    <row r="72" spans="1:14" ht="14.25" customHeight="1">
      <c r="A72" s="480"/>
      <c r="B72" s="606"/>
      <c r="C72" s="606"/>
      <c r="D72" s="600"/>
      <c r="E72" s="480"/>
      <c r="F72" s="601"/>
      <c r="G72" s="601"/>
      <c r="H72" s="480"/>
      <c r="I72" s="480"/>
      <c r="J72" s="606"/>
      <c r="K72" s="606"/>
      <c r="L72" s="607"/>
      <c r="M72" s="607"/>
      <c r="N72" s="494"/>
    </row>
    <row r="73" spans="1:14" ht="30.75" customHeight="1">
      <c r="A73" s="1264" t="s">
        <v>1042</v>
      </c>
      <c r="B73" s="1264"/>
      <c r="C73" s="1264"/>
      <c r="D73" s="1264"/>
      <c r="E73" s="1264"/>
      <c r="F73" s="1264"/>
      <c r="G73" s="1264"/>
      <c r="H73" s="1264"/>
      <c r="I73" s="1264"/>
      <c r="J73" s="1264"/>
      <c r="K73" s="1264"/>
      <c r="L73" s="1264"/>
      <c r="M73" s="1264"/>
      <c r="N73" s="1264"/>
    </row>
    <row r="74" spans="1:14" ht="5.25" customHeight="1">
      <c r="A74" s="480"/>
      <c r="B74" s="606"/>
      <c r="C74" s="606"/>
      <c r="D74" s="600"/>
      <c r="E74" s="480"/>
      <c r="F74" s="601"/>
      <c r="G74" s="601"/>
      <c r="H74" s="480"/>
      <c r="I74" s="480"/>
      <c r="J74" s="606"/>
      <c r="K74" s="606"/>
      <c r="L74" s="607"/>
      <c r="M74" s="607"/>
      <c r="N74" s="494"/>
    </row>
    <row r="75" spans="1:14" ht="21" customHeight="1">
      <c r="A75" s="1245" t="s">
        <v>882</v>
      </c>
      <c r="B75" s="1245" t="s">
        <v>283</v>
      </c>
      <c r="C75" s="1245" t="s">
        <v>615</v>
      </c>
      <c r="D75" s="1245" t="s">
        <v>284</v>
      </c>
      <c r="E75" s="1248" t="s">
        <v>616</v>
      </c>
      <c r="F75" s="1245" t="s">
        <v>617</v>
      </c>
      <c r="G75" s="1245" t="s">
        <v>287</v>
      </c>
      <c r="H75" s="1254" t="s">
        <v>288</v>
      </c>
      <c r="I75" s="1255"/>
      <c r="J75" s="1255"/>
      <c r="K75" s="1255"/>
      <c r="L75" s="1255"/>
      <c r="M75" s="1256"/>
      <c r="N75" s="1245" t="s">
        <v>984</v>
      </c>
    </row>
    <row r="76" spans="1:14" ht="42.75" customHeight="1">
      <c r="A76" s="1246"/>
      <c r="B76" s="1246"/>
      <c r="C76" s="1246"/>
      <c r="D76" s="1246"/>
      <c r="E76" s="1249"/>
      <c r="F76" s="1246"/>
      <c r="G76" s="1246"/>
      <c r="H76" s="1254" t="s">
        <v>289</v>
      </c>
      <c r="I76" s="1256"/>
      <c r="J76" s="1254" t="s">
        <v>847</v>
      </c>
      <c r="K76" s="1256"/>
      <c r="L76" s="1254" t="s">
        <v>291</v>
      </c>
      <c r="M76" s="1256"/>
      <c r="N76" s="1246"/>
    </row>
    <row r="77" spans="1:14" ht="21.75" customHeight="1">
      <c r="A77" s="1247"/>
      <c r="B77" s="1247"/>
      <c r="C77" s="1247"/>
      <c r="D77" s="1247"/>
      <c r="E77" s="1250"/>
      <c r="F77" s="1247"/>
      <c r="G77" s="1247"/>
      <c r="H77" s="468" t="s">
        <v>352</v>
      </c>
      <c r="I77" s="468" t="s">
        <v>353</v>
      </c>
      <c r="J77" s="468" t="s">
        <v>352</v>
      </c>
      <c r="K77" s="468" t="s">
        <v>353</v>
      </c>
      <c r="L77" s="468" t="s">
        <v>352</v>
      </c>
      <c r="M77" s="468" t="s">
        <v>353</v>
      </c>
      <c r="N77" s="1247"/>
    </row>
    <row r="78" spans="1:14" ht="19.5" customHeight="1">
      <c r="A78" s="623">
        <v>1</v>
      </c>
      <c r="B78" s="624" t="s">
        <v>133</v>
      </c>
      <c r="C78" s="623">
        <v>0.4</v>
      </c>
      <c r="D78" s="623" t="s">
        <v>385</v>
      </c>
      <c r="E78" s="623">
        <f>E44</f>
        <v>5</v>
      </c>
      <c r="F78" s="625">
        <f>'Bang gia'!Q9</f>
        <v>15000000</v>
      </c>
      <c r="G78" s="580">
        <f t="shared" ref="G78:G83" si="14">F78/E78/500</f>
        <v>6000</v>
      </c>
      <c r="H78" s="626"/>
      <c r="I78" s="625">
        <f>G78*H78</f>
        <v>0</v>
      </c>
      <c r="J78" s="626"/>
      <c r="K78" s="627"/>
      <c r="L78" s="626">
        <v>1.5049999999999999</v>
      </c>
      <c r="M78" s="628">
        <f t="shared" ref="M78:M83" si="15">G78*L78</f>
        <v>9030</v>
      </c>
      <c r="N78" s="627">
        <f t="shared" ref="N78:N83" si="16">I78+K78+M78</f>
        <v>9030</v>
      </c>
    </row>
    <row r="79" spans="1:14" ht="19.5" customHeight="1">
      <c r="A79" s="578">
        <v>2</v>
      </c>
      <c r="B79" s="630" t="s">
        <v>143</v>
      </c>
      <c r="C79" s="631">
        <v>0.6</v>
      </c>
      <c r="D79" s="578" t="s">
        <v>385</v>
      </c>
      <c r="E79" s="578">
        <f>E45</f>
        <v>10</v>
      </c>
      <c r="F79" s="580">
        <f>'Bang gia'!Q21</f>
        <v>5800000</v>
      </c>
      <c r="G79" s="580">
        <f t="shared" si="14"/>
        <v>1160</v>
      </c>
      <c r="H79" s="584"/>
      <c r="I79" s="580">
        <f>G79*H79</f>
        <v>0</v>
      </c>
      <c r="J79" s="582"/>
      <c r="K79" s="583"/>
      <c r="L79" s="584">
        <v>1.0999999999999999E-2</v>
      </c>
      <c r="M79" s="585">
        <f t="shared" si="15"/>
        <v>12.76</v>
      </c>
      <c r="N79" s="586">
        <f t="shared" si="16"/>
        <v>12.76</v>
      </c>
    </row>
    <row r="80" spans="1:14" ht="19.5" customHeight="1">
      <c r="A80" s="578">
        <v>3</v>
      </c>
      <c r="B80" s="579" t="s">
        <v>141</v>
      </c>
      <c r="C80" s="578">
        <v>0.6</v>
      </c>
      <c r="D80" s="578" t="s">
        <v>385</v>
      </c>
      <c r="E80" s="578">
        <f>E46</f>
        <v>10</v>
      </c>
      <c r="F80" s="580">
        <f>'Bang gia'!Q19</f>
        <v>24800000</v>
      </c>
      <c r="G80" s="580">
        <f t="shared" si="14"/>
        <v>4960</v>
      </c>
      <c r="H80" s="584"/>
      <c r="I80" s="580"/>
      <c r="J80" s="582"/>
      <c r="K80" s="583"/>
      <c r="L80" s="584">
        <v>0.02</v>
      </c>
      <c r="M80" s="585">
        <f t="shared" si="15"/>
        <v>99.2</v>
      </c>
      <c r="N80" s="586">
        <f t="shared" si="16"/>
        <v>99.2</v>
      </c>
    </row>
    <row r="81" spans="1:16" ht="19.5" customHeight="1">
      <c r="A81" s="578">
        <v>4</v>
      </c>
      <c r="B81" s="579" t="s">
        <v>333</v>
      </c>
      <c r="C81" s="578">
        <v>0.6</v>
      </c>
      <c r="D81" s="578" t="s">
        <v>385</v>
      </c>
      <c r="E81" s="578">
        <v>10</v>
      </c>
      <c r="F81" s="580">
        <f>'Bang gia'!Q22</f>
        <v>28500000</v>
      </c>
      <c r="G81" s="580">
        <f t="shared" si="14"/>
        <v>5700</v>
      </c>
      <c r="H81" s="584"/>
      <c r="I81" s="580"/>
      <c r="J81" s="582"/>
      <c r="K81" s="583"/>
      <c r="L81" s="584">
        <v>0.02</v>
      </c>
      <c r="M81" s="585">
        <f t="shared" si="15"/>
        <v>114</v>
      </c>
      <c r="N81" s="586">
        <f t="shared" si="16"/>
        <v>114</v>
      </c>
    </row>
    <row r="82" spans="1:16" ht="19.5" customHeight="1">
      <c r="A82" s="578">
        <v>5</v>
      </c>
      <c r="B82" s="579" t="s">
        <v>619</v>
      </c>
      <c r="C82" s="578">
        <v>2.2000000000000002</v>
      </c>
      <c r="D82" s="578" t="s">
        <v>385</v>
      </c>
      <c r="E82" s="578">
        <f>E48</f>
        <v>10</v>
      </c>
      <c r="F82" s="580">
        <f>'Bang gia'!Q11</f>
        <v>14500000</v>
      </c>
      <c r="G82" s="580">
        <f t="shared" si="14"/>
        <v>2900</v>
      </c>
      <c r="H82" s="584"/>
      <c r="I82" s="580">
        <f>G82*H82</f>
        <v>0</v>
      </c>
      <c r="J82" s="582"/>
      <c r="K82" s="583"/>
      <c r="L82" s="584">
        <v>0.54600000000000004</v>
      </c>
      <c r="M82" s="585">
        <f t="shared" si="15"/>
        <v>1583.4</v>
      </c>
      <c r="N82" s="586">
        <f t="shared" si="16"/>
        <v>1583.4</v>
      </c>
    </row>
    <row r="83" spans="1:16" ht="19.5" customHeight="1">
      <c r="A83" s="578">
        <v>6</v>
      </c>
      <c r="B83" s="579" t="s">
        <v>622</v>
      </c>
      <c r="C83" s="578">
        <v>1.5</v>
      </c>
      <c r="D83" s="578" t="s">
        <v>385</v>
      </c>
      <c r="E83" s="578">
        <f>E49</f>
        <v>10</v>
      </c>
      <c r="F83" s="580">
        <f>'Bang gia'!Q20</f>
        <v>25500000</v>
      </c>
      <c r="G83" s="580">
        <f t="shared" si="14"/>
        <v>5100</v>
      </c>
      <c r="H83" s="584"/>
      <c r="I83" s="580"/>
      <c r="J83" s="582"/>
      <c r="K83" s="583"/>
      <c r="L83" s="584">
        <v>0.03</v>
      </c>
      <c r="M83" s="585">
        <f t="shared" si="15"/>
        <v>153</v>
      </c>
      <c r="N83" s="586">
        <f t="shared" si="16"/>
        <v>153</v>
      </c>
    </row>
    <row r="84" spans="1:16" ht="19.5" customHeight="1">
      <c r="A84" s="587"/>
      <c r="B84" s="588" t="s">
        <v>621</v>
      </c>
      <c r="C84" s="588"/>
      <c r="D84" s="587"/>
      <c r="E84" s="587"/>
      <c r="F84" s="636"/>
      <c r="G84" s="587"/>
      <c r="H84" s="587"/>
      <c r="I84" s="589">
        <f>SUM(I78:I83)</f>
        <v>0</v>
      </c>
      <c r="J84" s="590"/>
      <c r="K84" s="591"/>
      <c r="L84" s="590"/>
      <c r="M84" s="591">
        <f>SUM(M78:M83)</f>
        <v>10992.36</v>
      </c>
      <c r="N84" s="591">
        <f>SUM(N78:N83)</f>
        <v>10992.36</v>
      </c>
      <c r="P84" s="454">
        <f>M84*1.3</f>
        <v>14290.068000000001</v>
      </c>
    </row>
    <row r="85" spans="1:16" ht="7.5" customHeight="1">
      <c r="A85" s="593"/>
      <c r="B85" s="594"/>
      <c r="C85" s="594"/>
      <c r="D85" s="595"/>
      <c r="E85" s="596"/>
      <c r="F85" s="638"/>
      <c r="G85" s="596"/>
      <c r="H85" s="597"/>
      <c r="I85" s="597"/>
      <c r="J85" s="598"/>
      <c r="K85" s="598"/>
      <c r="L85" s="598"/>
      <c r="M85" s="598"/>
      <c r="N85" s="596"/>
    </row>
    <row r="86" spans="1:16">
      <c r="A86" s="606"/>
      <c r="B86" s="599" t="s">
        <v>299</v>
      </c>
      <c r="C86" s="603"/>
      <c r="D86" s="603"/>
      <c r="E86" s="494"/>
      <c r="F86" s="604"/>
      <c r="G86" s="494"/>
      <c r="H86" s="601"/>
      <c r="I86" s="601"/>
      <c r="J86" s="602"/>
      <c r="K86" s="602"/>
      <c r="L86" s="602"/>
      <c r="M86" s="602"/>
      <c r="N86" s="494"/>
    </row>
    <row r="87" spans="1:16" ht="19.5" customHeight="1">
      <c r="A87" s="606"/>
      <c r="B87" s="603" t="s">
        <v>193</v>
      </c>
      <c r="C87" s="603"/>
      <c r="D87" s="603"/>
      <c r="E87" s="494"/>
      <c r="F87" s="604"/>
      <c r="G87" s="494"/>
      <c r="H87" s="601"/>
      <c r="I87" s="601"/>
      <c r="J87" s="602"/>
      <c r="K87" s="602"/>
      <c r="L87" s="602"/>
      <c r="M87" s="602"/>
      <c r="N87" s="494"/>
    </row>
    <row r="88" spans="1:16" ht="32.450000000000003" customHeight="1">
      <c r="A88" s="606"/>
      <c r="B88" s="1260" t="s">
        <v>549</v>
      </c>
      <c r="C88" s="1260"/>
      <c r="D88" s="1260"/>
      <c r="E88" s="1260"/>
      <c r="F88" s="1260"/>
      <c r="G88" s="1260"/>
      <c r="H88" s="1260"/>
      <c r="I88" s="1260"/>
      <c r="J88" s="1260"/>
      <c r="K88" s="1260"/>
      <c r="L88" s="1260"/>
      <c r="M88" s="1260"/>
      <c r="N88" s="1260"/>
    </row>
    <row r="89" spans="1:16" ht="19.5" customHeight="1">
      <c r="A89" s="606"/>
      <c r="B89" s="605"/>
      <c r="C89" s="603"/>
      <c r="D89" s="603"/>
      <c r="E89" s="494"/>
      <c r="F89" s="604"/>
      <c r="G89" s="494"/>
      <c r="H89" s="601"/>
      <c r="I89" s="601"/>
      <c r="J89" s="602"/>
      <c r="K89" s="602"/>
      <c r="L89" s="602"/>
      <c r="M89" s="602"/>
      <c r="N89" s="494"/>
    </row>
    <row r="90" spans="1:16" ht="23.25" customHeight="1">
      <c r="A90" s="1264" t="s">
        <v>1043</v>
      </c>
      <c r="B90" s="1264"/>
      <c r="C90" s="1264"/>
      <c r="D90" s="1264"/>
      <c r="E90" s="1264"/>
      <c r="F90" s="1264"/>
      <c r="G90" s="1264"/>
      <c r="H90" s="1264"/>
      <c r="I90" s="1264"/>
      <c r="J90" s="1264"/>
      <c r="K90" s="1264"/>
      <c r="L90" s="1264"/>
      <c r="M90" s="1264"/>
      <c r="N90" s="1264"/>
    </row>
    <row r="91" spans="1:16" ht="9.75" customHeight="1">
      <c r="A91" s="480"/>
      <c r="B91" s="606"/>
      <c r="C91" s="606"/>
      <c r="D91" s="600"/>
      <c r="E91" s="480"/>
      <c r="F91" s="601"/>
      <c r="G91" s="601"/>
      <c r="H91" s="480"/>
      <c r="I91" s="480"/>
      <c r="J91" s="606"/>
      <c r="K91" s="606"/>
      <c r="L91" s="607"/>
      <c r="M91" s="607"/>
      <c r="N91" s="494"/>
    </row>
    <row r="92" spans="1:16" ht="16.5" customHeight="1">
      <c r="A92" s="1245" t="s">
        <v>882</v>
      </c>
      <c r="B92" s="1245" t="s">
        <v>283</v>
      </c>
      <c r="C92" s="1245" t="s">
        <v>615</v>
      </c>
      <c r="D92" s="1245" t="s">
        <v>284</v>
      </c>
      <c r="E92" s="1248" t="s">
        <v>616</v>
      </c>
      <c r="F92" s="1245" t="s">
        <v>617</v>
      </c>
      <c r="G92" s="1245" t="s">
        <v>287</v>
      </c>
      <c r="H92" s="1254" t="s">
        <v>288</v>
      </c>
      <c r="I92" s="1255"/>
      <c r="J92" s="1255"/>
      <c r="K92" s="1255"/>
      <c r="L92" s="1255"/>
      <c r="M92" s="1256"/>
      <c r="N92" s="1245" t="s">
        <v>58</v>
      </c>
    </row>
    <row r="93" spans="1:16" ht="39.75" customHeight="1">
      <c r="A93" s="1246"/>
      <c r="B93" s="1246"/>
      <c r="C93" s="1246"/>
      <c r="D93" s="1246"/>
      <c r="E93" s="1249"/>
      <c r="F93" s="1246"/>
      <c r="G93" s="1246"/>
      <c r="H93" s="1254" t="s">
        <v>345</v>
      </c>
      <c r="I93" s="1256"/>
      <c r="J93" s="1254" t="s">
        <v>322</v>
      </c>
      <c r="K93" s="1256"/>
      <c r="L93" s="1254" t="s">
        <v>291</v>
      </c>
      <c r="M93" s="1256"/>
      <c r="N93" s="1246"/>
    </row>
    <row r="94" spans="1:16" ht="15.75" customHeight="1">
      <c r="A94" s="1247"/>
      <c r="B94" s="1247"/>
      <c r="C94" s="1247"/>
      <c r="D94" s="1247"/>
      <c r="E94" s="1250"/>
      <c r="F94" s="1247"/>
      <c r="G94" s="1247"/>
      <c r="H94" s="468" t="s">
        <v>926</v>
      </c>
      <c r="I94" s="468" t="s">
        <v>618</v>
      </c>
      <c r="J94" s="468" t="s">
        <v>926</v>
      </c>
      <c r="K94" s="468" t="s">
        <v>618</v>
      </c>
      <c r="L94" s="468" t="s">
        <v>926</v>
      </c>
      <c r="M94" s="468" t="s">
        <v>618</v>
      </c>
      <c r="N94" s="1247"/>
    </row>
    <row r="95" spans="1:16" ht="20.25" customHeight="1">
      <c r="A95" s="623">
        <v>1</v>
      </c>
      <c r="B95" s="624" t="s">
        <v>133</v>
      </c>
      <c r="C95" s="623">
        <v>0.4</v>
      </c>
      <c r="D95" s="623" t="s">
        <v>385</v>
      </c>
      <c r="E95" s="623">
        <f>E78</f>
        <v>5</v>
      </c>
      <c r="F95" s="625">
        <f>'Bang gia'!Q9</f>
        <v>15000000</v>
      </c>
      <c r="G95" s="580">
        <f t="shared" ref="G95:G101" si="17">F95/E95/500</f>
        <v>6000</v>
      </c>
      <c r="H95" s="626">
        <v>4.0000000000000001E-3</v>
      </c>
      <c r="I95" s="625">
        <f t="shared" ref="I95:I100" si="18">G95*H95</f>
        <v>24</v>
      </c>
      <c r="J95" s="626">
        <v>0.18099999999999999</v>
      </c>
      <c r="K95" s="627">
        <f t="shared" ref="K95:K100" si="19">G95*J95</f>
        <v>1086</v>
      </c>
      <c r="L95" s="626">
        <v>0.126</v>
      </c>
      <c r="M95" s="585">
        <f>G95*L95</f>
        <v>756</v>
      </c>
      <c r="N95" s="627">
        <f t="shared" ref="N95:N101" si="20">I95+K95+M95</f>
        <v>1866</v>
      </c>
    </row>
    <row r="96" spans="1:16" ht="20.25" customHeight="1">
      <c r="A96" s="578">
        <v>2</v>
      </c>
      <c r="B96" s="630" t="s">
        <v>143</v>
      </c>
      <c r="C96" s="631">
        <v>0.6</v>
      </c>
      <c r="D96" s="578" t="s">
        <v>385</v>
      </c>
      <c r="E96" s="578">
        <f>E79</f>
        <v>10</v>
      </c>
      <c r="F96" s="580">
        <f>'Bang gia'!Q21</f>
        <v>5800000</v>
      </c>
      <c r="G96" s="580">
        <f t="shared" si="17"/>
        <v>1160</v>
      </c>
      <c r="H96" s="584">
        <v>1E-3</v>
      </c>
      <c r="I96" s="580">
        <f t="shared" si="18"/>
        <v>1.1599999999999999</v>
      </c>
      <c r="J96" s="582">
        <v>1.0999999999999999E-2</v>
      </c>
      <c r="K96" s="583">
        <f t="shared" si="19"/>
        <v>12.76</v>
      </c>
      <c r="L96" s="584">
        <v>6.0000000000000001E-3</v>
      </c>
      <c r="M96" s="585">
        <f>G96*L96</f>
        <v>6.96</v>
      </c>
      <c r="N96" s="586">
        <f t="shared" si="20"/>
        <v>20.88</v>
      </c>
    </row>
    <row r="97" spans="1:14" ht="20.25" customHeight="1">
      <c r="A97" s="578">
        <v>3</v>
      </c>
      <c r="B97" s="579" t="s">
        <v>141</v>
      </c>
      <c r="C97" s="578">
        <v>0.6</v>
      </c>
      <c r="D97" s="578" t="s">
        <v>385</v>
      </c>
      <c r="E97" s="578">
        <f>E80</f>
        <v>10</v>
      </c>
      <c r="F97" s="580">
        <f>'Bang gia'!Q19</f>
        <v>24800000</v>
      </c>
      <c r="G97" s="580">
        <f t="shared" si="17"/>
        <v>4960</v>
      </c>
      <c r="H97" s="584"/>
      <c r="I97" s="580">
        <f t="shared" si="18"/>
        <v>0</v>
      </c>
      <c r="J97" s="582">
        <v>0.04</v>
      </c>
      <c r="K97" s="583">
        <f t="shared" si="19"/>
        <v>198.4</v>
      </c>
      <c r="L97" s="584"/>
      <c r="M97" s="585"/>
      <c r="N97" s="586">
        <f t="shared" si="20"/>
        <v>198.4</v>
      </c>
    </row>
    <row r="98" spans="1:14" ht="20.25" customHeight="1">
      <c r="A98" s="578">
        <v>4</v>
      </c>
      <c r="B98" s="579" t="s">
        <v>333</v>
      </c>
      <c r="C98" s="578">
        <v>0.6</v>
      </c>
      <c r="D98" s="578" t="s">
        <v>385</v>
      </c>
      <c r="E98" s="578">
        <v>10</v>
      </c>
      <c r="F98" s="580">
        <f>'Bang gia'!Q22</f>
        <v>28500000</v>
      </c>
      <c r="G98" s="580">
        <f t="shared" si="17"/>
        <v>5700</v>
      </c>
      <c r="H98" s="584"/>
      <c r="I98" s="580">
        <f t="shared" si="18"/>
        <v>0</v>
      </c>
      <c r="J98" s="582">
        <v>0.04</v>
      </c>
      <c r="K98" s="583">
        <f t="shared" si="19"/>
        <v>228</v>
      </c>
      <c r="L98" s="584"/>
      <c r="M98" s="585"/>
      <c r="N98" s="586">
        <f t="shared" si="20"/>
        <v>228</v>
      </c>
    </row>
    <row r="99" spans="1:14" ht="20.25" customHeight="1">
      <c r="A99" s="578">
        <v>5</v>
      </c>
      <c r="B99" s="579" t="s">
        <v>619</v>
      </c>
      <c r="C99" s="578">
        <v>2.2000000000000002</v>
      </c>
      <c r="D99" s="578" t="s">
        <v>385</v>
      </c>
      <c r="E99" s="578">
        <f>E82</f>
        <v>10</v>
      </c>
      <c r="F99" s="580">
        <f>'Bang gia'!Q11</f>
        <v>14500000</v>
      </c>
      <c r="G99" s="580">
        <f t="shared" si="17"/>
        <v>2900</v>
      </c>
      <c r="H99" s="584">
        <v>1E-3</v>
      </c>
      <c r="I99" s="580">
        <f t="shared" si="18"/>
        <v>2.9</v>
      </c>
      <c r="J99" s="582">
        <v>5.3999999999999999E-2</v>
      </c>
      <c r="K99" s="583">
        <f t="shared" si="19"/>
        <v>156.6</v>
      </c>
      <c r="L99" s="584">
        <v>3.7999999999999999E-2</v>
      </c>
      <c r="M99" s="585">
        <f>G99*L99</f>
        <v>110.2</v>
      </c>
      <c r="N99" s="586">
        <f t="shared" si="20"/>
        <v>269.7</v>
      </c>
    </row>
    <row r="100" spans="1:14" ht="20.45" customHeight="1">
      <c r="A100" s="578">
        <v>6</v>
      </c>
      <c r="B100" s="579" t="s">
        <v>335</v>
      </c>
      <c r="C100" s="578">
        <v>1.5</v>
      </c>
      <c r="D100" s="578" t="s">
        <v>385</v>
      </c>
      <c r="E100" s="578">
        <f>E83</f>
        <v>10</v>
      </c>
      <c r="F100" s="580">
        <f>'Bang gia'!Q20</f>
        <v>25500000</v>
      </c>
      <c r="G100" s="580">
        <f t="shared" si="17"/>
        <v>5100</v>
      </c>
      <c r="H100" s="584">
        <v>1E-3</v>
      </c>
      <c r="I100" s="580">
        <f t="shared" si="18"/>
        <v>5.1000000000000005</v>
      </c>
      <c r="J100" s="582">
        <v>1.2999999999999999E-2</v>
      </c>
      <c r="K100" s="583">
        <f t="shared" si="19"/>
        <v>66.3</v>
      </c>
      <c r="L100" s="584">
        <v>8.9999999999999993E-3</v>
      </c>
      <c r="M100" s="585">
        <f>G100*L100</f>
        <v>45.9</v>
      </c>
      <c r="N100" s="586">
        <f t="shared" si="20"/>
        <v>117.29999999999998</v>
      </c>
    </row>
    <row r="101" spans="1:14" ht="20.45" customHeight="1">
      <c r="A101" s="578">
        <v>7</v>
      </c>
      <c r="B101" s="579" t="s">
        <v>620</v>
      </c>
      <c r="C101" s="578">
        <v>0.4</v>
      </c>
      <c r="D101" s="578" t="s">
        <v>385</v>
      </c>
      <c r="E101" s="578">
        <f>E13</f>
        <v>10</v>
      </c>
      <c r="F101" s="639">
        <f>'Bang gia'!Q10</f>
        <v>105000000</v>
      </c>
      <c r="G101" s="580">
        <f t="shared" si="17"/>
        <v>21000</v>
      </c>
      <c r="H101" s="640"/>
      <c r="I101" s="639"/>
      <c r="J101" s="641"/>
      <c r="K101" s="642"/>
      <c r="L101" s="640">
        <v>1E-3</v>
      </c>
      <c r="M101" s="643">
        <f>G101*L101</f>
        <v>21</v>
      </c>
      <c r="N101" s="586">
        <f t="shared" si="20"/>
        <v>21</v>
      </c>
    </row>
    <row r="102" spans="1:14" ht="20.45" customHeight="1">
      <c r="A102" s="587"/>
      <c r="B102" s="588" t="s">
        <v>621</v>
      </c>
      <c r="C102" s="588"/>
      <c r="D102" s="587"/>
      <c r="E102" s="587"/>
      <c r="F102" s="636"/>
      <c r="G102" s="587"/>
      <c r="H102" s="587"/>
      <c r="I102" s="591">
        <f>SUM(I95:I101)</f>
        <v>33.159999999999997</v>
      </c>
      <c r="J102" s="591"/>
      <c r="K102" s="591">
        <f>SUM(K95:K101)</f>
        <v>1748.06</v>
      </c>
      <c r="L102" s="591"/>
      <c r="M102" s="591">
        <f>SUM(M95:M101)</f>
        <v>940.06000000000006</v>
      </c>
      <c r="N102" s="591">
        <f>SUM(N95:N101)</f>
        <v>2721.28</v>
      </c>
    </row>
    <row r="103" spans="1:14">
      <c r="A103" s="593"/>
      <c r="B103" s="594"/>
      <c r="C103" s="594"/>
      <c r="D103" s="595"/>
      <c r="E103" s="596"/>
      <c r="F103" s="638"/>
      <c r="G103" s="596"/>
      <c r="H103" s="597"/>
      <c r="I103" s="597"/>
      <c r="J103" s="598"/>
      <c r="K103" s="598"/>
      <c r="L103" s="598"/>
      <c r="M103" s="598"/>
      <c r="N103" s="596"/>
    </row>
    <row r="104" spans="1:14">
      <c r="A104" s="606"/>
      <c r="B104" s="599" t="s">
        <v>299</v>
      </c>
      <c r="C104" s="603"/>
      <c r="D104" s="603"/>
      <c r="E104" s="494"/>
      <c r="F104" s="604"/>
      <c r="G104" s="494"/>
      <c r="H104" s="601"/>
      <c r="I104" s="601"/>
      <c r="J104" s="602"/>
      <c r="K104" s="602"/>
      <c r="L104" s="602"/>
      <c r="M104" s="602"/>
      <c r="N104" s="494"/>
    </row>
    <row r="105" spans="1:14" ht="79.150000000000006" customHeight="1">
      <c r="A105" s="606"/>
      <c r="B105" s="1266" t="s">
        <v>641</v>
      </c>
      <c r="C105" s="1266"/>
      <c r="D105" s="1266"/>
      <c r="E105" s="1266"/>
      <c r="F105" s="1266"/>
      <c r="G105" s="1266"/>
      <c r="H105" s="1266"/>
      <c r="I105" s="1266"/>
      <c r="J105" s="1266"/>
      <c r="K105" s="1266"/>
      <c r="L105" s="1266"/>
      <c r="M105" s="1266"/>
      <c r="N105" s="1266"/>
    </row>
    <row r="106" spans="1:14">
      <c r="A106" s="606"/>
      <c r="B106" s="603" t="s">
        <v>84</v>
      </c>
      <c r="C106" s="603"/>
      <c r="D106" s="603"/>
      <c r="E106" s="494"/>
      <c r="F106" s="604"/>
      <c r="G106" s="494"/>
      <c r="H106" s="601"/>
      <c r="I106" s="601"/>
      <c r="J106" s="602"/>
      <c r="K106" s="602"/>
      <c r="L106" s="602"/>
      <c r="M106" s="602"/>
      <c r="N106" s="494"/>
    </row>
    <row r="107" spans="1:14" ht="33" customHeight="1">
      <c r="A107" s="606"/>
      <c r="B107" s="1266" t="s">
        <v>85</v>
      </c>
      <c r="C107" s="1266"/>
      <c r="D107" s="1266"/>
      <c r="E107" s="1266"/>
      <c r="F107" s="1266"/>
      <c r="G107" s="1266"/>
      <c r="H107" s="1266"/>
      <c r="I107" s="1266"/>
      <c r="J107" s="1266"/>
      <c r="K107" s="1266"/>
      <c r="L107" s="1266"/>
      <c r="M107" s="1266"/>
      <c r="N107" s="1266"/>
    </row>
    <row r="108" spans="1:14">
      <c r="A108" s="606"/>
      <c r="B108" s="603" t="s">
        <v>86</v>
      </c>
      <c r="C108" s="603"/>
      <c r="D108" s="603"/>
      <c r="E108" s="494"/>
      <c r="F108" s="604"/>
      <c r="G108" s="494"/>
      <c r="H108" s="601"/>
      <c r="I108" s="601"/>
      <c r="J108" s="602"/>
      <c r="K108" s="602"/>
      <c r="L108" s="602"/>
      <c r="M108" s="602"/>
      <c r="N108" s="494"/>
    </row>
    <row r="109" spans="1:14">
      <c r="A109" s="480"/>
      <c r="B109" s="605"/>
      <c r="C109" s="605"/>
      <c r="D109" s="605"/>
      <c r="E109" s="494"/>
      <c r="F109" s="604"/>
      <c r="G109" s="494"/>
      <c r="H109" s="601"/>
      <c r="I109" s="601"/>
      <c r="J109" s="602"/>
      <c r="K109" s="602"/>
      <c r="L109" s="602"/>
      <c r="M109" s="602"/>
      <c r="N109" s="494"/>
    </row>
    <row r="110" spans="1:14" ht="31.5" customHeight="1">
      <c r="A110" s="1264" t="s">
        <v>1044</v>
      </c>
      <c r="B110" s="1264"/>
      <c r="C110" s="1264"/>
      <c r="D110" s="1264"/>
      <c r="E110" s="1264"/>
      <c r="F110" s="1264"/>
      <c r="G110" s="1264"/>
      <c r="H110" s="1264"/>
      <c r="I110" s="1264"/>
      <c r="J110" s="1264"/>
      <c r="K110" s="1264"/>
      <c r="L110" s="1264"/>
      <c r="M110" s="1264"/>
      <c r="N110" s="1264"/>
    </row>
    <row r="111" spans="1:14" ht="9.75" customHeight="1">
      <c r="A111" s="480"/>
      <c r="B111" s="606"/>
      <c r="C111" s="606"/>
      <c r="D111" s="600"/>
      <c r="E111" s="480"/>
      <c r="F111" s="601"/>
      <c r="G111" s="601"/>
      <c r="H111" s="480"/>
      <c r="I111" s="480"/>
      <c r="J111" s="606"/>
      <c r="K111" s="606"/>
      <c r="L111" s="607"/>
      <c r="M111" s="607"/>
      <c r="N111" s="494"/>
    </row>
    <row r="112" spans="1:14" ht="16.5" customHeight="1">
      <c r="A112" s="1245" t="s">
        <v>882</v>
      </c>
      <c r="B112" s="1245" t="s">
        <v>283</v>
      </c>
      <c r="C112" s="1245" t="s">
        <v>615</v>
      </c>
      <c r="D112" s="1245" t="s">
        <v>284</v>
      </c>
      <c r="E112" s="1248" t="s">
        <v>616</v>
      </c>
      <c r="F112" s="1245" t="s">
        <v>617</v>
      </c>
      <c r="G112" s="1245" t="s">
        <v>287</v>
      </c>
      <c r="H112" s="1254" t="s">
        <v>288</v>
      </c>
      <c r="I112" s="1255"/>
      <c r="J112" s="1255"/>
      <c r="K112" s="1255"/>
      <c r="L112" s="1255"/>
      <c r="M112" s="1256"/>
      <c r="N112" s="1245" t="s">
        <v>927</v>
      </c>
    </row>
    <row r="113" spans="1:18" ht="42" customHeight="1">
      <c r="A113" s="1246"/>
      <c r="B113" s="1246"/>
      <c r="C113" s="1246"/>
      <c r="D113" s="1246"/>
      <c r="E113" s="1249"/>
      <c r="F113" s="1246"/>
      <c r="G113" s="1246"/>
      <c r="H113" s="1254" t="s">
        <v>634</v>
      </c>
      <c r="I113" s="1256"/>
      <c r="J113" s="1254" t="s">
        <v>847</v>
      </c>
      <c r="K113" s="1256"/>
      <c r="L113" s="1254" t="s">
        <v>291</v>
      </c>
      <c r="M113" s="1256"/>
      <c r="N113" s="1246"/>
    </row>
    <row r="114" spans="1:18" ht="15.75" customHeight="1">
      <c r="A114" s="1247"/>
      <c r="B114" s="1247"/>
      <c r="C114" s="1247"/>
      <c r="D114" s="1247"/>
      <c r="E114" s="1250"/>
      <c r="F114" s="1247"/>
      <c r="G114" s="1247"/>
      <c r="H114" s="569" t="s">
        <v>928</v>
      </c>
      <c r="I114" s="569" t="s">
        <v>57</v>
      </c>
      <c r="J114" s="569" t="s">
        <v>928</v>
      </c>
      <c r="K114" s="569" t="s">
        <v>57</v>
      </c>
      <c r="L114" s="569" t="s">
        <v>928</v>
      </c>
      <c r="M114" s="569" t="s">
        <v>57</v>
      </c>
      <c r="N114" s="1247"/>
    </row>
    <row r="115" spans="1:18" ht="20.25" customHeight="1">
      <c r="A115" s="623">
        <v>1</v>
      </c>
      <c r="B115" s="624" t="s">
        <v>133</v>
      </c>
      <c r="C115" s="623">
        <v>0.4</v>
      </c>
      <c r="D115" s="623" t="s">
        <v>385</v>
      </c>
      <c r="E115" s="623">
        <f t="shared" ref="E115:E120" si="21">E95</f>
        <v>5</v>
      </c>
      <c r="F115" s="625">
        <f>'Bang gia'!Q9</f>
        <v>15000000</v>
      </c>
      <c r="G115" s="580">
        <f t="shared" ref="G115:G122" si="22">F115/E115/500</f>
        <v>6000</v>
      </c>
      <c r="H115" s="626"/>
      <c r="I115" s="625"/>
      <c r="J115" s="626">
        <v>0.29399999999999998</v>
      </c>
      <c r="K115" s="627">
        <f t="shared" ref="K115:K121" si="23">G115*J115</f>
        <v>1764</v>
      </c>
      <c r="L115" s="626">
        <v>0.20200000000000001</v>
      </c>
      <c r="M115" s="585">
        <f>G115*L115</f>
        <v>1212</v>
      </c>
      <c r="N115" s="627">
        <f t="shared" ref="N115:N122" si="24">I115+K115+M115</f>
        <v>2976</v>
      </c>
    </row>
    <row r="116" spans="1:18" ht="20.25" customHeight="1">
      <c r="A116" s="578">
        <v>2</v>
      </c>
      <c r="B116" s="630" t="s">
        <v>143</v>
      </c>
      <c r="C116" s="631">
        <v>0.6</v>
      </c>
      <c r="D116" s="578" t="s">
        <v>385</v>
      </c>
      <c r="E116" s="578">
        <f t="shared" si="21"/>
        <v>10</v>
      </c>
      <c r="F116" s="580">
        <f>'Bang gia'!Q21</f>
        <v>5800000</v>
      </c>
      <c r="G116" s="580">
        <f t="shared" si="22"/>
        <v>1160</v>
      </c>
      <c r="H116" s="584"/>
      <c r="I116" s="580"/>
      <c r="J116" s="582">
        <v>8.9999999999999993E-3</v>
      </c>
      <c r="K116" s="583">
        <f t="shared" si="23"/>
        <v>10.44</v>
      </c>
      <c r="L116" s="584">
        <v>8.0000000000000002E-3</v>
      </c>
      <c r="M116" s="585">
        <f>G116*L116</f>
        <v>9.2799999999999994</v>
      </c>
      <c r="N116" s="586">
        <f t="shared" si="24"/>
        <v>19.72</v>
      </c>
    </row>
    <row r="117" spans="1:18" ht="20.25" customHeight="1">
      <c r="A117" s="578">
        <v>3</v>
      </c>
      <c r="B117" s="579" t="s">
        <v>141</v>
      </c>
      <c r="C117" s="578">
        <v>0.6</v>
      </c>
      <c r="D117" s="578" t="s">
        <v>385</v>
      </c>
      <c r="E117" s="578">
        <f t="shared" si="21"/>
        <v>10</v>
      </c>
      <c r="F117" s="580">
        <f>'Bang gia'!Q19</f>
        <v>24800000</v>
      </c>
      <c r="G117" s="580">
        <f t="shared" si="22"/>
        <v>4960</v>
      </c>
      <c r="H117" s="584"/>
      <c r="I117" s="580"/>
      <c r="J117" s="582">
        <v>0.04</v>
      </c>
      <c r="K117" s="583">
        <f t="shared" si="23"/>
        <v>198.4</v>
      </c>
      <c r="L117" s="584"/>
      <c r="M117" s="585"/>
      <c r="N117" s="586">
        <f t="shared" si="24"/>
        <v>198.4</v>
      </c>
    </row>
    <row r="118" spans="1:18" ht="20.25" customHeight="1">
      <c r="A118" s="578">
        <v>4</v>
      </c>
      <c r="B118" s="579" t="s">
        <v>333</v>
      </c>
      <c r="C118" s="578">
        <v>0.6</v>
      </c>
      <c r="D118" s="578" t="s">
        <v>385</v>
      </c>
      <c r="E118" s="578">
        <f t="shared" si="21"/>
        <v>10</v>
      </c>
      <c r="F118" s="580">
        <f>'Bang gia'!Q22</f>
        <v>28500000</v>
      </c>
      <c r="G118" s="580">
        <f t="shared" si="22"/>
        <v>5700</v>
      </c>
      <c r="H118" s="584"/>
      <c r="I118" s="580"/>
      <c r="J118" s="582">
        <v>0.04</v>
      </c>
      <c r="K118" s="583">
        <f t="shared" si="23"/>
        <v>228</v>
      </c>
      <c r="L118" s="584"/>
      <c r="M118" s="585"/>
      <c r="N118" s="586">
        <f t="shared" si="24"/>
        <v>228</v>
      </c>
    </row>
    <row r="119" spans="1:18" ht="20.25" customHeight="1">
      <c r="A119" s="578">
        <v>5</v>
      </c>
      <c r="B119" s="579" t="s">
        <v>619</v>
      </c>
      <c r="C119" s="578">
        <v>2.2000000000000002</v>
      </c>
      <c r="D119" s="578" t="s">
        <v>385</v>
      </c>
      <c r="E119" s="578">
        <f t="shared" si="21"/>
        <v>10</v>
      </c>
      <c r="F119" s="580">
        <f>'Bang gia'!Q11</f>
        <v>14500000</v>
      </c>
      <c r="G119" s="580">
        <f t="shared" si="22"/>
        <v>2900</v>
      </c>
      <c r="H119" s="584"/>
      <c r="I119" s="580"/>
      <c r="J119" s="582">
        <v>0.09</v>
      </c>
      <c r="K119" s="583">
        <f t="shared" si="23"/>
        <v>261</v>
      </c>
      <c r="L119" s="584">
        <v>6.0999999999999999E-2</v>
      </c>
      <c r="M119" s="585">
        <f>G119*L119</f>
        <v>176.9</v>
      </c>
      <c r="N119" s="586">
        <f t="shared" si="24"/>
        <v>437.9</v>
      </c>
    </row>
    <row r="120" spans="1:18" ht="21" customHeight="1">
      <c r="A120" s="578">
        <v>6</v>
      </c>
      <c r="B120" s="579" t="s">
        <v>335</v>
      </c>
      <c r="C120" s="578">
        <v>1.5</v>
      </c>
      <c r="D120" s="578" t="s">
        <v>385</v>
      </c>
      <c r="E120" s="578">
        <f t="shared" si="21"/>
        <v>10</v>
      </c>
      <c r="F120" s="580">
        <f>'Bang gia'!Q20</f>
        <v>25500000</v>
      </c>
      <c r="G120" s="580">
        <f t="shared" si="22"/>
        <v>5100</v>
      </c>
      <c r="H120" s="584"/>
      <c r="I120" s="580"/>
      <c r="J120" s="582">
        <v>1.2999999999999999E-2</v>
      </c>
      <c r="K120" s="583">
        <f t="shared" si="23"/>
        <v>66.3</v>
      </c>
      <c r="L120" s="584">
        <v>2.4E-2</v>
      </c>
      <c r="M120" s="585">
        <f>G120*L120</f>
        <v>122.4</v>
      </c>
      <c r="N120" s="586">
        <f t="shared" si="24"/>
        <v>188.7</v>
      </c>
    </row>
    <row r="121" spans="1:18" ht="20.25" customHeight="1">
      <c r="A121" s="578">
        <v>7</v>
      </c>
      <c r="B121" s="579" t="s">
        <v>336</v>
      </c>
      <c r="C121" s="578">
        <v>1.5</v>
      </c>
      <c r="D121" s="578" t="s">
        <v>385</v>
      </c>
      <c r="E121" s="578">
        <v>10</v>
      </c>
      <c r="F121" s="580">
        <f>'Bang gia'!Q12</f>
        <v>72000000</v>
      </c>
      <c r="G121" s="580">
        <f t="shared" si="22"/>
        <v>14400</v>
      </c>
      <c r="H121" s="584"/>
      <c r="I121" s="580"/>
      <c r="J121" s="582">
        <v>1.5</v>
      </c>
      <c r="K121" s="583">
        <f t="shared" si="23"/>
        <v>21600</v>
      </c>
      <c r="L121" s="584"/>
      <c r="M121" s="585"/>
      <c r="N121" s="586">
        <f t="shared" si="24"/>
        <v>21600</v>
      </c>
    </row>
    <row r="122" spans="1:18" ht="20.25" customHeight="1">
      <c r="A122" s="644">
        <v>8</v>
      </c>
      <c r="B122" s="645" t="s">
        <v>620</v>
      </c>
      <c r="C122" s="644">
        <v>0.4</v>
      </c>
      <c r="D122" s="644" t="s">
        <v>385</v>
      </c>
      <c r="E122" s="644">
        <f>E101</f>
        <v>10</v>
      </c>
      <c r="F122" s="646">
        <f>'Bang gia'!Q10</f>
        <v>105000000</v>
      </c>
      <c r="G122" s="646">
        <f t="shared" si="22"/>
        <v>21000</v>
      </c>
      <c r="H122" s="647"/>
      <c r="I122" s="646"/>
      <c r="J122" s="648"/>
      <c r="K122" s="649"/>
      <c r="L122" s="647">
        <v>1E-3</v>
      </c>
      <c r="M122" s="585">
        <f>G122*L122</f>
        <v>21</v>
      </c>
      <c r="N122" s="586">
        <f t="shared" si="24"/>
        <v>21</v>
      </c>
    </row>
    <row r="123" spans="1:18" ht="20.25" customHeight="1">
      <c r="A123" s="587"/>
      <c r="B123" s="588" t="s">
        <v>621</v>
      </c>
      <c r="C123" s="588"/>
      <c r="D123" s="587"/>
      <c r="E123" s="587"/>
      <c r="F123" s="636"/>
      <c r="G123" s="587"/>
      <c r="H123" s="587"/>
      <c r="I123" s="589"/>
      <c r="J123" s="590"/>
      <c r="K123" s="591">
        <f>SUM(K115:K122)</f>
        <v>24128.14</v>
      </c>
      <c r="L123" s="591"/>
      <c r="M123" s="591">
        <f>SUM(M115:M122)</f>
        <v>1541.5800000000002</v>
      </c>
      <c r="N123" s="591">
        <f>SUM(N115:N122)</f>
        <v>25669.72</v>
      </c>
      <c r="P123" s="454">
        <f>K123/5000</f>
        <v>4.825628</v>
      </c>
      <c r="R123" s="454">
        <f>M123/5000</f>
        <v>0.30831600000000003</v>
      </c>
    </row>
    <row r="124" spans="1:18">
      <c r="A124" s="593"/>
      <c r="B124" s="594"/>
      <c r="C124" s="594"/>
      <c r="D124" s="595"/>
      <c r="E124" s="596"/>
      <c r="F124" s="638"/>
      <c r="G124" s="596"/>
      <c r="H124" s="597"/>
      <c r="I124" s="597"/>
      <c r="J124" s="598"/>
      <c r="K124" s="598"/>
      <c r="L124" s="598"/>
      <c r="M124" s="598"/>
      <c r="N124" s="596"/>
    </row>
    <row r="125" spans="1:18">
      <c r="A125" s="606"/>
      <c r="B125" s="599" t="s">
        <v>299</v>
      </c>
      <c r="C125" s="603"/>
      <c r="D125" s="603"/>
      <c r="E125" s="494"/>
      <c r="F125" s="604"/>
      <c r="G125" s="494"/>
      <c r="H125" s="601"/>
      <c r="I125" s="601"/>
      <c r="J125" s="602"/>
      <c r="K125" s="602"/>
      <c r="L125" s="602"/>
      <c r="M125" s="602"/>
      <c r="N125" s="494"/>
    </row>
    <row r="126" spans="1:18" ht="70.900000000000006" customHeight="1">
      <c r="A126" s="606"/>
      <c r="B126" s="1279" t="s">
        <v>651</v>
      </c>
      <c r="C126" s="1279"/>
      <c r="D126" s="1279"/>
      <c r="E126" s="1279"/>
      <c r="F126" s="1279"/>
      <c r="G126" s="1279"/>
      <c r="H126" s="1279"/>
      <c r="I126" s="1279"/>
      <c r="J126" s="1279"/>
      <c r="K126" s="1279"/>
      <c r="L126" s="1279"/>
      <c r="M126" s="1279"/>
      <c r="N126" s="1279"/>
    </row>
    <row r="127" spans="1:18">
      <c r="A127" s="480"/>
      <c r="B127" s="603" t="s">
        <v>649</v>
      </c>
      <c r="C127" s="605"/>
      <c r="D127" s="605"/>
      <c r="E127" s="494"/>
      <c r="F127" s="604"/>
      <c r="G127" s="494"/>
      <c r="H127" s="601"/>
      <c r="I127" s="601"/>
      <c r="J127" s="602"/>
      <c r="K127" s="602"/>
      <c r="L127" s="602"/>
      <c r="M127" s="602"/>
      <c r="N127" s="494"/>
    </row>
    <row r="128" spans="1:18" ht="45.6" customHeight="1">
      <c r="A128" s="480"/>
      <c r="B128" s="1260" t="s">
        <v>650</v>
      </c>
      <c r="C128" s="1260"/>
      <c r="D128" s="1260"/>
      <c r="E128" s="1260"/>
      <c r="F128" s="1260"/>
      <c r="G128" s="1260"/>
      <c r="H128" s="1260"/>
      <c r="I128" s="1260"/>
      <c r="J128" s="1260"/>
      <c r="K128" s="1260"/>
      <c r="L128" s="1260"/>
      <c r="M128" s="1260"/>
      <c r="N128" s="1260"/>
    </row>
    <row r="129" spans="1:17" ht="30.6" customHeight="1">
      <c r="A129" s="480"/>
      <c r="B129" s="1260" t="s">
        <v>86</v>
      </c>
      <c r="C129" s="1260"/>
      <c r="D129" s="1260"/>
      <c r="E129" s="1260"/>
      <c r="F129" s="1260"/>
      <c r="G129" s="1260"/>
      <c r="H129" s="1260"/>
      <c r="I129" s="1260"/>
      <c r="J129" s="1260"/>
      <c r="K129" s="1260"/>
      <c r="L129" s="1260"/>
      <c r="M129" s="1260"/>
      <c r="N129" s="1260"/>
    </row>
    <row r="130" spans="1:17">
      <c r="B130" s="605"/>
    </row>
    <row r="131" spans="1:17" ht="25.5" customHeight="1">
      <c r="A131" s="1264" t="s">
        <v>364</v>
      </c>
      <c r="B131" s="1264"/>
      <c r="C131" s="1264"/>
      <c r="D131" s="1264"/>
      <c r="E131" s="1264"/>
      <c r="F131" s="1264"/>
      <c r="G131" s="1264"/>
      <c r="H131" s="1264"/>
      <c r="I131" s="1264"/>
      <c r="J131" s="1264"/>
      <c r="K131" s="1264"/>
      <c r="L131" s="1264"/>
      <c r="M131" s="1264"/>
      <c r="N131" s="1264"/>
    </row>
    <row r="132" spans="1:17" ht="6.75" customHeight="1">
      <c r="A132" s="480"/>
      <c r="B132" s="606"/>
      <c r="C132" s="606"/>
      <c r="D132" s="600"/>
      <c r="E132" s="480"/>
      <c r="F132" s="601"/>
      <c r="G132" s="601"/>
      <c r="H132" s="480"/>
      <c r="I132" s="480"/>
      <c r="J132" s="606"/>
      <c r="K132" s="606"/>
      <c r="L132" s="607"/>
      <c r="M132" s="607"/>
      <c r="N132" s="494"/>
    </row>
    <row r="133" spans="1:17" ht="9.75" customHeight="1">
      <c r="A133" s="1245" t="s">
        <v>882</v>
      </c>
      <c r="B133" s="1245" t="s">
        <v>283</v>
      </c>
      <c r="C133" s="1245" t="s">
        <v>615</v>
      </c>
      <c r="D133" s="1245" t="s">
        <v>284</v>
      </c>
      <c r="E133" s="1248" t="s">
        <v>616</v>
      </c>
      <c r="F133" s="1245" t="s">
        <v>617</v>
      </c>
      <c r="G133" s="1245" t="s">
        <v>287</v>
      </c>
      <c r="H133" s="1254" t="s">
        <v>288</v>
      </c>
      <c r="I133" s="1255"/>
      <c r="J133" s="1255"/>
      <c r="K133" s="1255"/>
      <c r="L133" s="1255"/>
      <c r="M133" s="1256"/>
      <c r="N133" s="1245" t="s">
        <v>983</v>
      </c>
    </row>
    <row r="134" spans="1:17" ht="41.25" customHeight="1">
      <c r="A134" s="1246"/>
      <c r="B134" s="1246"/>
      <c r="C134" s="1246"/>
      <c r="D134" s="1246"/>
      <c r="E134" s="1249"/>
      <c r="F134" s="1246"/>
      <c r="G134" s="1246"/>
      <c r="H134" s="1254" t="s">
        <v>289</v>
      </c>
      <c r="I134" s="1256"/>
      <c r="J134" s="1254" t="s">
        <v>847</v>
      </c>
      <c r="K134" s="1256"/>
      <c r="L134" s="1254" t="s">
        <v>487</v>
      </c>
      <c r="M134" s="1256"/>
      <c r="N134" s="1246"/>
    </row>
    <row r="135" spans="1:17" ht="20.25" customHeight="1">
      <c r="A135" s="1247"/>
      <c r="B135" s="1247"/>
      <c r="C135" s="1247"/>
      <c r="D135" s="1247"/>
      <c r="E135" s="1250"/>
      <c r="F135" s="1247"/>
      <c r="G135" s="1247"/>
      <c r="H135" s="468" t="s">
        <v>352</v>
      </c>
      <c r="I135" s="468" t="s">
        <v>353</v>
      </c>
      <c r="J135" s="468" t="s">
        <v>352</v>
      </c>
      <c r="K135" s="468" t="s">
        <v>353</v>
      </c>
      <c r="L135" s="468" t="s">
        <v>352</v>
      </c>
      <c r="M135" s="468" t="s">
        <v>353</v>
      </c>
      <c r="N135" s="1247"/>
    </row>
    <row r="136" spans="1:17" ht="19.5" customHeight="1">
      <c r="A136" s="623">
        <v>1</v>
      </c>
      <c r="B136" s="624" t="s">
        <v>133</v>
      </c>
      <c r="C136" s="623">
        <v>0.4</v>
      </c>
      <c r="D136" s="623" t="s">
        <v>385</v>
      </c>
      <c r="E136" s="623">
        <f>E115</f>
        <v>5</v>
      </c>
      <c r="F136" s="625">
        <f>'Bang gia'!Q9</f>
        <v>15000000</v>
      </c>
      <c r="G136" s="580">
        <f t="shared" ref="G136:G141" si="25">F136/E136/500</f>
        <v>6000</v>
      </c>
      <c r="H136" s="626"/>
      <c r="I136" s="625"/>
      <c r="J136" s="626">
        <v>1.02</v>
      </c>
      <c r="K136" s="627">
        <f t="shared" ref="K136:K141" si="26">G136*J136</f>
        <v>6120</v>
      </c>
      <c r="L136" s="626"/>
      <c r="M136" s="585"/>
      <c r="N136" s="627">
        <f t="shared" ref="N136:N141" si="27">I136+K136+M136</f>
        <v>6120</v>
      </c>
    </row>
    <row r="137" spans="1:17" ht="19.5" customHeight="1">
      <c r="A137" s="578">
        <v>2</v>
      </c>
      <c r="B137" s="630" t="s">
        <v>143</v>
      </c>
      <c r="C137" s="631">
        <v>0.6</v>
      </c>
      <c r="D137" s="578" t="s">
        <v>385</v>
      </c>
      <c r="E137" s="578">
        <f>E116</f>
        <v>10</v>
      </c>
      <c r="F137" s="580">
        <f>'Bang gia'!Q21</f>
        <v>5800000</v>
      </c>
      <c r="G137" s="580">
        <f t="shared" si="25"/>
        <v>1160</v>
      </c>
      <c r="H137" s="584"/>
      <c r="I137" s="580"/>
      <c r="J137" s="582">
        <v>1.7000000000000001E-2</v>
      </c>
      <c r="K137" s="583">
        <f t="shared" si="26"/>
        <v>19.720000000000002</v>
      </c>
      <c r="L137" s="584"/>
      <c r="M137" s="585"/>
      <c r="N137" s="586">
        <f t="shared" si="27"/>
        <v>19.720000000000002</v>
      </c>
    </row>
    <row r="138" spans="1:17" ht="19.5" customHeight="1">
      <c r="A138" s="578">
        <v>3</v>
      </c>
      <c r="B138" s="579" t="s">
        <v>141</v>
      </c>
      <c r="C138" s="578">
        <v>0.6</v>
      </c>
      <c r="D138" s="578" t="s">
        <v>385</v>
      </c>
      <c r="E138" s="578">
        <f>E117</f>
        <v>10</v>
      </c>
      <c r="F138" s="580">
        <f>'Bang gia'!Q19</f>
        <v>24800000</v>
      </c>
      <c r="G138" s="580">
        <f t="shared" si="25"/>
        <v>4960</v>
      </c>
      <c r="H138" s="584"/>
      <c r="I138" s="580"/>
      <c r="J138" s="582">
        <v>0.03</v>
      </c>
      <c r="K138" s="583">
        <f t="shared" si="26"/>
        <v>148.79999999999998</v>
      </c>
      <c r="L138" s="584"/>
      <c r="M138" s="585"/>
      <c r="N138" s="586">
        <f t="shared" si="27"/>
        <v>148.79999999999998</v>
      </c>
    </row>
    <row r="139" spans="1:17" ht="19.5" customHeight="1">
      <c r="A139" s="578">
        <v>4</v>
      </c>
      <c r="B139" s="579" t="s">
        <v>333</v>
      </c>
      <c r="C139" s="578">
        <v>0.6</v>
      </c>
      <c r="D139" s="578" t="s">
        <v>385</v>
      </c>
      <c r="E139" s="578">
        <f>E119</f>
        <v>10</v>
      </c>
      <c r="F139" s="580">
        <f>'Bang gia'!Q22</f>
        <v>28500000</v>
      </c>
      <c r="G139" s="580">
        <f t="shared" si="25"/>
        <v>5700</v>
      </c>
      <c r="H139" s="584"/>
      <c r="I139" s="580"/>
      <c r="J139" s="582">
        <v>0.03</v>
      </c>
      <c r="K139" s="583">
        <f t="shared" si="26"/>
        <v>171</v>
      </c>
      <c r="L139" s="584"/>
      <c r="M139" s="585"/>
      <c r="N139" s="586">
        <f t="shared" si="27"/>
        <v>171</v>
      </c>
    </row>
    <row r="140" spans="1:17" ht="19.5" customHeight="1">
      <c r="A140" s="578">
        <v>5</v>
      </c>
      <c r="B140" s="579" t="s">
        <v>619</v>
      </c>
      <c r="C140" s="578">
        <v>2.2000000000000002</v>
      </c>
      <c r="D140" s="578" t="s">
        <v>385</v>
      </c>
      <c r="E140" s="578">
        <f>E119</f>
        <v>10</v>
      </c>
      <c r="F140" s="580">
        <f>'Bang gia'!Q11</f>
        <v>14500000</v>
      </c>
      <c r="G140" s="580">
        <f t="shared" si="25"/>
        <v>2900</v>
      </c>
      <c r="H140" s="584"/>
      <c r="I140" s="580"/>
      <c r="J140" s="582">
        <v>0.30599999999999999</v>
      </c>
      <c r="K140" s="583">
        <v>0.30599999999999999</v>
      </c>
      <c r="L140" s="584"/>
      <c r="M140" s="585"/>
      <c r="N140" s="586">
        <f t="shared" si="27"/>
        <v>0.30599999999999999</v>
      </c>
    </row>
    <row r="141" spans="1:17" ht="19.5" customHeight="1">
      <c r="A141" s="578">
        <v>6</v>
      </c>
      <c r="B141" s="579" t="s">
        <v>622</v>
      </c>
      <c r="C141" s="578">
        <v>1.5</v>
      </c>
      <c r="D141" s="578" t="s">
        <v>385</v>
      </c>
      <c r="E141" s="578">
        <f>E120</f>
        <v>10</v>
      </c>
      <c r="F141" s="580">
        <f>'Bang gia'!Q20</f>
        <v>25500000</v>
      </c>
      <c r="G141" s="580">
        <f t="shared" si="25"/>
        <v>5100</v>
      </c>
      <c r="H141" s="584"/>
      <c r="I141" s="580"/>
      <c r="J141" s="582">
        <v>0.03</v>
      </c>
      <c r="K141" s="583">
        <f t="shared" si="26"/>
        <v>153</v>
      </c>
      <c r="L141" s="584"/>
      <c r="M141" s="585"/>
      <c r="N141" s="586">
        <f t="shared" si="27"/>
        <v>153</v>
      </c>
    </row>
    <row r="142" spans="1:17" ht="19.5" customHeight="1">
      <c r="A142" s="587"/>
      <c r="B142" s="588" t="s">
        <v>621</v>
      </c>
      <c r="C142" s="588"/>
      <c r="D142" s="587"/>
      <c r="E142" s="587"/>
      <c r="F142" s="636"/>
      <c r="G142" s="587"/>
      <c r="H142" s="587"/>
      <c r="I142" s="589"/>
      <c r="J142" s="590"/>
      <c r="K142" s="591">
        <f>SUM(K136:K141)</f>
        <v>6612.826</v>
      </c>
      <c r="L142" s="591"/>
      <c r="M142" s="591"/>
      <c r="N142" s="591">
        <f>SUM(N136:N141)</f>
        <v>6612.826</v>
      </c>
      <c r="Q142" s="650">
        <f>K142*1.3</f>
        <v>8596.6738000000005</v>
      </c>
    </row>
    <row r="143" spans="1:17" ht="9.75" customHeight="1">
      <c r="A143" s="593"/>
      <c r="B143" s="594"/>
      <c r="C143" s="594"/>
      <c r="D143" s="595"/>
      <c r="E143" s="596"/>
      <c r="F143" s="638"/>
      <c r="G143" s="596"/>
      <c r="H143" s="597"/>
      <c r="I143" s="597"/>
      <c r="J143" s="598"/>
      <c r="K143" s="598"/>
      <c r="L143" s="598"/>
      <c r="M143" s="598"/>
      <c r="N143" s="596"/>
    </row>
    <row r="144" spans="1:17">
      <c r="A144" s="606"/>
      <c r="B144" s="599" t="s">
        <v>299</v>
      </c>
      <c r="C144" s="603"/>
      <c r="D144" s="603"/>
      <c r="E144" s="494"/>
      <c r="F144" s="604"/>
      <c r="G144" s="494"/>
      <c r="H144" s="601"/>
      <c r="I144" s="601"/>
      <c r="J144" s="602"/>
      <c r="K144" s="602"/>
      <c r="L144" s="602"/>
      <c r="M144" s="602"/>
      <c r="N144" s="494"/>
    </row>
    <row r="145" spans="1:24" ht="33" customHeight="1">
      <c r="A145" s="606"/>
      <c r="B145" s="1260" t="s">
        <v>642</v>
      </c>
      <c r="C145" s="1260"/>
      <c r="D145" s="1260"/>
      <c r="E145" s="1260"/>
      <c r="F145" s="1260"/>
      <c r="G145" s="1260"/>
      <c r="H145" s="1260"/>
      <c r="I145" s="1260"/>
      <c r="J145" s="602"/>
      <c r="K145" s="602"/>
      <c r="L145" s="602"/>
      <c r="M145" s="602"/>
      <c r="N145" s="494"/>
    </row>
    <row r="146" spans="1:24" ht="32.450000000000003" customHeight="1">
      <c r="A146" s="606"/>
      <c r="B146" s="1260" t="s">
        <v>643</v>
      </c>
      <c r="C146" s="1260"/>
      <c r="D146" s="1260"/>
      <c r="E146" s="1260"/>
      <c r="F146" s="1260"/>
      <c r="G146" s="1260"/>
      <c r="H146" s="1260"/>
      <c r="I146" s="1260"/>
      <c r="J146" s="1260"/>
      <c r="K146" s="1260"/>
      <c r="L146" s="1260"/>
      <c r="M146" s="1260"/>
      <c r="N146" s="1260"/>
    </row>
    <row r="147" spans="1:24" ht="20.25" customHeight="1">
      <c r="A147" s="480"/>
      <c r="B147" s="605"/>
      <c r="C147" s="605"/>
      <c r="D147" s="605"/>
      <c r="E147" s="494"/>
      <c r="F147" s="604"/>
      <c r="G147" s="494"/>
      <c r="H147" s="601"/>
      <c r="I147" s="601"/>
      <c r="J147" s="602"/>
      <c r="K147" s="602"/>
      <c r="L147" s="602"/>
      <c r="M147" s="602"/>
      <c r="N147" s="494"/>
    </row>
    <row r="148" spans="1:24" ht="28.9" customHeight="1">
      <c r="A148" s="1264" t="s">
        <v>365</v>
      </c>
      <c r="B148" s="1264"/>
      <c r="C148" s="1264"/>
      <c r="D148" s="1264"/>
      <c r="E148" s="1264"/>
      <c r="F148" s="1264"/>
      <c r="G148" s="1264"/>
      <c r="H148" s="1264"/>
      <c r="I148" s="1264"/>
      <c r="J148" s="1264"/>
      <c r="K148" s="1264"/>
      <c r="L148" s="1264"/>
      <c r="M148" s="1264"/>
      <c r="N148" s="1264"/>
      <c r="X148" s="454"/>
    </row>
    <row r="149" spans="1:24" ht="9" customHeight="1">
      <c r="A149" s="480"/>
      <c r="B149" s="606"/>
      <c r="C149" s="606"/>
      <c r="D149" s="600"/>
      <c r="E149" s="480"/>
      <c r="F149" s="601"/>
      <c r="G149" s="601"/>
      <c r="H149" s="480"/>
      <c r="I149" s="480"/>
      <c r="J149" s="606"/>
      <c r="K149" s="606"/>
      <c r="L149" s="607"/>
      <c r="M149" s="607"/>
      <c r="N149" s="494"/>
      <c r="X149" s="454"/>
    </row>
    <row r="150" spans="1:24" ht="22.15" customHeight="1">
      <c r="A150" s="1245" t="s">
        <v>882</v>
      </c>
      <c r="B150" s="1245" t="s">
        <v>283</v>
      </c>
      <c r="C150" s="1245" t="s">
        <v>615</v>
      </c>
      <c r="D150" s="1245" t="s">
        <v>284</v>
      </c>
      <c r="E150" s="1248" t="s">
        <v>616</v>
      </c>
      <c r="F150" s="1245" t="s">
        <v>617</v>
      </c>
      <c r="G150" s="1245" t="s">
        <v>287</v>
      </c>
      <c r="H150" s="1254" t="s">
        <v>288</v>
      </c>
      <c r="I150" s="1255"/>
      <c r="J150" s="1255"/>
      <c r="K150" s="1255"/>
      <c r="L150" s="1255"/>
      <c r="M150" s="1256"/>
      <c r="N150" s="1245" t="s">
        <v>985</v>
      </c>
    </row>
    <row r="151" spans="1:24" ht="38.450000000000003" customHeight="1">
      <c r="A151" s="1246"/>
      <c r="B151" s="1246"/>
      <c r="C151" s="1246"/>
      <c r="D151" s="1246"/>
      <c r="E151" s="1249"/>
      <c r="F151" s="1246"/>
      <c r="G151" s="1246"/>
      <c r="H151" s="1254" t="s">
        <v>289</v>
      </c>
      <c r="I151" s="1256"/>
      <c r="J151" s="1254" t="s">
        <v>322</v>
      </c>
      <c r="K151" s="1256"/>
      <c r="L151" s="1254" t="s">
        <v>291</v>
      </c>
      <c r="M151" s="1256"/>
      <c r="N151" s="1246"/>
    </row>
    <row r="152" spans="1:24" ht="19.5" customHeight="1">
      <c r="A152" s="1247"/>
      <c r="B152" s="1247"/>
      <c r="C152" s="1247"/>
      <c r="D152" s="1247"/>
      <c r="E152" s="1250"/>
      <c r="F152" s="1247"/>
      <c r="G152" s="1247"/>
      <c r="H152" s="468" t="s">
        <v>352</v>
      </c>
      <c r="I152" s="468" t="s">
        <v>353</v>
      </c>
      <c r="J152" s="468" t="s">
        <v>352</v>
      </c>
      <c r="K152" s="468" t="s">
        <v>353</v>
      </c>
      <c r="L152" s="468" t="s">
        <v>352</v>
      </c>
      <c r="M152" s="468" t="s">
        <v>353</v>
      </c>
      <c r="N152" s="1247"/>
    </row>
    <row r="153" spans="1:24" ht="20.25" customHeight="1">
      <c r="A153" s="623">
        <v>1</v>
      </c>
      <c r="B153" s="624" t="s">
        <v>133</v>
      </c>
      <c r="C153" s="623">
        <v>0.4</v>
      </c>
      <c r="D153" s="623" t="s">
        <v>385</v>
      </c>
      <c r="E153" s="623">
        <f>E136</f>
        <v>5</v>
      </c>
      <c r="F153" s="625">
        <f>'Bang gia'!Q9</f>
        <v>15000000</v>
      </c>
      <c r="G153" s="580">
        <f t="shared" ref="G153:G158" si="28">F153/E153/500</f>
        <v>6000</v>
      </c>
      <c r="H153" s="626"/>
      <c r="I153" s="625"/>
      <c r="J153" s="626"/>
      <c r="K153" s="627"/>
      <c r="L153" s="626">
        <v>1.36</v>
      </c>
      <c r="M153" s="585">
        <f>G153*L153</f>
        <v>8160.0000000000009</v>
      </c>
      <c r="N153" s="627">
        <f t="shared" ref="N153:N158" si="29">I153+K153+M153</f>
        <v>8160.0000000000009</v>
      </c>
    </row>
    <row r="154" spans="1:24" ht="20.45" customHeight="1">
      <c r="A154" s="578">
        <v>2</v>
      </c>
      <c r="B154" s="630" t="s">
        <v>143</v>
      </c>
      <c r="C154" s="631">
        <v>0.6</v>
      </c>
      <c r="D154" s="578" t="s">
        <v>385</v>
      </c>
      <c r="E154" s="578">
        <f>E137</f>
        <v>10</v>
      </c>
      <c r="F154" s="580">
        <f>'Bang gia'!Q21</f>
        <v>5800000</v>
      </c>
      <c r="G154" s="580">
        <f t="shared" si="28"/>
        <v>1160</v>
      </c>
      <c r="H154" s="584"/>
      <c r="I154" s="580"/>
      <c r="J154" s="582"/>
      <c r="K154" s="583"/>
      <c r="L154" s="584">
        <v>2.1999999999999999E-2</v>
      </c>
      <c r="M154" s="585">
        <f>L154*G154</f>
        <v>25.52</v>
      </c>
      <c r="N154" s="586">
        <f t="shared" si="29"/>
        <v>25.52</v>
      </c>
    </row>
    <row r="155" spans="1:24" ht="20.45" customHeight="1">
      <c r="A155" s="578">
        <v>3</v>
      </c>
      <c r="B155" s="579" t="s">
        <v>141</v>
      </c>
      <c r="C155" s="578">
        <v>0.6</v>
      </c>
      <c r="D155" s="578" t="s">
        <v>385</v>
      </c>
      <c r="E155" s="578">
        <f>E138</f>
        <v>10</v>
      </c>
      <c r="F155" s="580">
        <f>'Bang gia'!Q19</f>
        <v>24800000</v>
      </c>
      <c r="G155" s="580">
        <f t="shared" si="28"/>
        <v>4960</v>
      </c>
      <c r="H155" s="584"/>
      <c r="I155" s="580"/>
      <c r="J155" s="582"/>
      <c r="K155" s="583"/>
      <c r="L155" s="584">
        <v>0.04</v>
      </c>
      <c r="M155" s="585">
        <f>L155*G155</f>
        <v>198.4</v>
      </c>
      <c r="N155" s="586">
        <f t="shared" si="29"/>
        <v>198.4</v>
      </c>
    </row>
    <row r="156" spans="1:24" ht="20.45" customHeight="1">
      <c r="A156" s="578">
        <v>4</v>
      </c>
      <c r="B156" s="579" t="s">
        <v>333</v>
      </c>
      <c r="C156" s="578">
        <v>0.6</v>
      </c>
      <c r="D156" s="578" t="s">
        <v>385</v>
      </c>
      <c r="E156" s="578">
        <f>E138</f>
        <v>10</v>
      </c>
      <c r="F156" s="580">
        <f>'Bang gia'!Q22</f>
        <v>28500000</v>
      </c>
      <c r="G156" s="580">
        <f t="shared" si="28"/>
        <v>5700</v>
      </c>
      <c r="H156" s="584"/>
      <c r="I156" s="580"/>
      <c r="J156" s="582"/>
      <c r="K156" s="583"/>
      <c r="L156" s="584">
        <v>0.04</v>
      </c>
      <c r="M156" s="585">
        <f>L156*G156</f>
        <v>228</v>
      </c>
      <c r="N156" s="586">
        <f t="shared" si="29"/>
        <v>228</v>
      </c>
    </row>
    <row r="157" spans="1:24" ht="20.45" customHeight="1">
      <c r="A157" s="578">
        <v>5</v>
      </c>
      <c r="B157" s="579" t="s">
        <v>619</v>
      </c>
      <c r="C157" s="578">
        <v>2.2000000000000002</v>
      </c>
      <c r="D157" s="578" t="s">
        <v>385</v>
      </c>
      <c r="E157" s="578">
        <f>E140</f>
        <v>10</v>
      </c>
      <c r="F157" s="580">
        <f>'Bang gia'!Q11</f>
        <v>14500000</v>
      </c>
      <c r="G157" s="580">
        <f t="shared" si="28"/>
        <v>2900</v>
      </c>
      <c r="H157" s="611"/>
      <c r="I157" s="580"/>
      <c r="J157" s="582"/>
      <c r="K157" s="583"/>
      <c r="L157" s="584">
        <v>0.40799999999999997</v>
      </c>
      <c r="M157" s="585">
        <f>L157*G157</f>
        <v>1183.1999999999998</v>
      </c>
      <c r="N157" s="586">
        <f t="shared" si="29"/>
        <v>1183.1999999999998</v>
      </c>
    </row>
    <row r="158" spans="1:24" ht="20.45" customHeight="1">
      <c r="A158" s="578">
        <v>6</v>
      </c>
      <c r="B158" s="579" t="s">
        <v>622</v>
      </c>
      <c r="C158" s="578">
        <v>1.5</v>
      </c>
      <c r="D158" s="578" t="s">
        <v>385</v>
      </c>
      <c r="E158" s="578">
        <f>E141</f>
        <v>10</v>
      </c>
      <c r="F158" s="580">
        <f>'Bang gia'!Q20</f>
        <v>25500000</v>
      </c>
      <c r="G158" s="580">
        <f t="shared" si="28"/>
        <v>5100</v>
      </c>
      <c r="H158" s="584"/>
      <c r="I158" s="580"/>
      <c r="J158" s="582"/>
      <c r="K158" s="583"/>
      <c r="L158" s="584">
        <v>4.0000000000000001E-3</v>
      </c>
      <c r="M158" s="585">
        <f>L158*G158</f>
        <v>20.400000000000002</v>
      </c>
      <c r="N158" s="586">
        <f t="shared" si="29"/>
        <v>20.400000000000002</v>
      </c>
    </row>
    <row r="159" spans="1:24" ht="20.45" customHeight="1">
      <c r="A159" s="587"/>
      <c r="B159" s="588" t="s">
        <v>621</v>
      </c>
      <c r="C159" s="588"/>
      <c r="D159" s="587"/>
      <c r="E159" s="587"/>
      <c r="F159" s="636"/>
      <c r="G159" s="587"/>
      <c r="H159" s="587"/>
      <c r="I159" s="591"/>
      <c r="J159" s="591"/>
      <c r="K159" s="591"/>
      <c r="L159" s="591"/>
      <c r="M159" s="591">
        <f>SUM(M153:M158)</f>
        <v>9815.5200000000023</v>
      </c>
      <c r="N159" s="591">
        <f>SUM(N153:N158)</f>
        <v>9815.5200000000023</v>
      </c>
      <c r="Q159" s="454">
        <f>M159*1.3</f>
        <v>12760.176000000003</v>
      </c>
    </row>
    <row r="160" spans="1:24" ht="9.75" customHeight="1">
      <c r="A160" s="593"/>
      <c r="B160" s="594"/>
      <c r="C160" s="594"/>
      <c r="D160" s="595"/>
      <c r="E160" s="596"/>
      <c r="F160" s="638"/>
      <c r="G160" s="596"/>
      <c r="H160" s="597"/>
      <c r="I160" s="597"/>
      <c r="J160" s="598"/>
      <c r="K160" s="598"/>
      <c r="L160" s="598"/>
      <c r="M160" s="598"/>
      <c r="N160" s="596"/>
    </row>
    <row r="161" spans="1:25">
      <c r="A161" s="606"/>
      <c r="B161" s="599" t="s">
        <v>299</v>
      </c>
      <c r="C161" s="603"/>
      <c r="D161" s="603"/>
      <c r="E161" s="494"/>
      <c r="F161" s="604"/>
      <c r="G161" s="494"/>
      <c r="H161" s="601"/>
      <c r="I161" s="601"/>
      <c r="J161" s="602"/>
      <c r="K161" s="602"/>
      <c r="L161" s="602"/>
      <c r="M161" s="602"/>
      <c r="N161" s="494"/>
    </row>
    <row r="162" spans="1:25" ht="25.5" customHeight="1">
      <c r="A162" s="480"/>
      <c r="B162" s="1244" t="s">
        <v>652</v>
      </c>
      <c r="C162" s="1244"/>
      <c r="D162" s="1244"/>
      <c r="E162" s="1244"/>
      <c r="F162" s="1244"/>
      <c r="G162" s="1244"/>
      <c r="H162" s="1244"/>
      <c r="I162" s="1244"/>
      <c r="J162" s="1244"/>
      <c r="K162" s="1244"/>
      <c r="L162" s="1244"/>
      <c r="M162" s="1244"/>
      <c r="N162" s="1244"/>
    </row>
    <row r="163" spans="1:25" ht="43.15" customHeight="1">
      <c r="A163" s="480"/>
      <c r="B163" s="1260" t="s">
        <v>653</v>
      </c>
      <c r="C163" s="1260"/>
      <c r="D163" s="1260"/>
      <c r="E163" s="1260"/>
      <c r="F163" s="1260"/>
      <c r="G163" s="1260"/>
      <c r="H163" s="1260"/>
      <c r="I163" s="1260"/>
      <c r="J163" s="1260"/>
      <c r="K163" s="1260"/>
      <c r="L163" s="1260"/>
      <c r="M163" s="1260"/>
      <c r="N163" s="1260"/>
    </row>
    <row r="165" spans="1:25" ht="34.5" customHeight="1">
      <c r="A165" s="1264" t="s">
        <v>366</v>
      </c>
      <c r="B165" s="1264"/>
      <c r="C165" s="1264"/>
      <c r="D165" s="1264"/>
      <c r="E165" s="1264"/>
      <c r="F165" s="1264"/>
      <c r="G165" s="1264"/>
      <c r="H165" s="1264"/>
      <c r="I165" s="1264"/>
      <c r="J165" s="1264"/>
      <c r="K165" s="1264"/>
      <c r="L165" s="1264"/>
      <c r="M165" s="1264"/>
      <c r="N165" s="1264"/>
      <c r="X165" s="454"/>
      <c r="Y165" s="454"/>
    </row>
    <row r="166" spans="1:25">
      <c r="A166" s="480"/>
      <c r="B166" s="606"/>
      <c r="C166" s="606"/>
      <c r="D166" s="600"/>
      <c r="E166" s="480"/>
      <c r="F166" s="601"/>
      <c r="G166" s="601"/>
      <c r="H166" s="480"/>
      <c r="I166" s="480"/>
      <c r="J166" s="606"/>
      <c r="K166" s="606"/>
      <c r="L166" s="607"/>
      <c r="M166" s="607"/>
      <c r="N166" s="494"/>
      <c r="X166" s="454"/>
      <c r="Y166" s="454"/>
    </row>
    <row r="167" spans="1:25" ht="22.9" customHeight="1">
      <c r="A167" s="1245" t="s">
        <v>882</v>
      </c>
      <c r="B167" s="1245" t="s">
        <v>283</v>
      </c>
      <c r="C167" s="1245" t="s">
        <v>615</v>
      </c>
      <c r="D167" s="1245" t="s">
        <v>284</v>
      </c>
      <c r="E167" s="1248" t="s">
        <v>616</v>
      </c>
      <c r="F167" s="1245" t="s">
        <v>617</v>
      </c>
      <c r="G167" s="1245" t="s">
        <v>287</v>
      </c>
      <c r="H167" s="1254" t="s">
        <v>288</v>
      </c>
      <c r="I167" s="1255"/>
      <c r="J167" s="1255"/>
      <c r="K167" s="1255"/>
      <c r="L167" s="1255"/>
      <c r="M167" s="1256"/>
      <c r="N167" s="1245" t="s">
        <v>985</v>
      </c>
    </row>
    <row r="168" spans="1:25" ht="37.9" customHeight="1">
      <c r="A168" s="1246"/>
      <c r="B168" s="1246"/>
      <c r="C168" s="1246"/>
      <c r="D168" s="1246"/>
      <c r="E168" s="1249"/>
      <c r="F168" s="1246"/>
      <c r="G168" s="1246"/>
      <c r="H168" s="1254" t="s">
        <v>289</v>
      </c>
      <c r="I168" s="1256"/>
      <c r="J168" s="1254" t="s">
        <v>322</v>
      </c>
      <c r="K168" s="1256"/>
      <c r="L168" s="1254" t="s">
        <v>291</v>
      </c>
      <c r="M168" s="1256"/>
      <c r="N168" s="1246"/>
    </row>
    <row r="169" spans="1:25" ht="20.45" customHeight="1">
      <c r="A169" s="1247"/>
      <c r="B169" s="1247"/>
      <c r="C169" s="1247"/>
      <c r="D169" s="1247"/>
      <c r="E169" s="1250"/>
      <c r="F169" s="1247"/>
      <c r="G169" s="1247"/>
      <c r="H169" s="468" t="s">
        <v>352</v>
      </c>
      <c r="I169" s="468" t="s">
        <v>353</v>
      </c>
      <c r="J169" s="468" t="s">
        <v>352</v>
      </c>
      <c r="K169" s="468" t="s">
        <v>353</v>
      </c>
      <c r="L169" s="468" t="s">
        <v>352</v>
      </c>
      <c r="M169" s="468" t="s">
        <v>353</v>
      </c>
      <c r="N169" s="1247"/>
    </row>
    <row r="170" spans="1:25" ht="21.6" customHeight="1">
      <c r="A170" s="623">
        <v>1</v>
      </c>
      <c r="B170" s="624" t="s">
        <v>133</v>
      </c>
      <c r="C170" s="623">
        <v>0.4</v>
      </c>
      <c r="D170" s="623" t="s">
        <v>385</v>
      </c>
      <c r="E170" s="623">
        <f>E153</f>
        <v>5</v>
      </c>
      <c r="F170" s="625">
        <f>'Bang gia'!Q9</f>
        <v>15000000</v>
      </c>
      <c r="G170" s="580">
        <f t="shared" ref="G170:G175" si="30">F170/E170/500</f>
        <v>6000</v>
      </c>
      <c r="H170" s="626">
        <v>1.7999999999999999E-2</v>
      </c>
      <c r="I170" s="625">
        <f>G170*H170</f>
        <v>107.99999999999999</v>
      </c>
      <c r="J170" s="626">
        <v>0.9</v>
      </c>
      <c r="K170" s="627">
        <f t="shared" ref="K170:K175" si="31">G170*J170</f>
        <v>5400</v>
      </c>
      <c r="L170" s="626"/>
      <c r="M170" s="585"/>
      <c r="N170" s="627">
        <f t="shared" ref="N170:N175" si="32">I170+K170+M170</f>
        <v>5508</v>
      </c>
      <c r="P170" s="651"/>
      <c r="R170" s="652"/>
    </row>
    <row r="171" spans="1:25" ht="21.6" customHeight="1">
      <c r="A171" s="578">
        <v>2</v>
      </c>
      <c r="B171" s="630" t="s">
        <v>143</v>
      </c>
      <c r="C171" s="631">
        <v>0.6</v>
      </c>
      <c r="D171" s="578" t="s">
        <v>385</v>
      </c>
      <c r="E171" s="578">
        <f>E154</f>
        <v>10</v>
      </c>
      <c r="F171" s="580">
        <f>'Bang gia'!Q21</f>
        <v>5800000</v>
      </c>
      <c r="G171" s="580">
        <f t="shared" si="30"/>
        <v>1160</v>
      </c>
      <c r="H171" s="584">
        <v>8.0000000000000002E-3</v>
      </c>
      <c r="I171" s="580">
        <f>G171*H171</f>
        <v>9.2799999999999994</v>
      </c>
      <c r="J171" s="582">
        <v>0.03</v>
      </c>
      <c r="K171" s="583">
        <f t="shared" si="31"/>
        <v>34.799999999999997</v>
      </c>
      <c r="L171" s="584"/>
      <c r="M171" s="585"/>
      <c r="N171" s="586">
        <f t="shared" si="32"/>
        <v>44.08</v>
      </c>
      <c r="P171" s="651"/>
      <c r="R171" s="652"/>
    </row>
    <row r="172" spans="1:25" ht="21.6" customHeight="1">
      <c r="A172" s="578">
        <v>3</v>
      </c>
      <c r="B172" s="579" t="s">
        <v>141</v>
      </c>
      <c r="C172" s="578">
        <v>0.6</v>
      </c>
      <c r="D172" s="578" t="s">
        <v>385</v>
      </c>
      <c r="E172" s="578">
        <f>E155</f>
        <v>10</v>
      </c>
      <c r="F172" s="580">
        <f>'Bang gia'!Q19</f>
        <v>24800000</v>
      </c>
      <c r="G172" s="580">
        <f t="shared" si="30"/>
        <v>4960</v>
      </c>
      <c r="H172" s="584"/>
      <c r="I172" s="580"/>
      <c r="J172" s="582">
        <v>8.9999999999999993E-3</v>
      </c>
      <c r="K172" s="583">
        <f t="shared" si="31"/>
        <v>44.639999999999993</v>
      </c>
      <c r="L172" s="584"/>
      <c r="M172" s="585"/>
      <c r="N172" s="586">
        <f t="shared" si="32"/>
        <v>44.639999999999993</v>
      </c>
      <c r="P172" s="651"/>
      <c r="R172" s="652"/>
    </row>
    <row r="173" spans="1:25" ht="21.6" customHeight="1">
      <c r="A173" s="578">
        <v>4</v>
      </c>
      <c r="B173" s="579" t="s">
        <v>333</v>
      </c>
      <c r="C173" s="578">
        <v>0.6</v>
      </c>
      <c r="D173" s="578" t="s">
        <v>385</v>
      </c>
      <c r="E173" s="578">
        <f>E155</f>
        <v>10</v>
      </c>
      <c r="F173" s="580">
        <f>'Bang gia'!Q22</f>
        <v>28500000</v>
      </c>
      <c r="G173" s="580">
        <f t="shared" si="30"/>
        <v>5700</v>
      </c>
      <c r="H173" s="584"/>
      <c r="I173" s="580"/>
      <c r="J173" s="582">
        <v>8.9999999999999993E-3</v>
      </c>
      <c r="K173" s="583">
        <f t="shared" si="31"/>
        <v>51.3</v>
      </c>
      <c r="L173" s="584"/>
      <c r="M173" s="585"/>
      <c r="N173" s="586">
        <f t="shared" si="32"/>
        <v>51.3</v>
      </c>
      <c r="P173" s="651"/>
      <c r="R173" s="652"/>
    </row>
    <row r="174" spans="1:25" ht="21.6" customHeight="1">
      <c r="A174" s="578">
        <v>5</v>
      </c>
      <c r="B174" s="579" t="s">
        <v>619</v>
      </c>
      <c r="C174" s="578">
        <v>2.2000000000000002</v>
      </c>
      <c r="D174" s="578" t="s">
        <v>385</v>
      </c>
      <c r="E174" s="578">
        <f>E157</f>
        <v>10</v>
      </c>
      <c r="F174" s="580">
        <f>'Bang gia'!Q11</f>
        <v>14500000</v>
      </c>
      <c r="G174" s="580">
        <f t="shared" si="30"/>
        <v>2900</v>
      </c>
      <c r="H174" s="611">
        <v>6.0000000000000001E-3</v>
      </c>
      <c r="I174" s="580">
        <f>G174*H174</f>
        <v>17.400000000000002</v>
      </c>
      <c r="J174" s="582">
        <v>0.27</v>
      </c>
      <c r="K174" s="583">
        <f t="shared" si="31"/>
        <v>783</v>
      </c>
      <c r="L174" s="584"/>
      <c r="M174" s="585"/>
      <c r="N174" s="586">
        <f t="shared" si="32"/>
        <v>800.4</v>
      </c>
      <c r="P174" s="651"/>
      <c r="R174" s="652"/>
    </row>
    <row r="175" spans="1:25" ht="21.6" customHeight="1">
      <c r="A175" s="578">
        <v>6</v>
      </c>
      <c r="B175" s="579" t="s">
        <v>622</v>
      </c>
      <c r="C175" s="578">
        <v>1.5</v>
      </c>
      <c r="D175" s="578" t="s">
        <v>385</v>
      </c>
      <c r="E175" s="578">
        <f>E158</f>
        <v>10</v>
      </c>
      <c r="F175" s="580">
        <f>'Bang gia'!Q20</f>
        <v>25500000</v>
      </c>
      <c r="G175" s="580">
        <f t="shared" si="30"/>
        <v>5100</v>
      </c>
      <c r="H175" s="584"/>
      <c r="I175" s="580"/>
      <c r="J175" s="582">
        <v>2.3E-2</v>
      </c>
      <c r="K175" s="583">
        <f t="shared" si="31"/>
        <v>117.3</v>
      </c>
      <c r="L175" s="584"/>
      <c r="M175" s="585"/>
      <c r="N175" s="586">
        <f t="shared" si="32"/>
        <v>117.3</v>
      </c>
      <c r="P175" s="651"/>
      <c r="R175" s="652"/>
    </row>
    <row r="176" spans="1:25" ht="21.6" customHeight="1">
      <c r="A176" s="587"/>
      <c r="B176" s="588" t="s">
        <v>621</v>
      </c>
      <c r="C176" s="588"/>
      <c r="D176" s="587"/>
      <c r="E176" s="587"/>
      <c r="F176" s="636"/>
      <c r="G176" s="587"/>
      <c r="H176" s="587"/>
      <c r="I176" s="591">
        <f>SUM(I170:I175)</f>
        <v>134.67999999999998</v>
      </c>
      <c r="J176" s="591"/>
      <c r="K176" s="591">
        <f>SUM(K170:K175)</f>
        <v>6431.0400000000009</v>
      </c>
      <c r="L176" s="591"/>
      <c r="M176" s="591"/>
      <c r="N176" s="591">
        <f>SUM(N170:N175)</f>
        <v>6565.72</v>
      </c>
      <c r="P176" s="651"/>
      <c r="R176" s="652"/>
    </row>
    <row r="177" spans="1:14" ht="12" customHeight="1">
      <c r="A177" s="593"/>
      <c r="B177" s="594"/>
      <c r="C177" s="594"/>
      <c r="D177" s="595"/>
      <c r="E177" s="596"/>
      <c r="F177" s="638"/>
      <c r="G177" s="596"/>
      <c r="H177" s="597"/>
      <c r="I177" s="597"/>
      <c r="J177" s="598"/>
      <c r="K177" s="598"/>
      <c r="L177" s="598"/>
      <c r="M177" s="598"/>
      <c r="N177" s="596"/>
    </row>
    <row r="178" spans="1:14">
      <c r="A178" s="606"/>
      <c r="B178" s="599" t="s">
        <v>299</v>
      </c>
      <c r="C178" s="603"/>
      <c r="D178" s="603"/>
      <c r="E178" s="494"/>
      <c r="F178" s="604"/>
      <c r="G178" s="494"/>
      <c r="H178" s="601"/>
      <c r="I178" s="601"/>
      <c r="J178" s="602"/>
      <c r="K178" s="602"/>
      <c r="L178" s="602"/>
      <c r="M178" s="602"/>
      <c r="N178" s="494"/>
    </row>
    <row r="179" spans="1:14" ht="40.9" customHeight="1">
      <c r="A179" s="480"/>
      <c r="B179" s="1260" t="s">
        <v>645</v>
      </c>
      <c r="C179" s="1260"/>
      <c r="D179" s="1260"/>
      <c r="E179" s="1260"/>
      <c r="F179" s="1260"/>
      <c r="G179" s="1260"/>
      <c r="H179" s="1260"/>
      <c r="I179" s="1260"/>
      <c r="J179" s="1260"/>
      <c r="K179" s="1260"/>
      <c r="L179" s="1260"/>
      <c r="M179" s="1260"/>
      <c r="N179" s="1260"/>
    </row>
    <row r="180" spans="1:14" ht="42.6" customHeight="1">
      <c r="A180" s="480"/>
      <c r="B180" s="1260" t="s">
        <v>647</v>
      </c>
      <c r="C180" s="1260"/>
      <c r="D180" s="1260"/>
      <c r="E180" s="1260"/>
      <c r="F180" s="1260"/>
      <c r="G180" s="1260"/>
      <c r="H180" s="1260"/>
      <c r="I180" s="1260"/>
      <c r="J180" s="1260"/>
      <c r="K180" s="1260"/>
      <c r="L180" s="1260"/>
      <c r="M180" s="1260"/>
      <c r="N180" s="1260"/>
    </row>
    <row r="181" spans="1:14" ht="36" customHeight="1">
      <c r="A181" s="480"/>
      <c r="B181" s="1260" t="s">
        <v>648</v>
      </c>
      <c r="C181" s="1260"/>
      <c r="D181" s="1260"/>
      <c r="E181" s="1260"/>
      <c r="F181" s="1260"/>
      <c r="G181" s="1260"/>
      <c r="H181" s="1260"/>
      <c r="I181" s="1260"/>
      <c r="J181" s="1260"/>
      <c r="K181" s="1260"/>
      <c r="L181" s="1260"/>
      <c r="M181" s="1260"/>
      <c r="N181" s="1260"/>
    </row>
    <row r="182" spans="1:14" ht="18.75" customHeight="1">
      <c r="B182" s="605"/>
    </row>
    <row r="183" spans="1:14" ht="31.9" customHeight="1">
      <c r="A183" s="1264" t="s">
        <v>367</v>
      </c>
      <c r="B183" s="1264"/>
      <c r="C183" s="1264"/>
      <c r="D183" s="1264"/>
      <c r="E183" s="1264"/>
      <c r="F183" s="1264"/>
      <c r="G183" s="1264"/>
      <c r="H183" s="1264"/>
      <c r="I183" s="1264"/>
      <c r="J183" s="1264"/>
      <c r="K183" s="1264"/>
      <c r="L183" s="1264"/>
      <c r="M183" s="1264"/>
      <c r="N183" s="1264"/>
    </row>
    <row r="184" spans="1:14" ht="9.75" customHeight="1">
      <c r="A184" s="480"/>
      <c r="B184" s="606"/>
      <c r="C184" s="606"/>
      <c r="D184" s="600"/>
      <c r="E184" s="480"/>
      <c r="F184" s="601"/>
      <c r="G184" s="601"/>
      <c r="H184" s="480"/>
      <c r="I184" s="480"/>
      <c r="J184" s="606"/>
      <c r="K184" s="606"/>
      <c r="L184" s="607"/>
      <c r="M184" s="607"/>
      <c r="N184" s="494"/>
    </row>
    <row r="185" spans="1:14" ht="19.5" customHeight="1">
      <c r="A185" s="1245" t="s">
        <v>882</v>
      </c>
      <c r="B185" s="1245" t="s">
        <v>283</v>
      </c>
      <c r="C185" s="1245" t="s">
        <v>615</v>
      </c>
      <c r="D185" s="1245" t="s">
        <v>284</v>
      </c>
      <c r="E185" s="1248" t="s">
        <v>616</v>
      </c>
      <c r="F185" s="1245" t="s">
        <v>617</v>
      </c>
      <c r="G185" s="1245" t="s">
        <v>287</v>
      </c>
      <c r="H185" s="1254" t="s">
        <v>288</v>
      </c>
      <c r="I185" s="1255"/>
      <c r="J185" s="1255"/>
      <c r="K185" s="1255"/>
      <c r="L185" s="1255"/>
      <c r="M185" s="1256"/>
      <c r="N185" s="1245" t="s">
        <v>985</v>
      </c>
    </row>
    <row r="186" spans="1:14" ht="44.25" customHeight="1">
      <c r="A186" s="1246"/>
      <c r="B186" s="1246"/>
      <c r="C186" s="1246"/>
      <c r="D186" s="1246"/>
      <c r="E186" s="1249"/>
      <c r="F186" s="1246"/>
      <c r="G186" s="1246"/>
      <c r="H186" s="1254" t="s">
        <v>345</v>
      </c>
      <c r="I186" s="1256"/>
      <c r="J186" s="1254" t="s">
        <v>322</v>
      </c>
      <c r="K186" s="1256"/>
      <c r="L186" s="1254" t="s">
        <v>291</v>
      </c>
      <c r="M186" s="1256"/>
      <c r="N186" s="1246"/>
    </row>
    <row r="187" spans="1:14" ht="19.5" customHeight="1">
      <c r="A187" s="1247"/>
      <c r="B187" s="1247"/>
      <c r="C187" s="1247"/>
      <c r="D187" s="1247"/>
      <c r="E187" s="1250"/>
      <c r="F187" s="1247"/>
      <c r="G187" s="1247"/>
      <c r="H187" s="468" t="s">
        <v>352</v>
      </c>
      <c r="I187" s="468" t="s">
        <v>353</v>
      </c>
      <c r="J187" s="468" t="s">
        <v>352</v>
      </c>
      <c r="K187" s="468" t="s">
        <v>353</v>
      </c>
      <c r="L187" s="468" t="s">
        <v>352</v>
      </c>
      <c r="M187" s="468" t="s">
        <v>353</v>
      </c>
      <c r="N187" s="1247"/>
    </row>
    <row r="188" spans="1:14" ht="22.9" customHeight="1">
      <c r="A188" s="623">
        <v>1</v>
      </c>
      <c r="B188" s="624" t="s">
        <v>133</v>
      </c>
      <c r="C188" s="623">
        <v>0.4</v>
      </c>
      <c r="D188" s="623" t="s">
        <v>385</v>
      </c>
      <c r="E188" s="623">
        <f>E170</f>
        <v>5</v>
      </c>
      <c r="F188" s="625">
        <f>'Bang gia'!Q9</f>
        <v>15000000</v>
      </c>
      <c r="G188" s="580">
        <f t="shared" ref="G188:G193" si="33">F188/E188/500</f>
        <v>6000</v>
      </c>
      <c r="H188" s="626">
        <v>8.9999999999999993E-3</v>
      </c>
      <c r="I188" s="625">
        <f>G188*H188</f>
        <v>53.999999999999993</v>
      </c>
      <c r="J188" s="626">
        <v>0.90900000000000003</v>
      </c>
      <c r="K188" s="627">
        <f t="shared" ref="K188:K193" si="34">G188*J188</f>
        <v>5454</v>
      </c>
      <c r="L188" s="653"/>
      <c r="M188" s="585"/>
      <c r="N188" s="627">
        <f t="shared" ref="N188:N193" si="35">I188+K188+M188</f>
        <v>5508</v>
      </c>
    </row>
    <row r="189" spans="1:14" ht="22.9" customHeight="1">
      <c r="A189" s="578">
        <v>2</v>
      </c>
      <c r="B189" s="630" t="s">
        <v>143</v>
      </c>
      <c r="C189" s="631">
        <v>0.6</v>
      </c>
      <c r="D189" s="578" t="s">
        <v>385</v>
      </c>
      <c r="E189" s="578">
        <f>E171</f>
        <v>10</v>
      </c>
      <c r="F189" s="580">
        <f>'Bang gia'!Q21</f>
        <v>5800000</v>
      </c>
      <c r="G189" s="580">
        <f t="shared" si="33"/>
        <v>1160</v>
      </c>
      <c r="H189" s="584">
        <v>2E-3</v>
      </c>
      <c r="I189" s="580">
        <f>G189*H189</f>
        <v>2.3199999999999998</v>
      </c>
      <c r="J189" s="582">
        <v>3.7999999999999999E-2</v>
      </c>
      <c r="K189" s="583">
        <f t="shared" si="34"/>
        <v>44.08</v>
      </c>
      <c r="L189" s="609"/>
      <c r="M189" s="585"/>
      <c r="N189" s="586">
        <f t="shared" si="35"/>
        <v>46.4</v>
      </c>
    </row>
    <row r="190" spans="1:14" ht="22.9" customHeight="1">
      <c r="A190" s="578">
        <v>3</v>
      </c>
      <c r="B190" s="579" t="s">
        <v>141</v>
      </c>
      <c r="C190" s="578">
        <v>0.6</v>
      </c>
      <c r="D190" s="578" t="s">
        <v>385</v>
      </c>
      <c r="E190" s="578">
        <f>E172</f>
        <v>10</v>
      </c>
      <c r="F190" s="580">
        <f>'Bang gia'!Q19</f>
        <v>24800000</v>
      </c>
      <c r="G190" s="580">
        <f t="shared" si="33"/>
        <v>4960</v>
      </c>
      <c r="H190" s="584"/>
      <c r="I190" s="580"/>
      <c r="J190" s="582">
        <v>8.9999999999999993E-3</v>
      </c>
      <c r="K190" s="583">
        <f t="shared" si="34"/>
        <v>44.639999999999993</v>
      </c>
      <c r="L190" s="609"/>
      <c r="M190" s="585"/>
      <c r="N190" s="586">
        <f t="shared" si="35"/>
        <v>44.639999999999993</v>
      </c>
    </row>
    <row r="191" spans="1:14" ht="22.9" customHeight="1">
      <c r="A191" s="578">
        <v>4</v>
      </c>
      <c r="B191" s="579" t="s">
        <v>333</v>
      </c>
      <c r="C191" s="578">
        <v>0.6</v>
      </c>
      <c r="D191" s="578" t="s">
        <v>385</v>
      </c>
      <c r="E191" s="578">
        <f>E172</f>
        <v>10</v>
      </c>
      <c r="F191" s="580">
        <f>'Bang gia'!Q22</f>
        <v>28500000</v>
      </c>
      <c r="G191" s="580">
        <f t="shared" si="33"/>
        <v>5700</v>
      </c>
      <c r="H191" s="584"/>
      <c r="I191" s="580"/>
      <c r="J191" s="582">
        <v>8.9999999999999993E-3</v>
      </c>
      <c r="K191" s="583">
        <f t="shared" si="34"/>
        <v>51.3</v>
      </c>
      <c r="L191" s="609"/>
      <c r="M191" s="585"/>
      <c r="N191" s="586">
        <f t="shared" si="35"/>
        <v>51.3</v>
      </c>
    </row>
    <row r="192" spans="1:14" ht="22.9" customHeight="1">
      <c r="A192" s="578">
        <v>5</v>
      </c>
      <c r="B192" s="579" t="s">
        <v>619</v>
      </c>
      <c r="C192" s="578">
        <v>2.2000000000000002</v>
      </c>
      <c r="D192" s="578" t="s">
        <v>385</v>
      </c>
      <c r="E192" s="578">
        <f>E174</f>
        <v>10</v>
      </c>
      <c r="F192" s="580">
        <f>'Bang gia'!Q11</f>
        <v>14500000</v>
      </c>
      <c r="G192" s="580">
        <f t="shared" si="33"/>
        <v>2900</v>
      </c>
      <c r="H192" s="584">
        <v>3.0000000000000001E-3</v>
      </c>
      <c r="I192" s="580">
        <f>G192*H192</f>
        <v>8.7000000000000011</v>
      </c>
      <c r="J192" s="582">
        <v>0.27300000000000002</v>
      </c>
      <c r="K192" s="583">
        <f t="shared" si="34"/>
        <v>791.7</v>
      </c>
      <c r="L192" s="609"/>
      <c r="M192" s="585"/>
      <c r="N192" s="586">
        <f t="shared" si="35"/>
        <v>800.40000000000009</v>
      </c>
    </row>
    <row r="193" spans="1:14" ht="22.9" customHeight="1">
      <c r="A193" s="578">
        <v>6</v>
      </c>
      <c r="B193" s="579" t="s">
        <v>622</v>
      </c>
      <c r="C193" s="578">
        <v>1.5</v>
      </c>
      <c r="D193" s="578" t="s">
        <v>385</v>
      </c>
      <c r="E193" s="578">
        <f>E175</f>
        <v>10</v>
      </c>
      <c r="F193" s="580">
        <f>'Bang gia'!Q20</f>
        <v>25500000</v>
      </c>
      <c r="G193" s="580">
        <f t="shared" si="33"/>
        <v>5100</v>
      </c>
      <c r="H193" s="584"/>
      <c r="I193" s="580"/>
      <c r="J193" s="582">
        <v>2.3E-2</v>
      </c>
      <c r="K193" s="583">
        <f t="shared" si="34"/>
        <v>117.3</v>
      </c>
      <c r="L193" s="609"/>
      <c r="M193" s="585"/>
      <c r="N193" s="586">
        <f t="shared" si="35"/>
        <v>117.3</v>
      </c>
    </row>
    <row r="194" spans="1:14" ht="22.9" customHeight="1">
      <c r="A194" s="587"/>
      <c r="B194" s="588" t="s">
        <v>621</v>
      </c>
      <c r="C194" s="588"/>
      <c r="D194" s="587"/>
      <c r="E194" s="587"/>
      <c r="F194" s="636"/>
      <c r="G194" s="587"/>
      <c r="H194" s="587"/>
      <c r="I194" s="591">
        <f>SUM(I188:I193)</f>
        <v>65.02</v>
      </c>
      <c r="J194" s="591"/>
      <c r="K194" s="591">
        <f>SUM(K188:K193)</f>
        <v>6503.02</v>
      </c>
      <c r="L194" s="591"/>
      <c r="M194" s="591"/>
      <c r="N194" s="591">
        <f>SUM(N188:N193)</f>
        <v>6568.04</v>
      </c>
    </row>
    <row r="195" spans="1:14" ht="10.5" customHeight="1">
      <c r="A195" s="593"/>
      <c r="B195" s="594"/>
      <c r="C195" s="594"/>
      <c r="D195" s="595"/>
      <c r="E195" s="596"/>
      <c r="F195" s="638"/>
      <c r="G195" s="596"/>
      <c r="H195" s="597"/>
      <c r="I195" s="597"/>
      <c r="J195" s="598"/>
      <c r="K195" s="598"/>
      <c r="L195" s="598"/>
      <c r="M195" s="598"/>
      <c r="N195" s="596"/>
    </row>
    <row r="196" spans="1:14">
      <c r="A196" s="606"/>
      <c r="B196" s="599" t="s">
        <v>299</v>
      </c>
      <c r="C196" s="603"/>
      <c r="D196" s="603"/>
      <c r="E196" s="494"/>
      <c r="F196" s="604"/>
      <c r="G196" s="494"/>
      <c r="H196" s="601"/>
      <c r="I196" s="601"/>
      <c r="J196" s="602"/>
      <c r="K196" s="602"/>
      <c r="L196" s="602"/>
      <c r="M196" s="602"/>
      <c r="N196" s="494"/>
    </row>
    <row r="197" spans="1:14" ht="37.15" customHeight="1">
      <c r="A197" s="606"/>
      <c r="B197" s="1260" t="s">
        <v>645</v>
      </c>
      <c r="C197" s="1260"/>
      <c r="D197" s="1260"/>
      <c r="E197" s="1260"/>
      <c r="F197" s="1260"/>
      <c r="G197" s="1260"/>
      <c r="H197" s="1260"/>
      <c r="I197" s="1260"/>
      <c r="J197" s="1260"/>
      <c r="K197" s="1260"/>
      <c r="L197" s="1260"/>
      <c r="M197" s="1260"/>
      <c r="N197" s="1260"/>
    </row>
    <row r="198" spans="1:14" ht="28.9" customHeight="1">
      <c r="A198" s="606"/>
      <c r="B198" s="1260" t="s">
        <v>644</v>
      </c>
      <c r="C198" s="1260"/>
      <c r="D198" s="1260"/>
      <c r="E198" s="1260"/>
      <c r="F198" s="1260"/>
      <c r="G198" s="1260"/>
      <c r="H198" s="1260"/>
      <c r="I198" s="1260"/>
      <c r="J198" s="1260"/>
      <c r="K198" s="1260"/>
      <c r="L198" s="1260"/>
      <c r="M198" s="1260"/>
      <c r="N198" s="1260"/>
    </row>
    <row r="199" spans="1:14" ht="34.15" customHeight="1">
      <c r="A199" s="606"/>
      <c r="B199" s="1260" t="s">
        <v>646</v>
      </c>
      <c r="C199" s="1260"/>
      <c r="D199" s="1260"/>
      <c r="E199" s="1260"/>
      <c r="F199" s="1260"/>
      <c r="G199" s="1260"/>
      <c r="H199" s="1260"/>
      <c r="I199" s="1260"/>
      <c r="J199" s="1260"/>
      <c r="K199" s="1260"/>
      <c r="L199" s="1260"/>
      <c r="M199" s="1260"/>
      <c r="N199" s="1260"/>
    </row>
    <row r="200" spans="1:14">
      <c r="A200" s="480"/>
      <c r="B200" s="605"/>
      <c r="C200" s="605"/>
      <c r="D200" s="605"/>
      <c r="E200" s="494"/>
      <c r="F200" s="604"/>
      <c r="G200" s="494"/>
      <c r="H200" s="601"/>
      <c r="I200" s="601"/>
      <c r="J200" s="602"/>
      <c r="K200" s="602"/>
      <c r="L200" s="602"/>
      <c r="M200" s="602"/>
      <c r="N200" s="494"/>
    </row>
    <row r="201" spans="1:14" ht="22.5" customHeight="1">
      <c r="A201" s="1264" t="s">
        <v>368</v>
      </c>
      <c r="B201" s="1264"/>
      <c r="C201" s="1264"/>
      <c r="D201" s="1264"/>
      <c r="E201" s="1264"/>
      <c r="F201" s="1264"/>
      <c r="G201" s="1264"/>
      <c r="H201" s="1264"/>
      <c r="I201" s="1264"/>
      <c r="J201" s="1264"/>
      <c r="K201" s="1264"/>
      <c r="L201" s="1264"/>
      <c r="M201" s="1264"/>
      <c r="N201" s="1264"/>
    </row>
    <row r="202" spans="1:14" ht="9.75" customHeight="1">
      <c r="A202" s="480"/>
      <c r="B202" s="606"/>
      <c r="C202" s="606"/>
      <c r="D202" s="600"/>
      <c r="E202" s="480"/>
      <c r="F202" s="601"/>
      <c r="G202" s="601"/>
      <c r="H202" s="480"/>
      <c r="I202" s="480"/>
      <c r="J202" s="606"/>
      <c r="K202" s="606"/>
      <c r="L202" s="607"/>
      <c r="M202" s="607"/>
      <c r="N202" s="494"/>
    </row>
    <row r="203" spans="1:14" ht="19.5" customHeight="1">
      <c r="A203" s="1245" t="s">
        <v>882</v>
      </c>
      <c r="B203" s="1245" t="s">
        <v>283</v>
      </c>
      <c r="C203" s="1245" t="s">
        <v>615</v>
      </c>
      <c r="D203" s="1245" t="s">
        <v>284</v>
      </c>
      <c r="E203" s="1248" t="s">
        <v>616</v>
      </c>
      <c r="F203" s="1245" t="s">
        <v>617</v>
      </c>
      <c r="G203" s="1245" t="s">
        <v>287</v>
      </c>
      <c r="H203" s="1254" t="s">
        <v>288</v>
      </c>
      <c r="I203" s="1255"/>
      <c r="J203" s="1255"/>
      <c r="K203" s="1255"/>
      <c r="L203" s="1255"/>
      <c r="M203" s="1256"/>
      <c r="N203" s="1245" t="s">
        <v>985</v>
      </c>
    </row>
    <row r="204" spans="1:14" ht="48" customHeight="1">
      <c r="A204" s="1246"/>
      <c r="B204" s="1246"/>
      <c r="C204" s="1246"/>
      <c r="D204" s="1246"/>
      <c r="E204" s="1249"/>
      <c r="F204" s="1246"/>
      <c r="G204" s="1246"/>
      <c r="H204" s="1254" t="s">
        <v>289</v>
      </c>
      <c r="I204" s="1256"/>
      <c r="J204" s="1254" t="s">
        <v>847</v>
      </c>
      <c r="K204" s="1256"/>
      <c r="L204" s="1254" t="s">
        <v>291</v>
      </c>
      <c r="M204" s="1256"/>
      <c r="N204" s="1246"/>
    </row>
    <row r="205" spans="1:14" ht="19.5" customHeight="1">
      <c r="A205" s="1247"/>
      <c r="B205" s="1247"/>
      <c r="C205" s="1247"/>
      <c r="D205" s="1247"/>
      <c r="E205" s="1250"/>
      <c r="F205" s="1247"/>
      <c r="G205" s="1247"/>
      <c r="H205" s="468" t="s">
        <v>352</v>
      </c>
      <c r="I205" s="468" t="s">
        <v>353</v>
      </c>
      <c r="J205" s="468" t="s">
        <v>464</v>
      </c>
      <c r="K205" s="468" t="s">
        <v>353</v>
      </c>
      <c r="L205" s="468" t="s">
        <v>352</v>
      </c>
      <c r="M205" s="468" t="s">
        <v>353</v>
      </c>
      <c r="N205" s="1247"/>
    </row>
    <row r="206" spans="1:14" ht="21.6" customHeight="1">
      <c r="A206" s="623">
        <v>1</v>
      </c>
      <c r="B206" s="624" t="s">
        <v>133</v>
      </c>
      <c r="C206" s="623">
        <v>0.4</v>
      </c>
      <c r="D206" s="623" t="s">
        <v>385</v>
      </c>
      <c r="E206" s="623">
        <f t="shared" ref="E206:E211" si="36">E188</f>
        <v>5</v>
      </c>
      <c r="F206" s="625">
        <f>'Bang gia'!Q9</f>
        <v>15000000</v>
      </c>
      <c r="G206" s="580">
        <f t="shared" ref="G206:G211" si="37">F206/E206/500</f>
        <v>6000</v>
      </c>
      <c r="H206" s="626"/>
      <c r="I206" s="625"/>
      <c r="J206" s="626"/>
      <c r="K206" s="627"/>
      <c r="L206" s="626">
        <v>1.365</v>
      </c>
      <c r="M206" s="585">
        <f t="shared" ref="M206:M211" si="38">G206*L206</f>
        <v>8190</v>
      </c>
      <c r="N206" s="627">
        <f t="shared" ref="N206:N211" si="39">I206+K206+M206</f>
        <v>8190</v>
      </c>
    </row>
    <row r="207" spans="1:14" ht="21.6" customHeight="1">
      <c r="A207" s="578">
        <v>2</v>
      </c>
      <c r="B207" s="630" t="s">
        <v>143</v>
      </c>
      <c r="C207" s="631">
        <v>0.6</v>
      </c>
      <c r="D207" s="578" t="s">
        <v>385</v>
      </c>
      <c r="E207" s="578">
        <f t="shared" si="36"/>
        <v>10</v>
      </c>
      <c r="F207" s="580">
        <f>'Bang gia'!Q21</f>
        <v>5800000</v>
      </c>
      <c r="G207" s="580">
        <f t="shared" si="37"/>
        <v>1160</v>
      </c>
      <c r="H207" s="584"/>
      <c r="I207" s="580"/>
      <c r="J207" s="582"/>
      <c r="K207" s="583"/>
      <c r="L207" s="584">
        <v>1.4E-2</v>
      </c>
      <c r="M207" s="585">
        <f t="shared" si="38"/>
        <v>16.240000000000002</v>
      </c>
      <c r="N207" s="586">
        <f t="shared" si="39"/>
        <v>16.240000000000002</v>
      </c>
    </row>
    <row r="208" spans="1:14" ht="21.6" customHeight="1">
      <c r="A208" s="578">
        <v>3</v>
      </c>
      <c r="B208" s="579" t="s">
        <v>141</v>
      </c>
      <c r="C208" s="578">
        <v>0.6</v>
      </c>
      <c r="D208" s="578" t="s">
        <v>385</v>
      </c>
      <c r="E208" s="578">
        <f t="shared" si="36"/>
        <v>10</v>
      </c>
      <c r="F208" s="580">
        <f>'Bang gia'!Q19</f>
        <v>24800000</v>
      </c>
      <c r="G208" s="580">
        <f t="shared" si="37"/>
        <v>4960</v>
      </c>
      <c r="H208" s="584"/>
      <c r="I208" s="580"/>
      <c r="J208" s="582"/>
      <c r="K208" s="583"/>
      <c r="L208" s="584">
        <v>8.9999999999999993E-3</v>
      </c>
      <c r="M208" s="585">
        <f t="shared" si="38"/>
        <v>44.639999999999993</v>
      </c>
      <c r="N208" s="586">
        <f t="shared" si="39"/>
        <v>44.639999999999993</v>
      </c>
    </row>
    <row r="209" spans="1:16" ht="21.6" customHeight="1">
      <c r="A209" s="578">
        <v>4</v>
      </c>
      <c r="B209" s="579" t="s">
        <v>333</v>
      </c>
      <c r="C209" s="578">
        <v>0.6</v>
      </c>
      <c r="D209" s="578" t="s">
        <v>385</v>
      </c>
      <c r="E209" s="578">
        <f t="shared" si="36"/>
        <v>10</v>
      </c>
      <c r="F209" s="580">
        <f>'Bang gia'!Q22</f>
        <v>28500000</v>
      </c>
      <c r="G209" s="580">
        <f t="shared" si="37"/>
        <v>5700</v>
      </c>
      <c r="H209" s="584"/>
      <c r="I209" s="580"/>
      <c r="J209" s="582"/>
      <c r="K209" s="583"/>
      <c r="L209" s="584">
        <v>8.9999999999999993E-3</v>
      </c>
      <c r="M209" s="585">
        <f t="shared" si="38"/>
        <v>51.3</v>
      </c>
      <c r="N209" s="586">
        <f t="shared" si="39"/>
        <v>51.3</v>
      </c>
    </row>
    <row r="210" spans="1:16" ht="21.6" customHeight="1">
      <c r="A210" s="578">
        <v>5</v>
      </c>
      <c r="B210" s="579" t="s">
        <v>619</v>
      </c>
      <c r="C210" s="578">
        <v>2.2000000000000002</v>
      </c>
      <c r="D210" s="578" t="s">
        <v>385</v>
      </c>
      <c r="E210" s="578">
        <f t="shared" si="36"/>
        <v>10</v>
      </c>
      <c r="F210" s="580">
        <f>'Bang gia'!Q11</f>
        <v>14500000</v>
      </c>
      <c r="G210" s="580">
        <f t="shared" si="37"/>
        <v>2900</v>
      </c>
      <c r="H210" s="611"/>
      <c r="I210" s="580"/>
      <c r="J210" s="582"/>
      <c r="K210" s="583"/>
      <c r="L210" s="584">
        <v>0.41</v>
      </c>
      <c r="M210" s="585">
        <f t="shared" si="38"/>
        <v>1189</v>
      </c>
      <c r="N210" s="586">
        <f t="shared" si="39"/>
        <v>1189</v>
      </c>
    </row>
    <row r="211" spans="1:16" ht="21.6" customHeight="1">
      <c r="A211" s="578">
        <v>6</v>
      </c>
      <c r="B211" s="579" t="s">
        <v>622</v>
      </c>
      <c r="C211" s="578">
        <v>1.5</v>
      </c>
      <c r="D211" s="578" t="s">
        <v>385</v>
      </c>
      <c r="E211" s="578">
        <f t="shared" si="36"/>
        <v>10</v>
      </c>
      <c r="F211" s="580">
        <f>'Bang gia'!Q20</f>
        <v>25500000</v>
      </c>
      <c r="G211" s="580">
        <f t="shared" si="37"/>
        <v>5100</v>
      </c>
      <c r="H211" s="584"/>
      <c r="I211" s="580"/>
      <c r="J211" s="582"/>
      <c r="K211" s="583"/>
      <c r="L211" s="584">
        <v>2.3E-2</v>
      </c>
      <c r="M211" s="585">
        <f t="shared" si="38"/>
        <v>117.3</v>
      </c>
      <c r="N211" s="586">
        <f t="shared" si="39"/>
        <v>117.3</v>
      </c>
    </row>
    <row r="212" spans="1:16" ht="21.6" customHeight="1">
      <c r="A212" s="587"/>
      <c r="B212" s="588" t="s">
        <v>621</v>
      </c>
      <c r="C212" s="588"/>
      <c r="D212" s="587"/>
      <c r="E212" s="587"/>
      <c r="F212" s="636"/>
      <c r="G212" s="587"/>
      <c r="H212" s="587"/>
      <c r="I212" s="591"/>
      <c r="J212" s="591"/>
      <c r="K212" s="591"/>
      <c r="L212" s="591"/>
      <c r="M212" s="591">
        <f>SUM(M206:M211)</f>
        <v>9608.4799999999977</v>
      </c>
      <c r="N212" s="591">
        <f>SUM(N206:N211)</f>
        <v>9608.4799999999977</v>
      </c>
    </row>
    <row r="213" spans="1:16" ht="9.75" customHeight="1">
      <c r="A213" s="593"/>
      <c r="B213" s="594"/>
      <c r="C213" s="594"/>
      <c r="D213" s="595"/>
      <c r="E213" s="596"/>
      <c r="F213" s="638"/>
      <c r="G213" s="596"/>
      <c r="H213" s="597"/>
      <c r="I213" s="597"/>
      <c r="J213" s="598"/>
      <c r="K213" s="598"/>
      <c r="L213" s="598"/>
      <c r="M213" s="598"/>
      <c r="N213" s="596"/>
    </row>
    <row r="214" spans="1:16">
      <c r="A214" s="606"/>
      <c r="B214" s="599" t="s">
        <v>299</v>
      </c>
      <c r="C214" s="603"/>
      <c r="D214" s="603"/>
      <c r="E214" s="494"/>
      <c r="F214" s="604"/>
      <c r="G214" s="494"/>
      <c r="H214" s="601"/>
      <c r="I214" s="601"/>
      <c r="J214" s="602"/>
      <c r="K214" s="602"/>
      <c r="L214" s="602"/>
      <c r="M214" s="602"/>
      <c r="N214" s="494"/>
    </row>
    <row r="215" spans="1:16" ht="33.6" customHeight="1">
      <c r="A215" s="606"/>
      <c r="B215" s="1260" t="s">
        <v>551</v>
      </c>
      <c r="C215" s="1260"/>
      <c r="D215" s="1260"/>
      <c r="E215" s="1260"/>
      <c r="F215" s="1260"/>
      <c r="G215" s="1260"/>
      <c r="H215" s="1260"/>
      <c r="I215" s="1260"/>
      <c r="J215" s="1260"/>
      <c r="K215" s="1260"/>
      <c r="L215" s="1260"/>
      <c r="M215" s="1260"/>
      <c r="N215" s="1260"/>
    </row>
    <row r="216" spans="1:16" ht="27.6" customHeight="1">
      <c r="A216" s="480"/>
      <c r="B216" s="1260" t="s">
        <v>82</v>
      </c>
      <c r="C216" s="1260"/>
      <c r="D216" s="1260"/>
      <c r="E216" s="1260"/>
      <c r="F216" s="1260"/>
      <c r="G216" s="1260"/>
      <c r="H216" s="1260"/>
      <c r="I216" s="1260"/>
      <c r="J216" s="1260"/>
      <c r="K216" s="1260"/>
      <c r="L216" s="1260"/>
      <c r="M216" s="1260"/>
      <c r="N216" s="1260"/>
    </row>
    <row r="217" spans="1:16" ht="31.15" customHeight="1">
      <c r="A217" s="480"/>
      <c r="B217" s="1260" t="s">
        <v>83</v>
      </c>
      <c r="C217" s="1260"/>
      <c r="D217" s="1260"/>
      <c r="E217" s="1260"/>
      <c r="F217" s="1260"/>
      <c r="G217" s="1260"/>
      <c r="H217" s="1260"/>
      <c r="I217" s="1260"/>
      <c r="J217" s="1260"/>
      <c r="K217" s="1260"/>
      <c r="L217" s="1260"/>
      <c r="M217" s="1260"/>
      <c r="N217" s="1260"/>
    </row>
    <row r="218" spans="1:16" ht="33.75" customHeight="1"/>
    <row r="219" spans="1:16" ht="23.25" customHeight="1">
      <c r="A219" s="1264" t="s">
        <v>945</v>
      </c>
      <c r="B219" s="1264"/>
      <c r="C219" s="1264"/>
      <c r="D219" s="1264"/>
      <c r="E219" s="1264"/>
      <c r="F219" s="1264"/>
      <c r="G219" s="1264"/>
      <c r="H219" s="1264"/>
      <c r="I219" s="1264"/>
      <c r="P219" s="454" t="s">
        <v>369</v>
      </c>
    </row>
    <row r="220" spans="1:16" ht="12.75" customHeight="1"/>
    <row r="221" spans="1:16" ht="54.75" customHeight="1">
      <c r="A221" s="569" t="s">
        <v>882</v>
      </c>
      <c r="B221" s="569" t="s">
        <v>283</v>
      </c>
      <c r="C221" s="569" t="s">
        <v>615</v>
      </c>
      <c r="D221" s="569" t="s">
        <v>284</v>
      </c>
      <c r="E221" s="654" t="s">
        <v>616</v>
      </c>
      <c r="F221" s="569" t="s">
        <v>617</v>
      </c>
      <c r="G221" s="569" t="s">
        <v>287</v>
      </c>
      <c r="H221" s="569" t="s">
        <v>974</v>
      </c>
      <c r="I221" s="569" t="s">
        <v>975</v>
      </c>
      <c r="J221" s="1282" t="s">
        <v>162</v>
      </c>
      <c r="K221" s="1283"/>
      <c r="L221" s="1283"/>
      <c r="M221" s="1283"/>
      <c r="N221" s="1284"/>
    </row>
    <row r="222" spans="1:16" ht="30" customHeight="1">
      <c r="A222" s="655">
        <v>1</v>
      </c>
      <c r="B222" s="656" t="s">
        <v>133</v>
      </c>
      <c r="C222" s="655">
        <v>0.4</v>
      </c>
      <c r="D222" s="655" t="s">
        <v>385</v>
      </c>
      <c r="E222" s="655">
        <v>5</v>
      </c>
      <c r="F222" s="657">
        <f>'Bang gia'!Q9</f>
        <v>15000000</v>
      </c>
      <c r="G222" s="657">
        <f>F222/E222/500</f>
        <v>6000</v>
      </c>
      <c r="H222" s="658">
        <v>0.15</v>
      </c>
      <c r="I222" s="657">
        <f>G222*H222</f>
        <v>900</v>
      </c>
      <c r="J222" s="659"/>
      <c r="K222" s="660"/>
      <c r="L222" s="660"/>
      <c r="M222" s="660"/>
      <c r="N222" s="661"/>
    </row>
    <row r="223" spans="1:16" ht="30" customHeight="1">
      <c r="A223" s="578">
        <v>2</v>
      </c>
      <c r="B223" s="630" t="s">
        <v>143</v>
      </c>
      <c r="C223" s="631">
        <v>0.6</v>
      </c>
      <c r="D223" s="578" t="s">
        <v>385</v>
      </c>
      <c r="E223" s="578">
        <v>10</v>
      </c>
      <c r="F223" s="580">
        <f>'Bang gia'!Q21</f>
        <v>5800000</v>
      </c>
      <c r="G223" s="580">
        <f>F223/E223/500</f>
        <v>1160</v>
      </c>
      <c r="H223" s="584">
        <v>1.4999999999999999E-2</v>
      </c>
      <c r="I223" s="580">
        <f>G223*H223</f>
        <v>17.399999999999999</v>
      </c>
      <c r="J223" s="662"/>
      <c r="K223" s="663"/>
      <c r="L223" s="663"/>
      <c r="M223" s="663"/>
      <c r="N223" s="664"/>
    </row>
    <row r="224" spans="1:16" ht="30" customHeight="1">
      <c r="A224" s="578">
        <v>3</v>
      </c>
      <c r="B224" s="579" t="s">
        <v>619</v>
      </c>
      <c r="C224" s="578">
        <v>2.2000000000000002</v>
      </c>
      <c r="D224" s="578" t="s">
        <v>385</v>
      </c>
      <c r="E224" s="578">
        <v>10</v>
      </c>
      <c r="F224" s="580">
        <f>'Bang gia'!Q11</f>
        <v>14500000</v>
      </c>
      <c r="G224" s="580">
        <f>F224/E224/500</f>
        <v>2900</v>
      </c>
      <c r="H224" s="584">
        <v>0.05</v>
      </c>
      <c r="I224" s="580">
        <f>G224*H224</f>
        <v>145</v>
      </c>
      <c r="J224" s="662"/>
      <c r="K224" s="663"/>
      <c r="L224" s="663"/>
      <c r="M224" s="663"/>
      <c r="N224" s="664"/>
    </row>
    <row r="225" spans="1:14" ht="30" customHeight="1">
      <c r="A225" s="578">
        <v>4</v>
      </c>
      <c r="B225" s="579" t="s">
        <v>336</v>
      </c>
      <c r="C225" s="578">
        <v>1.5</v>
      </c>
      <c r="D225" s="578" t="s">
        <v>385</v>
      </c>
      <c r="E225" s="578">
        <v>10</v>
      </c>
      <c r="F225" s="580">
        <f>'Bang gia'!Q12</f>
        <v>72000000</v>
      </c>
      <c r="G225" s="580">
        <f>F225/E225/500</f>
        <v>14400</v>
      </c>
      <c r="H225" s="584">
        <v>0.05</v>
      </c>
      <c r="I225" s="580">
        <f>G225*H225</f>
        <v>720</v>
      </c>
      <c r="J225" s="665"/>
      <c r="K225" s="666"/>
      <c r="L225" s="666"/>
      <c r="M225" s="666"/>
      <c r="N225" s="667"/>
    </row>
    <row r="226" spans="1:14" ht="30" customHeight="1">
      <c r="A226" s="590"/>
      <c r="B226" s="588" t="s">
        <v>621</v>
      </c>
      <c r="C226" s="588"/>
      <c r="D226" s="590"/>
      <c r="E226" s="590"/>
      <c r="F226" s="668"/>
      <c r="G226" s="590"/>
      <c r="H226" s="621"/>
      <c r="I226" s="622">
        <f>SUM(I222:I225)</f>
        <v>1782.4</v>
      </c>
      <c r="J226" s="618"/>
      <c r="K226" s="619"/>
      <c r="L226" s="619"/>
      <c r="M226" s="619"/>
      <c r="N226" s="620"/>
    </row>
    <row r="228" spans="1:14">
      <c r="A228" s="669" t="s">
        <v>162</v>
      </c>
    </row>
    <row r="229" spans="1:14" ht="85.5" customHeight="1">
      <c r="B229" s="1281" t="s">
        <v>550</v>
      </c>
      <c r="C229" s="1281"/>
      <c r="D229" s="1281"/>
      <c r="E229" s="1281"/>
      <c r="F229" s="1281"/>
      <c r="G229" s="1281"/>
      <c r="H229" s="1281"/>
      <c r="I229" s="1281"/>
    </row>
  </sheetData>
  <mergeCells count="188">
    <mergeCell ref="A183:N183"/>
    <mergeCell ref="G167:G169"/>
    <mergeCell ref="B145:I145"/>
    <mergeCell ref="B146:N146"/>
    <mergeCell ref="L151:M151"/>
    <mergeCell ref="D167:D169"/>
    <mergeCell ref="H167:M167"/>
    <mergeCell ref="N167:N169"/>
    <mergeCell ref="H150:M150"/>
    <mergeCell ref="A165:N165"/>
    <mergeCell ref="H168:I168"/>
    <mergeCell ref="A167:A169"/>
    <mergeCell ref="N150:N152"/>
    <mergeCell ref="E150:E152"/>
    <mergeCell ref="F150:F152"/>
    <mergeCell ref="G150:G152"/>
    <mergeCell ref="D150:D152"/>
    <mergeCell ref="B150:B152"/>
    <mergeCell ref="B162:N162"/>
    <mergeCell ref="J168:K168"/>
    <mergeCell ref="E58:E60"/>
    <mergeCell ref="A150:A152"/>
    <mergeCell ref="C167:C169"/>
    <mergeCell ref="C150:C152"/>
    <mergeCell ref="B199:N199"/>
    <mergeCell ref="B180:N180"/>
    <mergeCell ref="B179:N179"/>
    <mergeCell ref="B181:N181"/>
    <mergeCell ref="J186:K186"/>
    <mergeCell ref="L186:M186"/>
    <mergeCell ref="G22:G24"/>
    <mergeCell ref="C58:C60"/>
    <mergeCell ref="B71:N71"/>
    <mergeCell ref="H75:M75"/>
    <mergeCell ref="D58:D60"/>
    <mergeCell ref="H59:I59"/>
    <mergeCell ref="D75:D77"/>
    <mergeCell ref="E75:E77"/>
    <mergeCell ref="L59:M59"/>
    <mergeCell ref="N58:N60"/>
    <mergeCell ref="A56:N56"/>
    <mergeCell ref="A58:A60"/>
    <mergeCell ref="A73:N73"/>
    <mergeCell ref="J59:K59"/>
    <mergeCell ref="H58:M58"/>
    <mergeCell ref="B22:B24"/>
    <mergeCell ref="H22:M22"/>
    <mergeCell ref="C22:C24"/>
    <mergeCell ref="C41:C43"/>
    <mergeCell ref="H41:M41"/>
    <mergeCell ref="B229:I229"/>
    <mergeCell ref="B215:N215"/>
    <mergeCell ref="B216:N216"/>
    <mergeCell ref="B217:N217"/>
    <mergeCell ref="J221:N221"/>
    <mergeCell ref="A219:I219"/>
    <mergeCell ref="J42:K42"/>
    <mergeCell ref="G41:G43"/>
    <mergeCell ref="D41:D43"/>
    <mergeCell ref="E41:E43"/>
    <mergeCell ref="F41:F43"/>
    <mergeCell ref="L42:M42"/>
    <mergeCell ref="N133:N135"/>
    <mergeCell ref="F133:F135"/>
    <mergeCell ref="E133:E135"/>
    <mergeCell ref="G133:G135"/>
    <mergeCell ref="J134:K134"/>
    <mergeCell ref="L134:M134"/>
    <mergeCell ref="C185:C187"/>
    <mergeCell ref="B163:N163"/>
    <mergeCell ref="A110:N110"/>
    <mergeCell ref="A112:A114"/>
    <mergeCell ref="N112:N114"/>
    <mergeCell ref="H112:M112"/>
    <mergeCell ref="A133:A135"/>
    <mergeCell ref="G112:G114"/>
    <mergeCell ref="A131:N131"/>
    <mergeCell ref="C133:C135"/>
    <mergeCell ref="B36:N36"/>
    <mergeCell ref="L23:M23"/>
    <mergeCell ref="B185:B187"/>
    <mergeCell ref="H134:I134"/>
    <mergeCell ref="H133:M133"/>
    <mergeCell ref="H113:I113"/>
    <mergeCell ref="J113:K113"/>
    <mergeCell ref="L113:M113"/>
    <mergeCell ref="B133:B135"/>
    <mergeCell ref="D185:D187"/>
    <mergeCell ref="B92:B94"/>
    <mergeCell ref="E112:E114"/>
    <mergeCell ref="A21:N21"/>
    <mergeCell ref="A39:N39"/>
    <mergeCell ref="N22:N24"/>
    <mergeCell ref="J23:K23"/>
    <mergeCell ref="E22:E24"/>
    <mergeCell ref="F22:F24"/>
    <mergeCell ref="B37:N37"/>
    <mergeCell ref="B34:N34"/>
    <mergeCell ref="H42:I42"/>
    <mergeCell ref="G75:G77"/>
    <mergeCell ref="A22:A24"/>
    <mergeCell ref="B58:B60"/>
    <mergeCell ref="J93:K93"/>
    <mergeCell ref="B112:B114"/>
    <mergeCell ref="B105:N105"/>
    <mergeCell ref="B107:N107"/>
    <mergeCell ref="C75:C77"/>
    <mergeCell ref="A92:A94"/>
    <mergeCell ref="G4:G6"/>
    <mergeCell ref="C4:C6"/>
    <mergeCell ref="A41:A43"/>
    <mergeCell ref="B41:B43"/>
    <mergeCell ref="J76:K76"/>
    <mergeCell ref="F58:F60"/>
    <mergeCell ref="G58:G60"/>
    <mergeCell ref="B75:B77"/>
    <mergeCell ref="B54:N54"/>
    <mergeCell ref="N41:N43"/>
    <mergeCell ref="J5:K5"/>
    <mergeCell ref="E4:E6"/>
    <mergeCell ref="A1:N1"/>
    <mergeCell ref="N4:N6"/>
    <mergeCell ref="A4:A6"/>
    <mergeCell ref="B4:B6"/>
    <mergeCell ref="D4:D6"/>
    <mergeCell ref="L5:M5"/>
    <mergeCell ref="A3:N3"/>
    <mergeCell ref="H5:I5"/>
    <mergeCell ref="A75:A77"/>
    <mergeCell ref="B88:N88"/>
    <mergeCell ref="F4:F6"/>
    <mergeCell ref="D22:D24"/>
    <mergeCell ref="B16:N16"/>
    <mergeCell ref="B17:N17"/>
    <mergeCell ref="H4:M4"/>
    <mergeCell ref="H23:I23"/>
    <mergeCell ref="B18:N18"/>
    <mergeCell ref="B19:N19"/>
    <mergeCell ref="N75:N77"/>
    <mergeCell ref="H76:I76"/>
    <mergeCell ref="L76:M76"/>
    <mergeCell ref="N92:N94"/>
    <mergeCell ref="C92:C94"/>
    <mergeCell ref="E92:E94"/>
    <mergeCell ref="L93:M93"/>
    <mergeCell ref="G92:G94"/>
    <mergeCell ref="H92:M92"/>
    <mergeCell ref="D92:D94"/>
    <mergeCell ref="L168:M168"/>
    <mergeCell ref="E167:E169"/>
    <mergeCell ref="E185:E187"/>
    <mergeCell ref="F75:F77"/>
    <mergeCell ref="G185:G187"/>
    <mergeCell ref="H185:M185"/>
    <mergeCell ref="F92:F94"/>
    <mergeCell ref="H93:I93"/>
    <mergeCell ref="H186:I186"/>
    <mergeCell ref="A90:N90"/>
    <mergeCell ref="B128:N128"/>
    <mergeCell ref="A203:A205"/>
    <mergeCell ref="B203:B205"/>
    <mergeCell ref="C203:C205"/>
    <mergeCell ref="D203:D205"/>
    <mergeCell ref="E203:E205"/>
    <mergeCell ref="A201:N201"/>
    <mergeCell ref="F203:F205"/>
    <mergeCell ref="J204:K204"/>
    <mergeCell ref="F167:F169"/>
    <mergeCell ref="F185:F187"/>
    <mergeCell ref="A185:A187"/>
    <mergeCell ref="H151:I151"/>
    <mergeCell ref="A148:N148"/>
    <mergeCell ref="F112:F114"/>
    <mergeCell ref="J151:K151"/>
    <mergeCell ref="D112:D114"/>
    <mergeCell ref="C112:C114"/>
    <mergeCell ref="B129:N129"/>
    <mergeCell ref="B126:N126"/>
    <mergeCell ref="N185:N187"/>
    <mergeCell ref="D133:D135"/>
    <mergeCell ref="L204:M204"/>
    <mergeCell ref="G203:G205"/>
    <mergeCell ref="B167:B169"/>
    <mergeCell ref="N203:N205"/>
    <mergeCell ref="H204:I204"/>
    <mergeCell ref="H203:M203"/>
    <mergeCell ref="B197:N197"/>
    <mergeCell ref="B198:N198"/>
  </mergeCells>
  <phoneticPr fontId="5" type="noConversion"/>
  <printOptions horizontalCentered="1"/>
  <pageMargins left="0.74803149606299202" right="0.74803149606299202" top="0.66929133858267698" bottom="0.70866141732283505" header="0.31496062992126" footer="0.39370078740157499"/>
  <pageSetup paperSize="9" scale="80" firstPageNumber="164" orientation="landscape"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149"/>
  <sheetViews>
    <sheetView zoomScale="85" zoomScaleNormal="85" workbookViewId="0">
      <selection activeCell="J13" sqref="J13"/>
    </sheetView>
  </sheetViews>
  <sheetFormatPr defaultRowHeight="16.5"/>
  <cols>
    <col min="1" max="1" width="7.109375" style="454" customWidth="1"/>
    <col min="2" max="2" width="17" style="454" customWidth="1"/>
    <col min="3" max="3" width="8.109375" style="454" customWidth="1"/>
    <col min="4" max="4" width="9.44140625" style="454" customWidth="1"/>
    <col min="5" max="5" width="8.5546875" style="454" customWidth="1"/>
    <col min="6" max="6" width="10.77734375" style="454" customWidth="1"/>
    <col min="7" max="7" width="8.109375" style="454" customWidth="1"/>
    <col min="8" max="8" width="11.44140625" style="454" customWidth="1"/>
    <col min="9" max="9" width="8.21875" style="454" customWidth="1"/>
    <col min="10" max="10" width="10.21875" style="454" customWidth="1"/>
    <col min="11" max="11" width="11.88671875" style="454" customWidth="1"/>
    <col min="12" max="16384" width="8.88671875" style="572"/>
  </cols>
  <sheetData>
    <row r="1" spans="1:17" ht="24.75" customHeight="1">
      <c r="A1" s="1285" t="s">
        <v>580</v>
      </c>
      <c r="B1" s="1285"/>
      <c r="C1" s="1285"/>
      <c r="D1" s="1285"/>
      <c r="E1" s="1285"/>
      <c r="F1" s="1285"/>
      <c r="G1" s="1285"/>
      <c r="H1" s="1285"/>
      <c r="I1" s="1285"/>
      <c r="J1" s="1285"/>
      <c r="K1" s="1285"/>
    </row>
    <row r="2" spans="1:17" ht="12.75" customHeight="1">
      <c r="A2" s="573"/>
      <c r="B2" s="573"/>
      <c r="C2" s="573"/>
      <c r="D2" s="573"/>
      <c r="E2" s="573"/>
      <c r="F2" s="573"/>
      <c r="G2" s="573"/>
      <c r="H2" s="573"/>
      <c r="I2" s="573"/>
      <c r="J2" s="573"/>
    </row>
    <row r="3" spans="1:17" ht="43.5" customHeight="1">
      <c r="A3" s="1280" t="s">
        <v>600</v>
      </c>
      <c r="B3" s="1280"/>
      <c r="C3" s="1280"/>
      <c r="D3" s="1280"/>
      <c r="E3" s="1280"/>
      <c r="F3" s="1280"/>
      <c r="G3" s="1280"/>
      <c r="H3" s="1280"/>
      <c r="I3" s="1280"/>
      <c r="J3" s="1280"/>
      <c r="K3" s="1280"/>
    </row>
    <row r="4" spans="1:17" ht="6.75" customHeight="1">
      <c r="A4" s="574"/>
      <c r="B4" s="574"/>
      <c r="C4" s="575"/>
      <c r="D4" s="576"/>
      <c r="E4" s="574"/>
      <c r="F4" s="574"/>
      <c r="G4" s="574"/>
      <c r="H4" s="574"/>
      <c r="I4" s="577"/>
      <c r="J4" s="577"/>
    </row>
    <row r="5" spans="1:17" ht="19.5" customHeight="1">
      <c r="A5" s="1245" t="s">
        <v>882</v>
      </c>
      <c r="B5" s="1245" t="s">
        <v>283</v>
      </c>
      <c r="C5" s="1245" t="s">
        <v>284</v>
      </c>
      <c r="D5" s="1245" t="s">
        <v>973</v>
      </c>
      <c r="E5" s="1254" t="s">
        <v>288</v>
      </c>
      <c r="F5" s="1255"/>
      <c r="G5" s="1255"/>
      <c r="H5" s="1255"/>
      <c r="I5" s="1255"/>
      <c r="J5" s="1256"/>
      <c r="K5" s="1245" t="s">
        <v>1038</v>
      </c>
    </row>
    <row r="6" spans="1:17" ht="38.25" customHeight="1">
      <c r="A6" s="1246"/>
      <c r="B6" s="1246"/>
      <c r="C6" s="1246"/>
      <c r="D6" s="1246"/>
      <c r="E6" s="1251" t="s">
        <v>289</v>
      </c>
      <c r="F6" s="1252"/>
      <c r="G6" s="1251" t="s">
        <v>946</v>
      </c>
      <c r="H6" s="1252"/>
      <c r="I6" s="1251" t="s">
        <v>1036</v>
      </c>
      <c r="J6" s="1252"/>
      <c r="K6" s="1246"/>
    </row>
    <row r="7" spans="1:17" ht="20.100000000000001" customHeight="1">
      <c r="A7" s="1247"/>
      <c r="B7" s="1247"/>
      <c r="C7" s="1247"/>
      <c r="D7" s="1247"/>
      <c r="E7" s="468" t="s">
        <v>898</v>
      </c>
      <c r="F7" s="468" t="s">
        <v>618</v>
      </c>
      <c r="G7" s="468" t="s">
        <v>898</v>
      </c>
      <c r="H7" s="468" t="s">
        <v>618</v>
      </c>
      <c r="I7" s="468" t="s">
        <v>898</v>
      </c>
      <c r="J7" s="468" t="s">
        <v>618</v>
      </c>
      <c r="K7" s="1247"/>
    </row>
    <row r="8" spans="1:17" ht="27" customHeight="1">
      <c r="A8" s="578">
        <v>1</v>
      </c>
      <c r="B8" s="579" t="s">
        <v>534</v>
      </c>
      <c r="C8" s="578" t="s">
        <v>898</v>
      </c>
      <c r="D8" s="580">
        <f>'Bang gia'!E21</f>
        <v>1554</v>
      </c>
      <c r="E8" s="581">
        <v>0.20499999999999999</v>
      </c>
      <c r="F8" s="580">
        <f>D8*E8</f>
        <v>318.57</v>
      </c>
      <c r="G8" s="582">
        <v>2.7919999999999998</v>
      </c>
      <c r="H8" s="583">
        <f>D8*G8</f>
        <v>4338.768</v>
      </c>
      <c r="I8" s="584">
        <v>1.1659999999999999</v>
      </c>
      <c r="J8" s="585">
        <f>D8*I8</f>
        <v>1811.9639999999999</v>
      </c>
      <c r="K8" s="586">
        <f>F8+H8+J8</f>
        <v>6469.3019999999997</v>
      </c>
    </row>
    <row r="9" spans="1:17" ht="27" customHeight="1">
      <c r="A9" s="587"/>
      <c r="B9" s="588" t="s">
        <v>621</v>
      </c>
      <c r="C9" s="587"/>
      <c r="D9" s="587"/>
      <c r="E9" s="587"/>
      <c r="F9" s="589">
        <f>SUM(F8:F8)</f>
        <v>318.57</v>
      </c>
      <c r="G9" s="590"/>
      <c r="H9" s="591">
        <f>SUM(H8:H8)</f>
        <v>4338.768</v>
      </c>
      <c r="I9" s="590"/>
      <c r="J9" s="591">
        <f>SUM(J8:J8)</f>
        <v>1811.9639999999999</v>
      </c>
      <c r="K9" s="591">
        <f>SUM(K8:K8)</f>
        <v>6469.3019999999997</v>
      </c>
      <c r="M9" s="592">
        <f>F9/8000</f>
        <v>3.9821250000000002E-2</v>
      </c>
      <c r="N9" s="592"/>
      <c r="O9" s="592">
        <f>H9/8000</f>
        <v>0.54234599999999999</v>
      </c>
      <c r="P9" s="592"/>
      <c r="Q9" s="592">
        <f>J9/8000</f>
        <v>0.22649549999999999</v>
      </c>
    </row>
    <row r="10" spans="1:17" s="454" customFormat="1" ht="3.75" customHeight="1">
      <c r="A10" s="593"/>
      <c r="B10" s="594"/>
      <c r="C10" s="595"/>
      <c r="D10" s="596"/>
      <c r="E10" s="597"/>
      <c r="F10" s="597"/>
      <c r="G10" s="598"/>
      <c r="H10" s="598"/>
      <c r="I10" s="598"/>
      <c r="J10" s="598"/>
      <c r="K10" s="596"/>
    </row>
    <row r="11" spans="1:17" s="454" customFormat="1">
      <c r="A11" s="480"/>
      <c r="B11" s="599" t="s">
        <v>299</v>
      </c>
      <c r="C11" s="600"/>
      <c r="D11" s="494"/>
      <c r="E11" s="601"/>
      <c r="F11" s="601"/>
      <c r="G11" s="602"/>
      <c r="H11" s="602"/>
      <c r="I11" s="602"/>
      <c r="J11" s="602"/>
      <c r="K11" s="494"/>
    </row>
    <row r="12" spans="1:17" s="454" customFormat="1">
      <c r="A12" s="480"/>
      <c r="B12" s="603" t="s">
        <v>635</v>
      </c>
      <c r="C12" s="603"/>
      <c r="D12" s="603"/>
      <c r="E12" s="494"/>
      <c r="F12" s="604"/>
      <c r="G12" s="494"/>
      <c r="H12" s="601"/>
      <c r="I12" s="601"/>
      <c r="J12" s="602"/>
      <c r="K12" s="602"/>
    </row>
    <row r="13" spans="1:17" s="454" customFormat="1">
      <c r="A13" s="480"/>
      <c r="B13" s="605"/>
      <c r="C13" s="603"/>
      <c r="D13" s="603"/>
      <c r="E13" s="494"/>
      <c r="F13" s="604"/>
      <c r="G13" s="494"/>
      <c r="H13" s="601"/>
      <c r="I13" s="601"/>
      <c r="J13" s="602"/>
      <c r="K13" s="602"/>
    </row>
    <row r="14" spans="1:17" s="454" customFormat="1" ht="32.25" customHeight="1">
      <c r="A14" s="480"/>
      <c r="B14" s="1244"/>
      <c r="C14" s="1244"/>
      <c r="D14" s="1244"/>
      <c r="E14" s="1244"/>
      <c r="F14" s="1244"/>
      <c r="G14" s="1244"/>
      <c r="H14" s="1244"/>
      <c r="I14" s="1244"/>
      <c r="J14" s="1244"/>
      <c r="K14" s="1244"/>
    </row>
    <row r="15" spans="1:17" s="454" customFormat="1" ht="18" customHeight="1">
      <c r="B15" s="1244"/>
      <c r="C15" s="1244"/>
      <c r="D15" s="1244"/>
      <c r="E15" s="1244"/>
      <c r="F15" s="1244"/>
      <c r="G15" s="1244"/>
      <c r="H15" s="1244"/>
      <c r="I15" s="1244"/>
      <c r="J15" s="1244"/>
      <c r="K15" s="1244"/>
    </row>
    <row r="16" spans="1:17" s="454" customFormat="1" ht="8.25" customHeight="1">
      <c r="B16" s="603"/>
      <c r="C16" s="603"/>
      <c r="D16" s="494"/>
      <c r="E16" s="604"/>
      <c r="F16" s="494"/>
      <c r="G16" s="601"/>
      <c r="H16" s="601"/>
      <c r="I16" s="602"/>
      <c r="J16" s="602"/>
      <c r="K16" s="602"/>
    </row>
    <row r="17" spans="1:17" s="454" customFormat="1" ht="44.25" customHeight="1">
      <c r="A17" s="1280" t="s">
        <v>347</v>
      </c>
      <c r="B17" s="1280"/>
      <c r="C17" s="1280"/>
      <c r="D17" s="1280"/>
      <c r="E17" s="1280"/>
      <c r="F17" s="1280"/>
      <c r="G17" s="1280"/>
      <c r="H17" s="1280"/>
      <c r="I17" s="1280"/>
      <c r="J17" s="1280"/>
      <c r="K17" s="1280"/>
    </row>
    <row r="18" spans="1:17" s="454" customFormat="1" ht="5.25" customHeight="1">
      <c r="A18" s="574"/>
      <c r="B18" s="574"/>
      <c r="C18" s="575"/>
      <c r="D18" s="576"/>
      <c r="E18" s="574"/>
      <c r="F18" s="574"/>
      <c r="G18" s="574"/>
      <c r="H18" s="574"/>
      <c r="I18" s="577"/>
      <c r="J18" s="577"/>
    </row>
    <row r="19" spans="1:17" ht="19.5" customHeight="1">
      <c r="A19" s="1245" t="s">
        <v>882</v>
      </c>
      <c r="B19" s="1245" t="s">
        <v>283</v>
      </c>
      <c r="C19" s="1245" t="s">
        <v>284</v>
      </c>
      <c r="D19" s="1245" t="s">
        <v>973</v>
      </c>
      <c r="E19" s="1254" t="s">
        <v>288</v>
      </c>
      <c r="F19" s="1255"/>
      <c r="G19" s="1255"/>
      <c r="H19" s="1255"/>
      <c r="I19" s="1255"/>
      <c r="J19" s="1256"/>
      <c r="K19" s="1245" t="s">
        <v>927</v>
      </c>
    </row>
    <row r="20" spans="1:17" ht="39" customHeight="1">
      <c r="A20" s="1246"/>
      <c r="B20" s="1246"/>
      <c r="C20" s="1246"/>
      <c r="D20" s="1246"/>
      <c r="E20" s="1251" t="s">
        <v>634</v>
      </c>
      <c r="F20" s="1252"/>
      <c r="G20" s="1251" t="s">
        <v>947</v>
      </c>
      <c r="H20" s="1252"/>
      <c r="I20" s="1251" t="s">
        <v>1037</v>
      </c>
      <c r="J20" s="1252"/>
      <c r="K20" s="1246"/>
    </row>
    <row r="21" spans="1:17" ht="20.100000000000001" customHeight="1">
      <c r="A21" s="1247"/>
      <c r="B21" s="1247"/>
      <c r="C21" s="1247"/>
      <c r="D21" s="1247"/>
      <c r="E21" s="569" t="s">
        <v>898</v>
      </c>
      <c r="F21" s="569" t="s">
        <v>57</v>
      </c>
      <c r="G21" s="569" t="s">
        <v>898</v>
      </c>
      <c r="H21" s="569" t="s">
        <v>57</v>
      </c>
      <c r="I21" s="569" t="s">
        <v>898</v>
      </c>
      <c r="J21" s="569" t="s">
        <v>57</v>
      </c>
      <c r="K21" s="1247"/>
    </row>
    <row r="22" spans="1:17" ht="25.15" customHeight="1">
      <c r="A22" s="578">
        <v>1</v>
      </c>
      <c r="B22" s="579" t="s">
        <v>534</v>
      </c>
      <c r="C22" s="578" t="s">
        <v>898</v>
      </c>
      <c r="D22" s="580">
        <f>'Bang gia'!E21</f>
        <v>1554</v>
      </c>
      <c r="E22" s="584">
        <v>0.125</v>
      </c>
      <c r="F22" s="580">
        <f>D22*E22</f>
        <v>194.25</v>
      </c>
      <c r="G22" s="582">
        <v>4.45</v>
      </c>
      <c r="H22" s="583">
        <f>D22*G22</f>
        <v>6915.3</v>
      </c>
      <c r="I22" s="584">
        <v>1.758</v>
      </c>
      <c r="J22" s="585">
        <f>D22*I22</f>
        <v>2731.9319999999998</v>
      </c>
      <c r="K22" s="586">
        <f>F22+H22+J22</f>
        <v>9841.482</v>
      </c>
    </row>
    <row r="23" spans="1:17" ht="25.15" customHeight="1">
      <c r="A23" s="587"/>
      <c r="B23" s="588" t="s">
        <v>621</v>
      </c>
      <c r="C23" s="587"/>
      <c r="D23" s="587"/>
      <c r="E23" s="587"/>
      <c r="F23" s="591">
        <f>SUM(F22:F22)</f>
        <v>194.25</v>
      </c>
      <c r="G23" s="591"/>
      <c r="H23" s="591">
        <f>SUM(H22:H22)</f>
        <v>6915.3</v>
      </c>
      <c r="I23" s="590"/>
      <c r="J23" s="591">
        <f>SUM(J22:J22)</f>
        <v>2731.9319999999998</v>
      </c>
      <c r="K23" s="591">
        <f>SUM(K22:K22)</f>
        <v>9841.482</v>
      </c>
      <c r="M23" s="592">
        <f>F23/5000</f>
        <v>3.8850000000000003E-2</v>
      </c>
      <c r="N23" s="592"/>
      <c r="O23" s="592">
        <f>H23/5000</f>
        <v>1.38306</v>
      </c>
      <c r="P23" s="592"/>
      <c r="Q23" s="592">
        <f>J23/5000</f>
        <v>0.54638639999999994</v>
      </c>
    </row>
    <row r="24" spans="1:17" ht="4.5" customHeight="1">
      <c r="A24" s="593"/>
      <c r="B24" s="594"/>
      <c r="C24" s="595"/>
      <c r="D24" s="596"/>
      <c r="E24" s="597"/>
      <c r="F24" s="597"/>
      <c r="G24" s="598"/>
      <c r="H24" s="598"/>
      <c r="I24" s="598"/>
      <c r="J24" s="598"/>
      <c r="K24" s="596"/>
    </row>
    <row r="25" spans="1:17">
      <c r="A25" s="480"/>
      <c r="B25" s="599" t="s">
        <v>299</v>
      </c>
      <c r="C25" s="600"/>
      <c r="D25" s="494"/>
      <c r="E25" s="601"/>
      <c r="F25" s="601"/>
      <c r="G25" s="602"/>
      <c r="H25" s="602"/>
      <c r="I25" s="602"/>
      <c r="J25" s="602"/>
      <c r="K25" s="494"/>
    </row>
    <row r="26" spans="1:17">
      <c r="A26" s="480"/>
      <c r="B26" s="603" t="s">
        <v>636</v>
      </c>
      <c r="C26" s="603"/>
      <c r="D26" s="603"/>
      <c r="E26" s="494"/>
      <c r="F26" s="604"/>
      <c r="G26" s="494"/>
      <c r="H26" s="601"/>
      <c r="I26" s="601"/>
      <c r="J26" s="602"/>
      <c r="K26" s="602"/>
    </row>
    <row r="27" spans="1:17">
      <c r="A27" s="480"/>
      <c r="B27" s="605"/>
      <c r="C27" s="603"/>
      <c r="D27" s="603"/>
      <c r="E27" s="494"/>
      <c r="F27" s="604"/>
      <c r="G27" s="494"/>
      <c r="H27" s="601"/>
      <c r="I27" s="601"/>
      <c r="J27" s="602"/>
      <c r="K27" s="602"/>
    </row>
    <row r="28" spans="1:17" ht="28.5" customHeight="1">
      <c r="A28" s="480"/>
      <c r="B28" s="1244"/>
      <c r="C28" s="1244"/>
      <c r="D28" s="1244"/>
      <c r="E28" s="1244"/>
      <c r="F28" s="1244"/>
      <c r="G28" s="1244"/>
      <c r="H28" s="1244"/>
      <c r="I28" s="1244"/>
      <c r="J28" s="1244"/>
      <c r="K28" s="1244"/>
    </row>
    <row r="29" spans="1:17" ht="31.5" customHeight="1">
      <c r="A29" s="1264" t="s">
        <v>339</v>
      </c>
      <c r="B29" s="1264"/>
      <c r="C29" s="1264"/>
      <c r="D29" s="1264"/>
      <c r="E29" s="1264"/>
      <c r="F29" s="1264"/>
      <c r="G29" s="1264"/>
      <c r="H29" s="1264"/>
      <c r="I29" s="1264"/>
      <c r="J29" s="1264"/>
      <c r="K29" s="1264"/>
    </row>
    <row r="30" spans="1:17" ht="10.5" customHeight="1">
      <c r="A30" s="480"/>
      <c r="B30" s="606"/>
      <c r="C30" s="600"/>
      <c r="D30" s="601"/>
      <c r="E30" s="480"/>
      <c r="F30" s="480"/>
      <c r="G30" s="606"/>
      <c r="H30" s="606"/>
      <c r="I30" s="607"/>
      <c r="J30" s="607"/>
      <c r="K30" s="494"/>
    </row>
    <row r="31" spans="1:17" ht="19.5" customHeight="1">
      <c r="A31" s="1245" t="s">
        <v>882</v>
      </c>
      <c r="B31" s="1245" t="s">
        <v>283</v>
      </c>
      <c r="C31" s="1245" t="s">
        <v>284</v>
      </c>
      <c r="D31" s="1245" t="s">
        <v>973</v>
      </c>
      <c r="E31" s="1254" t="s">
        <v>288</v>
      </c>
      <c r="F31" s="1255"/>
      <c r="G31" s="1255"/>
      <c r="H31" s="1255"/>
      <c r="I31" s="1255"/>
      <c r="J31" s="1256"/>
      <c r="K31" s="1245" t="s">
        <v>782</v>
      </c>
    </row>
    <row r="32" spans="1:17" ht="45" customHeight="1">
      <c r="A32" s="1246"/>
      <c r="B32" s="1246"/>
      <c r="C32" s="1246"/>
      <c r="D32" s="1246"/>
      <c r="E32" s="1254" t="s">
        <v>289</v>
      </c>
      <c r="F32" s="1256"/>
      <c r="G32" s="1254" t="s">
        <v>322</v>
      </c>
      <c r="H32" s="1256"/>
      <c r="I32" s="1254" t="s">
        <v>1036</v>
      </c>
      <c r="J32" s="1256"/>
      <c r="K32" s="1246"/>
    </row>
    <row r="33" spans="1:16" ht="24" customHeight="1">
      <c r="A33" s="1247"/>
      <c r="B33" s="1247"/>
      <c r="C33" s="1247"/>
      <c r="D33" s="1247"/>
      <c r="E33" s="468" t="s">
        <v>898</v>
      </c>
      <c r="F33" s="468" t="s">
        <v>353</v>
      </c>
      <c r="G33" s="468" t="s">
        <v>898</v>
      </c>
      <c r="H33" s="468" t="s">
        <v>353</v>
      </c>
      <c r="I33" s="468" t="s">
        <v>898</v>
      </c>
      <c r="J33" s="468" t="s">
        <v>353</v>
      </c>
      <c r="K33" s="1247"/>
    </row>
    <row r="34" spans="1:16" ht="27.6" customHeight="1">
      <c r="A34" s="578">
        <v>1</v>
      </c>
      <c r="B34" s="579" t="s">
        <v>534</v>
      </c>
      <c r="C34" s="578" t="s">
        <v>898</v>
      </c>
      <c r="D34" s="580">
        <f>'Bang gia'!E21</f>
        <v>1554</v>
      </c>
      <c r="E34" s="584">
        <v>0.55400000000000005</v>
      </c>
      <c r="F34" s="580">
        <f>D34*E34</f>
        <v>860.91600000000005</v>
      </c>
      <c r="G34" s="582">
        <v>5.3849999999999998</v>
      </c>
      <c r="H34" s="583">
        <f>D34*G34</f>
        <v>8368.2899999999991</v>
      </c>
      <c r="I34" s="584"/>
      <c r="J34" s="585"/>
      <c r="K34" s="586">
        <f>F34+H34+J34</f>
        <v>9229.2059999999983</v>
      </c>
    </row>
    <row r="35" spans="1:16" ht="27.6" customHeight="1">
      <c r="A35" s="587"/>
      <c r="B35" s="588" t="s">
        <v>621</v>
      </c>
      <c r="C35" s="587"/>
      <c r="D35" s="587"/>
      <c r="E35" s="587"/>
      <c r="F35" s="589">
        <f>SUM(F34:F34)</f>
        <v>860.91600000000005</v>
      </c>
      <c r="G35" s="590"/>
      <c r="H35" s="591">
        <f>SUM(H34:H34)</f>
        <v>8368.2899999999991</v>
      </c>
      <c r="I35" s="590"/>
      <c r="J35" s="591"/>
      <c r="K35" s="591">
        <f>SUM(K34:K34)</f>
        <v>9229.2059999999983</v>
      </c>
      <c r="M35" s="608">
        <f>F35*1.3</f>
        <v>1119.1908000000001</v>
      </c>
      <c r="N35" s="608">
        <f>G35*1.3</f>
        <v>0</v>
      </c>
      <c r="O35" s="608">
        <f>H35*1.3</f>
        <v>10878.777</v>
      </c>
      <c r="P35" s="608">
        <f>I35*1.3</f>
        <v>0</v>
      </c>
    </row>
    <row r="36" spans="1:16">
      <c r="A36" s="593"/>
      <c r="B36" s="594"/>
      <c r="C36" s="595"/>
      <c r="D36" s="596"/>
      <c r="E36" s="597"/>
      <c r="F36" s="597"/>
      <c r="G36" s="598"/>
      <c r="H36" s="598"/>
      <c r="I36" s="598"/>
      <c r="J36" s="598"/>
      <c r="K36" s="596"/>
    </row>
    <row r="37" spans="1:16" ht="20.25" customHeight="1">
      <c r="A37" s="606"/>
      <c r="B37" s="599" t="s">
        <v>299</v>
      </c>
      <c r="C37" s="603"/>
      <c r="D37" s="494"/>
      <c r="E37" s="601"/>
      <c r="F37" s="601"/>
      <c r="G37" s="602"/>
      <c r="H37" s="602"/>
      <c r="I37" s="602"/>
      <c r="J37" s="602"/>
      <c r="K37" s="494"/>
    </row>
    <row r="38" spans="1:16" ht="20.25" customHeight="1">
      <c r="A38" s="606"/>
      <c r="B38" s="603" t="s">
        <v>52</v>
      </c>
      <c r="C38" s="603"/>
      <c r="D38" s="494"/>
      <c r="E38" s="601"/>
      <c r="F38" s="601"/>
      <c r="G38" s="602"/>
      <c r="H38" s="602"/>
      <c r="I38" s="602"/>
      <c r="J38" s="602"/>
      <c r="K38" s="494"/>
    </row>
    <row r="39" spans="1:16" ht="20.25" customHeight="1">
      <c r="A39" s="606"/>
      <c r="B39" s="605"/>
      <c r="C39" s="603"/>
      <c r="D39" s="494"/>
      <c r="E39" s="601"/>
      <c r="F39" s="601"/>
      <c r="G39" s="602"/>
      <c r="H39" s="602"/>
      <c r="I39" s="602"/>
      <c r="J39" s="602"/>
      <c r="K39" s="494"/>
    </row>
    <row r="40" spans="1:16" ht="22.5" customHeight="1">
      <c r="A40" s="606"/>
      <c r="B40" s="599"/>
      <c r="C40" s="603"/>
      <c r="D40" s="494"/>
      <c r="E40" s="601"/>
      <c r="F40" s="601"/>
      <c r="G40" s="602"/>
      <c r="H40" s="602"/>
      <c r="I40" s="602"/>
      <c r="J40" s="602"/>
      <c r="K40" s="494"/>
    </row>
    <row r="41" spans="1:16" ht="32.25" customHeight="1">
      <c r="A41" s="1264" t="s">
        <v>844</v>
      </c>
      <c r="B41" s="1264"/>
      <c r="C41" s="1264"/>
      <c r="D41" s="1264"/>
      <c r="E41" s="1264"/>
      <c r="F41" s="1264"/>
      <c r="G41" s="1264"/>
      <c r="H41" s="1264"/>
      <c r="I41" s="1264"/>
      <c r="J41" s="1264"/>
      <c r="K41" s="1264"/>
    </row>
    <row r="42" spans="1:16" ht="14.25" customHeight="1">
      <c r="A42" s="480"/>
      <c r="B42" s="606"/>
      <c r="C42" s="600"/>
      <c r="D42" s="601"/>
      <c r="E42" s="480"/>
      <c r="F42" s="480"/>
      <c r="G42" s="606"/>
      <c r="H42" s="606"/>
      <c r="I42" s="607"/>
      <c r="J42" s="607"/>
      <c r="K42" s="494"/>
    </row>
    <row r="43" spans="1:16" ht="19.5" customHeight="1">
      <c r="A43" s="1245" t="s">
        <v>882</v>
      </c>
      <c r="B43" s="1245" t="s">
        <v>283</v>
      </c>
      <c r="C43" s="1245" t="s">
        <v>284</v>
      </c>
      <c r="D43" s="1245" t="s">
        <v>973</v>
      </c>
      <c r="E43" s="1254" t="s">
        <v>288</v>
      </c>
      <c r="F43" s="1255"/>
      <c r="G43" s="1255"/>
      <c r="H43" s="1255"/>
      <c r="I43" s="1255"/>
      <c r="J43" s="1256"/>
      <c r="K43" s="1245" t="s">
        <v>987</v>
      </c>
    </row>
    <row r="44" spans="1:16" ht="45.75" customHeight="1">
      <c r="A44" s="1246"/>
      <c r="B44" s="1246"/>
      <c r="C44" s="1246"/>
      <c r="D44" s="1246"/>
      <c r="E44" s="1254" t="s">
        <v>345</v>
      </c>
      <c r="F44" s="1256"/>
      <c r="G44" s="1254" t="s">
        <v>847</v>
      </c>
      <c r="H44" s="1256"/>
      <c r="I44" s="1254" t="s">
        <v>1035</v>
      </c>
      <c r="J44" s="1256"/>
      <c r="K44" s="1246"/>
    </row>
    <row r="45" spans="1:16" ht="20.100000000000001" customHeight="1">
      <c r="A45" s="1247"/>
      <c r="B45" s="1247"/>
      <c r="C45" s="1247"/>
      <c r="D45" s="1247"/>
      <c r="E45" s="468" t="s">
        <v>898</v>
      </c>
      <c r="F45" s="468" t="s">
        <v>353</v>
      </c>
      <c r="G45" s="468" t="s">
        <v>898</v>
      </c>
      <c r="H45" s="468" t="s">
        <v>353</v>
      </c>
      <c r="I45" s="468" t="s">
        <v>898</v>
      </c>
      <c r="J45" s="468" t="s">
        <v>353</v>
      </c>
      <c r="K45" s="1247"/>
    </row>
    <row r="46" spans="1:16" ht="27.6" customHeight="1">
      <c r="A46" s="578">
        <v>1</v>
      </c>
      <c r="B46" s="579" t="s">
        <v>534</v>
      </c>
      <c r="C46" s="578" t="s">
        <v>898</v>
      </c>
      <c r="D46" s="580">
        <f>'Bang gia'!E21</f>
        <v>1554</v>
      </c>
      <c r="E46" s="584">
        <v>0.17399999999999999</v>
      </c>
      <c r="F46" s="580">
        <f>D46*E46</f>
        <v>270.39599999999996</v>
      </c>
      <c r="G46" s="582">
        <v>5.7640000000000002</v>
      </c>
      <c r="H46" s="583">
        <f>D46*G46</f>
        <v>8957.2560000000012</v>
      </c>
      <c r="I46" s="584"/>
      <c r="J46" s="585"/>
      <c r="K46" s="586">
        <f>F46+H46+J46</f>
        <v>9227.6520000000019</v>
      </c>
    </row>
    <row r="47" spans="1:16" ht="27.6" customHeight="1">
      <c r="A47" s="587"/>
      <c r="B47" s="588" t="s">
        <v>621</v>
      </c>
      <c r="C47" s="587"/>
      <c r="D47" s="587"/>
      <c r="E47" s="587"/>
      <c r="F47" s="591">
        <f>SUM(F46:F46)</f>
        <v>270.39599999999996</v>
      </c>
      <c r="G47" s="591"/>
      <c r="H47" s="591">
        <f>SUM(H46:H46)</f>
        <v>8957.2560000000012</v>
      </c>
      <c r="I47" s="590"/>
      <c r="J47" s="591"/>
      <c r="K47" s="591">
        <f>SUM(K46:K46)</f>
        <v>9227.6520000000019</v>
      </c>
    </row>
    <row r="49" spans="1:13" ht="19.5" customHeight="1">
      <c r="B49" s="599" t="s">
        <v>299</v>
      </c>
    </row>
    <row r="50" spans="1:13" ht="20.25" customHeight="1">
      <c r="B50" s="603" t="s">
        <v>52</v>
      </c>
    </row>
    <row r="51" spans="1:13" ht="20.25" customHeight="1">
      <c r="B51" s="605"/>
    </row>
    <row r="52" spans="1:13" ht="20.25" customHeight="1">
      <c r="B52" s="605"/>
    </row>
    <row r="54" spans="1:13" ht="30.75" customHeight="1">
      <c r="A54" s="1264" t="s">
        <v>929</v>
      </c>
      <c r="B54" s="1264"/>
      <c r="C54" s="1264"/>
      <c r="D54" s="1264"/>
      <c r="E54" s="1264"/>
      <c r="F54" s="1264"/>
      <c r="G54" s="1264"/>
      <c r="H54" s="1264"/>
      <c r="I54" s="1264"/>
      <c r="J54" s="1264"/>
      <c r="K54" s="1264"/>
    </row>
    <row r="55" spans="1:13">
      <c r="A55" s="480"/>
      <c r="B55" s="606"/>
      <c r="C55" s="600"/>
      <c r="D55" s="601"/>
      <c r="E55" s="480"/>
      <c r="F55" s="480"/>
      <c r="G55" s="606"/>
      <c r="H55" s="606"/>
      <c r="I55" s="607"/>
      <c r="J55" s="607"/>
      <c r="K55" s="494"/>
    </row>
    <row r="56" spans="1:13" ht="22.5" customHeight="1">
      <c r="A56" s="1245" t="s">
        <v>882</v>
      </c>
      <c r="B56" s="1245" t="s">
        <v>283</v>
      </c>
      <c r="C56" s="1245" t="s">
        <v>284</v>
      </c>
      <c r="D56" s="1245" t="s">
        <v>973</v>
      </c>
      <c r="E56" s="1254" t="s">
        <v>288</v>
      </c>
      <c r="F56" s="1255"/>
      <c r="G56" s="1255"/>
      <c r="H56" s="1255"/>
      <c r="I56" s="1255"/>
      <c r="J56" s="1256"/>
      <c r="K56" s="1245" t="s">
        <v>987</v>
      </c>
    </row>
    <row r="57" spans="1:13" ht="42.75" customHeight="1">
      <c r="A57" s="1246"/>
      <c r="B57" s="1246"/>
      <c r="C57" s="1246"/>
      <c r="D57" s="1246"/>
      <c r="E57" s="1254" t="s">
        <v>289</v>
      </c>
      <c r="F57" s="1256"/>
      <c r="G57" s="1254" t="s">
        <v>623</v>
      </c>
      <c r="H57" s="1256"/>
      <c r="I57" s="1254" t="s">
        <v>948</v>
      </c>
      <c r="J57" s="1256"/>
      <c r="K57" s="1246"/>
    </row>
    <row r="58" spans="1:13" ht="27" customHeight="1">
      <c r="A58" s="1247"/>
      <c r="B58" s="1247"/>
      <c r="C58" s="1247"/>
      <c r="D58" s="1247"/>
      <c r="E58" s="468" t="s">
        <v>898</v>
      </c>
      <c r="F58" s="468" t="s">
        <v>353</v>
      </c>
      <c r="G58" s="468" t="s">
        <v>898</v>
      </c>
      <c r="H58" s="468" t="s">
        <v>353</v>
      </c>
      <c r="I58" s="468" t="s">
        <v>898</v>
      </c>
      <c r="J58" s="468" t="s">
        <v>353</v>
      </c>
      <c r="K58" s="1247"/>
    </row>
    <row r="59" spans="1:13" ht="27" customHeight="1">
      <c r="A59" s="578">
        <v>1</v>
      </c>
      <c r="B59" s="579" t="s">
        <v>534</v>
      </c>
      <c r="C59" s="578" t="s">
        <v>898</v>
      </c>
      <c r="D59" s="580">
        <f>'Bang gia'!E21</f>
        <v>1554</v>
      </c>
      <c r="E59" s="584"/>
      <c r="F59" s="580"/>
      <c r="G59" s="582"/>
      <c r="H59" s="583"/>
      <c r="I59" s="584">
        <v>15.03</v>
      </c>
      <c r="J59" s="585">
        <f>D59*I59</f>
        <v>23356.62</v>
      </c>
      <c r="K59" s="586">
        <f>F59+H59+J59</f>
        <v>23356.62</v>
      </c>
    </row>
    <row r="60" spans="1:13" ht="27" customHeight="1">
      <c r="A60" s="587"/>
      <c r="B60" s="588" t="s">
        <v>621</v>
      </c>
      <c r="C60" s="587"/>
      <c r="D60" s="587"/>
      <c r="E60" s="587"/>
      <c r="F60" s="589"/>
      <c r="G60" s="590"/>
      <c r="H60" s="591"/>
      <c r="I60" s="590"/>
      <c r="J60" s="591">
        <f>SUM(J59:J59)</f>
        <v>23356.62</v>
      </c>
      <c r="K60" s="591">
        <f>SUM(K59:K59)</f>
        <v>23356.62</v>
      </c>
      <c r="M60" s="572">
        <f>J60*1.3</f>
        <v>30363.606</v>
      </c>
    </row>
    <row r="62" spans="1:13">
      <c r="B62" s="599" t="s">
        <v>299</v>
      </c>
    </row>
    <row r="63" spans="1:13" ht="19.5" customHeight="1">
      <c r="B63" s="603" t="s">
        <v>52</v>
      </c>
    </row>
    <row r="64" spans="1:13" ht="21" customHeight="1">
      <c r="B64" s="605"/>
    </row>
    <row r="65" spans="1:11" ht="41.25" customHeight="1"/>
    <row r="66" spans="1:11" ht="32.25" customHeight="1">
      <c r="A66" s="1264" t="s">
        <v>930</v>
      </c>
      <c r="B66" s="1264"/>
      <c r="C66" s="1264"/>
      <c r="D66" s="1264"/>
      <c r="E66" s="1264"/>
      <c r="F66" s="1264"/>
      <c r="G66" s="1264"/>
      <c r="H66" s="1264"/>
      <c r="I66" s="1264"/>
      <c r="J66" s="1264"/>
      <c r="K66" s="1264"/>
    </row>
    <row r="67" spans="1:11">
      <c r="A67" s="480"/>
      <c r="B67" s="606"/>
      <c r="C67" s="600"/>
      <c r="D67" s="601"/>
      <c r="E67" s="480"/>
      <c r="F67" s="480"/>
      <c r="G67" s="606"/>
      <c r="H67" s="606"/>
      <c r="I67" s="607"/>
      <c r="J67" s="607"/>
      <c r="K67" s="494"/>
    </row>
    <row r="68" spans="1:11" ht="23.25" customHeight="1">
      <c r="A68" s="1245" t="s">
        <v>882</v>
      </c>
      <c r="B68" s="1245" t="s">
        <v>283</v>
      </c>
      <c r="C68" s="1245" t="s">
        <v>284</v>
      </c>
      <c r="D68" s="1245" t="s">
        <v>973</v>
      </c>
      <c r="E68" s="1254" t="s">
        <v>288</v>
      </c>
      <c r="F68" s="1255"/>
      <c r="G68" s="1255"/>
      <c r="H68" s="1255"/>
      <c r="I68" s="1255"/>
      <c r="J68" s="1256"/>
      <c r="K68" s="1245" t="s">
        <v>58</v>
      </c>
    </row>
    <row r="69" spans="1:11" ht="45" customHeight="1">
      <c r="A69" s="1246"/>
      <c r="B69" s="1246"/>
      <c r="C69" s="1246"/>
      <c r="D69" s="1246"/>
      <c r="E69" s="1254" t="s">
        <v>289</v>
      </c>
      <c r="F69" s="1256"/>
      <c r="G69" s="1254" t="s">
        <v>322</v>
      </c>
      <c r="H69" s="1256"/>
      <c r="I69" s="1254" t="s">
        <v>291</v>
      </c>
      <c r="J69" s="1256"/>
      <c r="K69" s="1246"/>
    </row>
    <row r="70" spans="1:11" ht="28.5" customHeight="1">
      <c r="A70" s="1247"/>
      <c r="B70" s="1247"/>
      <c r="C70" s="1247"/>
      <c r="D70" s="1247"/>
      <c r="E70" s="468" t="s">
        <v>926</v>
      </c>
      <c r="F70" s="468" t="s">
        <v>618</v>
      </c>
      <c r="G70" s="468" t="s">
        <v>926</v>
      </c>
      <c r="H70" s="468" t="s">
        <v>618</v>
      </c>
      <c r="I70" s="468" t="s">
        <v>926</v>
      </c>
      <c r="J70" s="468" t="s">
        <v>618</v>
      </c>
      <c r="K70" s="1247"/>
    </row>
    <row r="71" spans="1:11" ht="28.5" customHeight="1">
      <c r="A71" s="578">
        <v>1</v>
      </c>
      <c r="B71" s="579" t="s">
        <v>534</v>
      </c>
      <c r="C71" s="578" t="s">
        <v>898</v>
      </c>
      <c r="D71" s="580">
        <f>'Bang gia'!E21</f>
        <v>1554</v>
      </c>
      <c r="E71" s="584">
        <v>3.6999999999999998E-2</v>
      </c>
      <c r="F71" s="580">
        <f>D71*E71</f>
        <v>57.497999999999998</v>
      </c>
      <c r="G71" s="582">
        <v>2.1219999999999999</v>
      </c>
      <c r="H71" s="583">
        <f>D71*G71</f>
        <v>3297.5879999999997</v>
      </c>
      <c r="I71" s="584">
        <v>1.204</v>
      </c>
      <c r="J71" s="585">
        <f>D71*I71</f>
        <v>1871.0159999999998</v>
      </c>
      <c r="K71" s="586">
        <f>F71+H71+J71</f>
        <v>5226.1019999999999</v>
      </c>
    </row>
    <row r="72" spans="1:11" ht="28.5" customHeight="1">
      <c r="A72" s="587"/>
      <c r="B72" s="588" t="s">
        <v>621</v>
      </c>
      <c r="C72" s="587"/>
      <c r="D72" s="587"/>
      <c r="E72" s="587"/>
      <c r="F72" s="591">
        <f>SUM(F71:F71)</f>
        <v>57.497999999999998</v>
      </c>
      <c r="G72" s="591"/>
      <c r="H72" s="591">
        <f>SUM(H71:H71)</f>
        <v>3297.5879999999997</v>
      </c>
      <c r="I72" s="590"/>
      <c r="J72" s="591">
        <f>SUM(J71:J71)</f>
        <v>1871.0159999999998</v>
      </c>
      <c r="K72" s="591">
        <f>SUM(K71:K71)</f>
        <v>5226.1019999999999</v>
      </c>
    </row>
    <row r="74" spans="1:11">
      <c r="B74" s="599" t="s">
        <v>299</v>
      </c>
    </row>
    <row r="75" spans="1:11">
      <c r="B75" s="603" t="s">
        <v>338</v>
      </c>
    </row>
    <row r="76" spans="1:11">
      <c r="B76" s="605"/>
    </row>
    <row r="77" spans="1:11" ht="13.5" customHeight="1"/>
    <row r="78" spans="1:11" ht="28.5" customHeight="1">
      <c r="A78" s="1264" t="s">
        <v>941</v>
      </c>
      <c r="B78" s="1264"/>
      <c r="C78" s="1264"/>
      <c r="D78" s="1264"/>
      <c r="E78" s="1264"/>
      <c r="F78" s="1264"/>
      <c r="G78" s="1264"/>
      <c r="H78" s="1264"/>
      <c r="I78" s="1264"/>
      <c r="J78" s="1264"/>
      <c r="K78" s="1264"/>
    </row>
    <row r="79" spans="1:11">
      <c r="A79" s="480"/>
      <c r="B79" s="606"/>
      <c r="C79" s="600"/>
      <c r="D79" s="601"/>
      <c r="E79" s="480"/>
      <c r="F79" s="480"/>
      <c r="G79" s="606"/>
      <c r="H79" s="606"/>
      <c r="I79" s="607"/>
      <c r="J79" s="607"/>
      <c r="K79" s="494"/>
    </row>
    <row r="80" spans="1:11" ht="24.75" customHeight="1">
      <c r="A80" s="1245" t="s">
        <v>882</v>
      </c>
      <c r="B80" s="1245" t="s">
        <v>283</v>
      </c>
      <c r="C80" s="1245" t="s">
        <v>284</v>
      </c>
      <c r="D80" s="1245" t="s">
        <v>973</v>
      </c>
      <c r="E80" s="1254" t="s">
        <v>288</v>
      </c>
      <c r="F80" s="1255"/>
      <c r="G80" s="1255"/>
      <c r="H80" s="1255"/>
      <c r="I80" s="1255"/>
      <c r="J80" s="1256"/>
      <c r="K80" s="1245" t="s">
        <v>927</v>
      </c>
    </row>
    <row r="81" spans="1:15" ht="44.25" customHeight="1">
      <c r="A81" s="1246"/>
      <c r="B81" s="1246"/>
      <c r="C81" s="1246"/>
      <c r="D81" s="1246"/>
      <c r="E81" s="1254" t="s">
        <v>634</v>
      </c>
      <c r="F81" s="1256"/>
      <c r="G81" s="1254" t="s">
        <v>847</v>
      </c>
      <c r="H81" s="1256"/>
      <c r="I81" s="1254" t="s">
        <v>291</v>
      </c>
      <c r="J81" s="1256"/>
      <c r="K81" s="1246"/>
    </row>
    <row r="82" spans="1:15" ht="20.100000000000001" customHeight="1">
      <c r="A82" s="1247"/>
      <c r="B82" s="1247"/>
      <c r="C82" s="1247"/>
      <c r="D82" s="1247"/>
      <c r="E82" s="569" t="s">
        <v>928</v>
      </c>
      <c r="F82" s="569" t="s">
        <v>57</v>
      </c>
      <c r="G82" s="569" t="s">
        <v>928</v>
      </c>
      <c r="H82" s="569" t="s">
        <v>57</v>
      </c>
      <c r="I82" s="569" t="s">
        <v>928</v>
      </c>
      <c r="J82" s="569" t="s">
        <v>57</v>
      </c>
      <c r="K82" s="1247"/>
    </row>
    <row r="83" spans="1:15" ht="28.5" customHeight="1">
      <c r="A83" s="578">
        <v>1</v>
      </c>
      <c r="B83" s="579" t="s">
        <v>534</v>
      </c>
      <c r="C83" s="578" t="s">
        <v>898</v>
      </c>
      <c r="D83" s="580">
        <f>'Bang gia'!E21</f>
        <v>1554</v>
      </c>
      <c r="E83" s="584"/>
      <c r="F83" s="580"/>
      <c r="G83" s="582">
        <v>1.044</v>
      </c>
      <c r="H83" s="583">
        <f>D83*G83</f>
        <v>1622.376</v>
      </c>
      <c r="I83" s="584">
        <v>0.158</v>
      </c>
      <c r="J83" s="585">
        <f>D83*I83</f>
        <v>245.53200000000001</v>
      </c>
      <c r="K83" s="586">
        <f>F83+H83+J83</f>
        <v>1867.9079999999999</v>
      </c>
    </row>
    <row r="84" spans="1:15" ht="28.5" customHeight="1">
      <c r="A84" s="587"/>
      <c r="B84" s="588" t="s">
        <v>621</v>
      </c>
      <c r="C84" s="587"/>
      <c r="D84" s="587"/>
      <c r="E84" s="587"/>
      <c r="F84" s="589"/>
      <c r="G84" s="590"/>
      <c r="H84" s="591">
        <f>SUM(H83:H83)</f>
        <v>1622.376</v>
      </c>
      <c r="I84" s="591"/>
      <c r="J84" s="591">
        <f>SUM(J83:J83)</f>
        <v>245.53200000000001</v>
      </c>
      <c r="K84" s="591">
        <f>SUM(K83:K83)</f>
        <v>1867.9079999999999</v>
      </c>
      <c r="M84" s="572">
        <f>H84/5000</f>
        <v>0.32447520000000002</v>
      </c>
      <c r="O84" s="572">
        <f>J84/5000</f>
        <v>4.9106400000000001E-2</v>
      </c>
    </row>
    <row r="85" spans="1:15" ht="10.5" customHeight="1"/>
    <row r="86" spans="1:15">
      <c r="B86" s="599" t="s">
        <v>299</v>
      </c>
    </row>
    <row r="87" spans="1:15">
      <c r="B87" s="603" t="s">
        <v>337</v>
      </c>
    </row>
    <row r="88" spans="1:15">
      <c r="B88" s="605"/>
    </row>
    <row r="89" spans="1:15" ht="36.75" customHeight="1"/>
    <row r="90" spans="1:15" ht="27" customHeight="1">
      <c r="A90" s="1286" t="s">
        <v>458</v>
      </c>
      <c r="B90" s="1286"/>
      <c r="C90" s="1286"/>
      <c r="D90" s="1286"/>
      <c r="E90" s="1286"/>
      <c r="F90" s="1286"/>
      <c r="G90" s="1286"/>
      <c r="H90" s="1286"/>
      <c r="I90" s="1286"/>
      <c r="J90" s="1286"/>
      <c r="K90" s="1286"/>
    </row>
    <row r="91" spans="1:15" ht="8.25" customHeight="1">
      <c r="A91" s="480" t="s">
        <v>654</v>
      </c>
      <c r="B91" s="606"/>
      <c r="C91" s="600"/>
      <c r="D91" s="601"/>
      <c r="E91" s="480"/>
      <c r="F91" s="480"/>
      <c r="G91" s="606"/>
      <c r="H91" s="606"/>
      <c r="I91" s="607"/>
      <c r="J91" s="607"/>
      <c r="K91" s="494"/>
    </row>
    <row r="92" spans="1:15" ht="29.25" customHeight="1">
      <c r="A92" s="1245" t="s">
        <v>882</v>
      </c>
      <c r="B92" s="1245" t="s">
        <v>283</v>
      </c>
      <c r="C92" s="1245" t="s">
        <v>284</v>
      </c>
      <c r="D92" s="1245" t="s">
        <v>973</v>
      </c>
      <c r="E92" s="1254" t="s">
        <v>288</v>
      </c>
      <c r="F92" s="1255"/>
      <c r="G92" s="1255"/>
      <c r="H92" s="1255"/>
      <c r="I92" s="1255"/>
      <c r="J92" s="1256"/>
      <c r="K92" s="1245" t="s">
        <v>988</v>
      </c>
    </row>
    <row r="93" spans="1:15" ht="46.5" customHeight="1">
      <c r="A93" s="1246"/>
      <c r="B93" s="1246"/>
      <c r="C93" s="1246"/>
      <c r="D93" s="1246"/>
      <c r="E93" s="1254" t="s">
        <v>289</v>
      </c>
      <c r="F93" s="1256"/>
      <c r="G93" s="1254" t="s">
        <v>847</v>
      </c>
      <c r="H93" s="1256"/>
      <c r="I93" s="1254" t="s">
        <v>291</v>
      </c>
      <c r="J93" s="1256"/>
      <c r="K93" s="1246"/>
    </row>
    <row r="94" spans="1:15" ht="30" customHeight="1">
      <c r="A94" s="1247"/>
      <c r="B94" s="1247"/>
      <c r="C94" s="1247"/>
      <c r="D94" s="1247"/>
      <c r="E94" s="468" t="s">
        <v>898</v>
      </c>
      <c r="F94" s="468" t="s">
        <v>353</v>
      </c>
      <c r="G94" s="468" t="s">
        <v>898</v>
      </c>
      <c r="H94" s="468" t="s">
        <v>353</v>
      </c>
      <c r="I94" s="468" t="s">
        <v>898</v>
      </c>
      <c r="J94" s="468" t="s">
        <v>353</v>
      </c>
      <c r="K94" s="1247"/>
    </row>
    <row r="95" spans="1:15" ht="30" customHeight="1">
      <c r="A95" s="578">
        <v>1</v>
      </c>
      <c r="B95" s="579" t="s">
        <v>534</v>
      </c>
      <c r="C95" s="578" t="s">
        <v>898</v>
      </c>
      <c r="D95" s="580">
        <f>'Bang gia'!E21</f>
        <v>1554</v>
      </c>
      <c r="E95" s="582"/>
      <c r="F95" s="583"/>
      <c r="G95" s="582">
        <v>9.3770000000000007</v>
      </c>
      <c r="H95" s="583">
        <f>D95*G95</f>
        <v>14571.858</v>
      </c>
      <c r="I95" s="584"/>
      <c r="J95" s="585"/>
      <c r="K95" s="586">
        <f>F95+H95+J95</f>
        <v>14571.858</v>
      </c>
    </row>
    <row r="96" spans="1:15" ht="30" customHeight="1">
      <c r="A96" s="587"/>
      <c r="B96" s="588" t="s">
        <v>621</v>
      </c>
      <c r="C96" s="587"/>
      <c r="D96" s="587"/>
      <c r="E96" s="587"/>
      <c r="F96" s="591"/>
      <c r="G96" s="591"/>
      <c r="H96" s="591">
        <f>SUM(H95:H95)</f>
        <v>14571.858</v>
      </c>
      <c r="I96" s="590"/>
      <c r="J96" s="591"/>
      <c r="K96" s="591">
        <f>SUM(K95:K95)</f>
        <v>14571.858</v>
      </c>
      <c r="M96" s="572">
        <f>H96*1.3</f>
        <v>18943.415400000002</v>
      </c>
    </row>
    <row r="98" spans="1:14">
      <c r="B98" s="599" t="s">
        <v>299</v>
      </c>
    </row>
    <row r="99" spans="1:14">
      <c r="B99" s="603" t="s">
        <v>52</v>
      </c>
    </row>
    <row r="100" spans="1:14">
      <c r="B100" s="605"/>
    </row>
    <row r="102" spans="1:14" ht="41.25" customHeight="1">
      <c r="A102" s="1264" t="s">
        <v>227</v>
      </c>
      <c r="B102" s="1264"/>
      <c r="C102" s="1264"/>
      <c r="D102" s="1264"/>
      <c r="E102" s="1264"/>
      <c r="F102" s="1264"/>
      <c r="G102" s="1264"/>
      <c r="H102" s="1264"/>
      <c r="I102" s="1264"/>
      <c r="J102" s="1264"/>
      <c r="K102" s="1264"/>
    </row>
    <row r="103" spans="1:14">
      <c r="A103" s="480"/>
      <c r="B103" s="606"/>
      <c r="C103" s="600"/>
      <c r="D103" s="601"/>
      <c r="E103" s="480"/>
      <c r="F103" s="480"/>
      <c r="G103" s="606"/>
      <c r="H103" s="606"/>
      <c r="I103" s="607"/>
      <c r="J103" s="607"/>
      <c r="K103" s="494"/>
    </row>
    <row r="104" spans="1:14" ht="21.75" customHeight="1">
      <c r="A104" s="1245" t="s">
        <v>882</v>
      </c>
      <c r="B104" s="1245" t="s">
        <v>283</v>
      </c>
      <c r="C104" s="1245" t="s">
        <v>284</v>
      </c>
      <c r="D104" s="1245" t="s">
        <v>973</v>
      </c>
      <c r="E104" s="1254" t="s">
        <v>288</v>
      </c>
      <c r="F104" s="1255"/>
      <c r="G104" s="1255"/>
      <c r="H104" s="1255"/>
      <c r="I104" s="1255"/>
      <c r="J104" s="1256"/>
      <c r="K104" s="1245" t="s">
        <v>989</v>
      </c>
    </row>
    <row r="105" spans="1:14" ht="45" customHeight="1">
      <c r="A105" s="1246"/>
      <c r="B105" s="1246"/>
      <c r="C105" s="1246"/>
      <c r="D105" s="1246"/>
      <c r="E105" s="1254" t="s">
        <v>289</v>
      </c>
      <c r="F105" s="1256"/>
      <c r="G105" s="1254" t="s">
        <v>847</v>
      </c>
      <c r="H105" s="1256"/>
      <c r="I105" s="1254" t="s">
        <v>291</v>
      </c>
      <c r="J105" s="1256"/>
      <c r="K105" s="1246"/>
    </row>
    <row r="106" spans="1:14" ht="21.75" customHeight="1">
      <c r="A106" s="1247"/>
      <c r="B106" s="1247"/>
      <c r="C106" s="1247"/>
      <c r="D106" s="1247"/>
      <c r="E106" s="468" t="s">
        <v>898</v>
      </c>
      <c r="F106" s="468" t="s">
        <v>353</v>
      </c>
      <c r="G106" s="468" t="s">
        <v>898</v>
      </c>
      <c r="H106" s="468" t="s">
        <v>353</v>
      </c>
      <c r="I106" s="468" t="s">
        <v>898</v>
      </c>
      <c r="J106" s="468" t="s">
        <v>353</v>
      </c>
      <c r="K106" s="1247"/>
    </row>
    <row r="107" spans="1:14" ht="28.15" customHeight="1">
      <c r="A107" s="578">
        <v>1</v>
      </c>
      <c r="B107" s="579" t="s">
        <v>534</v>
      </c>
      <c r="C107" s="578" t="s">
        <v>898</v>
      </c>
      <c r="D107" s="580">
        <f>'Bang gia'!E21</f>
        <v>1554</v>
      </c>
      <c r="E107" s="584"/>
      <c r="F107" s="583"/>
      <c r="G107" s="582"/>
      <c r="H107" s="583"/>
      <c r="I107" s="584">
        <v>12.502000000000001</v>
      </c>
      <c r="J107" s="585">
        <f>D107*I107</f>
        <v>19428.108</v>
      </c>
      <c r="K107" s="586">
        <f>F107+H107+J107</f>
        <v>19428.108</v>
      </c>
    </row>
    <row r="108" spans="1:14" ht="28.15" customHeight="1">
      <c r="A108" s="587"/>
      <c r="B108" s="588" t="s">
        <v>621</v>
      </c>
      <c r="C108" s="587"/>
      <c r="D108" s="587"/>
      <c r="E108" s="587"/>
      <c r="F108" s="591"/>
      <c r="G108" s="591"/>
      <c r="H108" s="591"/>
      <c r="I108" s="590"/>
      <c r="J108" s="591">
        <f>SUM(J107:J107)</f>
        <v>19428.108</v>
      </c>
      <c r="K108" s="591">
        <f>SUM(K107:K107)</f>
        <v>19428.108</v>
      </c>
      <c r="N108" s="572">
        <f>J108*13</f>
        <v>252565.40400000001</v>
      </c>
    </row>
    <row r="109" spans="1:14" ht="13.5" customHeight="1"/>
    <row r="110" spans="1:14" ht="21.75" customHeight="1">
      <c r="B110" s="599" t="s">
        <v>299</v>
      </c>
    </row>
    <row r="111" spans="1:14" ht="18.75" customHeight="1">
      <c r="B111" s="603" t="s">
        <v>52</v>
      </c>
    </row>
    <row r="112" spans="1:14" ht="18.75" customHeight="1">
      <c r="B112" s="605"/>
    </row>
    <row r="113" spans="1:11" ht="22.5" customHeight="1"/>
    <row r="114" spans="1:11" ht="18" customHeight="1">
      <c r="A114" s="1264" t="s">
        <v>942</v>
      </c>
      <c r="B114" s="1264"/>
      <c r="C114" s="1264"/>
      <c r="D114" s="1264"/>
      <c r="E114" s="1264"/>
      <c r="F114" s="1264"/>
      <c r="G114" s="1264"/>
      <c r="H114" s="1264"/>
      <c r="I114" s="1264"/>
      <c r="J114" s="1264"/>
      <c r="K114" s="1264"/>
    </row>
    <row r="115" spans="1:11" ht="18.75" customHeight="1">
      <c r="A115" s="480"/>
      <c r="B115" s="606"/>
      <c r="C115" s="600"/>
      <c r="D115" s="601"/>
      <c r="E115" s="480"/>
      <c r="F115" s="480"/>
      <c r="G115" s="606"/>
      <c r="H115" s="606"/>
      <c r="I115" s="607"/>
      <c r="J115" s="607"/>
      <c r="K115" s="494"/>
    </row>
    <row r="116" spans="1:11" ht="23.25" customHeight="1">
      <c r="A116" s="1245" t="s">
        <v>882</v>
      </c>
      <c r="B116" s="1245" t="s">
        <v>283</v>
      </c>
      <c r="C116" s="1245" t="s">
        <v>284</v>
      </c>
      <c r="D116" s="1245" t="s">
        <v>973</v>
      </c>
      <c r="E116" s="1254" t="s">
        <v>288</v>
      </c>
      <c r="F116" s="1255"/>
      <c r="G116" s="1255"/>
      <c r="H116" s="1255"/>
      <c r="I116" s="1255"/>
      <c r="J116" s="1256"/>
      <c r="K116" s="1245" t="s">
        <v>985</v>
      </c>
    </row>
    <row r="117" spans="1:11" ht="46.5" customHeight="1">
      <c r="A117" s="1246"/>
      <c r="B117" s="1246"/>
      <c r="C117" s="1246"/>
      <c r="D117" s="1246"/>
      <c r="E117" s="1254" t="s">
        <v>289</v>
      </c>
      <c r="F117" s="1256"/>
      <c r="G117" s="1254" t="s">
        <v>322</v>
      </c>
      <c r="H117" s="1256"/>
      <c r="I117" s="1254" t="s">
        <v>291</v>
      </c>
      <c r="J117" s="1256"/>
      <c r="K117" s="1246"/>
    </row>
    <row r="118" spans="1:11" ht="26.25" customHeight="1">
      <c r="A118" s="1247"/>
      <c r="B118" s="1247"/>
      <c r="C118" s="1247"/>
      <c r="D118" s="1247"/>
      <c r="E118" s="468" t="s">
        <v>352</v>
      </c>
      <c r="F118" s="468" t="s">
        <v>353</v>
      </c>
      <c r="G118" s="468" t="s">
        <v>352</v>
      </c>
      <c r="H118" s="468" t="s">
        <v>353</v>
      </c>
      <c r="I118" s="468" t="s">
        <v>352</v>
      </c>
      <c r="J118" s="468" t="s">
        <v>353</v>
      </c>
      <c r="K118" s="1247"/>
    </row>
    <row r="119" spans="1:11" ht="29.45" customHeight="1">
      <c r="A119" s="578">
        <v>1</v>
      </c>
      <c r="B119" s="579" t="s">
        <v>534</v>
      </c>
      <c r="C119" s="578" t="s">
        <v>898</v>
      </c>
      <c r="D119" s="580">
        <f>'Bang gia'!E21</f>
        <v>1554</v>
      </c>
      <c r="E119" s="584">
        <v>0.189</v>
      </c>
      <c r="F119" s="583">
        <f>D119*E119</f>
        <v>293.70600000000002</v>
      </c>
      <c r="G119" s="582">
        <v>8.1389999999999993</v>
      </c>
      <c r="H119" s="583">
        <f>D119*G119</f>
        <v>12648.005999999999</v>
      </c>
      <c r="I119" s="609"/>
      <c r="J119" s="585"/>
      <c r="K119" s="586">
        <f>F119+H119+J119</f>
        <v>12941.712</v>
      </c>
    </row>
    <row r="120" spans="1:11" ht="29.45" customHeight="1">
      <c r="A120" s="587"/>
      <c r="B120" s="588" t="s">
        <v>621</v>
      </c>
      <c r="C120" s="587"/>
      <c r="D120" s="587"/>
      <c r="E120" s="587"/>
      <c r="F120" s="591">
        <f>SUM(F119:F119)</f>
        <v>293.70600000000002</v>
      </c>
      <c r="G120" s="591"/>
      <c r="H120" s="591">
        <f>SUM(H119:H119)</f>
        <v>12648.005999999999</v>
      </c>
      <c r="I120" s="590"/>
      <c r="J120" s="591"/>
      <c r="K120" s="591">
        <f>SUM(K119:K119)</f>
        <v>12941.712</v>
      </c>
    </row>
    <row r="122" spans="1:11">
      <c r="B122" s="599" t="s">
        <v>299</v>
      </c>
    </row>
    <row r="123" spans="1:11">
      <c r="B123" s="603" t="s">
        <v>53</v>
      </c>
      <c r="C123" s="603"/>
      <c r="D123" s="603"/>
      <c r="E123" s="494"/>
      <c r="F123" s="604"/>
      <c r="G123" s="494"/>
      <c r="H123" s="601"/>
      <c r="I123" s="601"/>
      <c r="J123" s="602"/>
      <c r="K123" s="602"/>
    </row>
    <row r="124" spans="1:11">
      <c r="B124" s="605"/>
      <c r="C124" s="605"/>
      <c r="D124" s="605"/>
      <c r="E124" s="494"/>
      <c r="F124" s="604"/>
      <c r="G124" s="494"/>
      <c r="H124" s="601"/>
      <c r="I124" s="601"/>
      <c r="J124" s="602"/>
      <c r="K124" s="602"/>
    </row>
    <row r="125" spans="1:11" ht="30" customHeight="1">
      <c r="B125" s="1244"/>
      <c r="C125" s="1244"/>
      <c r="D125" s="1244"/>
      <c r="E125" s="1244"/>
      <c r="F125" s="1244"/>
      <c r="G125" s="1244"/>
      <c r="H125" s="1244"/>
      <c r="I125" s="1244"/>
      <c r="J125" s="1244"/>
      <c r="K125" s="1244"/>
    </row>
    <row r="126" spans="1:11">
      <c r="B126" s="610"/>
      <c r="C126" s="610"/>
      <c r="D126" s="610"/>
      <c r="E126" s="610"/>
      <c r="F126" s="610"/>
      <c r="G126" s="610"/>
      <c r="H126" s="610"/>
      <c r="I126" s="610"/>
      <c r="J126" s="610"/>
      <c r="K126" s="610"/>
    </row>
    <row r="127" spans="1:11" ht="28.9" customHeight="1">
      <c r="A127" s="1264" t="s">
        <v>943</v>
      </c>
      <c r="B127" s="1264"/>
      <c r="C127" s="1264"/>
      <c r="D127" s="1264"/>
      <c r="E127" s="1264"/>
      <c r="F127" s="1264"/>
      <c r="G127" s="1264"/>
      <c r="H127" s="1264"/>
      <c r="I127" s="1264"/>
      <c r="J127" s="1264"/>
      <c r="K127" s="1264"/>
    </row>
    <row r="128" spans="1:11" ht="9.75" customHeight="1">
      <c r="A128" s="480"/>
      <c r="B128" s="606"/>
      <c r="C128" s="600"/>
      <c r="D128" s="601"/>
      <c r="E128" s="480"/>
      <c r="F128" s="480"/>
      <c r="G128" s="606"/>
      <c r="H128" s="606"/>
      <c r="I128" s="607"/>
      <c r="J128" s="607"/>
      <c r="K128" s="494"/>
    </row>
    <row r="129" spans="1:11" ht="24" customHeight="1">
      <c r="A129" s="1245" t="s">
        <v>882</v>
      </c>
      <c r="B129" s="1245" t="s">
        <v>283</v>
      </c>
      <c r="C129" s="1245" t="s">
        <v>284</v>
      </c>
      <c r="D129" s="1245" t="s">
        <v>973</v>
      </c>
      <c r="E129" s="1254" t="s">
        <v>288</v>
      </c>
      <c r="F129" s="1255"/>
      <c r="G129" s="1255"/>
      <c r="H129" s="1255"/>
      <c r="I129" s="1255"/>
      <c r="J129" s="1256"/>
      <c r="K129" s="1245" t="s">
        <v>969</v>
      </c>
    </row>
    <row r="130" spans="1:11" ht="34.9" customHeight="1">
      <c r="A130" s="1246"/>
      <c r="B130" s="1246"/>
      <c r="C130" s="1246"/>
      <c r="D130" s="1246"/>
      <c r="E130" s="1254" t="s">
        <v>289</v>
      </c>
      <c r="F130" s="1256"/>
      <c r="G130" s="1254" t="s">
        <v>847</v>
      </c>
      <c r="H130" s="1256"/>
      <c r="I130" s="1254" t="s">
        <v>291</v>
      </c>
      <c r="J130" s="1256"/>
      <c r="K130" s="1246"/>
    </row>
    <row r="131" spans="1:11" ht="27" customHeight="1">
      <c r="A131" s="1247"/>
      <c r="B131" s="1247"/>
      <c r="C131" s="1247"/>
      <c r="D131" s="1247"/>
      <c r="E131" s="468" t="s">
        <v>898</v>
      </c>
      <c r="F131" s="468" t="s">
        <v>353</v>
      </c>
      <c r="G131" s="468" t="s">
        <v>898</v>
      </c>
      <c r="H131" s="468" t="s">
        <v>353</v>
      </c>
      <c r="I131" s="468" t="s">
        <v>898</v>
      </c>
      <c r="J131" s="468" t="s">
        <v>353</v>
      </c>
      <c r="K131" s="1247"/>
    </row>
    <row r="132" spans="1:11" ht="22.9" customHeight="1">
      <c r="A132" s="578">
        <v>1</v>
      </c>
      <c r="B132" s="579" t="s">
        <v>534</v>
      </c>
      <c r="C132" s="578" t="s">
        <v>898</v>
      </c>
      <c r="D132" s="580">
        <f>'Bang gia'!E21</f>
        <v>1554</v>
      </c>
      <c r="E132" s="611">
        <v>8.8999999999999996E-2</v>
      </c>
      <c r="F132" s="583">
        <f>D132*E132</f>
        <v>138.30599999999998</v>
      </c>
      <c r="G132" s="582">
        <v>8.25</v>
      </c>
      <c r="H132" s="583">
        <f>D132*G132</f>
        <v>12820.5</v>
      </c>
      <c r="I132" s="584"/>
      <c r="J132" s="585"/>
      <c r="K132" s="586">
        <f>F132+H132+J132</f>
        <v>12958.806</v>
      </c>
    </row>
    <row r="133" spans="1:11" ht="22.9" customHeight="1">
      <c r="A133" s="587"/>
      <c r="B133" s="588" t="s">
        <v>621</v>
      </c>
      <c r="C133" s="587"/>
      <c r="D133" s="587"/>
      <c r="E133" s="587"/>
      <c r="F133" s="591">
        <f>SUM(F132:F132)</f>
        <v>138.30599999999998</v>
      </c>
      <c r="G133" s="591"/>
      <c r="H133" s="591">
        <f>SUM(H132:H132)</f>
        <v>12820.5</v>
      </c>
      <c r="I133" s="590"/>
      <c r="J133" s="591"/>
      <c r="K133" s="591">
        <f>SUM(K132:K132)</f>
        <v>12958.806</v>
      </c>
    </row>
    <row r="134" spans="1:11" ht="19.5" customHeight="1">
      <c r="B134" s="599" t="s">
        <v>417</v>
      </c>
    </row>
    <row r="135" spans="1:11" ht="19.5" customHeight="1">
      <c r="B135" s="605"/>
    </row>
    <row r="136" spans="1:11" ht="22.5" customHeight="1">
      <c r="A136" s="1264" t="s">
        <v>944</v>
      </c>
      <c r="B136" s="1264"/>
      <c r="C136" s="1264"/>
      <c r="D136" s="1264"/>
      <c r="E136" s="1264"/>
      <c r="F136" s="1264"/>
      <c r="G136" s="1264"/>
      <c r="H136" s="1264"/>
      <c r="I136" s="1264"/>
      <c r="J136" s="1264"/>
      <c r="K136" s="1264"/>
    </row>
    <row r="137" spans="1:11" ht="11.25" customHeight="1">
      <c r="B137" s="606"/>
      <c r="C137" s="600"/>
      <c r="D137" s="601"/>
      <c r="E137" s="480"/>
      <c r="F137" s="480"/>
      <c r="G137" s="606"/>
      <c r="H137" s="606"/>
      <c r="I137" s="607"/>
      <c r="J137" s="607"/>
      <c r="K137" s="494"/>
    </row>
    <row r="138" spans="1:11" ht="26.25" customHeight="1">
      <c r="A138" s="1245" t="s">
        <v>882</v>
      </c>
      <c r="B138" s="1245" t="s">
        <v>283</v>
      </c>
      <c r="C138" s="1245" t="s">
        <v>284</v>
      </c>
      <c r="D138" s="1245" t="s">
        <v>973</v>
      </c>
      <c r="E138" s="1254" t="s">
        <v>288</v>
      </c>
      <c r="F138" s="1255"/>
      <c r="G138" s="1255"/>
      <c r="H138" s="1255"/>
      <c r="I138" s="1255"/>
      <c r="J138" s="1256"/>
      <c r="K138" s="1245" t="s">
        <v>989</v>
      </c>
    </row>
    <row r="139" spans="1:11" ht="35.450000000000003" customHeight="1">
      <c r="A139" s="1246"/>
      <c r="B139" s="1246"/>
      <c r="C139" s="1246"/>
      <c r="D139" s="1246"/>
      <c r="E139" s="1254" t="s">
        <v>289</v>
      </c>
      <c r="F139" s="1256"/>
      <c r="G139" s="1254" t="s">
        <v>631</v>
      </c>
      <c r="H139" s="1256"/>
      <c r="I139" s="1254" t="s">
        <v>291</v>
      </c>
      <c r="J139" s="1256"/>
      <c r="K139" s="1246"/>
    </row>
    <row r="140" spans="1:11" ht="23.45" customHeight="1">
      <c r="A140" s="1247"/>
      <c r="B140" s="1247"/>
      <c r="C140" s="1247"/>
      <c r="D140" s="1247"/>
      <c r="E140" s="468" t="s">
        <v>898</v>
      </c>
      <c r="F140" s="468" t="s">
        <v>353</v>
      </c>
      <c r="G140" s="468" t="s">
        <v>898</v>
      </c>
      <c r="H140" s="468" t="s">
        <v>353</v>
      </c>
      <c r="I140" s="468" t="s">
        <v>898</v>
      </c>
      <c r="J140" s="468" t="s">
        <v>353</v>
      </c>
      <c r="K140" s="1247"/>
    </row>
    <row r="141" spans="1:11" ht="30" customHeight="1">
      <c r="A141" s="578">
        <v>1</v>
      </c>
      <c r="B141" s="579" t="s">
        <v>534</v>
      </c>
      <c r="C141" s="578" t="s">
        <v>898</v>
      </c>
      <c r="D141" s="580">
        <f>'Bang gia'!E21</f>
        <v>1554</v>
      </c>
      <c r="E141" s="584"/>
      <c r="F141" s="583"/>
      <c r="G141" s="582"/>
      <c r="H141" s="583"/>
      <c r="I141" s="584">
        <v>11.997</v>
      </c>
      <c r="J141" s="585">
        <f>D141*I141</f>
        <v>18643.338</v>
      </c>
      <c r="K141" s="586">
        <f>F141+H141+J141</f>
        <v>18643.338</v>
      </c>
    </row>
    <row r="142" spans="1:11" ht="30" customHeight="1">
      <c r="A142" s="587"/>
      <c r="B142" s="588" t="s">
        <v>621</v>
      </c>
      <c r="C142" s="587"/>
      <c r="D142" s="587"/>
      <c r="E142" s="587"/>
      <c r="F142" s="591"/>
      <c r="G142" s="591"/>
      <c r="H142" s="591"/>
      <c r="I142" s="590"/>
      <c r="J142" s="591">
        <f>SUM(J141:J141)</f>
        <v>18643.338</v>
      </c>
      <c r="K142" s="591">
        <f>SUM(K141:K141)</f>
        <v>18643.338</v>
      </c>
    </row>
    <row r="143" spans="1:11" ht="22.15" customHeight="1">
      <c r="B143" s="599" t="s">
        <v>54</v>
      </c>
    </row>
    <row r="145" spans="1:11" ht="27.75" customHeight="1">
      <c r="A145" s="1264" t="s">
        <v>945</v>
      </c>
      <c r="B145" s="1264"/>
      <c r="C145" s="1264"/>
      <c r="D145" s="1264"/>
      <c r="E145" s="1264"/>
      <c r="F145" s="1264"/>
    </row>
    <row r="146" spans="1:11">
      <c r="A146" s="574"/>
      <c r="B146" s="574"/>
      <c r="C146" s="574"/>
      <c r="D146" s="575"/>
      <c r="E146" s="575"/>
      <c r="F146" s="612"/>
    </row>
    <row r="147" spans="1:11" ht="39" customHeight="1">
      <c r="A147" s="613" t="s">
        <v>882</v>
      </c>
      <c r="B147" s="613" t="s">
        <v>283</v>
      </c>
      <c r="C147" s="613" t="s">
        <v>284</v>
      </c>
      <c r="D147" s="613" t="s">
        <v>972</v>
      </c>
      <c r="E147" s="613" t="s">
        <v>970</v>
      </c>
      <c r="F147" s="613" t="s">
        <v>971</v>
      </c>
      <c r="G147" s="1282" t="s">
        <v>162</v>
      </c>
      <c r="H147" s="1283"/>
      <c r="I147" s="1283"/>
      <c r="J147" s="1283"/>
      <c r="K147" s="1284"/>
    </row>
    <row r="148" spans="1:11" ht="30" customHeight="1">
      <c r="A148" s="614"/>
      <c r="B148" s="615" t="s">
        <v>534</v>
      </c>
      <c r="C148" s="614" t="s">
        <v>898</v>
      </c>
      <c r="D148" s="616">
        <f>'Bang gia'!E21</f>
        <v>1554</v>
      </c>
      <c r="E148" s="617">
        <v>2.032</v>
      </c>
      <c r="F148" s="616">
        <f>D148*E148</f>
        <v>3157.7280000000001</v>
      </c>
      <c r="G148" s="618"/>
      <c r="H148" s="619"/>
      <c r="I148" s="619"/>
      <c r="J148" s="619"/>
      <c r="K148" s="620"/>
    </row>
    <row r="149" spans="1:11" ht="30" customHeight="1">
      <c r="A149" s="590"/>
      <c r="B149" s="588" t="s">
        <v>621</v>
      </c>
      <c r="C149" s="590"/>
      <c r="D149" s="590"/>
      <c r="E149" s="621"/>
      <c r="F149" s="622">
        <f>SUM(F148:F148)</f>
        <v>3157.7280000000001</v>
      </c>
      <c r="G149" s="618"/>
      <c r="H149" s="619"/>
      <c r="I149" s="619"/>
      <c r="J149" s="619"/>
      <c r="K149" s="620"/>
    </row>
  </sheetData>
  <mergeCells count="127">
    <mergeCell ref="C80:C82"/>
    <mergeCell ref="D68:D70"/>
    <mergeCell ref="E68:J68"/>
    <mergeCell ref="E69:F69"/>
    <mergeCell ref="A68:A70"/>
    <mergeCell ref="D80:D82"/>
    <mergeCell ref="E57:F57"/>
    <mergeCell ref="E43:J43"/>
    <mergeCell ref="G57:H57"/>
    <mergeCell ref="D56:D58"/>
    <mergeCell ref="D43:D45"/>
    <mergeCell ref="E56:J56"/>
    <mergeCell ref="I57:J57"/>
    <mergeCell ref="E44:F44"/>
    <mergeCell ref="G44:H44"/>
    <mergeCell ref="A54:K54"/>
    <mergeCell ref="I20:J20"/>
    <mergeCell ref="A43:A45"/>
    <mergeCell ref="A29:K29"/>
    <mergeCell ref="A31:A33"/>
    <mergeCell ref="G32:H32"/>
    <mergeCell ref="C43:C45"/>
    <mergeCell ref="E32:F32"/>
    <mergeCell ref="D19:D21"/>
    <mergeCell ref="D31:D33"/>
    <mergeCell ref="C31:C33"/>
    <mergeCell ref="A66:K66"/>
    <mergeCell ref="K43:K45"/>
    <mergeCell ref="I32:J32"/>
    <mergeCell ref="K19:K21"/>
    <mergeCell ref="B43:B45"/>
    <mergeCell ref="C19:C21"/>
    <mergeCell ref="B19:B21"/>
    <mergeCell ref="E20:F20"/>
    <mergeCell ref="B28:K28"/>
    <mergeCell ref="A41:K41"/>
    <mergeCell ref="A90:K90"/>
    <mergeCell ref="K80:K82"/>
    <mergeCell ref="B68:B70"/>
    <mergeCell ref="C68:C70"/>
    <mergeCell ref="E80:J80"/>
    <mergeCell ref="I81:J81"/>
    <mergeCell ref="K68:K70"/>
    <mergeCell ref="I69:J69"/>
    <mergeCell ref="A80:A82"/>
    <mergeCell ref="B80:B82"/>
    <mergeCell ref="B14:K14"/>
    <mergeCell ref="B31:B33"/>
    <mergeCell ref="B56:B58"/>
    <mergeCell ref="K56:K58"/>
    <mergeCell ref="K31:K33"/>
    <mergeCell ref="A19:A21"/>
    <mergeCell ref="A17:K17"/>
    <mergeCell ref="G20:H20"/>
    <mergeCell ref="A56:A58"/>
    <mergeCell ref="C56:C58"/>
    <mergeCell ref="A3:K3"/>
    <mergeCell ref="D5:D7"/>
    <mergeCell ref="I6:J6"/>
    <mergeCell ref="E5:J5"/>
    <mergeCell ref="E6:F6"/>
    <mergeCell ref="G6:H6"/>
    <mergeCell ref="G69:H69"/>
    <mergeCell ref="E31:J31"/>
    <mergeCell ref="K104:K106"/>
    <mergeCell ref="E105:F105"/>
    <mergeCell ref="E19:J19"/>
    <mergeCell ref="A1:K1"/>
    <mergeCell ref="K5:K7"/>
    <mergeCell ref="A5:A7"/>
    <mergeCell ref="B5:B7"/>
    <mergeCell ref="C5:C7"/>
    <mergeCell ref="K129:K131"/>
    <mergeCell ref="E130:F130"/>
    <mergeCell ref="I130:J130"/>
    <mergeCell ref="A127:K127"/>
    <mergeCell ref="B129:B131"/>
    <mergeCell ref="B15:K15"/>
    <mergeCell ref="E104:J104"/>
    <mergeCell ref="E93:F93"/>
    <mergeCell ref="G93:H93"/>
    <mergeCell ref="I93:J93"/>
    <mergeCell ref="B116:B118"/>
    <mergeCell ref="A116:A118"/>
    <mergeCell ref="A104:A106"/>
    <mergeCell ref="C104:C106"/>
    <mergeCell ref="I44:J44"/>
    <mergeCell ref="D104:D106"/>
    <mergeCell ref="E92:J92"/>
    <mergeCell ref="A78:K78"/>
    <mergeCell ref="E81:F81"/>
    <mergeCell ref="G81:H81"/>
    <mergeCell ref="B104:B106"/>
    <mergeCell ref="A114:K114"/>
    <mergeCell ref="I105:J105"/>
    <mergeCell ref="A102:K102"/>
    <mergeCell ref="K92:K94"/>
    <mergeCell ref="A92:A94"/>
    <mergeCell ref="C92:C94"/>
    <mergeCell ref="D92:D94"/>
    <mergeCell ref="B92:B94"/>
    <mergeCell ref="I117:J117"/>
    <mergeCell ref="C116:C118"/>
    <mergeCell ref="G105:H105"/>
    <mergeCell ref="E116:J116"/>
    <mergeCell ref="G117:H117"/>
    <mergeCell ref="D116:D118"/>
    <mergeCell ref="G147:K147"/>
    <mergeCell ref="A129:A131"/>
    <mergeCell ref="G139:H139"/>
    <mergeCell ref="I139:J139"/>
    <mergeCell ref="D129:D131"/>
    <mergeCell ref="E129:J129"/>
    <mergeCell ref="A138:A140"/>
    <mergeCell ref="A145:F145"/>
    <mergeCell ref="A136:K136"/>
    <mergeCell ref="G130:H130"/>
    <mergeCell ref="K116:K118"/>
    <mergeCell ref="K138:K140"/>
    <mergeCell ref="E139:F139"/>
    <mergeCell ref="B138:B140"/>
    <mergeCell ref="C138:C140"/>
    <mergeCell ref="D138:D140"/>
    <mergeCell ref="C129:C131"/>
    <mergeCell ref="E138:J138"/>
    <mergeCell ref="B125:K125"/>
    <mergeCell ref="E117:F117"/>
  </mergeCells>
  <phoneticPr fontId="5" type="noConversion"/>
  <printOptions horizontalCentered="1"/>
  <pageMargins left="0.99803149599999996" right="0.99803149599999996" top="0.59055118110236204" bottom="0.78740157480314998" header="0.31496062992126" footer="0.39370078740157499"/>
  <pageSetup paperSize="9" scale="90" firstPageNumber="171" orientation="landscape" useFirstPageNumber="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M54"/>
  <sheetViews>
    <sheetView workbookViewId="0">
      <selection activeCell="I3" sqref="I3"/>
    </sheetView>
  </sheetViews>
  <sheetFormatPr defaultRowHeight="16.5"/>
  <cols>
    <col min="1" max="1" width="6.21875" customWidth="1"/>
    <col min="2" max="2" width="19.44140625" customWidth="1"/>
    <col min="3" max="3" width="7.21875" customWidth="1"/>
    <col min="4" max="4" width="11.33203125" customWidth="1"/>
    <col min="5" max="6" width="9.44140625" customWidth="1"/>
    <col min="7" max="7" width="9.77734375" customWidth="1"/>
    <col min="8" max="8" width="9.21875" customWidth="1"/>
    <col min="9" max="9" width="14.33203125" customWidth="1"/>
    <col min="10" max="11" width="10" customWidth="1"/>
  </cols>
  <sheetData>
    <row r="1" spans="1:11" ht="20.45" customHeight="1">
      <c r="A1" s="1091" t="s">
        <v>963</v>
      </c>
      <c r="B1" s="1091"/>
      <c r="C1" s="1091"/>
      <c r="D1" s="1091"/>
      <c r="E1" s="1091"/>
      <c r="F1" s="1091"/>
      <c r="G1" s="1091"/>
      <c r="H1" s="1091"/>
      <c r="I1" s="1091"/>
      <c r="J1" s="1091"/>
      <c r="K1" s="1091"/>
    </row>
    <row r="2" spans="1:11" ht="21" customHeight="1">
      <c r="A2" s="1090" t="s">
        <v>964</v>
      </c>
      <c r="B2" s="1090"/>
      <c r="C2" s="1090"/>
      <c r="D2" s="1090"/>
      <c r="E2" s="1090"/>
      <c r="F2" s="1090"/>
      <c r="G2" s="1090"/>
      <c r="H2" s="1090"/>
      <c r="I2" s="1090"/>
      <c r="J2" s="1090"/>
      <c r="K2" s="1090"/>
    </row>
    <row r="3" spans="1:11">
      <c r="A3" s="97"/>
      <c r="B3" s="97"/>
      <c r="C3" s="98"/>
      <c r="D3" s="98"/>
      <c r="E3" s="98"/>
      <c r="F3" s="98"/>
      <c r="G3" s="98"/>
      <c r="H3" s="98"/>
      <c r="I3" s="99" t="s">
        <v>639</v>
      </c>
      <c r="J3" s="289">
        <f>'He so chung'!D4</f>
        <v>1390000</v>
      </c>
      <c r="K3" s="100" t="s">
        <v>175</v>
      </c>
    </row>
    <row r="4" spans="1:11" ht="7.5" customHeight="1">
      <c r="A4" s="97"/>
      <c r="B4" s="97"/>
      <c r="C4" s="98"/>
      <c r="D4" s="98"/>
      <c r="E4" s="98"/>
      <c r="F4" s="98"/>
      <c r="G4" s="98"/>
      <c r="H4" s="98"/>
      <c r="I4" s="101"/>
      <c r="J4" s="101"/>
      <c r="K4" s="98"/>
    </row>
    <row r="5" spans="1:11" ht="47.25" customHeight="1">
      <c r="A5" s="102" t="s">
        <v>176</v>
      </c>
      <c r="B5" s="102" t="s">
        <v>177</v>
      </c>
      <c r="C5" s="102" t="s">
        <v>178</v>
      </c>
      <c r="D5" s="102" t="s">
        <v>917</v>
      </c>
      <c r="E5" s="102" t="s">
        <v>918</v>
      </c>
      <c r="F5" s="102" t="s">
        <v>919</v>
      </c>
      <c r="G5" s="102" t="s">
        <v>920</v>
      </c>
      <c r="H5" s="102" t="s">
        <v>921</v>
      </c>
      <c r="I5" s="1027" t="s">
        <v>663</v>
      </c>
      <c r="J5" s="102" t="s">
        <v>922</v>
      </c>
      <c r="K5" s="102" t="s">
        <v>923</v>
      </c>
    </row>
    <row r="6" spans="1:11" ht="16.350000000000001" customHeight="1">
      <c r="A6" s="103" t="s">
        <v>179</v>
      </c>
      <c r="B6" s="104" t="s">
        <v>180</v>
      </c>
      <c r="C6" s="103"/>
      <c r="D6" s="103"/>
      <c r="E6" s="103"/>
      <c r="F6" s="103"/>
      <c r="G6" s="103"/>
      <c r="H6" s="103"/>
      <c r="I6" s="103"/>
      <c r="J6" s="103"/>
      <c r="K6" s="103"/>
    </row>
    <row r="7" spans="1:11" ht="16.350000000000001" customHeight="1">
      <c r="A7" s="105">
        <v>1</v>
      </c>
      <c r="B7" s="106" t="s">
        <v>181</v>
      </c>
      <c r="C7" s="107"/>
      <c r="D7" s="108"/>
      <c r="E7" s="108"/>
      <c r="F7" s="108"/>
      <c r="G7" s="108"/>
      <c r="H7" s="108"/>
      <c r="I7" s="108"/>
      <c r="J7" s="108"/>
      <c r="K7" s="108"/>
    </row>
    <row r="8" spans="1:11" ht="16.350000000000001" customHeight="1">
      <c r="A8" s="109"/>
      <c r="B8" s="110" t="s">
        <v>885</v>
      </c>
      <c r="C8" s="110" t="s">
        <v>890</v>
      </c>
      <c r="D8" s="111" t="e">
        <f>$J$3*C8</f>
        <v>#VALUE!</v>
      </c>
      <c r="E8" s="111" t="e">
        <f>D8*'He so chung'!$D$5/100</f>
        <v>#VALUE!</v>
      </c>
      <c r="F8" s="111">
        <f>$J$3*'He so chung'!$D$6</f>
        <v>556000</v>
      </c>
      <c r="G8" s="111">
        <f>$J$3*'He so chung'!$D$7/5</f>
        <v>55600</v>
      </c>
      <c r="H8" s="111">
        <v>0</v>
      </c>
      <c r="I8" s="111" t="e">
        <f>D8*'He so chung'!$D$9/100</f>
        <v>#VALUE!</v>
      </c>
      <c r="J8" s="111" t="e">
        <f>D8+E8+F8+G8+H8+I8</f>
        <v>#VALUE!</v>
      </c>
      <c r="K8" s="112" t="e">
        <f>J8/'He so chung'!$D$10</f>
        <v>#VALUE!</v>
      </c>
    </row>
    <row r="9" spans="1:11" ht="16.350000000000001" customHeight="1">
      <c r="A9" s="109"/>
      <c r="B9" s="110" t="s">
        <v>886</v>
      </c>
      <c r="C9" s="110" t="s">
        <v>582</v>
      </c>
      <c r="D9" s="111" t="e">
        <f t="shared" ref="D9:D15" si="0">$J$3*C9</f>
        <v>#VALUE!</v>
      </c>
      <c r="E9" s="111" t="e">
        <f>D9*'He so chung'!$D$5/100</f>
        <v>#VALUE!</v>
      </c>
      <c r="F9" s="111">
        <f>$J$3*'He so chung'!$D$6</f>
        <v>556000</v>
      </c>
      <c r="G9" s="111">
        <f>$J$3*'He so chung'!$D$7/5</f>
        <v>55600</v>
      </c>
      <c r="H9" s="111">
        <v>0</v>
      </c>
      <c r="I9" s="111" t="e">
        <f>D9*'He so chung'!$D$9/100</f>
        <v>#VALUE!</v>
      </c>
      <c r="J9" s="111" t="e">
        <f t="shared" ref="J9:J15" si="1">D9+E9+F9+G9+H9+I9</f>
        <v>#VALUE!</v>
      </c>
      <c r="K9" s="112" t="e">
        <f>J9/'He so chung'!$D$10</f>
        <v>#VALUE!</v>
      </c>
    </row>
    <row r="10" spans="1:11" ht="16.350000000000001" customHeight="1">
      <c r="A10" s="109"/>
      <c r="B10" s="110" t="s">
        <v>887</v>
      </c>
      <c r="C10" s="110" t="s">
        <v>583</v>
      </c>
      <c r="D10" s="111" t="e">
        <f t="shared" si="0"/>
        <v>#VALUE!</v>
      </c>
      <c r="E10" s="111" t="e">
        <f>D10*'He so chung'!$D$5/100</f>
        <v>#VALUE!</v>
      </c>
      <c r="F10" s="111">
        <f>$J$3*'He so chung'!$D$6</f>
        <v>556000</v>
      </c>
      <c r="G10" s="111">
        <f>$J$3*'He so chung'!$D$7/5</f>
        <v>55600</v>
      </c>
      <c r="H10" s="111">
        <v>0</v>
      </c>
      <c r="I10" s="111" t="e">
        <f>D10*'He so chung'!$D$9/100</f>
        <v>#VALUE!</v>
      </c>
      <c r="J10" s="111" t="e">
        <f t="shared" si="1"/>
        <v>#VALUE!</v>
      </c>
      <c r="K10" s="112" t="e">
        <f>J10/'He so chung'!$D$10</f>
        <v>#VALUE!</v>
      </c>
    </row>
    <row r="11" spans="1:11" ht="16.350000000000001" customHeight="1">
      <c r="A11" s="109"/>
      <c r="B11" s="110" t="s">
        <v>888</v>
      </c>
      <c r="C11" s="110" t="s">
        <v>584</v>
      </c>
      <c r="D11" s="111" t="e">
        <f t="shared" si="0"/>
        <v>#VALUE!</v>
      </c>
      <c r="E11" s="111" t="e">
        <f>D11*'He so chung'!$D$5/100</f>
        <v>#VALUE!</v>
      </c>
      <c r="F11" s="111">
        <f>$J$3*'He so chung'!$D$6</f>
        <v>556000</v>
      </c>
      <c r="G11" s="111">
        <f>$J$3*'He so chung'!$D$7/5</f>
        <v>55600</v>
      </c>
      <c r="H11" s="111">
        <v>0</v>
      </c>
      <c r="I11" s="111" t="e">
        <f>D11*'He so chung'!$D$9/100</f>
        <v>#VALUE!</v>
      </c>
      <c r="J11" s="111" t="e">
        <f t="shared" si="1"/>
        <v>#VALUE!</v>
      </c>
      <c r="K11" s="112" t="e">
        <f>J11/'He so chung'!$D$10</f>
        <v>#VALUE!</v>
      </c>
    </row>
    <row r="12" spans="1:11" ht="16.350000000000001" customHeight="1">
      <c r="A12" s="109"/>
      <c r="B12" s="110" t="s">
        <v>889</v>
      </c>
      <c r="C12" s="110" t="s">
        <v>585</v>
      </c>
      <c r="D12" s="111" t="e">
        <f t="shared" si="0"/>
        <v>#VALUE!</v>
      </c>
      <c r="E12" s="111" t="e">
        <f>D12*'He so chung'!$D$5/100</f>
        <v>#VALUE!</v>
      </c>
      <c r="F12" s="111">
        <f>$J$3*'He so chung'!$D$6</f>
        <v>556000</v>
      </c>
      <c r="G12" s="111">
        <f>$J$3*'He so chung'!$D$7/5</f>
        <v>55600</v>
      </c>
      <c r="H12" s="111">
        <v>0</v>
      </c>
      <c r="I12" s="111" t="e">
        <f>D12*'He so chung'!$D$9/100</f>
        <v>#VALUE!</v>
      </c>
      <c r="J12" s="111" t="e">
        <f t="shared" si="1"/>
        <v>#VALUE!</v>
      </c>
      <c r="K12" s="112" t="e">
        <f>J12/'He so chung'!$D$10</f>
        <v>#VALUE!</v>
      </c>
    </row>
    <row r="13" spans="1:11" ht="16.350000000000001" customHeight="1">
      <c r="A13" s="109"/>
      <c r="B13" s="110" t="s">
        <v>371</v>
      </c>
      <c r="C13" s="110" t="s">
        <v>586</v>
      </c>
      <c r="D13" s="111" t="e">
        <f t="shared" si="0"/>
        <v>#VALUE!</v>
      </c>
      <c r="E13" s="111" t="e">
        <f>D13*'He so chung'!$D$5/100</f>
        <v>#VALUE!</v>
      </c>
      <c r="F13" s="111">
        <f>$J$3*'He so chung'!$D$6</f>
        <v>556000</v>
      </c>
      <c r="G13" s="111">
        <f>$J$3*'He so chung'!$D$7/5</f>
        <v>55600</v>
      </c>
      <c r="H13" s="111">
        <v>0</v>
      </c>
      <c r="I13" s="111" t="e">
        <f>D13*'He so chung'!$D$9/100</f>
        <v>#VALUE!</v>
      </c>
      <c r="J13" s="111" t="e">
        <f t="shared" si="1"/>
        <v>#VALUE!</v>
      </c>
      <c r="K13" s="112" t="e">
        <f>J13/'He so chung'!$D$10</f>
        <v>#VALUE!</v>
      </c>
    </row>
    <row r="14" spans="1:11" ht="16.350000000000001" customHeight="1">
      <c r="A14" s="109"/>
      <c r="B14" s="110" t="s">
        <v>372</v>
      </c>
      <c r="C14" s="110" t="s">
        <v>587</v>
      </c>
      <c r="D14" s="111" t="e">
        <f t="shared" si="0"/>
        <v>#VALUE!</v>
      </c>
      <c r="E14" s="111" t="e">
        <f>D14*'He so chung'!$D$5/100</f>
        <v>#VALUE!</v>
      </c>
      <c r="F14" s="111">
        <f>$J$3*'He so chung'!$D$6</f>
        <v>556000</v>
      </c>
      <c r="G14" s="111">
        <f>$J$3*'He so chung'!$D$7/5</f>
        <v>55600</v>
      </c>
      <c r="H14" s="111">
        <v>0</v>
      </c>
      <c r="I14" s="111" t="e">
        <f>D14*'He so chung'!$D$9/100</f>
        <v>#VALUE!</v>
      </c>
      <c r="J14" s="111" t="e">
        <f t="shared" si="1"/>
        <v>#VALUE!</v>
      </c>
      <c r="K14" s="112" t="e">
        <f>J14/'He so chung'!$D$10</f>
        <v>#VALUE!</v>
      </c>
    </row>
    <row r="15" spans="1:11" ht="16.350000000000001" customHeight="1">
      <c r="A15" s="109"/>
      <c r="B15" s="110" t="s">
        <v>373</v>
      </c>
      <c r="C15" s="110" t="s">
        <v>588</v>
      </c>
      <c r="D15" s="111" t="e">
        <f t="shared" si="0"/>
        <v>#VALUE!</v>
      </c>
      <c r="E15" s="111" t="e">
        <f>D15*'He so chung'!$D$5/100</f>
        <v>#VALUE!</v>
      </c>
      <c r="F15" s="111">
        <f>$J$3*'He so chung'!$D$6</f>
        <v>556000</v>
      </c>
      <c r="G15" s="111">
        <f>$J$3*'He so chung'!$D$7/5</f>
        <v>55600</v>
      </c>
      <c r="H15" s="111">
        <v>0</v>
      </c>
      <c r="I15" s="111" t="e">
        <f>D15*'He so chung'!$D$9/100</f>
        <v>#VALUE!</v>
      </c>
      <c r="J15" s="111" t="e">
        <f t="shared" si="1"/>
        <v>#VALUE!</v>
      </c>
      <c r="K15" s="112" t="e">
        <f>J15/'He so chung'!$D$10</f>
        <v>#VALUE!</v>
      </c>
    </row>
    <row r="16" spans="1:11" ht="16.350000000000001" customHeight="1">
      <c r="A16" s="113">
        <v>2</v>
      </c>
      <c r="B16" s="114" t="s">
        <v>182</v>
      </c>
      <c r="C16" s="110"/>
      <c r="D16" s="111"/>
      <c r="E16" s="111"/>
      <c r="F16" s="111"/>
      <c r="G16" s="111"/>
      <c r="H16" s="111"/>
      <c r="I16" s="111"/>
      <c r="J16" s="111"/>
      <c r="K16" s="112"/>
    </row>
    <row r="17" spans="1:11" ht="16.350000000000001" customHeight="1">
      <c r="A17" s="109"/>
      <c r="B17" s="110" t="s">
        <v>887</v>
      </c>
      <c r="C17" s="110" t="s">
        <v>589</v>
      </c>
      <c r="D17" s="111" t="e">
        <f t="shared" ref="D17:D26" si="2">$J$3*C17</f>
        <v>#VALUE!</v>
      </c>
      <c r="E17" s="111" t="e">
        <f>D17*'He so chung'!$D$5/100</f>
        <v>#VALUE!</v>
      </c>
      <c r="F17" s="111">
        <f>$J$3*'He so chung'!$D$6</f>
        <v>556000</v>
      </c>
      <c r="G17" s="111">
        <f>$J$3*'He so chung'!$D$7/5</f>
        <v>55600</v>
      </c>
      <c r="H17" s="111">
        <v>0</v>
      </c>
      <c r="I17" s="111" t="e">
        <f>D17*'He so chung'!$D$9/100</f>
        <v>#VALUE!</v>
      </c>
      <c r="J17" s="111" t="e">
        <f t="shared" ref="J17:J26" si="3">D17+E17+F17+G17+H17+I17</f>
        <v>#VALUE!</v>
      </c>
      <c r="K17" s="112" t="e">
        <f>J17/'He so chung'!$D$10</f>
        <v>#VALUE!</v>
      </c>
    </row>
    <row r="18" spans="1:11" ht="16.350000000000001" customHeight="1">
      <c r="A18" s="109"/>
      <c r="B18" s="110" t="s">
        <v>888</v>
      </c>
      <c r="C18" s="110" t="s">
        <v>590</v>
      </c>
      <c r="D18" s="111" t="e">
        <f t="shared" si="2"/>
        <v>#VALUE!</v>
      </c>
      <c r="E18" s="111" t="e">
        <f>D18*'He so chung'!$D$5/100</f>
        <v>#VALUE!</v>
      </c>
      <c r="F18" s="111">
        <f>$J$3*'He so chung'!$D$6</f>
        <v>556000</v>
      </c>
      <c r="G18" s="111">
        <f>$J$3*'He so chung'!$D$7/5</f>
        <v>55600</v>
      </c>
      <c r="H18" s="111">
        <v>0</v>
      </c>
      <c r="I18" s="111" t="e">
        <f>D18*'He so chung'!$D$9/100</f>
        <v>#VALUE!</v>
      </c>
      <c r="J18" s="111" t="e">
        <f t="shared" si="3"/>
        <v>#VALUE!</v>
      </c>
      <c r="K18" s="112" t="e">
        <f>J18/'He so chung'!$D$10</f>
        <v>#VALUE!</v>
      </c>
    </row>
    <row r="19" spans="1:11" ht="16.350000000000001" customHeight="1">
      <c r="A19" s="109"/>
      <c r="B19" s="110" t="s">
        <v>889</v>
      </c>
      <c r="C19" s="110" t="s">
        <v>591</v>
      </c>
      <c r="D19" s="111" t="e">
        <f t="shared" si="2"/>
        <v>#VALUE!</v>
      </c>
      <c r="E19" s="111" t="e">
        <f>D19*'He so chung'!$D$5/100</f>
        <v>#VALUE!</v>
      </c>
      <c r="F19" s="111">
        <f>$J$3*'He so chung'!$D$6</f>
        <v>556000</v>
      </c>
      <c r="G19" s="111">
        <f>$J$3*'He so chung'!$D$7/5</f>
        <v>55600</v>
      </c>
      <c r="H19" s="111">
        <v>0</v>
      </c>
      <c r="I19" s="111" t="e">
        <f>D19*'He so chung'!$D$9/100</f>
        <v>#VALUE!</v>
      </c>
      <c r="J19" s="111" t="e">
        <f t="shared" si="3"/>
        <v>#VALUE!</v>
      </c>
      <c r="K19" s="112" t="e">
        <f>J19/'He so chung'!$D$10</f>
        <v>#VALUE!</v>
      </c>
    </row>
    <row r="20" spans="1:11" ht="16.350000000000001" customHeight="1">
      <c r="A20" s="109"/>
      <c r="B20" s="110" t="s">
        <v>371</v>
      </c>
      <c r="C20" s="110" t="s">
        <v>592</v>
      </c>
      <c r="D20" s="111" t="e">
        <f t="shared" si="2"/>
        <v>#VALUE!</v>
      </c>
      <c r="E20" s="111" t="e">
        <f>D20*'He so chung'!$D$5/100</f>
        <v>#VALUE!</v>
      </c>
      <c r="F20" s="111">
        <f>$J$3*'He so chung'!$D$6</f>
        <v>556000</v>
      </c>
      <c r="G20" s="111">
        <f>$J$3*'He so chung'!$D$7/5</f>
        <v>55600</v>
      </c>
      <c r="H20" s="111">
        <v>0</v>
      </c>
      <c r="I20" s="111" t="e">
        <f>D20*'He so chung'!$D$9/100</f>
        <v>#VALUE!</v>
      </c>
      <c r="J20" s="111" t="e">
        <f t="shared" si="3"/>
        <v>#VALUE!</v>
      </c>
      <c r="K20" s="112" t="e">
        <f>J20/'He so chung'!$D$10</f>
        <v>#VALUE!</v>
      </c>
    </row>
    <row r="21" spans="1:11" ht="16.350000000000001" customHeight="1">
      <c r="A21" s="109"/>
      <c r="B21" s="110" t="s">
        <v>372</v>
      </c>
      <c r="C21" s="110" t="s">
        <v>593</v>
      </c>
      <c r="D21" s="111" t="e">
        <f t="shared" si="2"/>
        <v>#VALUE!</v>
      </c>
      <c r="E21" s="111" t="e">
        <f>D21*'He so chung'!$D$5/100</f>
        <v>#VALUE!</v>
      </c>
      <c r="F21" s="111">
        <f>$J$3*'He so chung'!$D$6</f>
        <v>556000</v>
      </c>
      <c r="G21" s="111">
        <f>$J$3*'He so chung'!$D$7/5</f>
        <v>55600</v>
      </c>
      <c r="H21" s="111">
        <v>0</v>
      </c>
      <c r="I21" s="111" t="e">
        <f>D21*'He so chung'!$D$9/100</f>
        <v>#VALUE!</v>
      </c>
      <c r="J21" s="111" t="e">
        <f t="shared" si="3"/>
        <v>#VALUE!</v>
      </c>
      <c r="K21" s="112" t="e">
        <f>J21/'He so chung'!$D$10</f>
        <v>#VALUE!</v>
      </c>
    </row>
    <row r="22" spans="1:11" ht="16.350000000000001" customHeight="1">
      <c r="A22" s="109"/>
      <c r="B22" s="110" t="s">
        <v>373</v>
      </c>
      <c r="C22" s="110" t="s">
        <v>594</v>
      </c>
      <c r="D22" s="111" t="e">
        <f t="shared" si="2"/>
        <v>#VALUE!</v>
      </c>
      <c r="E22" s="111" t="e">
        <f>D22*'He so chung'!$D$5/100</f>
        <v>#VALUE!</v>
      </c>
      <c r="F22" s="111">
        <f>$J$3*'He so chung'!$D$6</f>
        <v>556000</v>
      </c>
      <c r="G22" s="111">
        <f>$J$3*'He so chung'!$D$7/5</f>
        <v>55600</v>
      </c>
      <c r="H22" s="111">
        <v>0</v>
      </c>
      <c r="I22" s="111" t="e">
        <f>D22*'He so chung'!$D$9/100</f>
        <v>#VALUE!</v>
      </c>
      <c r="J22" s="111" t="e">
        <f t="shared" si="3"/>
        <v>#VALUE!</v>
      </c>
      <c r="K22" s="112" t="e">
        <f>J22/'He so chung'!$D$10</f>
        <v>#VALUE!</v>
      </c>
    </row>
    <row r="23" spans="1:11" ht="16.350000000000001" customHeight="1">
      <c r="A23" s="109"/>
      <c r="B23" s="110" t="s">
        <v>376</v>
      </c>
      <c r="C23" s="110" t="s">
        <v>595</v>
      </c>
      <c r="D23" s="111" t="e">
        <f t="shared" si="2"/>
        <v>#VALUE!</v>
      </c>
      <c r="E23" s="111" t="e">
        <f>D23*'He so chung'!$D$5/100</f>
        <v>#VALUE!</v>
      </c>
      <c r="F23" s="111">
        <f>$J$3*'He so chung'!$D$6</f>
        <v>556000</v>
      </c>
      <c r="G23" s="111">
        <f>$J$3*'He so chung'!$D$7/5</f>
        <v>55600</v>
      </c>
      <c r="H23" s="111">
        <v>0</v>
      </c>
      <c r="I23" s="111" t="e">
        <f>D23*'He so chung'!$D$9/100</f>
        <v>#VALUE!</v>
      </c>
      <c r="J23" s="111" t="e">
        <f t="shared" si="3"/>
        <v>#VALUE!</v>
      </c>
      <c r="K23" s="112" t="e">
        <f>J23/'He so chung'!$D$10</f>
        <v>#VALUE!</v>
      </c>
    </row>
    <row r="24" spans="1:11" ht="16.350000000000001" customHeight="1">
      <c r="A24" s="109"/>
      <c r="B24" s="110" t="s">
        <v>377</v>
      </c>
      <c r="C24" s="110" t="s">
        <v>585</v>
      </c>
      <c r="D24" s="111" t="e">
        <f t="shared" si="2"/>
        <v>#VALUE!</v>
      </c>
      <c r="E24" s="111" t="e">
        <f>D24*'He so chung'!$D$5/100</f>
        <v>#VALUE!</v>
      </c>
      <c r="F24" s="111">
        <f>$J$3*'He so chung'!$D$6</f>
        <v>556000</v>
      </c>
      <c r="G24" s="111">
        <f>$J$3*'He so chung'!$D$7/5</f>
        <v>55600</v>
      </c>
      <c r="H24" s="111">
        <v>0</v>
      </c>
      <c r="I24" s="111" t="e">
        <f>D24*'He so chung'!$D$9/100</f>
        <v>#VALUE!</v>
      </c>
      <c r="J24" s="111" t="e">
        <f t="shared" si="3"/>
        <v>#VALUE!</v>
      </c>
      <c r="K24" s="112" t="e">
        <f>J24/'He so chung'!$D$10</f>
        <v>#VALUE!</v>
      </c>
    </row>
    <row r="25" spans="1:11" ht="16.350000000000001" customHeight="1">
      <c r="A25" s="109"/>
      <c r="B25" s="110" t="s">
        <v>378</v>
      </c>
      <c r="C25" s="110" t="s">
        <v>596</v>
      </c>
      <c r="D25" s="111" t="e">
        <f t="shared" si="2"/>
        <v>#VALUE!</v>
      </c>
      <c r="E25" s="111" t="e">
        <f>D25*'He so chung'!$D$5/100</f>
        <v>#VALUE!</v>
      </c>
      <c r="F25" s="111">
        <f>$J$3*'He so chung'!$D$6</f>
        <v>556000</v>
      </c>
      <c r="G25" s="111">
        <f>$J$3*'He so chung'!$D$7/5</f>
        <v>55600</v>
      </c>
      <c r="H25" s="111">
        <v>0</v>
      </c>
      <c r="I25" s="111" t="e">
        <f>D25*'He so chung'!$D$9/100</f>
        <v>#VALUE!</v>
      </c>
      <c r="J25" s="111" t="e">
        <f t="shared" si="3"/>
        <v>#VALUE!</v>
      </c>
      <c r="K25" s="112" t="e">
        <f>J25/'He so chung'!$D$10</f>
        <v>#VALUE!</v>
      </c>
    </row>
    <row r="26" spans="1:11" ht="16.350000000000001" customHeight="1">
      <c r="A26" s="109"/>
      <c r="B26" s="110" t="s">
        <v>379</v>
      </c>
      <c r="C26" s="110" t="s">
        <v>597</v>
      </c>
      <c r="D26" s="111" t="e">
        <f t="shared" si="2"/>
        <v>#VALUE!</v>
      </c>
      <c r="E26" s="111" t="e">
        <f>D26*'He so chung'!$D$5/100</f>
        <v>#VALUE!</v>
      </c>
      <c r="F26" s="111">
        <f>$J$3*'He so chung'!$D$6</f>
        <v>556000</v>
      </c>
      <c r="G26" s="111">
        <f>$J$3*'He so chung'!$D$7/5</f>
        <v>55600</v>
      </c>
      <c r="H26" s="111">
        <v>0</v>
      </c>
      <c r="I26" s="111" t="e">
        <f>D26*'He so chung'!$D$9/100</f>
        <v>#VALUE!</v>
      </c>
      <c r="J26" s="111" t="e">
        <f t="shared" si="3"/>
        <v>#VALUE!</v>
      </c>
      <c r="K26" s="112" t="e">
        <f>J26/'He so chung'!$D$10</f>
        <v>#VALUE!</v>
      </c>
    </row>
    <row r="27" spans="1:11" ht="16.350000000000001" customHeight="1">
      <c r="A27" s="113">
        <v>3</v>
      </c>
      <c r="B27" s="114" t="s">
        <v>183</v>
      </c>
      <c r="C27" s="110"/>
      <c r="D27" s="111"/>
      <c r="E27" s="111"/>
      <c r="F27" s="111"/>
      <c r="G27" s="111"/>
      <c r="H27" s="111"/>
      <c r="I27" s="111"/>
      <c r="J27" s="111"/>
      <c r="K27" s="112"/>
    </row>
    <row r="28" spans="1:11" ht="16.350000000000001" customHeight="1">
      <c r="A28" s="115"/>
      <c r="B28" s="116" t="s">
        <v>887</v>
      </c>
      <c r="C28" s="116" t="s">
        <v>598</v>
      </c>
      <c r="D28" s="117" t="e">
        <f>$J$3*C28</f>
        <v>#VALUE!</v>
      </c>
      <c r="E28" s="117" t="e">
        <f>D28*'He so chung'!$D$5/100</f>
        <v>#VALUE!</v>
      </c>
      <c r="F28" s="117">
        <f>$J$3*'He so chung'!$D$6</f>
        <v>556000</v>
      </c>
      <c r="G28" s="117"/>
      <c r="H28" s="117">
        <v>0</v>
      </c>
      <c r="I28" s="117" t="e">
        <f>D28*'He so chung'!$D$9/100</f>
        <v>#VALUE!</v>
      </c>
      <c r="J28" s="117" t="e">
        <f>D28+E28+F28+G28+H28+I28</f>
        <v>#VALUE!</v>
      </c>
      <c r="K28" s="118" t="e">
        <f>J28/'He so chung'!$D$10</f>
        <v>#VALUE!</v>
      </c>
    </row>
    <row r="29" spans="1:11" ht="15.75" customHeight="1">
      <c r="A29" s="98"/>
      <c r="B29" s="119"/>
      <c r="C29" s="119"/>
      <c r="D29" s="120"/>
      <c r="E29" s="119"/>
      <c r="F29" s="119"/>
      <c r="G29" s="120"/>
      <c r="H29" s="120"/>
      <c r="I29" s="119"/>
      <c r="J29" s="119"/>
      <c r="K29" s="119"/>
    </row>
    <row r="30" spans="1:11" ht="15.75" customHeight="1">
      <c r="A30" s="98"/>
      <c r="B30" s="121"/>
      <c r="C30" s="121"/>
      <c r="D30" s="122"/>
      <c r="E30" s="121"/>
      <c r="F30" s="121"/>
      <c r="G30" s="122"/>
      <c r="H30" s="122"/>
      <c r="I30" s="121"/>
      <c r="J30" s="121"/>
      <c r="K30" s="121"/>
    </row>
    <row r="31" spans="1:11" ht="49.5" customHeight="1">
      <c r="A31" s="102" t="s">
        <v>176</v>
      </c>
      <c r="B31" s="102" t="s">
        <v>177</v>
      </c>
      <c r="C31" s="102" t="s">
        <v>178</v>
      </c>
      <c r="D31" s="102" t="s">
        <v>917</v>
      </c>
      <c r="E31" s="102" t="s">
        <v>918</v>
      </c>
      <c r="F31" s="102" t="s">
        <v>919</v>
      </c>
      <c r="G31" s="102" t="s">
        <v>920</v>
      </c>
      <c r="H31" s="102" t="s">
        <v>921</v>
      </c>
      <c r="I31" s="1027" t="s">
        <v>663</v>
      </c>
      <c r="J31" s="102" t="s">
        <v>922</v>
      </c>
      <c r="K31" s="102" t="s">
        <v>923</v>
      </c>
    </row>
    <row r="32" spans="1:11" ht="18" customHeight="1">
      <c r="A32" s="123" t="s">
        <v>184</v>
      </c>
      <c r="B32" s="124" t="s">
        <v>185</v>
      </c>
      <c r="C32" s="125"/>
      <c r="D32" s="126"/>
      <c r="E32" s="126"/>
      <c r="F32" s="126"/>
      <c r="G32" s="126"/>
      <c r="H32" s="126"/>
      <c r="I32" s="126"/>
      <c r="J32" s="126"/>
      <c r="K32" s="126"/>
    </row>
    <row r="33" spans="1:13" ht="18" customHeight="1">
      <c r="A33" s="127">
        <v>1</v>
      </c>
      <c r="B33" s="112" t="s">
        <v>181</v>
      </c>
      <c r="C33" s="128"/>
      <c r="D33" s="111"/>
      <c r="E33" s="108"/>
      <c r="F33" s="108"/>
      <c r="G33" s="111"/>
      <c r="H33" s="111"/>
      <c r="I33" s="108"/>
      <c r="J33" s="108"/>
      <c r="K33" s="108"/>
    </row>
    <row r="34" spans="1:13" ht="18" customHeight="1">
      <c r="A34" s="129"/>
      <c r="B34" s="110" t="s">
        <v>885</v>
      </c>
      <c r="C34" s="110" t="s">
        <v>890</v>
      </c>
      <c r="D34" s="111" t="e">
        <f t="shared" ref="D34:D41" si="4">$J$3*C34</f>
        <v>#VALUE!</v>
      </c>
      <c r="E34" s="111" t="e">
        <f>D34*'He so chung'!$D$5/100</f>
        <v>#VALUE!</v>
      </c>
      <c r="F34" s="111"/>
      <c r="G34" s="111">
        <f>$J$3*'He so chung'!$D$7/5</f>
        <v>55600</v>
      </c>
      <c r="H34" s="111"/>
      <c r="I34" s="111" t="e">
        <f>D34*'He so chung'!$D$9/100</f>
        <v>#VALUE!</v>
      </c>
      <c r="J34" s="111" t="e">
        <f t="shared" ref="J34:J41" si="5">D34+E34+G34+I34</f>
        <v>#VALUE!</v>
      </c>
      <c r="K34" s="112" t="e">
        <f>J34/'He so chung'!$D$10</f>
        <v>#VALUE!</v>
      </c>
    </row>
    <row r="35" spans="1:13" s="412" customFormat="1" ht="18" customHeight="1">
      <c r="A35" s="408"/>
      <c r="B35" s="409" t="s">
        <v>886</v>
      </c>
      <c r="C35" s="409" t="s">
        <v>582</v>
      </c>
      <c r="D35" s="410" t="e">
        <f t="shared" si="4"/>
        <v>#VALUE!</v>
      </c>
      <c r="E35" s="410" t="e">
        <f>D35*'He so chung'!$D$5/100</f>
        <v>#VALUE!</v>
      </c>
      <c r="F35" s="410"/>
      <c r="G35" s="410">
        <f>$J$3*'He so chung'!$D$7/5</f>
        <v>55600</v>
      </c>
      <c r="H35" s="410"/>
      <c r="I35" s="410" t="e">
        <f>D35*'He so chung'!$D$9/100</f>
        <v>#VALUE!</v>
      </c>
      <c r="J35" s="410" t="e">
        <f t="shared" si="5"/>
        <v>#VALUE!</v>
      </c>
      <c r="K35" s="427" t="e">
        <f>J35/'He so chung'!$D$10</f>
        <v>#VALUE!</v>
      </c>
      <c r="M35" s="413"/>
    </row>
    <row r="36" spans="1:13" ht="18" customHeight="1">
      <c r="A36" s="109"/>
      <c r="B36" s="110" t="s">
        <v>887</v>
      </c>
      <c r="C36" s="110" t="s">
        <v>583</v>
      </c>
      <c r="D36" s="111" t="e">
        <f t="shared" si="4"/>
        <v>#VALUE!</v>
      </c>
      <c r="E36" s="111" t="e">
        <f>D36*'He so chung'!$D$5/100</f>
        <v>#VALUE!</v>
      </c>
      <c r="F36" s="111"/>
      <c r="G36" s="111">
        <f>$J$3*'He so chung'!$D$7/5</f>
        <v>55600</v>
      </c>
      <c r="H36" s="111"/>
      <c r="I36" s="111" t="e">
        <f>D36*'He so chung'!$D$9/100</f>
        <v>#VALUE!</v>
      </c>
      <c r="J36" s="111" t="e">
        <f t="shared" si="5"/>
        <v>#VALUE!</v>
      </c>
      <c r="K36" s="112" t="e">
        <f>J36/'He so chung'!$D$10</f>
        <v>#VALUE!</v>
      </c>
    </row>
    <row r="37" spans="1:13" s="412" customFormat="1" ht="18" customHeight="1">
      <c r="A37" s="414"/>
      <c r="B37" s="409" t="s">
        <v>888</v>
      </c>
      <c r="C37" s="409" t="s">
        <v>584</v>
      </c>
      <c r="D37" s="410" t="e">
        <f t="shared" si="4"/>
        <v>#VALUE!</v>
      </c>
      <c r="E37" s="410" t="e">
        <f>D37*'He so chung'!$D$5/100</f>
        <v>#VALUE!</v>
      </c>
      <c r="F37" s="410"/>
      <c r="G37" s="410">
        <f>$J$3*'He so chung'!$D$7/5</f>
        <v>55600</v>
      </c>
      <c r="H37" s="410"/>
      <c r="I37" s="410" t="e">
        <f>D37*'He so chung'!$D$9/100</f>
        <v>#VALUE!</v>
      </c>
      <c r="J37" s="410" t="e">
        <f t="shared" si="5"/>
        <v>#VALUE!</v>
      </c>
      <c r="K37" s="411" t="e">
        <f>J37/'He so chung'!$D$10</f>
        <v>#VALUE!</v>
      </c>
    </row>
    <row r="38" spans="1:13" ht="18" customHeight="1">
      <c r="A38" s="109"/>
      <c r="B38" s="110" t="s">
        <v>889</v>
      </c>
      <c r="C38" s="110" t="s">
        <v>585</v>
      </c>
      <c r="D38" s="111" t="e">
        <f t="shared" si="4"/>
        <v>#VALUE!</v>
      </c>
      <c r="E38" s="111" t="e">
        <f>D38*'He so chung'!$D$5/100</f>
        <v>#VALUE!</v>
      </c>
      <c r="F38" s="111"/>
      <c r="G38" s="111">
        <f>$J$3*'He so chung'!$D$7/5</f>
        <v>55600</v>
      </c>
      <c r="H38" s="111"/>
      <c r="I38" s="111" t="e">
        <f>D38*'He so chung'!$D$9/100</f>
        <v>#VALUE!</v>
      </c>
      <c r="J38" s="111" t="e">
        <f t="shared" si="5"/>
        <v>#VALUE!</v>
      </c>
      <c r="K38" s="112" t="e">
        <f>J38/'He so chung'!$D$10</f>
        <v>#VALUE!</v>
      </c>
    </row>
    <row r="39" spans="1:13" s="412" customFormat="1" ht="18" customHeight="1">
      <c r="A39" s="414"/>
      <c r="B39" s="409" t="s">
        <v>371</v>
      </c>
      <c r="C39" s="409" t="s">
        <v>586</v>
      </c>
      <c r="D39" s="410" t="e">
        <f t="shared" si="4"/>
        <v>#VALUE!</v>
      </c>
      <c r="E39" s="410" t="e">
        <f>D39*'He so chung'!$D$5/100</f>
        <v>#VALUE!</v>
      </c>
      <c r="F39" s="410"/>
      <c r="G39" s="410">
        <f>$J$3*'He so chung'!$D$7/5</f>
        <v>55600</v>
      </c>
      <c r="H39" s="410"/>
      <c r="I39" s="410" t="e">
        <f>D39*'He so chung'!$D$9/100</f>
        <v>#VALUE!</v>
      </c>
      <c r="J39" s="410" t="e">
        <f t="shared" si="5"/>
        <v>#VALUE!</v>
      </c>
      <c r="K39" s="411" t="e">
        <f>J39/'He so chung'!$D$10</f>
        <v>#VALUE!</v>
      </c>
    </row>
    <row r="40" spans="1:13" ht="18" customHeight="1">
      <c r="A40" s="109"/>
      <c r="B40" s="110" t="s">
        <v>372</v>
      </c>
      <c r="C40" s="110" t="s">
        <v>587</v>
      </c>
      <c r="D40" s="111" t="e">
        <f t="shared" si="4"/>
        <v>#VALUE!</v>
      </c>
      <c r="E40" s="111" t="e">
        <f>D40*'He so chung'!$D$5/100</f>
        <v>#VALUE!</v>
      </c>
      <c r="F40" s="111"/>
      <c r="G40" s="111">
        <f>$J$3*'He so chung'!$D$7/5</f>
        <v>55600</v>
      </c>
      <c r="H40" s="111"/>
      <c r="I40" s="111" t="e">
        <f>D40*'He so chung'!$D$9/100</f>
        <v>#VALUE!</v>
      </c>
      <c r="J40" s="111" t="e">
        <f t="shared" si="5"/>
        <v>#VALUE!</v>
      </c>
      <c r="K40" s="112" t="e">
        <f>J40/'He so chung'!$D$10</f>
        <v>#VALUE!</v>
      </c>
    </row>
    <row r="41" spans="1:13" s="412" customFormat="1" ht="18" customHeight="1">
      <c r="A41" s="414"/>
      <c r="B41" s="409" t="s">
        <v>373</v>
      </c>
      <c r="C41" s="409" t="s">
        <v>588</v>
      </c>
      <c r="D41" s="410" t="e">
        <f t="shared" si="4"/>
        <v>#VALUE!</v>
      </c>
      <c r="E41" s="410" t="e">
        <f>D41*'He so chung'!$D$5/100</f>
        <v>#VALUE!</v>
      </c>
      <c r="F41" s="410"/>
      <c r="G41" s="410">
        <f>$J$3*'He so chung'!$D$7/5</f>
        <v>55600</v>
      </c>
      <c r="H41" s="410"/>
      <c r="I41" s="410" t="e">
        <f>D41*'He so chung'!$D$9/100</f>
        <v>#VALUE!</v>
      </c>
      <c r="J41" s="410" t="e">
        <f t="shared" si="5"/>
        <v>#VALUE!</v>
      </c>
      <c r="K41" s="411" t="e">
        <f>J41/'He so chung'!$D$10</f>
        <v>#VALUE!</v>
      </c>
    </row>
    <row r="42" spans="1:13" ht="18" customHeight="1">
      <c r="A42" s="113">
        <v>2</v>
      </c>
      <c r="B42" s="114" t="s">
        <v>182</v>
      </c>
      <c r="C42" s="110"/>
      <c r="D42" s="111"/>
      <c r="E42" s="111">
        <f>D42*'He so chung'!$D$5/100</f>
        <v>0</v>
      </c>
      <c r="F42" s="111"/>
      <c r="G42" s="111"/>
      <c r="H42" s="111"/>
      <c r="I42" s="111"/>
      <c r="J42" s="111"/>
      <c r="K42" s="112"/>
    </row>
    <row r="43" spans="1:13" ht="18" customHeight="1">
      <c r="A43" s="109"/>
      <c r="B43" s="110" t="s">
        <v>887</v>
      </c>
      <c r="C43" s="110" t="s">
        <v>589</v>
      </c>
      <c r="D43" s="111" t="e">
        <f t="shared" ref="D43:D52" si="6">$J$3*C43</f>
        <v>#VALUE!</v>
      </c>
      <c r="E43" s="111" t="e">
        <f>D43*'He so chung'!$D$5/100</f>
        <v>#VALUE!</v>
      </c>
      <c r="F43" s="111"/>
      <c r="G43" s="111">
        <f>$J$3*'He so chung'!$D$7/5</f>
        <v>55600</v>
      </c>
      <c r="H43" s="111"/>
      <c r="I43" s="111" t="e">
        <f>D43*'He so chung'!$D$9/100</f>
        <v>#VALUE!</v>
      </c>
      <c r="J43" s="111" t="e">
        <f t="shared" ref="J43:J52" si="7">D43+E43+G43+I43</f>
        <v>#VALUE!</v>
      </c>
      <c r="K43" s="112" t="e">
        <f>J43/'He so chung'!$D$10</f>
        <v>#VALUE!</v>
      </c>
    </row>
    <row r="44" spans="1:13" s="419" customFormat="1" ht="18" customHeight="1">
      <c r="A44" s="415"/>
      <c r="B44" s="416" t="s">
        <v>888</v>
      </c>
      <c r="C44" s="416" t="s">
        <v>590</v>
      </c>
      <c r="D44" s="417" t="e">
        <f t="shared" si="6"/>
        <v>#VALUE!</v>
      </c>
      <c r="E44" s="417" t="e">
        <f>D44*'He so chung'!$D$5/100</f>
        <v>#VALUE!</v>
      </c>
      <c r="F44" s="417"/>
      <c r="G44" s="417">
        <f>$J$3*'He so chung'!$D$7/5</f>
        <v>55600</v>
      </c>
      <c r="H44" s="417"/>
      <c r="I44" s="417" t="e">
        <f>D44*'He so chung'!$D$9/100</f>
        <v>#VALUE!</v>
      </c>
      <c r="J44" s="417" t="e">
        <f t="shared" si="7"/>
        <v>#VALUE!</v>
      </c>
      <c r="K44" s="418" t="e">
        <f>J44/'He so chung'!$D$10</f>
        <v>#VALUE!</v>
      </c>
    </row>
    <row r="45" spans="1:13" ht="18" customHeight="1">
      <c r="A45" s="109"/>
      <c r="B45" s="110" t="s">
        <v>889</v>
      </c>
      <c r="C45" s="110" t="s">
        <v>591</v>
      </c>
      <c r="D45" s="111" t="e">
        <f t="shared" si="6"/>
        <v>#VALUE!</v>
      </c>
      <c r="E45" s="111" t="e">
        <f>D45*'He so chung'!$D$5/100</f>
        <v>#VALUE!</v>
      </c>
      <c r="F45" s="111"/>
      <c r="G45" s="111">
        <f>$J$3*'He so chung'!$D$7/5</f>
        <v>55600</v>
      </c>
      <c r="H45" s="111"/>
      <c r="I45" s="111" t="e">
        <f>D45*'He so chung'!$D$9/100</f>
        <v>#VALUE!</v>
      </c>
      <c r="J45" s="111" t="e">
        <f t="shared" si="7"/>
        <v>#VALUE!</v>
      </c>
      <c r="K45" s="112" t="e">
        <f>J45/'He so chung'!$D$10</f>
        <v>#VALUE!</v>
      </c>
    </row>
    <row r="46" spans="1:13" s="419" customFormat="1" ht="18" customHeight="1">
      <c r="A46" s="415"/>
      <c r="B46" s="416" t="s">
        <v>371</v>
      </c>
      <c r="C46" s="416" t="s">
        <v>592</v>
      </c>
      <c r="D46" s="417" t="e">
        <f t="shared" si="6"/>
        <v>#VALUE!</v>
      </c>
      <c r="E46" s="417" t="e">
        <f>D46*'He so chung'!$D$5/100</f>
        <v>#VALUE!</v>
      </c>
      <c r="F46" s="417"/>
      <c r="G46" s="417">
        <f>$J$3*'He so chung'!$D$7/5</f>
        <v>55600</v>
      </c>
      <c r="H46" s="417"/>
      <c r="I46" s="417" t="e">
        <f>D46*'He so chung'!$D$9/100</f>
        <v>#VALUE!</v>
      </c>
      <c r="J46" s="417" t="e">
        <f t="shared" si="7"/>
        <v>#VALUE!</v>
      </c>
      <c r="K46" s="418" t="e">
        <f>J46/'He so chung'!$D$10</f>
        <v>#VALUE!</v>
      </c>
    </row>
    <row r="47" spans="1:13" ht="18" customHeight="1">
      <c r="A47" s="109"/>
      <c r="B47" s="110" t="s">
        <v>372</v>
      </c>
      <c r="C47" s="110" t="s">
        <v>593</v>
      </c>
      <c r="D47" s="111" t="e">
        <f t="shared" si="6"/>
        <v>#VALUE!</v>
      </c>
      <c r="E47" s="111" t="e">
        <f>D47*'He so chung'!$D$5/100</f>
        <v>#VALUE!</v>
      </c>
      <c r="F47" s="111"/>
      <c r="G47" s="111">
        <f>$J$3*'He so chung'!$D$7/5</f>
        <v>55600</v>
      </c>
      <c r="H47" s="111"/>
      <c r="I47" s="111" t="e">
        <f>D47*'He so chung'!$D$9/100</f>
        <v>#VALUE!</v>
      </c>
      <c r="J47" s="111" t="e">
        <f t="shared" si="7"/>
        <v>#VALUE!</v>
      </c>
      <c r="K47" s="112" t="e">
        <f>J47/'He so chung'!$D$10</f>
        <v>#VALUE!</v>
      </c>
    </row>
    <row r="48" spans="1:13" s="419" customFormat="1" ht="18" customHeight="1">
      <c r="A48" s="415"/>
      <c r="B48" s="416" t="s">
        <v>373</v>
      </c>
      <c r="C48" s="416" t="s">
        <v>594</v>
      </c>
      <c r="D48" s="417" t="e">
        <f t="shared" si="6"/>
        <v>#VALUE!</v>
      </c>
      <c r="E48" s="417" t="e">
        <f>D48*'He so chung'!$D$5/100</f>
        <v>#VALUE!</v>
      </c>
      <c r="F48" s="417"/>
      <c r="G48" s="417">
        <f>$J$3*'He so chung'!$D$7/5</f>
        <v>55600</v>
      </c>
      <c r="H48" s="417"/>
      <c r="I48" s="417" t="e">
        <f>D48*'He so chung'!$D$9/100</f>
        <v>#VALUE!</v>
      </c>
      <c r="J48" s="417" t="e">
        <f t="shared" si="7"/>
        <v>#VALUE!</v>
      </c>
      <c r="K48" s="418" t="e">
        <f>J48/'He so chung'!$D$10</f>
        <v>#VALUE!</v>
      </c>
    </row>
    <row r="49" spans="1:11" ht="18" customHeight="1">
      <c r="A49" s="109"/>
      <c r="B49" s="110" t="s">
        <v>376</v>
      </c>
      <c r="C49" s="110" t="s">
        <v>595</v>
      </c>
      <c r="D49" s="111" t="e">
        <f t="shared" si="6"/>
        <v>#VALUE!</v>
      </c>
      <c r="E49" s="111" t="e">
        <f>D49*'He so chung'!$D$5/100</f>
        <v>#VALUE!</v>
      </c>
      <c r="F49" s="111"/>
      <c r="G49" s="111">
        <f>$J$3*'He so chung'!$D$7/5</f>
        <v>55600</v>
      </c>
      <c r="H49" s="111"/>
      <c r="I49" s="111" t="e">
        <f>D49*'He so chung'!$D$9/100</f>
        <v>#VALUE!</v>
      </c>
      <c r="J49" s="111" t="e">
        <f t="shared" si="7"/>
        <v>#VALUE!</v>
      </c>
      <c r="K49" s="112" t="e">
        <f>J49/'He so chung'!$D$10</f>
        <v>#VALUE!</v>
      </c>
    </row>
    <row r="50" spans="1:11" s="419" customFormat="1" ht="18" customHeight="1">
      <c r="A50" s="415"/>
      <c r="B50" s="416" t="s">
        <v>377</v>
      </c>
      <c r="C50" s="416" t="s">
        <v>585</v>
      </c>
      <c r="D50" s="417" t="e">
        <f t="shared" si="6"/>
        <v>#VALUE!</v>
      </c>
      <c r="E50" s="417" t="e">
        <f>D50*'He so chung'!$D$5/100</f>
        <v>#VALUE!</v>
      </c>
      <c r="F50" s="417"/>
      <c r="G50" s="417">
        <f>$J$3*'He so chung'!$D$7/5</f>
        <v>55600</v>
      </c>
      <c r="H50" s="417"/>
      <c r="I50" s="417" t="e">
        <f>D50*'He so chung'!$D$9/100</f>
        <v>#VALUE!</v>
      </c>
      <c r="J50" s="417" t="e">
        <f t="shared" si="7"/>
        <v>#VALUE!</v>
      </c>
      <c r="K50" s="418" t="e">
        <f>J50/'He so chung'!$D$10</f>
        <v>#VALUE!</v>
      </c>
    </row>
    <row r="51" spans="1:11" ht="18" customHeight="1">
      <c r="A51" s="109"/>
      <c r="B51" s="110" t="s">
        <v>378</v>
      </c>
      <c r="C51" s="110" t="s">
        <v>596</v>
      </c>
      <c r="D51" s="111" t="e">
        <f t="shared" si="6"/>
        <v>#VALUE!</v>
      </c>
      <c r="E51" s="111" t="e">
        <f>D51*'He so chung'!$D$5/100</f>
        <v>#VALUE!</v>
      </c>
      <c r="F51" s="111"/>
      <c r="G51" s="111">
        <f>$J$3*'He so chung'!$D$7/5</f>
        <v>55600</v>
      </c>
      <c r="H51" s="111"/>
      <c r="I51" s="111" t="e">
        <f>D51*'He so chung'!$D$9/100</f>
        <v>#VALUE!</v>
      </c>
      <c r="J51" s="111" t="e">
        <f t="shared" si="7"/>
        <v>#VALUE!</v>
      </c>
      <c r="K51" s="112" t="e">
        <f>J51/'He so chung'!$D$10</f>
        <v>#VALUE!</v>
      </c>
    </row>
    <row r="52" spans="1:11" s="419" customFormat="1" ht="18" customHeight="1">
      <c r="A52" s="415"/>
      <c r="B52" s="416" t="s">
        <v>379</v>
      </c>
      <c r="C52" s="416" t="s">
        <v>597</v>
      </c>
      <c r="D52" s="417" t="e">
        <f t="shared" si="6"/>
        <v>#VALUE!</v>
      </c>
      <c r="E52" s="417" t="e">
        <f>D52*'He so chung'!$D$5/100</f>
        <v>#VALUE!</v>
      </c>
      <c r="F52" s="417"/>
      <c r="G52" s="417">
        <f>$J$3*'He so chung'!$D$7/5</f>
        <v>55600</v>
      </c>
      <c r="H52" s="417"/>
      <c r="I52" s="417" t="e">
        <f>D52*'He so chung'!$D$9/100</f>
        <v>#VALUE!</v>
      </c>
      <c r="J52" s="417" t="e">
        <f t="shared" si="7"/>
        <v>#VALUE!</v>
      </c>
      <c r="K52" s="418" t="e">
        <f>J52/'He so chung'!$D$10</f>
        <v>#VALUE!</v>
      </c>
    </row>
    <row r="53" spans="1:11" ht="18" customHeight="1">
      <c r="A53" s="113">
        <v>3</v>
      </c>
      <c r="B53" s="114" t="s">
        <v>183</v>
      </c>
      <c r="C53" s="110"/>
      <c r="D53" s="111"/>
      <c r="E53" s="111">
        <f>D53*'He so chung'!$D$5/100</f>
        <v>0</v>
      </c>
      <c r="F53" s="111"/>
      <c r="G53" s="111"/>
      <c r="H53" s="111"/>
      <c r="I53" s="111"/>
      <c r="J53" s="111"/>
      <c r="K53" s="112"/>
    </row>
    <row r="54" spans="1:11" ht="18" customHeight="1">
      <c r="A54" s="115"/>
      <c r="B54" s="116" t="s">
        <v>887</v>
      </c>
      <c r="C54" s="116" t="s">
        <v>598</v>
      </c>
      <c r="D54" s="117" t="e">
        <f>$J$3*C54</f>
        <v>#VALUE!</v>
      </c>
      <c r="E54" s="117" t="e">
        <f>D54*'He so chung'!$D$5/100</f>
        <v>#VALUE!</v>
      </c>
      <c r="F54" s="117"/>
      <c r="G54" s="117"/>
      <c r="H54" s="117"/>
      <c r="I54" s="117" t="e">
        <f>D54*'He so chung'!$D$9/100</f>
        <v>#VALUE!</v>
      </c>
      <c r="J54" s="117" t="e">
        <f>D54+E54+G54+I54</f>
        <v>#VALUE!</v>
      </c>
      <c r="K54" s="118" t="e">
        <f>J54/'He so chung'!$D$10</f>
        <v>#VALUE!</v>
      </c>
    </row>
  </sheetData>
  <mergeCells count="2">
    <mergeCell ref="A2:K2"/>
    <mergeCell ref="A1:K1"/>
  </mergeCells>
  <phoneticPr fontId="5" type="noConversion"/>
  <printOptions horizontalCentered="1"/>
  <pageMargins left="0.74803149606299202" right="0.74803149606299202" top="0.98425196850393704" bottom="0.93110236199999996" header="0.31496062992126" footer="0.39370078740157499"/>
  <pageSetup paperSize="9" firstPageNumber="233" orientation="landscape"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G28"/>
  <sheetViews>
    <sheetView zoomScaleNormal="100" workbookViewId="0">
      <selection activeCell="F18" sqref="F18"/>
    </sheetView>
  </sheetViews>
  <sheetFormatPr defaultRowHeight="16.5"/>
  <cols>
    <col min="1" max="1" width="7.21875" style="2" customWidth="1"/>
    <col min="2" max="2" width="34.44140625" customWidth="1"/>
    <col min="3" max="3" width="10" customWidth="1"/>
    <col min="4" max="4" width="9.88671875" customWidth="1"/>
    <col min="5" max="5" width="13.21875" customWidth="1"/>
    <col min="6" max="6" width="10.6640625" customWidth="1"/>
    <col min="7" max="7" width="13.77734375" customWidth="1"/>
  </cols>
  <sheetData>
    <row r="1" spans="1:7" ht="34.5" customHeight="1">
      <c r="A1" s="1092" t="s">
        <v>573</v>
      </c>
      <c r="B1" s="1092"/>
      <c r="C1" s="1092"/>
      <c r="D1" s="1092"/>
      <c r="E1" s="1092"/>
      <c r="F1" s="1092"/>
      <c r="G1" s="1092"/>
    </row>
    <row r="2" spans="1:7" ht="48" customHeight="1">
      <c r="A2" s="266" t="s">
        <v>158</v>
      </c>
      <c r="B2" s="267" t="s">
        <v>419</v>
      </c>
      <c r="C2" s="267" t="s">
        <v>420</v>
      </c>
      <c r="D2" s="267" t="s">
        <v>418</v>
      </c>
      <c r="E2" s="267" t="s">
        <v>421</v>
      </c>
      <c r="F2" s="267" t="s">
        <v>422</v>
      </c>
      <c r="G2" s="267" t="s">
        <v>162</v>
      </c>
    </row>
    <row r="3" spans="1:7" ht="18" customHeight="1">
      <c r="A3" s="59">
        <v>1</v>
      </c>
      <c r="B3" s="58" t="s">
        <v>205</v>
      </c>
      <c r="C3" s="59" t="s">
        <v>130</v>
      </c>
      <c r="D3" s="58">
        <v>10</v>
      </c>
      <c r="E3" s="62">
        <v>150000000</v>
      </c>
      <c r="F3" s="62">
        <f>E3/D3/250</f>
        <v>60000</v>
      </c>
      <c r="G3" s="314"/>
    </row>
    <row r="4" spans="1:7" ht="18" customHeight="1">
      <c r="A4" s="61">
        <v>2</v>
      </c>
      <c r="B4" s="60" t="s">
        <v>131</v>
      </c>
      <c r="C4" s="61" t="s">
        <v>130</v>
      </c>
      <c r="D4" s="60">
        <v>5</v>
      </c>
      <c r="E4" s="63">
        <v>15000000</v>
      </c>
      <c r="F4" s="63">
        <f>E4/D4/500</f>
        <v>6000</v>
      </c>
      <c r="G4" s="313"/>
    </row>
    <row r="5" spans="1:7" ht="18" customHeight="1">
      <c r="A5" s="61">
        <v>3</v>
      </c>
      <c r="B5" s="60" t="s">
        <v>132</v>
      </c>
      <c r="C5" s="61" t="s">
        <v>130</v>
      </c>
      <c r="D5" s="60">
        <v>10</v>
      </c>
      <c r="E5" s="63">
        <v>17000000</v>
      </c>
      <c r="F5" s="63">
        <f>E5/D5/250</f>
        <v>6800</v>
      </c>
      <c r="G5" s="313"/>
    </row>
    <row r="6" spans="1:7" ht="18" customHeight="1">
      <c r="A6" s="61">
        <v>4</v>
      </c>
      <c r="B6" s="60" t="s">
        <v>133</v>
      </c>
      <c r="C6" s="61" t="s">
        <v>130</v>
      </c>
      <c r="D6" s="60">
        <v>5</v>
      </c>
      <c r="E6" s="63">
        <v>15000000</v>
      </c>
      <c r="F6" s="63">
        <f t="shared" ref="F6:F11" si="0">E6/D6/500</f>
        <v>6000</v>
      </c>
      <c r="G6" s="313"/>
    </row>
    <row r="7" spans="1:7" ht="18" customHeight="1">
      <c r="A7" s="61">
        <v>5</v>
      </c>
      <c r="B7" s="60" t="s">
        <v>134</v>
      </c>
      <c r="C7" s="61" t="s">
        <v>130</v>
      </c>
      <c r="D7" s="60">
        <v>10</v>
      </c>
      <c r="E7" s="63">
        <v>105000000</v>
      </c>
      <c r="F7" s="63">
        <f t="shared" si="0"/>
        <v>21000</v>
      </c>
      <c r="G7" s="313"/>
    </row>
    <row r="8" spans="1:7" ht="18" customHeight="1">
      <c r="A8" s="61">
        <v>6</v>
      </c>
      <c r="B8" s="60" t="s">
        <v>965</v>
      </c>
      <c r="C8" s="61" t="s">
        <v>130</v>
      </c>
      <c r="D8" s="60">
        <v>10</v>
      </c>
      <c r="E8" s="63">
        <v>8000000</v>
      </c>
      <c r="F8" s="63">
        <f t="shared" si="0"/>
        <v>1600</v>
      </c>
      <c r="G8" s="313"/>
    </row>
    <row r="9" spans="1:7" ht="18" customHeight="1">
      <c r="A9" s="61">
        <v>7</v>
      </c>
      <c r="B9" s="60" t="s">
        <v>966</v>
      </c>
      <c r="C9" s="61" t="s">
        <v>130</v>
      </c>
      <c r="D9" s="60">
        <v>10</v>
      </c>
      <c r="E9" s="63">
        <v>14500000</v>
      </c>
      <c r="F9" s="63">
        <f t="shared" si="0"/>
        <v>2900</v>
      </c>
      <c r="G9" s="313"/>
    </row>
    <row r="10" spans="1:7" ht="18" customHeight="1">
      <c r="A10" s="61">
        <v>8</v>
      </c>
      <c r="B10" s="60" t="s">
        <v>136</v>
      </c>
      <c r="C10" s="61" t="s">
        <v>130</v>
      </c>
      <c r="D10" s="60">
        <v>10</v>
      </c>
      <c r="E10" s="63">
        <v>100000000</v>
      </c>
      <c r="F10" s="63">
        <f t="shared" si="0"/>
        <v>20000</v>
      </c>
      <c r="G10" s="313"/>
    </row>
    <row r="11" spans="1:7" ht="18" customHeight="1">
      <c r="A11" s="61">
        <v>9</v>
      </c>
      <c r="B11" s="60" t="s">
        <v>137</v>
      </c>
      <c r="C11" s="61" t="s">
        <v>533</v>
      </c>
      <c r="D11" s="60">
        <v>10</v>
      </c>
      <c r="E11" s="63">
        <v>6000000</v>
      </c>
      <c r="F11" s="63">
        <f t="shared" si="0"/>
        <v>1200</v>
      </c>
      <c r="G11" s="313"/>
    </row>
    <row r="12" spans="1:7" ht="18" customHeight="1">
      <c r="A12" s="61">
        <v>10</v>
      </c>
      <c r="B12" s="60" t="s">
        <v>206</v>
      </c>
      <c r="C12" s="61" t="s">
        <v>130</v>
      </c>
      <c r="D12" s="60">
        <v>10</v>
      </c>
      <c r="E12" s="63">
        <v>180000000</v>
      </c>
      <c r="F12" s="63">
        <f>E12/D12/250</f>
        <v>72000</v>
      </c>
      <c r="G12" s="313"/>
    </row>
    <row r="13" spans="1:7" ht="18" customHeight="1">
      <c r="A13" s="61">
        <v>11</v>
      </c>
      <c r="B13" s="60" t="s">
        <v>138</v>
      </c>
      <c r="C13" s="61" t="s">
        <v>385</v>
      </c>
      <c r="D13" s="60">
        <v>10</v>
      </c>
      <c r="E13" s="63">
        <v>900000000</v>
      </c>
      <c r="F13" s="63">
        <f>E13/D13/250</f>
        <v>360000</v>
      </c>
      <c r="G13" s="313"/>
    </row>
    <row r="14" spans="1:7" ht="18" customHeight="1">
      <c r="A14" s="61">
        <v>12</v>
      </c>
      <c r="B14" s="60" t="s">
        <v>139</v>
      </c>
      <c r="C14" s="61" t="s">
        <v>533</v>
      </c>
      <c r="D14" s="60">
        <v>10</v>
      </c>
      <c r="E14" s="63">
        <v>300000000</v>
      </c>
      <c r="F14" s="63">
        <f>E14/D14/250</f>
        <v>120000</v>
      </c>
      <c r="G14" s="313"/>
    </row>
    <row r="15" spans="1:7" ht="18" customHeight="1">
      <c r="A15" s="61">
        <v>13</v>
      </c>
      <c r="B15" s="60" t="s">
        <v>140</v>
      </c>
      <c r="C15" s="61" t="s">
        <v>533</v>
      </c>
      <c r="D15" s="60">
        <v>5</v>
      </c>
      <c r="E15" s="63">
        <v>13500000</v>
      </c>
      <c r="F15" s="63">
        <f>E15/D15/250</f>
        <v>10800</v>
      </c>
      <c r="G15" s="313"/>
    </row>
    <row r="16" spans="1:7" ht="18" customHeight="1">
      <c r="A16" s="61">
        <v>14</v>
      </c>
      <c r="B16" s="60" t="s">
        <v>141</v>
      </c>
      <c r="C16" s="61" t="s">
        <v>385</v>
      </c>
      <c r="D16" s="60">
        <v>10</v>
      </c>
      <c r="E16" s="63">
        <v>24800000</v>
      </c>
      <c r="F16" s="63">
        <f t="shared" ref="F16:F22" si="1">E16/D16/500</f>
        <v>4960</v>
      </c>
      <c r="G16" s="313"/>
    </row>
    <row r="17" spans="1:7" ht="18" customHeight="1">
      <c r="A17" s="61">
        <v>15</v>
      </c>
      <c r="B17" s="60" t="s">
        <v>142</v>
      </c>
      <c r="C17" s="61" t="s">
        <v>385</v>
      </c>
      <c r="D17" s="60">
        <v>10</v>
      </c>
      <c r="E17" s="63">
        <v>25000000</v>
      </c>
      <c r="F17" s="63">
        <f t="shared" si="1"/>
        <v>5000</v>
      </c>
      <c r="G17" s="313"/>
    </row>
    <row r="18" spans="1:7" ht="18" customHeight="1">
      <c r="A18" s="61">
        <v>16</v>
      </c>
      <c r="B18" s="60" t="s">
        <v>143</v>
      </c>
      <c r="C18" s="61" t="s">
        <v>385</v>
      </c>
      <c r="D18" s="60">
        <v>10</v>
      </c>
      <c r="E18" s="63">
        <v>5800000</v>
      </c>
      <c r="F18" s="63">
        <f t="shared" si="1"/>
        <v>1160</v>
      </c>
      <c r="G18" s="313"/>
    </row>
    <row r="19" spans="1:7" ht="18" customHeight="1">
      <c r="A19" s="61">
        <v>17</v>
      </c>
      <c r="B19" s="60" t="s">
        <v>334</v>
      </c>
      <c r="C19" s="61" t="s">
        <v>385</v>
      </c>
      <c r="D19" s="60">
        <v>10</v>
      </c>
      <c r="E19" s="63">
        <v>28500000</v>
      </c>
      <c r="F19" s="63">
        <f t="shared" si="1"/>
        <v>5700</v>
      </c>
      <c r="G19" s="313"/>
    </row>
    <row r="20" spans="1:7" ht="18" customHeight="1">
      <c r="A20" s="61">
        <v>18</v>
      </c>
      <c r="B20" s="60" t="s">
        <v>967</v>
      </c>
      <c r="C20" s="61" t="s">
        <v>385</v>
      </c>
      <c r="D20" s="60">
        <v>10</v>
      </c>
      <c r="E20" s="63">
        <v>2440000</v>
      </c>
      <c r="F20" s="63">
        <f t="shared" si="1"/>
        <v>488</v>
      </c>
      <c r="G20" s="313"/>
    </row>
    <row r="21" spans="1:7" ht="18" customHeight="1">
      <c r="A21" s="61">
        <v>19</v>
      </c>
      <c r="B21" s="318" t="s">
        <v>968</v>
      </c>
      <c r="C21" s="319" t="s">
        <v>538</v>
      </c>
      <c r="D21" s="318">
        <v>5</v>
      </c>
      <c r="E21" s="320">
        <v>2650000</v>
      </c>
      <c r="F21" s="63">
        <f t="shared" si="1"/>
        <v>1060</v>
      </c>
      <c r="G21" s="313"/>
    </row>
    <row r="22" spans="1:7" ht="18" customHeight="1">
      <c r="A22" s="61">
        <v>20</v>
      </c>
      <c r="B22" s="318" t="s">
        <v>539</v>
      </c>
      <c r="C22" s="319" t="s">
        <v>540</v>
      </c>
      <c r="D22" s="318">
        <v>10</v>
      </c>
      <c r="E22" s="320">
        <v>52500000</v>
      </c>
      <c r="F22" s="63">
        <f t="shared" si="1"/>
        <v>10500</v>
      </c>
      <c r="G22" s="313"/>
    </row>
    <row r="23" spans="1:7" ht="18" customHeight="1">
      <c r="A23" s="61">
        <v>21</v>
      </c>
      <c r="B23" s="60" t="s">
        <v>534</v>
      </c>
      <c r="C23" s="61" t="s">
        <v>898</v>
      </c>
      <c r="D23" s="60"/>
      <c r="E23" s="63">
        <v>1554</v>
      </c>
      <c r="F23" s="63">
        <v>1554</v>
      </c>
      <c r="G23" s="313"/>
    </row>
    <row r="24" spans="1:7" ht="18" customHeight="1">
      <c r="A24" s="278"/>
      <c r="B24" s="279"/>
      <c r="C24" s="279"/>
      <c r="D24" s="279"/>
      <c r="E24" s="279"/>
      <c r="F24" s="279"/>
      <c r="G24" s="286"/>
    </row>
    <row r="25" spans="1:7">
      <c r="A25" s="95"/>
      <c r="B25" s="50"/>
      <c r="C25" s="50"/>
      <c r="D25" s="50"/>
      <c r="E25" s="50"/>
      <c r="F25" s="50"/>
    </row>
    <row r="26" spans="1:7">
      <c r="A26" s="95"/>
      <c r="B26" s="50"/>
      <c r="C26" s="50"/>
      <c r="D26" s="50"/>
      <c r="E26" s="50"/>
      <c r="F26" s="50"/>
    </row>
    <row r="27" spans="1:7">
      <c r="A27" s="95"/>
      <c r="B27" s="50"/>
      <c r="C27" s="50"/>
      <c r="D27" s="50"/>
      <c r="E27" s="50"/>
      <c r="F27" s="50"/>
    </row>
    <row r="28" spans="1:7">
      <c r="A28" s="95"/>
      <c r="B28" s="50"/>
      <c r="C28" s="50"/>
      <c r="D28" s="50"/>
      <c r="E28" s="50"/>
      <c r="F28" s="50"/>
    </row>
  </sheetData>
  <mergeCells count="1">
    <mergeCell ref="A1:G1"/>
  </mergeCells>
  <phoneticPr fontId="45" type="noConversion"/>
  <printOptions horizontalCentered="1"/>
  <pageMargins left="1.041732283" right="0.94488188976377996" top="0.98425196850393704" bottom="0.98425196850393704" header="0.511811023622047" footer="0.511811023622047"/>
  <pageSetup paperSize="9" firstPageNumber="241" orientation="landscape"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F69"/>
  <sheetViews>
    <sheetView topLeftCell="A10" zoomScaleNormal="100" workbookViewId="0">
      <selection activeCell="G18" sqref="G18"/>
    </sheetView>
  </sheetViews>
  <sheetFormatPr defaultRowHeight="16.5"/>
  <cols>
    <col min="1" max="1" width="6.77734375" customWidth="1"/>
    <col min="2" max="2" width="38.21875" customWidth="1"/>
    <col min="3" max="3" width="12.88671875" customWidth="1"/>
    <col min="4" max="4" width="15.5546875" customWidth="1"/>
    <col min="5" max="5" width="16.77734375" style="290" customWidth="1"/>
  </cols>
  <sheetData>
    <row r="1" spans="1:6" ht="30.6" customHeight="1">
      <c r="A1" s="1093" t="s">
        <v>145</v>
      </c>
      <c r="B1" s="1093"/>
      <c r="C1" s="1093"/>
      <c r="D1" s="1093"/>
      <c r="E1" s="1093"/>
      <c r="F1" s="287"/>
    </row>
    <row r="2" spans="1:6" ht="9" customHeight="1"/>
    <row r="3" spans="1:6" ht="35.450000000000003" customHeight="1">
      <c r="A3" s="266" t="s">
        <v>158</v>
      </c>
      <c r="B3" s="267" t="s">
        <v>572</v>
      </c>
      <c r="C3" s="267" t="s">
        <v>420</v>
      </c>
      <c r="D3" s="267" t="s">
        <v>423</v>
      </c>
      <c r="E3" s="291" t="s">
        <v>162</v>
      </c>
    </row>
    <row r="4" spans="1:6" ht="20.25" customHeight="1">
      <c r="A4" s="27">
        <v>1</v>
      </c>
      <c r="B4" s="284" t="s">
        <v>426</v>
      </c>
      <c r="C4" s="27" t="s">
        <v>55</v>
      </c>
      <c r="D4" s="285">
        <v>12000</v>
      </c>
      <c r="E4" s="323"/>
    </row>
    <row r="5" spans="1:6" ht="20.25" customHeight="1">
      <c r="A5" s="29">
        <v>2</v>
      </c>
      <c r="B5" s="44" t="s">
        <v>704</v>
      </c>
      <c r="C5" s="29" t="s">
        <v>55</v>
      </c>
      <c r="D5" s="280">
        <v>50000</v>
      </c>
      <c r="E5" s="322"/>
    </row>
    <row r="6" spans="1:6" ht="20.25" customHeight="1">
      <c r="A6" s="29">
        <v>3</v>
      </c>
      <c r="B6" s="44" t="s">
        <v>707</v>
      </c>
      <c r="C6" s="29" t="s">
        <v>708</v>
      </c>
      <c r="D6" s="280">
        <v>10000</v>
      </c>
      <c r="E6" s="322"/>
    </row>
    <row r="7" spans="1:6" ht="20.25" customHeight="1">
      <c r="A7" s="29">
        <v>4</v>
      </c>
      <c r="B7" s="44" t="s">
        <v>207</v>
      </c>
      <c r="C7" s="29" t="s">
        <v>676</v>
      </c>
      <c r="D7" s="280">
        <v>5000</v>
      </c>
      <c r="E7" s="322"/>
    </row>
    <row r="8" spans="1:6" ht="20.25" customHeight="1">
      <c r="A8" s="29">
        <v>5</v>
      </c>
      <c r="B8" s="44" t="s">
        <v>706</v>
      </c>
      <c r="C8" s="29" t="s">
        <v>55</v>
      </c>
      <c r="D8" s="280">
        <v>500</v>
      </c>
      <c r="E8" s="322"/>
    </row>
    <row r="9" spans="1:6" ht="20.25" customHeight="1">
      <c r="A9" s="29">
        <v>6</v>
      </c>
      <c r="B9" s="44" t="s">
        <v>705</v>
      </c>
      <c r="C9" s="29" t="s">
        <v>55</v>
      </c>
      <c r="D9" s="280">
        <v>500</v>
      </c>
      <c r="E9" s="322"/>
    </row>
    <row r="10" spans="1:6" ht="20.25" customHeight="1">
      <c r="A10" s="29">
        <v>7</v>
      </c>
      <c r="B10" s="44" t="s">
        <v>427</v>
      </c>
      <c r="C10" s="36" t="s">
        <v>118</v>
      </c>
      <c r="D10" s="52">
        <v>2000</v>
      </c>
      <c r="E10" s="322"/>
    </row>
    <row r="11" spans="1:6" ht="20.25" customHeight="1">
      <c r="A11" s="29">
        <v>8</v>
      </c>
      <c r="B11" s="44" t="s">
        <v>709</v>
      </c>
      <c r="C11" s="29" t="s">
        <v>55</v>
      </c>
      <c r="D11" s="280">
        <v>500</v>
      </c>
      <c r="E11" s="322"/>
    </row>
    <row r="12" spans="1:6" ht="20.25" customHeight="1">
      <c r="A12" s="29">
        <v>9</v>
      </c>
      <c r="B12" s="44" t="s">
        <v>208</v>
      </c>
      <c r="C12" s="36" t="s">
        <v>98</v>
      </c>
      <c r="D12" s="52">
        <v>2500</v>
      </c>
      <c r="E12" s="322"/>
    </row>
    <row r="13" spans="1:6" ht="20.25" customHeight="1">
      <c r="A13" s="29">
        <v>10</v>
      </c>
      <c r="B13" s="44" t="s">
        <v>209</v>
      </c>
      <c r="C13" s="36" t="s">
        <v>98</v>
      </c>
      <c r="D13" s="52">
        <v>15000</v>
      </c>
      <c r="E13" s="322"/>
    </row>
    <row r="14" spans="1:6" ht="20.25" customHeight="1">
      <c r="A14" s="29">
        <v>11</v>
      </c>
      <c r="B14" s="44" t="s">
        <v>210</v>
      </c>
      <c r="C14" s="36" t="s">
        <v>98</v>
      </c>
      <c r="D14" s="52">
        <v>18000</v>
      </c>
      <c r="E14" s="322"/>
    </row>
    <row r="15" spans="1:6" ht="20.25" customHeight="1">
      <c r="A15" s="29">
        <v>12</v>
      </c>
      <c r="B15" s="44" t="s">
        <v>561</v>
      </c>
      <c r="C15" s="36" t="s">
        <v>98</v>
      </c>
      <c r="D15" s="52">
        <v>5000</v>
      </c>
      <c r="E15" s="322"/>
    </row>
    <row r="16" spans="1:6" ht="20.25" customHeight="1">
      <c r="A16" s="29">
        <v>13</v>
      </c>
      <c r="B16" s="44" t="s">
        <v>428</v>
      </c>
      <c r="C16" s="29" t="s">
        <v>740</v>
      </c>
      <c r="D16" s="280">
        <v>90000</v>
      </c>
      <c r="E16" s="322" t="s">
        <v>433</v>
      </c>
    </row>
    <row r="17" spans="1:5" ht="20.25" customHeight="1">
      <c r="A17" s="29">
        <v>14</v>
      </c>
      <c r="B17" s="44" t="s">
        <v>755</v>
      </c>
      <c r="C17" s="29" t="s">
        <v>130</v>
      </c>
      <c r="D17" s="280">
        <v>4000</v>
      </c>
      <c r="E17" s="322"/>
    </row>
    <row r="18" spans="1:5" s="1" customFormat="1" ht="20.25" customHeight="1">
      <c r="A18" s="29">
        <v>15</v>
      </c>
      <c r="B18" s="44" t="s">
        <v>434</v>
      </c>
      <c r="C18" s="29" t="s">
        <v>740</v>
      </c>
      <c r="D18" s="280">
        <v>200000</v>
      </c>
      <c r="E18" s="322" t="s">
        <v>435</v>
      </c>
    </row>
    <row r="19" spans="1:5" ht="20.25" customHeight="1">
      <c r="A19" s="29">
        <v>16</v>
      </c>
      <c r="B19" s="44" t="s">
        <v>436</v>
      </c>
      <c r="C19" s="29" t="s">
        <v>727</v>
      </c>
      <c r="D19" s="280">
        <v>78000</v>
      </c>
      <c r="E19" s="322" t="s">
        <v>437</v>
      </c>
    </row>
    <row r="20" spans="1:5" ht="20.25" customHeight="1">
      <c r="A20" s="29">
        <v>17</v>
      </c>
      <c r="B20" s="44" t="s">
        <v>741</v>
      </c>
      <c r="C20" s="29" t="s">
        <v>385</v>
      </c>
      <c r="D20" s="280">
        <v>5000</v>
      </c>
      <c r="E20" s="322"/>
    </row>
    <row r="21" spans="1:5" ht="20.25" customHeight="1">
      <c r="A21" s="29">
        <v>18</v>
      </c>
      <c r="B21" s="44" t="s">
        <v>711</v>
      </c>
      <c r="C21" s="29" t="s">
        <v>712</v>
      </c>
      <c r="D21" s="280">
        <v>10000</v>
      </c>
      <c r="E21" s="322"/>
    </row>
    <row r="22" spans="1:5" ht="20.25" customHeight="1">
      <c r="A22" s="29">
        <v>19</v>
      </c>
      <c r="B22" s="44" t="s">
        <v>710</v>
      </c>
      <c r="C22" s="29" t="s">
        <v>130</v>
      </c>
      <c r="D22" s="280">
        <v>10000</v>
      </c>
      <c r="E22" s="322"/>
    </row>
    <row r="23" spans="1:5" ht="21" customHeight="1">
      <c r="A23" s="29">
        <v>20</v>
      </c>
      <c r="B23" s="44" t="s">
        <v>758</v>
      </c>
      <c r="C23" s="29" t="s">
        <v>757</v>
      </c>
      <c r="D23" s="280">
        <v>50000</v>
      </c>
      <c r="E23" s="322"/>
    </row>
    <row r="24" spans="1:5" ht="18.600000000000001" customHeight="1">
      <c r="A24" s="150">
        <v>21</v>
      </c>
      <c r="B24" s="151" t="s">
        <v>703</v>
      </c>
      <c r="C24" s="150" t="s">
        <v>898</v>
      </c>
      <c r="D24" s="117">
        <v>1755</v>
      </c>
      <c r="E24" s="324"/>
    </row>
    <row r="25" spans="1:5" ht="18.600000000000001" customHeight="1">
      <c r="A25" s="156">
        <v>22</v>
      </c>
      <c r="B25" s="42" t="s">
        <v>743</v>
      </c>
      <c r="C25" s="156" t="s">
        <v>739</v>
      </c>
      <c r="D25" s="321">
        <v>17500</v>
      </c>
      <c r="E25" s="323"/>
    </row>
    <row r="26" spans="1:5" ht="18.600000000000001" customHeight="1">
      <c r="A26" s="29">
        <v>23</v>
      </c>
      <c r="B26" s="44" t="s">
        <v>763</v>
      </c>
      <c r="C26" s="29" t="s">
        <v>130</v>
      </c>
      <c r="D26" s="280">
        <v>2000</v>
      </c>
      <c r="E26" s="322"/>
    </row>
    <row r="27" spans="1:5" ht="18.600000000000001" customHeight="1">
      <c r="A27" s="29">
        <v>24</v>
      </c>
      <c r="B27" s="44" t="s">
        <v>323</v>
      </c>
      <c r="C27" s="36" t="s">
        <v>107</v>
      </c>
      <c r="D27" s="52">
        <v>300</v>
      </c>
      <c r="E27" s="322"/>
    </row>
    <row r="28" spans="1:5" ht="18.600000000000001" customHeight="1">
      <c r="A28" s="29">
        <v>25</v>
      </c>
      <c r="B28" s="44" t="s">
        <v>562</v>
      </c>
      <c r="C28" s="40" t="s">
        <v>107</v>
      </c>
      <c r="D28" s="283">
        <v>300</v>
      </c>
      <c r="E28" s="322"/>
    </row>
    <row r="29" spans="1:5" ht="18.600000000000001" customHeight="1">
      <c r="A29" s="29">
        <v>26</v>
      </c>
      <c r="B29" s="44" t="s">
        <v>730</v>
      </c>
      <c r="C29" s="29" t="s">
        <v>676</v>
      </c>
      <c r="D29" s="280">
        <v>20000</v>
      </c>
      <c r="E29" s="322"/>
    </row>
    <row r="30" spans="1:5" ht="18.600000000000001" customHeight="1">
      <c r="A30" s="29">
        <v>27</v>
      </c>
      <c r="B30" s="44" t="s">
        <v>729</v>
      </c>
      <c r="C30" s="29" t="s">
        <v>676</v>
      </c>
      <c r="D30" s="280">
        <v>20000</v>
      </c>
      <c r="E30" s="322"/>
    </row>
    <row r="31" spans="1:5" ht="18.600000000000001" customHeight="1">
      <c r="A31" s="29">
        <v>28</v>
      </c>
      <c r="B31" s="281" t="s">
        <v>731</v>
      </c>
      <c r="C31" s="29" t="s">
        <v>676</v>
      </c>
      <c r="D31" s="280">
        <v>500</v>
      </c>
      <c r="E31" s="322"/>
    </row>
    <row r="32" spans="1:5" ht="18.600000000000001" customHeight="1">
      <c r="A32" s="29">
        <v>29</v>
      </c>
      <c r="B32" s="44" t="s">
        <v>563</v>
      </c>
      <c r="C32" s="36" t="s">
        <v>100</v>
      </c>
      <c r="D32" s="52">
        <v>2000</v>
      </c>
      <c r="E32" s="322"/>
    </row>
    <row r="33" spans="1:5" ht="18.600000000000001" customHeight="1">
      <c r="A33" s="29">
        <v>30</v>
      </c>
      <c r="B33" s="44" t="s">
        <v>564</v>
      </c>
      <c r="C33" s="36" t="s">
        <v>100</v>
      </c>
      <c r="D33" s="52">
        <v>2000</v>
      </c>
      <c r="E33" s="322"/>
    </row>
    <row r="34" spans="1:5" ht="18.600000000000001" customHeight="1">
      <c r="A34" s="29">
        <v>31</v>
      </c>
      <c r="B34" s="44" t="s">
        <v>565</v>
      </c>
      <c r="C34" s="36" t="s">
        <v>110</v>
      </c>
      <c r="D34" s="52">
        <v>90000</v>
      </c>
      <c r="E34" s="322"/>
    </row>
    <row r="35" spans="1:5" ht="18.600000000000001" customHeight="1">
      <c r="A35" s="29">
        <v>32</v>
      </c>
      <c r="B35" s="44" t="s">
        <v>429</v>
      </c>
      <c r="C35" s="36" t="s">
        <v>110</v>
      </c>
      <c r="D35" s="52">
        <v>60000</v>
      </c>
      <c r="E35" s="322"/>
    </row>
    <row r="36" spans="1:5" ht="18.600000000000001" customHeight="1">
      <c r="A36" s="29">
        <v>33</v>
      </c>
      <c r="B36" s="44" t="s">
        <v>714</v>
      </c>
      <c r="C36" s="29" t="s">
        <v>715</v>
      </c>
      <c r="D36" s="280">
        <v>45000</v>
      </c>
      <c r="E36" s="322"/>
    </row>
    <row r="37" spans="1:5" ht="18.600000000000001" customHeight="1">
      <c r="A37" s="29">
        <v>34</v>
      </c>
      <c r="B37" s="44" t="s">
        <v>756</v>
      </c>
      <c r="C37" s="29" t="s">
        <v>757</v>
      </c>
      <c r="D37" s="280">
        <v>10000</v>
      </c>
      <c r="E37" s="322"/>
    </row>
    <row r="38" spans="1:5" ht="18.600000000000001" customHeight="1">
      <c r="A38" s="29">
        <v>35</v>
      </c>
      <c r="B38" s="44" t="s">
        <v>430</v>
      </c>
      <c r="C38" s="36" t="s">
        <v>108</v>
      </c>
      <c r="D38" s="52">
        <v>7000</v>
      </c>
      <c r="E38" s="322"/>
    </row>
    <row r="39" spans="1:5" ht="18.600000000000001" customHeight="1">
      <c r="A39" s="29">
        <v>36</v>
      </c>
      <c r="B39" s="44" t="s">
        <v>759</v>
      </c>
      <c r="C39" s="29" t="s">
        <v>760</v>
      </c>
      <c r="D39" s="280">
        <v>2000</v>
      </c>
      <c r="E39" s="322"/>
    </row>
    <row r="40" spans="1:5" ht="18.600000000000001" customHeight="1">
      <c r="A40" s="29">
        <v>37</v>
      </c>
      <c r="B40" s="44" t="s">
        <v>575</v>
      </c>
      <c r="C40" s="40" t="s">
        <v>124</v>
      </c>
      <c r="D40" s="283">
        <v>4500</v>
      </c>
      <c r="E40" s="322"/>
    </row>
    <row r="41" spans="1:5" ht="18.600000000000001" customHeight="1">
      <c r="A41" s="29">
        <v>38</v>
      </c>
      <c r="B41" s="44" t="s">
        <v>713</v>
      </c>
      <c r="C41" s="29" t="s">
        <v>55</v>
      </c>
      <c r="D41" s="280">
        <v>8000</v>
      </c>
      <c r="E41" s="322"/>
    </row>
    <row r="42" spans="1:5" ht="18.600000000000001" customHeight="1">
      <c r="A42" s="29">
        <v>39</v>
      </c>
      <c r="B42" s="44" t="s">
        <v>566</v>
      </c>
      <c r="C42" s="40" t="s">
        <v>107</v>
      </c>
      <c r="D42" s="283">
        <v>1500</v>
      </c>
      <c r="E42" s="322"/>
    </row>
    <row r="43" spans="1:5" ht="18.600000000000001" customHeight="1">
      <c r="A43" s="29">
        <v>40</v>
      </c>
      <c r="B43" s="44" t="s">
        <v>742</v>
      </c>
      <c r="C43" s="29" t="s">
        <v>740</v>
      </c>
      <c r="D43" s="280">
        <v>3150000</v>
      </c>
      <c r="E43" s="322"/>
    </row>
    <row r="44" spans="1:5" ht="18.600000000000001" customHeight="1">
      <c r="A44" s="29">
        <v>41</v>
      </c>
      <c r="B44" s="44" t="s">
        <v>567</v>
      </c>
      <c r="C44" s="36" t="s">
        <v>107</v>
      </c>
      <c r="D44" s="52">
        <v>300</v>
      </c>
      <c r="E44" s="322"/>
    </row>
    <row r="45" spans="1:5" ht="18.600000000000001" customHeight="1">
      <c r="A45" s="29">
        <v>42</v>
      </c>
      <c r="B45" s="44" t="s">
        <v>718</v>
      </c>
      <c r="C45" s="29" t="s">
        <v>719</v>
      </c>
      <c r="D45" s="280">
        <v>10000</v>
      </c>
      <c r="E45" s="322"/>
    </row>
    <row r="46" spans="1:5" ht="18.600000000000001" customHeight="1">
      <c r="A46" s="29">
        <v>43</v>
      </c>
      <c r="B46" s="44" t="s">
        <v>568</v>
      </c>
      <c r="C46" s="40" t="s">
        <v>100</v>
      </c>
      <c r="D46" s="283">
        <v>2400000</v>
      </c>
      <c r="E46" s="322"/>
    </row>
    <row r="47" spans="1:5" ht="18.600000000000001" customHeight="1">
      <c r="A47" s="29">
        <v>44</v>
      </c>
      <c r="B47" s="44" t="s">
        <v>198</v>
      </c>
      <c r="C47" s="34" t="s">
        <v>717</v>
      </c>
      <c r="D47" s="282">
        <v>3350000</v>
      </c>
      <c r="E47" s="322"/>
    </row>
    <row r="48" spans="1:5" ht="18.600000000000001" customHeight="1">
      <c r="A48" s="29">
        <v>45</v>
      </c>
      <c r="B48" s="44" t="s">
        <v>716</v>
      </c>
      <c r="C48" s="29" t="s">
        <v>717</v>
      </c>
      <c r="D48" s="282">
        <v>1450000</v>
      </c>
      <c r="E48" s="322"/>
    </row>
    <row r="49" spans="1:5" ht="18.600000000000001" customHeight="1">
      <c r="A49" s="150">
        <v>46</v>
      </c>
      <c r="B49" s="151" t="s">
        <v>761</v>
      </c>
      <c r="C49" s="150" t="s">
        <v>762</v>
      </c>
      <c r="D49" s="288">
        <v>10000</v>
      </c>
      <c r="E49" s="324"/>
    </row>
    <row r="50" spans="1:5" ht="18.600000000000001" customHeight="1">
      <c r="A50" s="156">
        <v>47</v>
      </c>
      <c r="B50" s="42" t="s">
        <v>431</v>
      </c>
      <c r="C50" s="43" t="s">
        <v>104</v>
      </c>
      <c r="D50" s="51">
        <v>300000</v>
      </c>
      <c r="E50" s="323"/>
    </row>
    <row r="51" spans="1:5" ht="18.600000000000001" customHeight="1">
      <c r="A51" s="29">
        <v>48</v>
      </c>
      <c r="B51" s="281" t="s">
        <v>569</v>
      </c>
      <c r="C51" s="40" t="s">
        <v>100</v>
      </c>
      <c r="D51" s="283">
        <v>1250000</v>
      </c>
      <c r="E51" s="322"/>
    </row>
    <row r="52" spans="1:5" ht="18.600000000000001" customHeight="1">
      <c r="A52" s="29">
        <v>49</v>
      </c>
      <c r="B52" s="44" t="s">
        <v>728</v>
      </c>
      <c r="C52" s="29" t="s">
        <v>130</v>
      </c>
      <c r="D52" s="280">
        <v>50000</v>
      </c>
      <c r="E52" s="322"/>
    </row>
    <row r="53" spans="1:5" ht="18.600000000000001" customHeight="1">
      <c r="A53" s="29">
        <v>50</v>
      </c>
      <c r="B53" s="44" t="s">
        <v>720</v>
      </c>
      <c r="C53" s="29" t="s">
        <v>678</v>
      </c>
      <c r="D53" s="280">
        <v>10000</v>
      </c>
      <c r="E53" s="322"/>
    </row>
    <row r="54" spans="1:5" ht="18.600000000000001" customHeight="1">
      <c r="A54" s="29">
        <v>51</v>
      </c>
      <c r="B54" s="44" t="s">
        <v>744</v>
      </c>
      <c r="C54" s="29" t="s">
        <v>733</v>
      </c>
      <c r="D54" s="280">
        <v>14500</v>
      </c>
      <c r="E54" s="322" t="s">
        <v>438</v>
      </c>
    </row>
    <row r="55" spans="1:5" ht="18.600000000000001" customHeight="1">
      <c r="A55" s="29">
        <v>52</v>
      </c>
      <c r="B55" s="44" t="s">
        <v>570</v>
      </c>
      <c r="C55" s="36" t="s">
        <v>113</v>
      </c>
      <c r="D55" s="52">
        <v>10000</v>
      </c>
      <c r="E55" s="322"/>
    </row>
    <row r="56" spans="1:5" ht="18.600000000000001" customHeight="1">
      <c r="A56" s="29">
        <v>53</v>
      </c>
      <c r="B56" s="44" t="s">
        <v>736</v>
      </c>
      <c r="C56" s="29" t="s">
        <v>735</v>
      </c>
      <c r="D56" s="280">
        <v>5000</v>
      </c>
      <c r="E56" s="322"/>
    </row>
    <row r="57" spans="1:5" ht="18.600000000000001" customHeight="1">
      <c r="A57" s="29">
        <v>54</v>
      </c>
      <c r="B57" s="44" t="s">
        <v>734</v>
      </c>
      <c r="C57" s="29" t="s">
        <v>735</v>
      </c>
      <c r="D57" s="280">
        <v>5000</v>
      </c>
      <c r="E57" s="322"/>
    </row>
    <row r="58" spans="1:5" ht="18.600000000000001" customHeight="1">
      <c r="A58" s="29">
        <v>55</v>
      </c>
      <c r="B58" s="44" t="s">
        <v>737</v>
      </c>
      <c r="C58" s="29" t="s">
        <v>735</v>
      </c>
      <c r="D58" s="280">
        <v>5000</v>
      </c>
      <c r="E58" s="322"/>
    </row>
    <row r="59" spans="1:5" ht="18.600000000000001" customHeight="1">
      <c r="A59" s="29">
        <v>56</v>
      </c>
      <c r="B59" s="44" t="s">
        <v>722</v>
      </c>
      <c r="C59" s="29" t="s">
        <v>690</v>
      </c>
      <c r="D59" s="280">
        <v>10000</v>
      </c>
      <c r="E59" s="322"/>
    </row>
    <row r="60" spans="1:5" ht="18.600000000000001" customHeight="1">
      <c r="A60" s="29">
        <v>57</v>
      </c>
      <c r="B60" s="44" t="s">
        <v>721</v>
      </c>
      <c r="C60" s="29" t="s">
        <v>690</v>
      </c>
      <c r="D60" s="280">
        <v>5000</v>
      </c>
      <c r="E60" s="322"/>
    </row>
    <row r="61" spans="1:5" ht="18.600000000000001" customHeight="1">
      <c r="A61" s="29">
        <v>58</v>
      </c>
      <c r="B61" s="44" t="s">
        <v>725</v>
      </c>
      <c r="C61" s="29" t="s">
        <v>724</v>
      </c>
      <c r="D61" s="280">
        <v>150000</v>
      </c>
      <c r="E61" s="322"/>
    </row>
    <row r="62" spans="1:5" ht="18.600000000000001" customHeight="1">
      <c r="A62" s="29">
        <v>59</v>
      </c>
      <c r="B62" s="44" t="s">
        <v>723</v>
      </c>
      <c r="C62" s="29" t="s">
        <v>724</v>
      </c>
      <c r="D62" s="280">
        <v>200000</v>
      </c>
      <c r="E62" s="322"/>
    </row>
    <row r="63" spans="1:5" ht="18.600000000000001" customHeight="1">
      <c r="A63" s="29">
        <v>60</v>
      </c>
      <c r="B63" s="44" t="s">
        <v>432</v>
      </c>
      <c r="C63" s="29" t="s">
        <v>690</v>
      </c>
      <c r="D63" s="280">
        <v>100000</v>
      </c>
      <c r="E63" s="322"/>
    </row>
    <row r="64" spans="1:5" ht="18.600000000000001" customHeight="1">
      <c r="A64" s="29">
        <v>61</v>
      </c>
      <c r="B64" s="281" t="s">
        <v>732</v>
      </c>
      <c r="C64" s="29" t="s">
        <v>733</v>
      </c>
      <c r="D64" s="280">
        <v>25000</v>
      </c>
      <c r="E64" s="322" t="s">
        <v>440</v>
      </c>
    </row>
    <row r="65" spans="1:5" ht="18.600000000000001" customHeight="1">
      <c r="A65" s="29">
        <v>62</v>
      </c>
      <c r="B65" s="44" t="s">
        <v>571</v>
      </c>
      <c r="C65" s="40" t="s">
        <v>98</v>
      </c>
      <c r="D65" s="283">
        <v>3000</v>
      </c>
      <c r="E65" s="322"/>
    </row>
    <row r="66" spans="1:5" ht="18.600000000000001" customHeight="1">
      <c r="A66" s="29">
        <v>63</v>
      </c>
      <c r="B66" s="44" t="s">
        <v>925</v>
      </c>
      <c r="C66" s="40" t="s">
        <v>98</v>
      </c>
      <c r="D66" s="283">
        <v>150000</v>
      </c>
      <c r="E66" s="322"/>
    </row>
    <row r="67" spans="1:5" ht="18.600000000000001" customHeight="1">
      <c r="A67" s="29">
        <v>64</v>
      </c>
      <c r="B67" s="44" t="s">
        <v>726</v>
      </c>
      <c r="C67" s="29" t="s">
        <v>727</v>
      </c>
      <c r="D67" s="280">
        <v>23027</v>
      </c>
      <c r="E67" s="322"/>
    </row>
    <row r="68" spans="1:5" ht="18.600000000000001" customHeight="1">
      <c r="A68" s="29">
        <v>65</v>
      </c>
      <c r="B68" s="44" t="s">
        <v>738</v>
      </c>
      <c r="C68" s="29" t="s">
        <v>739</v>
      </c>
      <c r="D68" s="280">
        <v>1185</v>
      </c>
      <c r="E68" s="322" t="s">
        <v>439</v>
      </c>
    </row>
    <row r="69" spans="1:5" ht="18.600000000000001" customHeight="1">
      <c r="A69" s="150"/>
      <c r="B69" s="286"/>
      <c r="C69" s="286"/>
      <c r="D69" s="286"/>
      <c r="E69" s="324"/>
    </row>
  </sheetData>
  <mergeCells count="1">
    <mergeCell ref="A1:E1"/>
  </mergeCells>
  <phoneticPr fontId="45" type="noConversion"/>
  <printOptions horizontalCentered="1"/>
  <pageMargins left="1.14173228346457" right="0.94488188976377996" top="0.98425196850393704" bottom="0.98425196850393704" header="0.511811023622047" footer="0.511811023622047"/>
  <pageSetup paperSize="9" firstPageNumber="238" orientation="landscape"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G79"/>
  <sheetViews>
    <sheetView zoomScaleNormal="100" workbookViewId="0">
      <selection activeCell="B19" sqref="B19"/>
    </sheetView>
  </sheetViews>
  <sheetFormatPr defaultRowHeight="16.5"/>
  <cols>
    <col min="1" max="1" width="7.77734375" style="260" customWidth="1"/>
    <col min="2" max="2" width="26" customWidth="1"/>
    <col min="3" max="3" width="9.21875" customWidth="1"/>
    <col min="4" max="4" width="9.6640625" style="251" customWidth="1"/>
    <col min="5" max="5" width="11.21875" customWidth="1"/>
    <col min="6" max="6" width="11.109375" customWidth="1"/>
    <col min="7" max="7" width="18.21875" customWidth="1"/>
  </cols>
  <sheetData>
    <row r="1" spans="1:7" s="11" customFormat="1" ht="21.75" customHeight="1">
      <c r="A1" s="1093" t="s">
        <v>204</v>
      </c>
      <c r="B1" s="1093"/>
      <c r="C1" s="1093"/>
      <c r="D1" s="1093"/>
      <c r="E1" s="1093"/>
      <c r="F1" s="1093"/>
      <c r="G1" s="1093"/>
    </row>
    <row r="2" spans="1:7" ht="9" customHeight="1"/>
    <row r="3" spans="1:7" ht="53.45" customHeight="1">
      <c r="A3" s="266" t="s">
        <v>158</v>
      </c>
      <c r="B3" s="267" t="s">
        <v>199</v>
      </c>
      <c r="C3" s="267" t="s">
        <v>160</v>
      </c>
      <c r="D3" s="267" t="s">
        <v>424</v>
      </c>
      <c r="E3" s="267" t="s">
        <v>425</v>
      </c>
      <c r="F3" s="267" t="s">
        <v>422</v>
      </c>
      <c r="G3" s="267" t="s">
        <v>162</v>
      </c>
    </row>
    <row r="4" spans="1:7" ht="17.25" customHeight="1">
      <c r="A4" s="262">
        <v>1</v>
      </c>
      <c r="B4" s="263" t="s">
        <v>558</v>
      </c>
      <c r="C4" s="264" t="s">
        <v>130</v>
      </c>
      <c r="D4" s="265">
        <v>48</v>
      </c>
      <c r="E4" s="155">
        <v>300000</v>
      </c>
      <c r="F4" s="250">
        <f t="shared" ref="F4:F36" si="0">E4/(D4*26)</f>
        <v>240.38461538461539</v>
      </c>
      <c r="G4" s="312"/>
    </row>
    <row r="5" spans="1:7" ht="17.25" customHeight="1">
      <c r="A5" s="261">
        <v>2</v>
      </c>
      <c r="B5" s="255" t="s">
        <v>293</v>
      </c>
      <c r="C5" s="253" t="s">
        <v>385</v>
      </c>
      <c r="D5" s="252">
        <v>12</v>
      </c>
      <c r="E5" s="37">
        <v>100000</v>
      </c>
      <c r="F5" s="37">
        <f t="shared" si="0"/>
        <v>320.5128205128205</v>
      </c>
      <c r="G5" s="313"/>
    </row>
    <row r="6" spans="1:7" ht="17.25" customHeight="1">
      <c r="A6" s="261">
        <v>3</v>
      </c>
      <c r="B6" s="254" t="s">
        <v>793</v>
      </c>
      <c r="C6" s="253" t="s">
        <v>130</v>
      </c>
      <c r="D6" s="252">
        <v>12</v>
      </c>
      <c r="E6" s="37">
        <v>80000</v>
      </c>
      <c r="F6" s="147">
        <f t="shared" si="0"/>
        <v>256.41025641025641</v>
      </c>
      <c r="G6" s="313"/>
    </row>
    <row r="7" spans="1:7" ht="17.25" customHeight="1">
      <c r="A7" s="261">
        <v>4</v>
      </c>
      <c r="B7" s="254" t="s">
        <v>792</v>
      </c>
      <c r="C7" s="253" t="s">
        <v>130</v>
      </c>
      <c r="D7" s="252">
        <v>18</v>
      </c>
      <c r="E7" s="37">
        <v>150000</v>
      </c>
      <c r="F7" s="147">
        <f t="shared" si="0"/>
        <v>320.5128205128205</v>
      </c>
      <c r="G7" s="313"/>
    </row>
    <row r="8" spans="1:7" ht="17.25" customHeight="1">
      <c r="A8" s="261">
        <v>5</v>
      </c>
      <c r="B8" s="254" t="s">
        <v>559</v>
      </c>
      <c r="C8" s="253" t="s">
        <v>130</v>
      </c>
      <c r="D8" s="252">
        <v>48</v>
      </c>
      <c r="E8" s="37">
        <v>1050000</v>
      </c>
      <c r="F8" s="147">
        <f t="shared" si="0"/>
        <v>841.34615384615381</v>
      </c>
      <c r="G8" s="313"/>
    </row>
    <row r="9" spans="1:7" ht="17.25" customHeight="1">
      <c r="A9" s="261">
        <v>6</v>
      </c>
      <c r="B9" s="254" t="s">
        <v>794</v>
      </c>
      <c r="C9" s="253" t="s">
        <v>130</v>
      </c>
      <c r="D9" s="252">
        <v>18</v>
      </c>
      <c r="E9" s="37">
        <v>180000</v>
      </c>
      <c r="F9" s="147">
        <f t="shared" si="0"/>
        <v>384.61538461538464</v>
      </c>
      <c r="G9" s="313"/>
    </row>
    <row r="10" spans="1:7" ht="17.25" customHeight="1">
      <c r="A10" s="261">
        <v>7</v>
      </c>
      <c r="B10" s="255" t="s">
        <v>392</v>
      </c>
      <c r="C10" s="253" t="s">
        <v>385</v>
      </c>
      <c r="D10" s="252">
        <v>12</v>
      </c>
      <c r="E10" s="37">
        <v>25000</v>
      </c>
      <c r="F10" s="37">
        <f t="shared" si="0"/>
        <v>80.128205128205124</v>
      </c>
      <c r="G10" s="313"/>
    </row>
    <row r="11" spans="1:7" ht="17.25" customHeight="1">
      <c r="A11" s="261">
        <v>8</v>
      </c>
      <c r="B11" s="255" t="s">
        <v>393</v>
      </c>
      <c r="C11" s="253" t="s">
        <v>385</v>
      </c>
      <c r="D11" s="252">
        <v>12</v>
      </c>
      <c r="E11" s="37">
        <v>35000</v>
      </c>
      <c r="F11" s="37">
        <f t="shared" si="0"/>
        <v>112.17948717948718</v>
      </c>
      <c r="G11" s="313"/>
    </row>
    <row r="12" spans="1:7" ht="17.25" customHeight="1">
      <c r="A12" s="261">
        <v>9</v>
      </c>
      <c r="B12" s="255" t="s">
        <v>391</v>
      </c>
      <c r="C12" s="253" t="s">
        <v>385</v>
      </c>
      <c r="D12" s="252">
        <v>12</v>
      </c>
      <c r="E12" s="37">
        <v>48000</v>
      </c>
      <c r="F12" s="37">
        <f t="shared" si="0"/>
        <v>153.84615384615384</v>
      </c>
      <c r="G12" s="313"/>
    </row>
    <row r="13" spans="1:7" ht="17.25" customHeight="1">
      <c r="A13" s="261">
        <v>10</v>
      </c>
      <c r="B13" s="255" t="s">
        <v>387</v>
      </c>
      <c r="C13" s="253" t="s">
        <v>385</v>
      </c>
      <c r="D13" s="252">
        <v>60</v>
      </c>
      <c r="E13" s="37">
        <v>754000</v>
      </c>
      <c r="F13" s="37">
        <f t="shared" si="0"/>
        <v>483.33333333333331</v>
      </c>
      <c r="G13" s="313"/>
    </row>
    <row r="14" spans="1:7" ht="17.25" customHeight="1">
      <c r="A14" s="261">
        <v>11</v>
      </c>
      <c r="B14" s="254" t="s">
        <v>699</v>
      </c>
      <c r="C14" s="253" t="s">
        <v>130</v>
      </c>
      <c r="D14" s="252">
        <v>12</v>
      </c>
      <c r="E14" s="37">
        <v>230000</v>
      </c>
      <c r="F14" s="147">
        <f t="shared" si="0"/>
        <v>737.17948717948718</v>
      </c>
      <c r="G14" s="313"/>
    </row>
    <row r="15" spans="1:7" ht="17.25" customHeight="1">
      <c r="A15" s="261">
        <v>12</v>
      </c>
      <c r="B15" s="254" t="s">
        <v>795</v>
      </c>
      <c r="C15" s="253" t="s">
        <v>130</v>
      </c>
      <c r="D15" s="252">
        <v>12</v>
      </c>
      <c r="E15" s="37">
        <v>30000</v>
      </c>
      <c r="F15" s="147">
        <f t="shared" si="0"/>
        <v>96.15384615384616</v>
      </c>
      <c r="G15" s="313"/>
    </row>
    <row r="16" spans="1:7" ht="17.25" customHeight="1">
      <c r="A16" s="261">
        <v>13</v>
      </c>
      <c r="B16" s="254" t="s">
        <v>796</v>
      </c>
      <c r="C16" s="253" t="s">
        <v>533</v>
      </c>
      <c r="D16" s="252">
        <v>24</v>
      </c>
      <c r="E16" s="37">
        <v>120000</v>
      </c>
      <c r="F16" s="147">
        <f t="shared" si="0"/>
        <v>192.30769230769232</v>
      </c>
      <c r="G16" s="313"/>
    </row>
    <row r="17" spans="1:7" ht="17.25" customHeight="1">
      <c r="A17" s="261">
        <v>14</v>
      </c>
      <c r="B17" s="254" t="s">
        <v>797</v>
      </c>
      <c r="C17" s="253" t="s">
        <v>533</v>
      </c>
      <c r="D17" s="252">
        <v>24</v>
      </c>
      <c r="E17" s="37">
        <v>300000</v>
      </c>
      <c r="F17" s="147">
        <f t="shared" si="0"/>
        <v>480.76923076923077</v>
      </c>
      <c r="G17" s="313"/>
    </row>
    <row r="18" spans="1:7" ht="17.25" customHeight="1">
      <c r="A18" s="261">
        <v>15</v>
      </c>
      <c r="B18" s="254" t="s">
        <v>701</v>
      </c>
      <c r="C18" s="253" t="s">
        <v>130</v>
      </c>
      <c r="D18" s="252">
        <v>36</v>
      </c>
      <c r="E18" s="37">
        <v>90000</v>
      </c>
      <c r="F18" s="147">
        <f t="shared" si="0"/>
        <v>96.15384615384616</v>
      </c>
      <c r="G18" s="313"/>
    </row>
    <row r="19" spans="1:7" s="329" customFormat="1">
      <c r="A19" s="261">
        <v>16</v>
      </c>
      <c r="B19" s="326" t="s">
        <v>441</v>
      </c>
      <c r="C19" s="325" t="s">
        <v>130</v>
      </c>
      <c r="D19" s="252">
        <v>36</v>
      </c>
      <c r="E19" s="327">
        <v>10000</v>
      </c>
      <c r="F19" s="328">
        <f t="shared" si="0"/>
        <v>10.683760683760683</v>
      </c>
      <c r="G19" s="330"/>
    </row>
    <row r="20" spans="1:7" ht="17.25" customHeight="1">
      <c r="A20" s="261">
        <v>17</v>
      </c>
      <c r="B20" s="256" t="s">
        <v>745</v>
      </c>
      <c r="C20" s="253" t="s">
        <v>130</v>
      </c>
      <c r="D20" s="252">
        <v>36</v>
      </c>
      <c r="E20" s="37">
        <v>30000</v>
      </c>
      <c r="F20" s="37">
        <f t="shared" si="0"/>
        <v>32.051282051282051</v>
      </c>
      <c r="G20" s="313"/>
    </row>
    <row r="21" spans="1:7" ht="17.25" customHeight="1">
      <c r="A21" s="261">
        <v>18</v>
      </c>
      <c r="B21" s="256" t="s">
        <v>746</v>
      </c>
      <c r="C21" s="253" t="s">
        <v>130</v>
      </c>
      <c r="D21" s="252">
        <v>24</v>
      </c>
      <c r="E21" s="37">
        <v>25000</v>
      </c>
      <c r="F21" s="37">
        <f t="shared" si="0"/>
        <v>40.064102564102562</v>
      </c>
      <c r="G21" s="313"/>
    </row>
    <row r="22" spans="1:7" ht="17.25" customHeight="1">
      <c r="A22" s="261">
        <v>19</v>
      </c>
      <c r="B22" s="254" t="s">
        <v>753</v>
      </c>
      <c r="C22" s="253" t="s">
        <v>130</v>
      </c>
      <c r="D22" s="252">
        <v>24</v>
      </c>
      <c r="E22" s="37">
        <v>20000</v>
      </c>
      <c r="F22" s="37">
        <f t="shared" si="0"/>
        <v>32.051282051282051</v>
      </c>
      <c r="G22" s="313"/>
    </row>
    <row r="23" spans="1:7" ht="17.25" customHeight="1">
      <c r="A23" s="261">
        <v>20</v>
      </c>
      <c r="B23" s="255" t="s">
        <v>530</v>
      </c>
      <c r="C23" s="253" t="s">
        <v>385</v>
      </c>
      <c r="D23" s="252">
        <v>12</v>
      </c>
      <c r="E23" s="37">
        <v>25000</v>
      </c>
      <c r="F23" s="37">
        <f t="shared" si="0"/>
        <v>80.128205128205124</v>
      </c>
      <c r="G23" s="313"/>
    </row>
    <row r="24" spans="1:7" ht="17.25" customHeight="1">
      <c r="A24" s="261">
        <v>21</v>
      </c>
      <c r="B24" s="255" t="s">
        <v>195</v>
      </c>
      <c r="C24" s="253" t="s">
        <v>385</v>
      </c>
      <c r="D24" s="252">
        <v>4</v>
      </c>
      <c r="E24" s="37">
        <v>100000</v>
      </c>
      <c r="F24" s="37">
        <f t="shared" si="0"/>
        <v>961.53846153846155</v>
      </c>
      <c r="G24" s="313"/>
    </row>
    <row r="25" spans="1:7" ht="17.25" customHeight="1">
      <c r="A25" s="261">
        <v>22</v>
      </c>
      <c r="B25" s="254" t="s">
        <v>798</v>
      </c>
      <c r="C25" s="253" t="s">
        <v>385</v>
      </c>
      <c r="D25" s="252">
        <v>12</v>
      </c>
      <c r="E25" s="37">
        <v>10000</v>
      </c>
      <c r="F25" s="147">
        <f t="shared" si="0"/>
        <v>32.051282051282051</v>
      </c>
      <c r="G25" s="313"/>
    </row>
    <row r="26" spans="1:7" ht="17.25" customHeight="1">
      <c r="A26" s="261">
        <v>23</v>
      </c>
      <c r="B26" s="254" t="s">
        <v>799</v>
      </c>
      <c r="C26" s="253" t="s">
        <v>130</v>
      </c>
      <c r="D26" s="252">
        <v>24</v>
      </c>
      <c r="E26" s="37">
        <v>15000</v>
      </c>
      <c r="F26" s="147">
        <f t="shared" si="0"/>
        <v>24.03846153846154</v>
      </c>
      <c r="G26" s="313"/>
    </row>
    <row r="27" spans="1:7" ht="17.25" customHeight="1">
      <c r="A27" s="275">
        <v>24</v>
      </c>
      <c r="B27" s="315" t="s">
        <v>800</v>
      </c>
      <c r="C27" s="276" t="s">
        <v>130</v>
      </c>
      <c r="D27" s="277">
        <v>24</v>
      </c>
      <c r="E27" s="149">
        <v>50000</v>
      </c>
      <c r="F27" s="148">
        <f t="shared" si="0"/>
        <v>80.128205128205124</v>
      </c>
      <c r="G27" s="286"/>
    </row>
    <row r="28" spans="1:7" ht="17.45" customHeight="1">
      <c r="A28" s="262">
        <v>25</v>
      </c>
      <c r="B28" s="263" t="s">
        <v>747</v>
      </c>
      <c r="C28" s="264" t="s">
        <v>130</v>
      </c>
      <c r="D28" s="265">
        <v>24</v>
      </c>
      <c r="E28" s="155">
        <v>20000</v>
      </c>
      <c r="F28" s="155">
        <f t="shared" si="0"/>
        <v>32.051282051282051</v>
      </c>
      <c r="G28" s="314"/>
    </row>
    <row r="29" spans="1:7" ht="17.45" customHeight="1">
      <c r="A29" s="261">
        <v>26</v>
      </c>
      <c r="B29" s="254" t="s">
        <v>801</v>
      </c>
      <c r="C29" s="253" t="s">
        <v>130</v>
      </c>
      <c r="D29" s="252">
        <v>24</v>
      </c>
      <c r="E29" s="37">
        <v>75000</v>
      </c>
      <c r="F29" s="147">
        <f t="shared" si="0"/>
        <v>120.19230769230769</v>
      </c>
      <c r="G29" s="313"/>
    </row>
    <row r="30" spans="1:7" ht="17.45" customHeight="1">
      <c r="A30" s="261">
        <v>27</v>
      </c>
      <c r="B30" s="254" t="s">
        <v>802</v>
      </c>
      <c r="C30" s="253" t="s">
        <v>130</v>
      </c>
      <c r="D30" s="252">
        <v>12</v>
      </c>
      <c r="E30" s="37">
        <v>60000</v>
      </c>
      <c r="F30" s="147">
        <f t="shared" si="0"/>
        <v>192.30769230769232</v>
      </c>
      <c r="G30" s="313"/>
    </row>
    <row r="31" spans="1:7" ht="17.45" customHeight="1">
      <c r="A31" s="261">
        <v>28</v>
      </c>
      <c r="B31" s="254" t="s">
        <v>803</v>
      </c>
      <c r="C31" s="253" t="s">
        <v>130</v>
      </c>
      <c r="D31" s="252">
        <v>24</v>
      </c>
      <c r="E31" s="37">
        <v>40000</v>
      </c>
      <c r="F31" s="147">
        <f t="shared" si="0"/>
        <v>64.102564102564102</v>
      </c>
      <c r="G31" s="313"/>
    </row>
    <row r="32" spans="1:7" ht="17.45" customHeight="1">
      <c r="A32" s="261">
        <v>29</v>
      </c>
      <c r="B32" s="254" t="s">
        <v>804</v>
      </c>
      <c r="C32" s="253" t="s">
        <v>130</v>
      </c>
      <c r="D32" s="252">
        <v>12</v>
      </c>
      <c r="E32" s="37">
        <v>40000</v>
      </c>
      <c r="F32" s="147">
        <f t="shared" si="0"/>
        <v>128.2051282051282</v>
      </c>
      <c r="G32" s="313"/>
    </row>
    <row r="33" spans="1:7" ht="17.45" customHeight="1">
      <c r="A33" s="261">
        <v>30</v>
      </c>
      <c r="B33" s="255" t="s">
        <v>196</v>
      </c>
      <c r="C33" s="253" t="s">
        <v>385</v>
      </c>
      <c r="D33" s="252">
        <v>72</v>
      </c>
      <c r="E33" s="37">
        <v>900000</v>
      </c>
      <c r="F33" s="37">
        <f t="shared" si="0"/>
        <v>480.76923076923077</v>
      </c>
      <c r="G33" s="313"/>
    </row>
    <row r="34" spans="1:7" ht="17.45" customHeight="1">
      <c r="A34" s="261">
        <v>31</v>
      </c>
      <c r="B34" s="255" t="s">
        <v>532</v>
      </c>
      <c r="C34" s="253" t="s">
        <v>533</v>
      </c>
      <c r="D34" s="252">
        <v>30</v>
      </c>
      <c r="E34" s="37">
        <v>65000</v>
      </c>
      <c r="F34" s="37">
        <f t="shared" si="0"/>
        <v>83.333333333333329</v>
      </c>
      <c r="G34" s="313"/>
    </row>
    <row r="35" spans="1:7" ht="17.45" customHeight="1">
      <c r="A35" s="261">
        <v>32</v>
      </c>
      <c r="B35" s="254" t="s">
        <v>805</v>
      </c>
      <c r="C35" s="253" t="s">
        <v>130</v>
      </c>
      <c r="D35" s="252">
        <v>12</v>
      </c>
      <c r="E35" s="37">
        <v>40000</v>
      </c>
      <c r="F35" s="147">
        <f t="shared" si="0"/>
        <v>128.2051282051282</v>
      </c>
      <c r="G35" s="313"/>
    </row>
    <row r="36" spans="1:7" ht="17.45" customHeight="1">
      <c r="A36" s="261">
        <v>33</v>
      </c>
      <c r="B36" s="255" t="s">
        <v>396</v>
      </c>
      <c r="C36" s="253" t="s">
        <v>529</v>
      </c>
      <c r="D36" s="252">
        <v>6</v>
      </c>
      <c r="E36" s="37">
        <v>18000</v>
      </c>
      <c r="F36" s="37">
        <f t="shared" si="0"/>
        <v>115.38461538461539</v>
      </c>
      <c r="G36" s="313"/>
    </row>
    <row r="37" spans="1:7" ht="17.45" customHeight="1">
      <c r="A37" s="261">
        <v>34</v>
      </c>
      <c r="B37" s="254" t="s">
        <v>674</v>
      </c>
      <c r="C37" s="253" t="s">
        <v>130</v>
      </c>
      <c r="D37" s="252">
        <v>36</v>
      </c>
      <c r="E37" s="37">
        <v>150000</v>
      </c>
      <c r="F37" s="147">
        <f t="shared" ref="F37:F68" si="1">E37/(D37*26)</f>
        <v>160.25641025641025</v>
      </c>
      <c r="G37" s="313"/>
    </row>
    <row r="38" spans="1:7" ht="17.45" customHeight="1">
      <c r="A38" s="261">
        <v>35</v>
      </c>
      <c r="B38" s="254" t="s">
        <v>752</v>
      </c>
      <c r="C38" s="253" t="s">
        <v>130</v>
      </c>
      <c r="D38" s="252">
        <v>36</v>
      </c>
      <c r="E38" s="37">
        <v>50000</v>
      </c>
      <c r="F38" s="37">
        <f t="shared" si="1"/>
        <v>53.418803418803421</v>
      </c>
      <c r="G38" s="313"/>
    </row>
    <row r="39" spans="1:7" ht="17.45" customHeight="1">
      <c r="A39" s="261">
        <v>36</v>
      </c>
      <c r="B39" s="255" t="s">
        <v>384</v>
      </c>
      <c r="C39" s="253" t="s">
        <v>385</v>
      </c>
      <c r="D39" s="252">
        <v>36</v>
      </c>
      <c r="E39" s="37">
        <v>230000</v>
      </c>
      <c r="F39" s="37">
        <f t="shared" si="1"/>
        <v>245.72649572649573</v>
      </c>
      <c r="G39" s="313"/>
    </row>
    <row r="40" spans="1:7" ht="17.45" customHeight="1">
      <c r="A40" s="261">
        <v>37</v>
      </c>
      <c r="B40" s="254" t="s">
        <v>675</v>
      </c>
      <c r="C40" s="253" t="s">
        <v>676</v>
      </c>
      <c r="D40" s="252">
        <v>24</v>
      </c>
      <c r="E40" s="37">
        <v>60000</v>
      </c>
      <c r="F40" s="147">
        <f t="shared" si="1"/>
        <v>96.15384615384616</v>
      </c>
      <c r="G40" s="313"/>
    </row>
    <row r="41" spans="1:7" ht="17.45" customHeight="1">
      <c r="A41" s="261">
        <v>38</v>
      </c>
      <c r="B41" s="254" t="s">
        <v>677</v>
      </c>
      <c r="C41" s="253" t="s">
        <v>678</v>
      </c>
      <c r="D41" s="252">
        <v>6</v>
      </c>
      <c r="E41" s="37">
        <v>25000</v>
      </c>
      <c r="F41" s="147">
        <f t="shared" si="1"/>
        <v>160.25641025641025</v>
      </c>
      <c r="G41" s="313"/>
    </row>
    <row r="42" spans="1:7" ht="17.45" customHeight="1">
      <c r="A42" s="261">
        <v>39</v>
      </c>
      <c r="B42" s="316" t="s">
        <v>386</v>
      </c>
      <c r="C42" s="253" t="s">
        <v>385</v>
      </c>
      <c r="D42" s="252">
        <v>60</v>
      </c>
      <c r="E42" s="37">
        <v>360000</v>
      </c>
      <c r="F42" s="37">
        <f t="shared" si="1"/>
        <v>230.76923076923077</v>
      </c>
      <c r="G42" s="313"/>
    </row>
    <row r="43" spans="1:7" ht="17.45" customHeight="1">
      <c r="A43" s="261">
        <v>40</v>
      </c>
      <c r="B43" s="254" t="s">
        <v>679</v>
      </c>
      <c r="C43" s="253" t="s">
        <v>678</v>
      </c>
      <c r="D43" s="252">
        <v>12</v>
      </c>
      <c r="E43" s="37">
        <v>85000</v>
      </c>
      <c r="F43" s="147">
        <f t="shared" si="1"/>
        <v>272.43589743589746</v>
      </c>
      <c r="G43" s="313"/>
    </row>
    <row r="44" spans="1:7" ht="17.45" customHeight="1">
      <c r="A44" s="261">
        <v>41</v>
      </c>
      <c r="B44" s="254" t="s">
        <v>681</v>
      </c>
      <c r="C44" s="253" t="s">
        <v>130</v>
      </c>
      <c r="D44" s="252">
        <v>48</v>
      </c>
      <c r="E44" s="37">
        <v>150000</v>
      </c>
      <c r="F44" s="147">
        <f t="shared" si="1"/>
        <v>120.19230769230769</v>
      </c>
      <c r="G44" s="313"/>
    </row>
    <row r="45" spans="1:7" ht="17.45" customHeight="1">
      <c r="A45" s="261">
        <v>42</v>
      </c>
      <c r="B45" s="254" t="s">
        <v>680</v>
      </c>
      <c r="C45" s="253" t="s">
        <v>130</v>
      </c>
      <c r="D45" s="252">
        <v>48</v>
      </c>
      <c r="E45" s="37">
        <v>150000</v>
      </c>
      <c r="F45" s="147">
        <f t="shared" si="1"/>
        <v>120.19230769230769</v>
      </c>
      <c r="G45" s="313"/>
    </row>
    <row r="46" spans="1:7" ht="17.45" customHeight="1">
      <c r="A46" s="261">
        <v>43</v>
      </c>
      <c r="B46" s="255" t="s">
        <v>394</v>
      </c>
      <c r="C46" s="253" t="s">
        <v>385</v>
      </c>
      <c r="D46" s="252">
        <v>9</v>
      </c>
      <c r="E46" s="37">
        <v>15000</v>
      </c>
      <c r="F46" s="37">
        <f t="shared" si="1"/>
        <v>64.102564102564102</v>
      </c>
      <c r="G46" s="313"/>
    </row>
    <row r="47" spans="1:7" ht="17.45" customHeight="1">
      <c r="A47" s="261">
        <v>44</v>
      </c>
      <c r="B47" s="256" t="s">
        <v>749</v>
      </c>
      <c r="C47" s="253" t="s">
        <v>130</v>
      </c>
      <c r="D47" s="252">
        <v>6</v>
      </c>
      <c r="E47" s="37">
        <v>1000</v>
      </c>
      <c r="F47" s="37">
        <f t="shared" si="1"/>
        <v>6.4102564102564106</v>
      </c>
      <c r="G47" s="313"/>
    </row>
    <row r="48" spans="1:7" ht="17.45" customHeight="1">
      <c r="A48" s="261">
        <v>45</v>
      </c>
      <c r="B48" s="254" t="s">
        <v>682</v>
      </c>
      <c r="C48" s="253" t="s">
        <v>130</v>
      </c>
      <c r="D48" s="252">
        <v>24</v>
      </c>
      <c r="E48" s="37">
        <v>30000</v>
      </c>
      <c r="F48" s="147">
        <f t="shared" si="1"/>
        <v>48.07692307692308</v>
      </c>
      <c r="G48" s="313"/>
    </row>
    <row r="49" spans="1:7" ht="17.45" customHeight="1">
      <c r="A49" s="261">
        <v>46</v>
      </c>
      <c r="B49" s="258" t="s">
        <v>819</v>
      </c>
      <c r="C49" s="257" t="s">
        <v>820</v>
      </c>
      <c r="D49" s="252">
        <v>48</v>
      </c>
      <c r="E49" s="40">
        <v>25000</v>
      </c>
      <c r="F49" s="37">
        <f t="shared" si="1"/>
        <v>20.032051282051281</v>
      </c>
      <c r="G49" s="313"/>
    </row>
    <row r="50" spans="1:7" ht="17.45" customHeight="1">
      <c r="A50" s="261">
        <v>47</v>
      </c>
      <c r="B50" s="255" t="s">
        <v>194</v>
      </c>
      <c r="C50" s="253" t="s">
        <v>385</v>
      </c>
      <c r="D50" s="252">
        <v>60</v>
      </c>
      <c r="E50" s="37">
        <v>2360000</v>
      </c>
      <c r="F50" s="37">
        <f t="shared" si="1"/>
        <v>1512.8205128205129</v>
      </c>
      <c r="G50" s="313"/>
    </row>
    <row r="51" spans="1:7" ht="17.45" customHeight="1">
      <c r="A51" s="261">
        <v>48</v>
      </c>
      <c r="B51" s="254" t="s">
        <v>702</v>
      </c>
      <c r="C51" s="253" t="s">
        <v>385</v>
      </c>
      <c r="D51" s="252">
        <v>72</v>
      </c>
      <c r="E51" s="37">
        <v>3500000</v>
      </c>
      <c r="F51" s="147">
        <f>E51/(D51*26)</f>
        <v>1869.6581196581196</v>
      </c>
      <c r="G51" s="313"/>
    </row>
    <row r="52" spans="1:7" ht="17.45" customHeight="1">
      <c r="A52" s="275">
        <v>49</v>
      </c>
      <c r="B52" s="317" t="s">
        <v>977</v>
      </c>
      <c r="C52" s="276" t="s">
        <v>385</v>
      </c>
      <c r="D52" s="277">
        <v>60</v>
      </c>
      <c r="E52" s="149">
        <v>6519000</v>
      </c>
      <c r="F52" s="149">
        <f t="shared" si="1"/>
        <v>4178.8461538461543</v>
      </c>
      <c r="G52" s="286"/>
    </row>
    <row r="53" spans="1:7" ht="15.6" customHeight="1">
      <c r="A53" s="262">
        <v>50</v>
      </c>
      <c r="B53" s="274" t="s">
        <v>390</v>
      </c>
      <c r="C53" s="264" t="s">
        <v>385</v>
      </c>
      <c r="D53" s="265">
        <v>36</v>
      </c>
      <c r="E53" s="155">
        <v>270000</v>
      </c>
      <c r="F53" s="155">
        <f t="shared" si="1"/>
        <v>288.46153846153845</v>
      </c>
      <c r="G53" s="314"/>
    </row>
    <row r="54" spans="1:7" ht="15.6" customHeight="1">
      <c r="A54" s="261">
        <v>51</v>
      </c>
      <c r="B54" s="254" t="s">
        <v>750</v>
      </c>
      <c r="C54" s="253" t="s">
        <v>130</v>
      </c>
      <c r="D54" s="252">
        <v>36</v>
      </c>
      <c r="E54" s="37">
        <v>875000</v>
      </c>
      <c r="F54" s="37">
        <f t="shared" si="1"/>
        <v>934.82905982905982</v>
      </c>
      <c r="G54" s="313"/>
    </row>
    <row r="55" spans="1:7" ht="15.6" customHeight="1">
      <c r="A55" s="261">
        <v>52</v>
      </c>
      <c r="B55" s="254" t="s">
        <v>683</v>
      </c>
      <c r="C55" s="253" t="s">
        <v>130</v>
      </c>
      <c r="D55" s="252">
        <v>12</v>
      </c>
      <c r="E55" s="37">
        <v>40000</v>
      </c>
      <c r="F55" s="147">
        <f t="shared" si="1"/>
        <v>128.2051282051282</v>
      </c>
      <c r="G55" s="313"/>
    </row>
    <row r="56" spans="1:7" ht="15.6" customHeight="1">
      <c r="A56" s="261">
        <v>53</v>
      </c>
      <c r="B56" s="254" t="s">
        <v>700</v>
      </c>
      <c r="C56" s="253" t="s">
        <v>130</v>
      </c>
      <c r="D56" s="252">
        <v>48</v>
      </c>
      <c r="E56" s="37">
        <v>150000</v>
      </c>
      <c r="F56" s="147">
        <f t="shared" si="1"/>
        <v>120.19230769230769</v>
      </c>
      <c r="G56" s="313"/>
    </row>
    <row r="57" spans="1:7" ht="15.6" customHeight="1">
      <c r="A57" s="261">
        <v>54</v>
      </c>
      <c r="B57" s="254" t="s">
        <v>684</v>
      </c>
      <c r="C57" s="253" t="s">
        <v>685</v>
      </c>
      <c r="D57" s="252">
        <v>9</v>
      </c>
      <c r="E57" s="37">
        <v>50000</v>
      </c>
      <c r="F57" s="147">
        <f t="shared" si="1"/>
        <v>213.67521367521368</v>
      </c>
      <c r="G57" s="313"/>
    </row>
    <row r="58" spans="1:7" ht="15.6" customHeight="1">
      <c r="A58" s="261">
        <v>55</v>
      </c>
      <c r="B58" s="254" t="s">
        <v>686</v>
      </c>
      <c r="C58" s="253" t="s">
        <v>687</v>
      </c>
      <c r="D58" s="252">
        <v>9</v>
      </c>
      <c r="E58" s="37">
        <v>20000</v>
      </c>
      <c r="F58" s="147">
        <f t="shared" si="1"/>
        <v>85.470085470085465</v>
      </c>
      <c r="G58" s="313"/>
    </row>
    <row r="59" spans="1:7" ht="15.6" customHeight="1">
      <c r="A59" s="261">
        <v>56</v>
      </c>
      <c r="B59" s="254" t="s">
        <v>688</v>
      </c>
      <c r="C59" s="253" t="s">
        <v>130</v>
      </c>
      <c r="D59" s="252">
        <v>24</v>
      </c>
      <c r="E59" s="37">
        <v>60000</v>
      </c>
      <c r="F59" s="147">
        <f t="shared" si="1"/>
        <v>96.15384615384616</v>
      </c>
      <c r="G59" s="313"/>
    </row>
    <row r="60" spans="1:7" ht="15.6" customHeight="1">
      <c r="A60" s="261">
        <v>57</v>
      </c>
      <c r="B60" s="254" t="s">
        <v>62</v>
      </c>
      <c r="C60" s="253" t="s">
        <v>130</v>
      </c>
      <c r="D60" s="252">
        <v>24</v>
      </c>
      <c r="E60" s="37">
        <v>50000</v>
      </c>
      <c r="F60" s="147">
        <f t="shared" si="1"/>
        <v>80.128205128205124</v>
      </c>
      <c r="G60" s="313"/>
    </row>
    <row r="61" spans="1:7" ht="15.6" customHeight="1">
      <c r="A61" s="261">
        <v>58</v>
      </c>
      <c r="B61" s="254" t="s">
        <v>560</v>
      </c>
      <c r="C61" s="253" t="s">
        <v>130</v>
      </c>
      <c r="D61" s="252">
        <v>60</v>
      </c>
      <c r="E61" s="37">
        <v>750000</v>
      </c>
      <c r="F61" s="147">
        <f t="shared" si="1"/>
        <v>480.76923076923077</v>
      </c>
      <c r="G61" s="313"/>
    </row>
    <row r="62" spans="1:7" ht="15.6" customHeight="1">
      <c r="A62" s="261">
        <v>59</v>
      </c>
      <c r="B62" s="254" t="s">
        <v>751</v>
      </c>
      <c r="C62" s="253" t="s">
        <v>130</v>
      </c>
      <c r="D62" s="252">
        <v>24</v>
      </c>
      <c r="E62" s="37">
        <v>12000</v>
      </c>
      <c r="F62" s="37">
        <f t="shared" si="1"/>
        <v>19.23076923076923</v>
      </c>
      <c r="G62" s="313"/>
    </row>
    <row r="63" spans="1:7" ht="15.6" customHeight="1">
      <c r="A63" s="261">
        <v>60</v>
      </c>
      <c r="B63" s="254" t="s">
        <v>689</v>
      </c>
      <c r="C63" s="253" t="s">
        <v>676</v>
      </c>
      <c r="D63" s="252">
        <v>9</v>
      </c>
      <c r="E63" s="37">
        <v>150000</v>
      </c>
      <c r="F63" s="147">
        <f t="shared" si="1"/>
        <v>641.02564102564099</v>
      </c>
      <c r="G63" s="313"/>
    </row>
    <row r="64" spans="1:7" ht="15.6" customHeight="1">
      <c r="A64" s="261">
        <v>61</v>
      </c>
      <c r="B64" s="255" t="s">
        <v>531</v>
      </c>
      <c r="C64" s="253" t="s">
        <v>385</v>
      </c>
      <c r="D64" s="252">
        <v>36</v>
      </c>
      <c r="E64" s="37">
        <v>870000</v>
      </c>
      <c r="F64" s="37">
        <f t="shared" si="1"/>
        <v>929.48717948717945</v>
      </c>
      <c r="G64" s="313"/>
    </row>
    <row r="65" spans="1:7" ht="15.6" customHeight="1">
      <c r="A65" s="261">
        <v>62</v>
      </c>
      <c r="B65" s="146" t="s">
        <v>574</v>
      </c>
      <c r="C65" s="257" t="s">
        <v>820</v>
      </c>
      <c r="D65" s="252">
        <v>60</v>
      </c>
      <c r="E65" s="37">
        <v>25000</v>
      </c>
      <c r="F65" s="147">
        <f t="shared" si="1"/>
        <v>16.025641025641026</v>
      </c>
      <c r="G65" s="313"/>
    </row>
    <row r="66" spans="1:7" ht="15.6" customHeight="1">
      <c r="A66" s="261">
        <v>63</v>
      </c>
      <c r="B66" s="254" t="s">
        <v>691</v>
      </c>
      <c r="C66" s="253" t="s">
        <v>678</v>
      </c>
      <c r="D66" s="252">
        <v>48</v>
      </c>
      <c r="E66" s="37">
        <v>15000</v>
      </c>
      <c r="F66" s="147">
        <f t="shared" si="1"/>
        <v>12.01923076923077</v>
      </c>
      <c r="G66" s="313"/>
    </row>
    <row r="67" spans="1:7" ht="15.6" customHeight="1">
      <c r="A67" s="261">
        <v>64</v>
      </c>
      <c r="B67" s="254" t="s">
        <v>693</v>
      </c>
      <c r="C67" s="253" t="s">
        <v>130</v>
      </c>
      <c r="D67" s="252">
        <v>24</v>
      </c>
      <c r="E67" s="37">
        <v>60000</v>
      </c>
      <c r="F67" s="147">
        <f t="shared" si="1"/>
        <v>96.15384615384616</v>
      </c>
      <c r="G67" s="313"/>
    </row>
    <row r="68" spans="1:7" ht="15.6" customHeight="1">
      <c r="A68" s="261">
        <v>65</v>
      </c>
      <c r="B68" s="254" t="s">
        <v>754</v>
      </c>
      <c r="C68" s="253" t="s">
        <v>130</v>
      </c>
      <c r="D68" s="252">
        <v>24</v>
      </c>
      <c r="E68" s="37">
        <v>30000</v>
      </c>
      <c r="F68" s="37">
        <f t="shared" si="1"/>
        <v>48.07692307692308</v>
      </c>
      <c r="G68" s="313"/>
    </row>
    <row r="69" spans="1:7" ht="15.6" customHeight="1">
      <c r="A69" s="261">
        <v>66</v>
      </c>
      <c r="B69" s="254" t="s">
        <v>694</v>
      </c>
      <c r="C69" s="253" t="s">
        <v>130</v>
      </c>
      <c r="D69" s="252">
        <v>36</v>
      </c>
      <c r="E69" s="37">
        <v>95000</v>
      </c>
      <c r="F69" s="147">
        <f t="shared" ref="F69:F78" si="2">E69/(D69*26)</f>
        <v>101.4957264957265</v>
      </c>
      <c r="G69" s="313"/>
    </row>
    <row r="70" spans="1:7" ht="15.6" customHeight="1">
      <c r="A70" s="261">
        <v>67</v>
      </c>
      <c r="B70" s="254" t="s">
        <v>692</v>
      </c>
      <c r="C70" s="253" t="s">
        <v>130</v>
      </c>
      <c r="D70" s="252">
        <v>60</v>
      </c>
      <c r="E70" s="37">
        <v>60000</v>
      </c>
      <c r="F70" s="147">
        <f t="shared" si="2"/>
        <v>38.46153846153846</v>
      </c>
      <c r="G70" s="313"/>
    </row>
    <row r="71" spans="1:7" ht="15.6" customHeight="1">
      <c r="A71" s="261">
        <v>68</v>
      </c>
      <c r="B71" s="255" t="s">
        <v>389</v>
      </c>
      <c r="C71" s="253" t="s">
        <v>385</v>
      </c>
      <c r="D71" s="252">
        <v>24</v>
      </c>
      <c r="E71" s="37">
        <v>15000</v>
      </c>
      <c r="F71" s="37">
        <f t="shared" si="2"/>
        <v>24.03846153846154</v>
      </c>
      <c r="G71" s="313"/>
    </row>
    <row r="72" spans="1:7" ht="15.6" customHeight="1">
      <c r="A72" s="261">
        <v>69</v>
      </c>
      <c r="B72" s="254" t="s">
        <v>748</v>
      </c>
      <c r="C72" s="253" t="s">
        <v>130</v>
      </c>
      <c r="D72" s="252">
        <v>2</v>
      </c>
      <c r="E72" s="37">
        <v>850000</v>
      </c>
      <c r="F72" s="37">
        <f t="shared" si="2"/>
        <v>16346.153846153846</v>
      </c>
      <c r="G72" s="313"/>
    </row>
    <row r="73" spans="1:7" ht="15.6" customHeight="1">
      <c r="A73" s="261">
        <v>70</v>
      </c>
      <c r="B73" s="254" t="s">
        <v>695</v>
      </c>
      <c r="C73" s="253" t="s">
        <v>130</v>
      </c>
      <c r="D73" s="252">
        <v>12</v>
      </c>
      <c r="E73" s="37">
        <v>15000</v>
      </c>
      <c r="F73" s="147">
        <f t="shared" si="2"/>
        <v>48.07692307692308</v>
      </c>
      <c r="G73" s="313"/>
    </row>
    <row r="74" spans="1:7" ht="15.6" customHeight="1">
      <c r="A74" s="261">
        <v>71</v>
      </c>
      <c r="B74" s="255" t="s">
        <v>388</v>
      </c>
      <c r="C74" s="253" t="s">
        <v>385</v>
      </c>
      <c r="D74" s="252">
        <v>60</v>
      </c>
      <c r="E74" s="37">
        <v>2331000</v>
      </c>
      <c r="F74" s="37">
        <f t="shared" si="2"/>
        <v>1494.2307692307693</v>
      </c>
      <c r="G74" s="313"/>
    </row>
    <row r="75" spans="1:7" ht="15.6" customHeight="1">
      <c r="A75" s="261">
        <v>72</v>
      </c>
      <c r="B75" s="254" t="s">
        <v>696</v>
      </c>
      <c r="C75" s="253" t="s">
        <v>130</v>
      </c>
      <c r="D75" s="252">
        <v>12</v>
      </c>
      <c r="E75" s="37">
        <v>30000</v>
      </c>
      <c r="F75" s="147">
        <f t="shared" si="2"/>
        <v>96.15384615384616</v>
      </c>
      <c r="G75" s="313"/>
    </row>
    <row r="76" spans="1:7" ht="15.6" customHeight="1">
      <c r="A76" s="261">
        <v>73</v>
      </c>
      <c r="B76" s="259" t="s">
        <v>197</v>
      </c>
      <c r="C76" s="257" t="s">
        <v>130</v>
      </c>
      <c r="D76" s="252">
        <v>24</v>
      </c>
      <c r="E76" s="40">
        <v>150000</v>
      </c>
      <c r="F76" s="37">
        <f t="shared" si="2"/>
        <v>240.38461538461539</v>
      </c>
      <c r="G76" s="313"/>
    </row>
    <row r="77" spans="1:7" ht="15.6" customHeight="1">
      <c r="A77" s="261">
        <v>74</v>
      </c>
      <c r="B77" s="254" t="s">
        <v>697</v>
      </c>
      <c r="C77" s="253" t="s">
        <v>130</v>
      </c>
      <c r="D77" s="252">
        <v>12</v>
      </c>
      <c r="E77" s="37">
        <v>60000</v>
      </c>
      <c r="F77" s="147">
        <f t="shared" si="2"/>
        <v>192.30769230769232</v>
      </c>
      <c r="G77" s="313"/>
    </row>
    <row r="78" spans="1:7" ht="15.6" customHeight="1">
      <c r="A78" s="261">
        <v>75</v>
      </c>
      <c r="B78" s="254" t="s">
        <v>698</v>
      </c>
      <c r="C78" s="253" t="s">
        <v>130</v>
      </c>
      <c r="D78" s="252">
        <v>12</v>
      </c>
      <c r="E78" s="37">
        <v>60000</v>
      </c>
      <c r="F78" s="147">
        <f t="shared" si="2"/>
        <v>192.30769230769232</v>
      </c>
      <c r="G78" s="313"/>
    </row>
    <row r="79" spans="1:7" ht="15.6" customHeight="1">
      <c r="A79" s="268"/>
      <c r="B79" s="269"/>
      <c r="C79" s="270"/>
      <c r="D79" s="271"/>
      <c r="E79" s="272"/>
      <c r="F79" s="273"/>
      <c r="G79" s="286"/>
    </row>
  </sheetData>
  <mergeCells count="1">
    <mergeCell ref="A1:G1"/>
  </mergeCells>
  <phoneticPr fontId="45" type="noConversion"/>
  <printOptions horizontalCentered="1"/>
  <pageMargins left="1.14173228346457" right="0.94488188976377996" top="0.98425196850393704" bottom="0.98425196850393704" header="0.511811023622047" footer="0.511811023622047"/>
  <pageSetup paperSize="9" firstPageNumber="235" orientation="landscape"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R53"/>
  <sheetViews>
    <sheetView topLeftCell="C25" zoomScale="80" zoomScaleNormal="80" workbookViewId="0">
      <selection activeCell="I10" sqref="I10"/>
    </sheetView>
  </sheetViews>
  <sheetFormatPr defaultRowHeight="16.5"/>
  <cols>
    <col min="1" max="1" width="4.88671875" customWidth="1"/>
    <col min="2" max="2" width="13.33203125" customWidth="1"/>
    <col min="3" max="3" width="6.21875" style="2" customWidth="1"/>
    <col min="4" max="4" width="14" customWidth="1"/>
    <col min="5" max="5" width="10.5546875" customWidth="1"/>
    <col min="6" max="6" width="6.6640625" hidden="1" customWidth="1"/>
    <col min="7" max="7" width="8.44140625" hidden="1" customWidth="1"/>
    <col min="9" max="10" width="8.6640625" customWidth="1"/>
    <col min="11" max="11" width="8.77734375" customWidth="1"/>
    <col min="12" max="12" width="10.6640625" customWidth="1"/>
    <col min="13" max="13" width="10.109375" customWidth="1"/>
    <col min="14" max="14" width="11.33203125" customWidth="1"/>
    <col min="15" max="15" width="9.44140625" customWidth="1"/>
  </cols>
  <sheetData>
    <row r="1" spans="1:18" ht="32.25" customHeight="1">
      <c r="A1" s="1107" t="s">
        <v>1032</v>
      </c>
      <c r="B1" s="1107"/>
      <c r="C1" s="1107"/>
      <c r="D1" s="1107"/>
      <c r="E1" s="1107"/>
      <c r="F1" s="1107"/>
      <c r="G1" s="1107"/>
      <c r="H1" s="1107"/>
      <c r="I1" s="1107"/>
      <c r="J1" s="1107"/>
      <c r="K1" s="1107"/>
      <c r="L1" s="1107"/>
      <c r="M1" s="1107"/>
      <c r="N1" s="1107"/>
      <c r="O1" s="1107"/>
      <c r="Q1" s="157">
        <v>0</v>
      </c>
      <c r="R1" s="157">
        <v>650000</v>
      </c>
    </row>
    <row r="2" spans="1:18" ht="18.75" customHeight="1">
      <c r="A2" s="158"/>
      <c r="B2" s="158"/>
      <c r="C2" s="159"/>
      <c r="D2" s="158"/>
      <c r="E2" s="158"/>
      <c r="F2" s="158"/>
      <c r="G2" s="158"/>
      <c r="H2" s="158"/>
      <c r="I2" s="158"/>
      <c r="J2" s="158"/>
      <c r="K2" s="158"/>
      <c r="L2" s="158"/>
      <c r="M2" s="160"/>
      <c r="N2" s="1096" t="s">
        <v>60</v>
      </c>
      <c r="O2" s="1096"/>
    </row>
    <row r="3" spans="1:18" ht="16.5" customHeight="1">
      <c r="A3" s="1097" t="s">
        <v>158</v>
      </c>
      <c r="B3" s="1094" t="s">
        <v>990</v>
      </c>
      <c r="C3" s="1094" t="s">
        <v>991</v>
      </c>
      <c r="D3" s="1094" t="s">
        <v>1033</v>
      </c>
      <c r="E3" s="1101" t="s">
        <v>466</v>
      </c>
      <c r="F3" s="1102"/>
      <c r="G3" s="1102"/>
      <c r="H3" s="1102"/>
      <c r="I3" s="1102"/>
      <c r="J3" s="1102"/>
      <c r="K3" s="1102"/>
      <c r="L3" s="1103"/>
      <c r="M3" s="1094" t="s">
        <v>993</v>
      </c>
      <c r="N3" s="1094" t="s">
        <v>994</v>
      </c>
      <c r="O3" s="1094" t="s">
        <v>995</v>
      </c>
      <c r="P3" s="161" t="s">
        <v>996</v>
      </c>
      <c r="Q3" s="161" t="s">
        <v>996</v>
      </c>
      <c r="R3" s="162" t="s">
        <v>997</v>
      </c>
    </row>
    <row r="4" spans="1:18">
      <c r="A4" s="1098"/>
      <c r="B4" s="1100"/>
      <c r="C4" s="1100"/>
      <c r="D4" s="1100"/>
      <c r="E4" s="1104"/>
      <c r="F4" s="1105"/>
      <c r="G4" s="1105"/>
      <c r="H4" s="1105"/>
      <c r="I4" s="1105"/>
      <c r="J4" s="1105"/>
      <c r="K4" s="1105"/>
      <c r="L4" s="1106"/>
      <c r="M4" s="1100"/>
      <c r="N4" s="1100"/>
      <c r="O4" s="1100"/>
      <c r="P4" s="163" t="s">
        <v>998</v>
      </c>
      <c r="Q4" s="163" t="s">
        <v>999</v>
      </c>
      <c r="R4" s="164" t="s">
        <v>1000</v>
      </c>
    </row>
    <row r="5" spans="1:18" ht="16.5" customHeight="1">
      <c r="A5" s="1098"/>
      <c r="B5" s="1100"/>
      <c r="C5" s="1100"/>
      <c r="D5" s="1100"/>
      <c r="E5" s="1094" t="s">
        <v>1001</v>
      </c>
      <c r="F5" s="1094" t="s">
        <v>1002</v>
      </c>
      <c r="G5" s="165" t="s">
        <v>1003</v>
      </c>
      <c r="H5" s="1094" t="s">
        <v>1004</v>
      </c>
      <c r="I5" s="1094" t="s">
        <v>155</v>
      </c>
      <c r="J5" s="1094" t="s">
        <v>156</v>
      </c>
      <c r="K5" s="1094" t="s">
        <v>1005</v>
      </c>
      <c r="L5" s="1094" t="s">
        <v>1006</v>
      </c>
      <c r="M5" s="1100"/>
      <c r="N5" s="1100"/>
      <c r="O5" s="1100"/>
      <c r="P5" s="205">
        <f>$R$1*0.1/26*1.25*1</f>
        <v>3125</v>
      </c>
      <c r="Q5" s="205">
        <f>$R$1*0.1/26*1.25*0.25</f>
        <v>781.25</v>
      </c>
      <c r="R5" s="206"/>
    </row>
    <row r="6" spans="1:18">
      <c r="A6" s="1099"/>
      <c r="B6" s="1095"/>
      <c r="C6" s="1095"/>
      <c r="D6" s="1095"/>
      <c r="E6" s="1095"/>
      <c r="F6" s="1095"/>
      <c r="G6" s="207">
        <f>$Q$1</f>
        <v>0</v>
      </c>
      <c r="H6" s="1095"/>
      <c r="I6" s="1095"/>
      <c r="J6" s="1095"/>
      <c r="K6" s="1095"/>
      <c r="L6" s="1095"/>
      <c r="M6" s="1095"/>
      <c r="N6" s="1095"/>
      <c r="O6" s="1095"/>
      <c r="P6" s="208">
        <f>$R$1*0.1/26*1*1</f>
        <v>2500</v>
      </c>
      <c r="Q6" s="208">
        <f>$R$1*0.1/26*1*0.2</f>
        <v>500</v>
      </c>
      <c r="R6" s="209"/>
    </row>
    <row r="7" spans="1:18" ht="22.5" customHeight="1">
      <c r="A7" s="16"/>
      <c r="B7" s="171" t="s">
        <v>180</v>
      </c>
      <c r="C7" s="171"/>
      <c r="D7" s="171"/>
      <c r="E7" s="172">
        <v>974554.21875</v>
      </c>
      <c r="F7" s="172"/>
      <c r="G7" s="173">
        <f>P7*$Q$1*10</f>
        <v>0</v>
      </c>
      <c r="H7" s="172">
        <v>405.68180153846168</v>
      </c>
      <c r="I7" s="172">
        <v>259.00992000000002</v>
      </c>
      <c r="J7" s="172">
        <v>3195.9296000000004</v>
      </c>
      <c r="K7" s="173">
        <v>0</v>
      </c>
      <c r="L7" s="172">
        <f>SUM(E7:K7)</f>
        <v>978414.84007153846</v>
      </c>
      <c r="M7" s="172">
        <f>L7*0.25</f>
        <v>244603.71001788462</v>
      </c>
      <c r="N7" s="174">
        <f>M7+L7</f>
        <v>1223018.5500894231</v>
      </c>
      <c r="O7" s="172">
        <f>P7+Q7</f>
        <v>29882.8125</v>
      </c>
      <c r="P7" s="175">
        <f>R7*P5</f>
        <v>23906.25</v>
      </c>
      <c r="Q7" s="175">
        <f>R7*Q5</f>
        <v>5976.5625</v>
      </c>
      <c r="R7" s="176">
        <v>7.6499999999999995</v>
      </c>
    </row>
    <row r="8" spans="1:18" ht="22.5" customHeight="1">
      <c r="A8" s="18">
        <v>1</v>
      </c>
      <c r="B8" s="18" t="s">
        <v>1007</v>
      </c>
      <c r="C8" s="18" t="s">
        <v>627</v>
      </c>
      <c r="D8" s="18" t="s">
        <v>1008</v>
      </c>
      <c r="E8" s="177">
        <v>117334.125</v>
      </c>
      <c r="F8" s="177"/>
      <c r="G8" s="173">
        <f>P8*$Q$1*10</f>
        <v>0</v>
      </c>
      <c r="H8" s="177">
        <v>60.620696538461544</v>
      </c>
      <c r="I8" s="177">
        <v>1257.5692799999999</v>
      </c>
      <c r="J8" s="177">
        <v>321.99679999999995</v>
      </c>
      <c r="K8" s="177">
        <v>351.25376000000006</v>
      </c>
      <c r="L8" s="177">
        <f>SUM(E8:K8)</f>
        <v>119325.56553653846</v>
      </c>
      <c r="M8" s="177">
        <f>L8*0.2</f>
        <v>23865.113107307694</v>
      </c>
      <c r="N8" s="178">
        <f>M8+L8</f>
        <v>143190.67864384616</v>
      </c>
      <c r="O8" s="177">
        <f>P8+Q8</f>
        <v>4049.9999999999995</v>
      </c>
      <c r="P8" s="175">
        <f>P6*R8</f>
        <v>3374.9999999999995</v>
      </c>
      <c r="Q8" s="175">
        <f>Q6*R8</f>
        <v>674.99999999999989</v>
      </c>
      <c r="R8" s="176">
        <v>1.3499999999999999</v>
      </c>
    </row>
    <row r="9" spans="1:18" ht="22.5" customHeight="1">
      <c r="A9" s="179"/>
      <c r="B9" s="180" t="s">
        <v>1006</v>
      </c>
      <c r="C9" s="179"/>
      <c r="D9" s="179"/>
      <c r="E9" s="181">
        <f t="shared" ref="E9:M9" si="0">E7+E8</f>
        <v>1091888.34375</v>
      </c>
      <c r="F9" s="181"/>
      <c r="G9" s="194">
        <f t="shared" si="0"/>
        <v>0</v>
      </c>
      <c r="H9" s="181">
        <f t="shared" si="0"/>
        <v>466.30249807692326</v>
      </c>
      <c r="I9" s="181">
        <f t="shared" si="0"/>
        <v>1516.5791999999999</v>
      </c>
      <c r="J9" s="181">
        <f t="shared" si="0"/>
        <v>3517.9264000000003</v>
      </c>
      <c r="K9" s="188">
        <f t="shared" si="0"/>
        <v>351.25376000000006</v>
      </c>
      <c r="L9" s="181">
        <f t="shared" si="0"/>
        <v>1097740.4056080768</v>
      </c>
      <c r="M9" s="181">
        <f t="shared" si="0"/>
        <v>268468.82312519231</v>
      </c>
      <c r="N9" s="181">
        <f>N7+N8</f>
        <v>1366209.2287332693</v>
      </c>
      <c r="O9" s="183">
        <f>O7+O8</f>
        <v>33932.8125</v>
      </c>
      <c r="P9" s="175"/>
      <c r="Q9" s="175"/>
      <c r="R9" s="176"/>
    </row>
    <row r="10" spans="1:18" ht="22.5" customHeight="1">
      <c r="A10" s="171"/>
      <c r="B10" s="171" t="s">
        <v>180</v>
      </c>
      <c r="C10" s="171"/>
      <c r="D10" s="184"/>
      <c r="E10" s="172">
        <v>1156471.0062499999</v>
      </c>
      <c r="F10" s="172"/>
      <c r="G10" s="185">
        <f>P10*$Q$1*10</f>
        <v>0</v>
      </c>
      <c r="H10" s="172">
        <v>481.40907115897454</v>
      </c>
      <c r="I10" s="172">
        <v>307.35843840000007</v>
      </c>
      <c r="J10" s="172">
        <v>3792.5031253333341</v>
      </c>
      <c r="K10" s="192">
        <v>0</v>
      </c>
      <c r="L10" s="172">
        <f t="shared" ref="L10:L22" si="1">SUM(E10:K10)</f>
        <v>1161052.2768848923</v>
      </c>
      <c r="M10" s="172">
        <f>L10*0.25</f>
        <v>290263.06922122306</v>
      </c>
      <c r="N10" s="174">
        <f>M10+L10</f>
        <v>1451315.3461061153</v>
      </c>
      <c r="O10" s="172">
        <f>P10+Q10</f>
        <v>35460.937499999993</v>
      </c>
      <c r="P10" s="175">
        <f>P5*R10</f>
        <v>28368.749999999996</v>
      </c>
      <c r="Q10" s="175">
        <f>Q5*R10</f>
        <v>7092.1874999999991</v>
      </c>
      <c r="R10" s="176">
        <v>9.0779999999999994</v>
      </c>
    </row>
    <row r="11" spans="1:18" ht="22.5" customHeight="1">
      <c r="A11" s="18">
        <v>2</v>
      </c>
      <c r="B11" s="18" t="s">
        <v>1007</v>
      </c>
      <c r="C11" s="18" t="s">
        <v>627</v>
      </c>
      <c r="D11" s="18" t="s">
        <v>1009</v>
      </c>
      <c r="E11" s="177">
        <v>139236.495</v>
      </c>
      <c r="F11" s="177"/>
      <c r="G11" s="173">
        <f>P11*$Q$1*10</f>
        <v>0</v>
      </c>
      <c r="H11" s="177">
        <v>71.936559892307699</v>
      </c>
      <c r="I11" s="177">
        <v>1492.3155456</v>
      </c>
      <c r="J11" s="177">
        <v>382.10286933333333</v>
      </c>
      <c r="K11" s="177">
        <v>416.82112853333342</v>
      </c>
      <c r="L11" s="177">
        <f t="shared" si="1"/>
        <v>141599.67110335897</v>
      </c>
      <c r="M11" s="177">
        <f>L11*0.2</f>
        <v>28319.934220671796</v>
      </c>
      <c r="N11" s="178">
        <f>M11+L11</f>
        <v>169919.60532403077</v>
      </c>
      <c r="O11" s="177">
        <f>P11+Q11</f>
        <v>4805.9999999999991</v>
      </c>
      <c r="P11" s="175">
        <f>P6*R11</f>
        <v>4004.9999999999995</v>
      </c>
      <c r="Q11" s="175">
        <f>Q6*R11</f>
        <v>800.99999999999989</v>
      </c>
      <c r="R11" s="176">
        <v>1.6019999999999999</v>
      </c>
    </row>
    <row r="12" spans="1:18" ht="22.5" customHeight="1">
      <c r="A12" s="133"/>
      <c r="B12" s="186" t="s">
        <v>1006</v>
      </c>
      <c r="C12" s="133"/>
      <c r="D12" s="187"/>
      <c r="E12" s="188">
        <f t="shared" ref="E12:M12" si="2">E10+E11</f>
        <v>1295707.5012499997</v>
      </c>
      <c r="F12" s="188"/>
      <c r="G12" s="189">
        <f>G10+G11</f>
        <v>0</v>
      </c>
      <c r="H12" s="188">
        <f t="shared" si="2"/>
        <v>553.34563105128223</v>
      </c>
      <c r="I12" s="188">
        <f t="shared" si="2"/>
        <v>1799.673984</v>
      </c>
      <c r="J12" s="188">
        <f t="shared" si="2"/>
        <v>4174.6059946666674</v>
      </c>
      <c r="K12" s="188">
        <f t="shared" si="2"/>
        <v>416.82112853333342</v>
      </c>
      <c r="L12" s="188">
        <f t="shared" si="2"/>
        <v>1302651.9479882512</v>
      </c>
      <c r="M12" s="188">
        <f t="shared" si="2"/>
        <v>318583.00344189483</v>
      </c>
      <c r="N12" s="188">
        <f>N10+N11</f>
        <v>1621234.9514301461</v>
      </c>
      <c r="O12" s="190">
        <f>O10+O11</f>
        <v>40266.937499999993</v>
      </c>
      <c r="P12" s="175"/>
      <c r="Q12" s="175"/>
      <c r="R12" s="176"/>
    </row>
    <row r="13" spans="1:18" ht="22.5" customHeight="1">
      <c r="A13" s="16"/>
      <c r="B13" s="16" t="s">
        <v>180</v>
      </c>
      <c r="C13" s="16"/>
      <c r="D13" s="16"/>
      <c r="E13" s="191">
        <v>1227938.315625</v>
      </c>
      <c r="F13" s="191"/>
      <c r="G13" s="192">
        <f>P13*$Q$1*10</f>
        <v>0</v>
      </c>
      <c r="H13" s="191">
        <v>511.1590699384617</v>
      </c>
      <c r="I13" s="191">
        <v>326.35249920000001</v>
      </c>
      <c r="J13" s="191">
        <v>4026.8712960000007</v>
      </c>
      <c r="K13" s="173">
        <v>0</v>
      </c>
      <c r="L13" s="191">
        <f t="shared" si="1"/>
        <v>1232802.6984901384</v>
      </c>
      <c r="M13" s="191">
        <f>L13*0.25</f>
        <v>308200.6746225346</v>
      </c>
      <c r="N13" s="193">
        <f>M13+L13</f>
        <v>1541003.3731126729</v>
      </c>
      <c r="O13" s="191">
        <f>P13+Q13</f>
        <v>37652.343749999993</v>
      </c>
      <c r="P13" s="175">
        <f>P5*R13</f>
        <v>30121.874999999996</v>
      </c>
      <c r="Q13" s="175">
        <f>Q5*R13</f>
        <v>7530.4687499999991</v>
      </c>
      <c r="R13" s="176">
        <v>9.6389999999999993</v>
      </c>
    </row>
    <row r="14" spans="1:18" ht="22.5" customHeight="1">
      <c r="A14" s="18">
        <v>3</v>
      </c>
      <c r="B14" s="18" t="s">
        <v>1007</v>
      </c>
      <c r="C14" s="18" t="s">
        <v>627</v>
      </c>
      <c r="D14" s="18" t="s">
        <v>1018</v>
      </c>
      <c r="E14" s="177">
        <v>147840.9975</v>
      </c>
      <c r="F14" s="177"/>
      <c r="G14" s="173">
        <f>P14*$Q$1*10</f>
        <v>0</v>
      </c>
      <c r="H14" s="177">
        <v>76.382077638461553</v>
      </c>
      <c r="I14" s="177">
        <v>1584.5372927999999</v>
      </c>
      <c r="J14" s="177">
        <v>405.71596799999992</v>
      </c>
      <c r="K14" s="177">
        <v>442.5797376000001</v>
      </c>
      <c r="L14" s="177">
        <f t="shared" si="1"/>
        <v>150350.21257603847</v>
      </c>
      <c r="M14" s="177">
        <f>L14*0.2</f>
        <v>30070.042515207693</v>
      </c>
      <c r="N14" s="178">
        <f>M14+L14</f>
        <v>180420.25509124616</v>
      </c>
      <c r="O14" s="177">
        <f>P14+Q14</f>
        <v>5103</v>
      </c>
      <c r="P14" s="175">
        <f>P6*R14</f>
        <v>4252.5</v>
      </c>
      <c r="Q14" s="175">
        <f>Q6*R14</f>
        <v>850.49999999999989</v>
      </c>
      <c r="R14" s="176">
        <v>1.7009999999999998</v>
      </c>
    </row>
    <row r="15" spans="1:18" ht="22.5" customHeight="1">
      <c r="A15" s="179"/>
      <c r="B15" s="180" t="s">
        <v>1006</v>
      </c>
      <c r="C15" s="179"/>
      <c r="D15" s="179"/>
      <c r="E15" s="181">
        <f t="shared" ref="E15:M15" si="3">E13+E14</f>
        <v>1375779.3131250001</v>
      </c>
      <c r="F15" s="181"/>
      <c r="G15" s="194">
        <f>G13+G14</f>
        <v>0</v>
      </c>
      <c r="H15" s="181">
        <f t="shared" si="3"/>
        <v>587.54114757692321</v>
      </c>
      <c r="I15" s="181">
        <f t="shared" si="3"/>
        <v>1910.8897919999999</v>
      </c>
      <c r="J15" s="181">
        <f t="shared" si="3"/>
        <v>4432.5872640000007</v>
      </c>
      <c r="K15" s="181">
        <f t="shared" si="3"/>
        <v>442.5797376000001</v>
      </c>
      <c r="L15" s="181">
        <f t="shared" si="3"/>
        <v>1383152.9110661768</v>
      </c>
      <c r="M15" s="181">
        <f t="shared" si="3"/>
        <v>338270.71713774232</v>
      </c>
      <c r="N15" s="181">
        <f>N13+N14</f>
        <v>1721423.6282039192</v>
      </c>
      <c r="O15" s="183">
        <f>O13+O14</f>
        <v>42755.343749999993</v>
      </c>
      <c r="P15" s="175"/>
      <c r="Q15" s="175"/>
      <c r="R15" s="176"/>
    </row>
    <row r="16" spans="1:18" ht="22.5" customHeight="1">
      <c r="A16" s="171"/>
      <c r="B16" s="171" t="s">
        <v>180</v>
      </c>
      <c r="C16" s="171"/>
      <c r="D16" s="171"/>
      <c r="E16" s="172">
        <v>1500813.4968749997</v>
      </c>
      <c r="F16" s="172"/>
      <c r="G16" s="185">
        <f>P16*$Q$1*10</f>
        <v>0</v>
      </c>
      <c r="H16" s="172">
        <v>624.74997436923104</v>
      </c>
      <c r="I16" s="172">
        <v>398.87527680000005</v>
      </c>
      <c r="J16" s="172">
        <v>4921.731584000001</v>
      </c>
      <c r="K16" s="172">
        <v>0</v>
      </c>
      <c r="L16" s="172">
        <f t="shared" si="1"/>
        <v>1506758.853710169</v>
      </c>
      <c r="M16" s="172">
        <f>L16*0.25</f>
        <v>376689.71342754224</v>
      </c>
      <c r="N16" s="174">
        <f>M16+L16</f>
        <v>1883448.5671377112</v>
      </c>
      <c r="O16" s="172">
        <f>P16+Q16</f>
        <v>46019.531249999993</v>
      </c>
      <c r="P16" s="175">
        <f>P5*R16</f>
        <v>36815.624999999993</v>
      </c>
      <c r="Q16" s="175">
        <f>Q5*R16</f>
        <v>9203.9062499999982</v>
      </c>
      <c r="R16" s="176">
        <v>11.780999999999999</v>
      </c>
    </row>
    <row r="17" spans="1:18" ht="22.5" customHeight="1">
      <c r="A17" s="18">
        <v>4</v>
      </c>
      <c r="B17" s="18" t="s">
        <v>1007</v>
      </c>
      <c r="C17" s="18" t="s">
        <v>627</v>
      </c>
      <c r="D17" s="18" t="s">
        <v>1019</v>
      </c>
      <c r="E17" s="177">
        <v>180694.55249999999</v>
      </c>
      <c r="F17" s="177"/>
      <c r="G17" s="173">
        <f>P17*$Q$1*10</f>
        <v>0</v>
      </c>
      <c r="H17" s="177">
        <v>93.355872669230777</v>
      </c>
      <c r="I17" s="177">
        <v>1936.6566911999998</v>
      </c>
      <c r="J17" s="177">
        <v>495.87507199999993</v>
      </c>
      <c r="K17" s="177">
        <v>540.93079040000009</v>
      </c>
      <c r="L17" s="177">
        <f t="shared" si="1"/>
        <v>183761.37092626921</v>
      </c>
      <c r="M17" s="177">
        <f>L17*0.2</f>
        <v>36752.274185253846</v>
      </c>
      <c r="N17" s="178">
        <f>M17+L17</f>
        <v>220513.64511152304</v>
      </c>
      <c r="O17" s="177">
        <f>P17+Q17</f>
        <v>6236.9999999999991</v>
      </c>
      <c r="P17" s="175">
        <f>P6*R17</f>
        <v>5197.4999999999991</v>
      </c>
      <c r="Q17" s="175">
        <f>Q6*R17</f>
        <v>1039.4999999999998</v>
      </c>
      <c r="R17" s="176">
        <v>2.0789999999999997</v>
      </c>
    </row>
    <row r="18" spans="1:18" ht="22.5" customHeight="1">
      <c r="A18" s="133"/>
      <c r="B18" s="186" t="s">
        <v>1006</v>
      </c>
      <c r="C18" s="133"/>
      <c r="D18" s="133"/>
      <c r="E18" s="188">
        <f t="shared" ref="E18:M18" si="4">E16+E17</f>
        <v>1681508.0493749997</v>
      </c>
      <c r="F18" s="188"/>
      <c r="G18" s="189">
        <f>G16+G17</f>
        <v>0</v>
      </c>
      <c r="H18" s="188">
        <f t="shared" si="4"/>
        <v>718.10584703846177</v>
      </c>
      <c r="I18" s="188">
        <f t="shared" si="4"/>
        <v>2335.5319679999998</v>
      </c>
      <c r="J18" s="188">
        <f t="shared" si="4"/>
        <v>5417.6066560000008</v>
      </c>
      <c r="K18" s="188">
        <f t="shared" si="4"/>
        <v>540.93079040000009</v>
      </c>
      <c r="L18" s="188">
        <f t="shared" si="4"/>
        <v>1690520.2246364383</v>
      </c>
      <c r="M18" s="188">
        <f t="shared" si="4"/>
        <v>413441.98761279607</v>
      </c>
      <c r="N18" s="188">
        <f>N16+N17</f>
        <v>2103962.2122492343</v>
      </c>
      <c r="O18" s="190">
        <f>O16+O17</f>
        <v>52256.531249999993</v>
      </c>
      <c r="P18" s="175"/>
      <c r="Q18" s="175"/>
      <c r="R18" s="176"/>
    </row>
    <row r="19" spans="1:18" ht="22.5" customHeight="1">
      <c r="A19" s="16"/>
      <c r="B19" s="16" t="s">
        <v>180</v>
      </c>
      <c r="C19" s="16"/>
      <c r="D19" s="16"/>
      <c r="E19" s="191">
        <v>2062806.4296874995</v>
      </c>
      <c r="F19" s="191"/>
      <c r="G19" s="192">
        <f>P19*$Q$1*10</f>
        <v>0</v>
      </c>
      <c r="H19" s="191">
        <v>858.69314658974372</v>
      </c>
      <c r="I19" s="191">
        <v>548.237664</v>
      </c>
      <c r="J19" s="191">
        <v>6764.7176533333331</v>
      </c>
      <c r="K19" s="173">
        <v>0</v>
      </c>
      <c r="L19" s="191">
        <f t="shared" si="1"/>
        <v>2070978.0781514226</v>
      </c>
      <c r="M19" s="191">
        <f>L19*0.25</f>
        <v>517744.51953785564</v>
      </c>
      <c r="N19" s="193">
        <f>M19+L19</f>
        <v>2588722.5976892784</v>
      </c>
      <c r="O19" s="191">
        <f>P19+Q19</f>
        <v>63251.953124999985</v>
      </c>
      <c r="P19" s="175">
        <f>P5*R19</f>
        <v>50601.562499999985</v>
      </c>
      <c r="Q19" s="175">
        <f>Q5*R19</f>
        <v>12650.390624999996</v>
      </c>
      <c r="R19" s="176">
        <v>16.192499999999995</v>
      </c>
    </row>
    <row r="20" spans="1:18" ht="22.5" customHeight="1">
      <c r="A20" s="18">
        <v>5</v>
      </c>
      <c r="B20" s="18" t="s">
        <v>1007</v>
      </c>
      <c r="C20" s="18" t="s">
        <v>627</v>
      </c>
      <c r="D20" s="18" t="s">
        <v>1020</v>
      </c>
      <c r="E20" s="177">
        <v>248357.23124999998</v>
      </c>
      <c r="F20" s="177"/>
      <c r="G20" s="173">
        <f>P20*$Q$1*10</f>
        <v>0</v>
      </c>
      <c r="H20" s="177">
        <v>128.31380767307692</v>
      </c>
      <c r="I20" s="177">
        <v>2661.8549759999992</v>
      </c>
      <c r="J20" s="177">
        <v>681.55989333333309</v>
      </c>
      <c r="K20" s="177">
        <v>743.48712533333332</v>
      </c>
      <c r="L20" s="177">
        <f t="shared" si="1"/>
        <v>252572.44705233973</v>
      </c>
      <c r="M20" s="177">
        <f>L20*0.2</f>
        <v>50514.489410467948</v>
      </c>
      <c r="N20" s="178">
        <f>M20+L20</f>
        <v>303086.9364628077</v>
      </c>
      <c r="O20" s="177">
        <f>P20+Q20</f>
        <v>8572.4999999999982</v>
      </c>
      <c r="P20" s="175">
        <f>P6*R20</f>
        <v>7143.7499999999991</v>
      </c>
      <c r="Q20" s="175">
        <f>Q6*R20</f>
        <v>1428.7499999999998</v>
      </c>
      <c r="R20" s="176">
        <v>2.8574999999999995</v>
      </c>
    </row>
    <row r="21" spans="1:18" ht="22.5" customHeight="1">
      <c r="A21" s="179"/>
      <c r="B21" s="180" t="s">
        <v>1006</v>
      </c>
      <c r="C21" s="179"/>
      <c r="D21" s="179"/>
      <c r="E21" s="181">
        <f t="shared" ref="E21:M21" si="5">E19+E20</f>
        <v>2311163.6609374997</v>
      </c>
      <c r="F21" s="181"/>
      <c r="G21" s="194">
        <f>G19+G20</f>
        <v>0</v>
      </c>
      <c r="H21" s="181">
        <f t="shared" si="5"/>
        <v>987.00695426282061</v>
      </c>
      <c r="I21" s="181">
        <f t="shared" si="5"/>
        <v>3210.0926399999989</v>
      </c>
      <c r="J21" s="181">
        <f t="shared" si="5"/>
        <v>7446.2775466666662</v>
      </c>
      <c r="K21" s="188">
        <f t="shared" si="5"/>
        <v>743.48712533333332</v>
      </c>
      <c r="L21" s="181">
        <f t="shared" si="5"/>
        <v>2323550.5252037621</v>
      </c>
      <c r="M21" s="181">
        <f t="shared" si="5"/>
        <v>568259.00894832355</v>
      </c>
      <c r="N21" s="181">
        <f>N19+N20</f>
        <v>2891809.5341520859</v>
      </c>
      <c r="O21" s="183">
        <f>O19+O20</f>
        <v>71824.453124999985</v>
      </c>
      <c r="P21" s="175"/>
      <c r="Q21" s="175"/>
      <c r="R21" s="176"/>
    </row>
    <row r="22" spans="1:18" ht="22.5" customHeight="1">
      <c r="A22" s="171"/>
      <c r="B22" s="171" t="s">
        <v>180</v>
      </c>
      <c r="C22" s="171"/>
      <c r="D22" s="171"/>
      <c r="E22" s="172">
        <v>3167301.2109375</v>
      </c>
      <c r="F22" s="172"/>
      <c r="G22" s="185">
        <f>P22*$Q$1*10</f>
        <v>0</v>
      </c>
      <c r="H22" s="172">
        <v>1318.4658550000006</v>
      </c>
      <c r="I22" s="172">
        <v>841.78224000000023</v>
      </c>
      <c r="J22" s="172">
        <v>10386.771200000003</v>
      </c>
      <c r="K22" s="192">
        <v>0</v>
      </c>
      <c r="L22" s="172">
        <f t="shared" si="1"/>
        <v>3179848.2302325</v>
      </c>
      <c r="M22" s="172">
        <f>L22*0.25</f>
        <v>794962.057558125</v>
      </c>
      <c r="N22" s="174">
        <f>M22+L22</f>
        <v>3974810.2877906249</v>
      </c>
      <c r="O22" s="172">
        <f>P22+Q22</f>
        <v>97119.140625</v>
      </c>
      <c r="P22" s="175">
        <f>P5*R22</f>
        <v>77695.3125</v>
      </c>
      <c r="Q22" s="175">
        <f>Q5*R22</f>
        <v>19423.828125</v>
      </c>
      <c r="R22" s="176">
        <v>24.862500000000001</v>
      </c>
    </row>
    <row r="23" spans="1:18" ht="22.5" customHeight="1">
      <c r="A23" s="18">
        <v>6</v>
      </c>
      <c r="B23" s="18" t="s">
        <v>1007</v>
      </c>
      <c r="C23" s="18" t="s">
        <v>627</v>
      </c>
      <c r="D23" s="18" t="s">
        <v>1021</v>
      </c>
      <c r="E23" s="177">
        <v>381335.90625000006</v>
      </c>
      <c r="F23" s="177"/>
      <c r="G23" s="173">
        <f>P23*$Q$1*10</f>
        <v>0</v>
      </c>
      <c r="H23" s="177">
        <v>197.01726375000004</v>
      </c>
      <c r="I23" s="177">
        <v>4087.1001600000004</v>
      </c>
      <c r="J23" s="177">
        <v>1046.4895999999999</v>
      </c>
      <c r="K23" s="177">
        <v>1141.5747200000003</v>
      </c>
      <c r="L23" s="177">
        <f>SUM(E23:K23)</f>
        <v>387808.08799375</v>
      </c>
      <c r="M23" s="177">
        <f>L23*0.2</f>
        <v>77561.617598750003</v>
      </c>
      <c r="N23" s="178">
        <f>M23+L23</f>
        <v>465369.70559249999</v>
      </c>
      <c r="O23" s="177">
        <f>P23+Q23</f>
        <v>13162.5</v>
      </c>
      <c r="P23" s="175">
        <f>P6*R23</f>
        <v>10968.75</v>
      </c>
      <c r="Q23" s="175">
        <f>Q6*R23</f>
        <v>2193.75</v>
      </c>
      <c r="R23" s="176">
        <v>4.3875000000000002</v>
      </c>
    </row>
    <row r="24" spans="1:18" ht="22.5" customHeight="1">
      <c r="A24" s="133"/>
      <c r="B24" s="186" t="s">
        <v>1006</v>
      </c>
      <c r="C24" s="133"/>
      <c r="D24" s="133"/>
      <c r="E24" s="188">
        <f t="shared" ref="E24:M24" si="6">E22+E23</f>
        <v>3548637.1171875</v>
      </c>
      <c r="F24" s="188"/>
      <c r="G24" s="189">
        <f>G22+G23</f>
        <v>0</v>
      </c>
      <c r="H24" s="188">
        <f t="shared" si="6"/>
        <v>1515.4831187500006</v>
      </c>
      <c r="I24" s="188">
        <f t="shared" si="6"/>
        <v>4928.8824000000004</v>
      </c>
      <c r="J24" s="188">
        <f t="shared" si="6"/>
        <v>11433.260800000004</v>
      </c>
      <c r="K24" s="188">
        <f t="shared" si="6"/>
        <v>1141.5747200000003</v>
      </c>
      <c r="L24" s="188">
        <f t="shared" si="6"/>
        <v>3567656.3182262499</v>
      </c>
      <c r="M24" s="188">
        <f t="shared" si="6"/>
        <v>872523.67515687505</v>
      </c>
      <c r="N24" s="188">
        <f>N22+N23</f>
        <v>4440179.9933831245</v>
      </c>
      <c r="O24" s="190">
        <f>O22+O23</f>
        <v>110281.640625</v>
      </c>
      <c r="P24" s="96"/>
      <c r="Q24" s="96"/>
      <c r="R24" s="96"/>
    </row>
    <row r="25" spans="1:18" ht="22.5" customHeight="1">
      <c r="A25" s="210"/>
      <c r="B25" s="211"/>
      <c r="C25" s="210"/>
      <c r="D25" s="210"/>
      <c r="E25" s="212"/>
      <c r="F25" s="212"/>
      <c r="G25" s="213"/>
      <c r="H25" s="212"/>
      <c r="I25" s="212"/>
      <c r="J25" s="212"/>
      <c r="K25" s="212"/>
      <c r="L25" s="212"/>
      <c r="M25" s="212"/>
      <c r="N25" s="212"/>
      <c r="O25" s="214"/>
      <c r="P25" s="96"/>
      <c r="Q25" s="96"/>
      <c r="R25" s="96"/>
    </row>
    <row r="26" spans="1:18" ht="22.5" customHeight="1">
      <c r="A26" s="215"/>
      <c r="B26" s="216"/>
      <c r="C26" s="215"/>
      <c r="D26" s="215"/>
      <c r="E26" s="217"/>
      <c r="F26" s="217"/>
      <c r="G26" s="218"/>
      <c r="H26" s="217"/>
      <c r="I26" s="217"/>
      <c r="J26" s="217"/>
      <c r="K26" s="217"/>
      <c r="L26" s="217"/>
      <c r="M26" s="217"/>
      <c r="N26" s="217"/>
      <c r="O26" s="219"/>
      <c r="P26" s="96"/>
      <c r="Q26" s="96"/>
      <c r="R26" s="96"/>
    </row>
    <row r="27" spans="1:18" ht="26.25" customHeight="1">
      <c r="A27" s="1107" t="s">
        <v>1032</v>
      </c>
      <c r="B27" s="1107"/>
      <c r="C27" s="1107"/>
      <c r="D27" s="1107"/>
      <c r="E27" s="1107"/>
      <c r="F27" s="1107"/>
      <c r="G27" s="1107"/>
      <c r="H27" s="1107"/>
      <c r="I27" s="1107"/>
      <c r="J27" s="1107"/>
      <c r="K27" s="1107"/>
      <c r="L27" s="1107"/>
      <c r="M27" s="1107"/>
      <c r="N27" s="1107"/>
      <c r="O27" s="1107"/>
      <c r="P27" s="96"/>
      <c r="Q27" s="96"/>
      <c r="R27" s="96"/>
    </row>
    <row r="28" spans="1:18" ht="19.5" customHeight="1">
      <c r="A28" s="198"/>
      <c r="B28" s="199"/>
      <c r="C28" s="198"/>
      <c r="D28" s="198"/>
      <c r="E28" s="200"/>
      <c r="F28" s="200"/>
      <c r="G28" s="201"/>
      <c r="H28" s="200"/>
      <c r="I28" s="200"/>
      <c r="J28" s="200"/>
      <c r="K28" s="200"/>
      <c r="L28" s="200"/>
      <c r="M28" s="200"/>
      <c r="N28" s="1096" t="s">
        <v>60</v>
      </c>
      <c r="O28" s="1096"/>
      <c r="P28" s="96"/>
      <c r="Q28" s="96"/>
      <c r="R28" s="96"/>
    </row>
    <row r="29" spans="1:18" ht="16.5" customHeight="1">
      <c r="A29" s="1097" t="s">
        <v>158</v>
      </c>
      <c r="B29" s="1094" t="s">
        <v>990</v>
      </c>
      <c r="C29" s="1094" t="s">
        <v>991</v>
      </c>
      <c r="D29" s="1094" t="s">
        <v>1034</v>
      </c>
      <c r="E29" s="1101" t="s">
        <v>466</v>
      </c>
      <c r="F29" s="1102"/>
      <c r="G29" s="1102"/>
      <c r="H29" s="1102"/>
      <c r="I29" s="1102"/>
      <c r="J29" s="1102"/>
      <c r="K29" s="1102"/>
      <c r="L29" s="1103"/>
      <c r="M29" s="1094" t="s">
        <v>993</v>
      </c>
      <c r="N29" s="1094" t="s">
        <v>994</v>
      </c>
      <c r="O29" s="1094" t="s">
        <v>995</v>
      </c>
      <c r="P29" s="220"/>
      <c r="Q29" s="220"/>
      <c r="R29" s="221"/>
    </row>
    <row r="30" spans="1:18" ht="16.5" customHeight="1">
      <c r="A30" s="1098"/>
      <c r="B30" s="1100"/>
      <c r="C30" s="1100"/>
      <c r="D30" s="1100"/>
      <c r="E30" s="1104"/>
      <c r="F30" s="1105"/>
      <c r="G30" s="1105"/>
      <c r="H30" s="1105"/>
      <c r="I30" s="1105"/>
      <c r="J30" s="1105"/>
      <c r="K30" s="1105"/>
      <c r="L30" s="1106"/>
      <c r="M30" s="1100"/>
      <c r="N30" s="1100"/>
      <c r="O30" s="1100"/>
      <c r="P30" s="220"/>
      <c r="Q30" s="220"/>
      <c r="R30" s="221"/>
    </row>
    <row r="31" spans="1:18" ht="18" customHeight="1">
      <c r="A31" s="1098"/>
      <c r="B31" s="1100"/>
      <c r="C31" s="1100"/>
      <c r="D31" s="1100"/>
      <c r="E31" s="1094" t="s">
        <v>1001</v>
      </c>
      <c r="F31" s="1094" t="s">
        <v>1002</v>
      </c>
      <c r="G31" s="165" t="s">
        <v>1003</v>
      </c>
      <c r="H31" s="1094" t="s">
        <v>1004</v>
      </c>
      <c r="I31" s="1094" t="s">
        <v>155</v>
      </c>
      <c r="J31" s="1094" t="s">
        <v>156</v>
      </c>
      <c r="K31" s="1094" t="s">
        <v>1005</v>
      </c>
      <c r="L31" s="1094" t="s">
        <v>1006</v>
      </c>
      <c r="M31" s="1100"/>
      <c r="N31" s="1100"/>
      <c r="O31" s="1100"/>
      <c r="P31" s="220"/>
      <c r="Q31" s="220"/>
      <c r="R31" s="221"/>
    </row>
    <row r="32" spans="1:18" ht="18" customHeight="1">
      <c r="A32" s="1099"/>
      <c r="B32" s="1095"/>
      <c r="C32" s="1095"/>
      <c r="D32" s="1095"/>
      <c r="E32" s="1095"/>
      <c r="F32" s="1095"/>
      <c r="G32" s="207">
        <f>$Q$1</f>
        <v>0</v>
      </c>
      <c r="H32" s="1095"/>
      <c r="I32" s="1095"/>
      <c r="J32" s="1095"/>
      <c r="K32" s="1095"/>
      <c r="L32" s="1095"/>
      <c r="M32" s="1095"/>
      <c r="N32" s="1095"/>
      <c r="O32" s="1095"/>
      <c r="P32" s="220"/>
      <c r="Q32" s="220"/>
      <c r="R32" s="221"/>
    </row>
    <row r="33" spans="1:18" ht="22.5" customHeight="1">
      <c r="A33" s="16"/>
      <c r="B33" s="16" t="s">
        <v>180</v>
      </c>
      <c r="C33" s="16"/>
      <c r="D33" s="16"/>
      <c r="E33" s="185">
        <f>E$22*1.2</f>
        <v>3800761.453125</v>
      </c>
      <c r="F33" s="185">
        <f t="shared" ref="F33:K33" si="7">F$22*1.2</f>
        <v>0</v>
      </c>
      <c r="G33" s="185">
        <f t="shared" si="7"/>
        <v>0</v>
      </c>
      <c r="H33" s="185">
        <f t="shared" si="7"/>
        <v>1582.1590260000007</v>
      </c>
      <c r="I33" s="185">
        <f t="shared" si="7"/>
        <v>1010.1386880000002</v>
      </c>
      <c r="J33" s="185">
        <f t="shared" si="7"/>
        <v>12464.125440000003</v>
      </c>
      <c r="K33" s="185">
        <f t="shared" si="7"/>
        <v>0</v>
      </c>
      <c r="L33" s="185">
        <f>SUM(E33:K33)</f>
        <v>3815817.8762790002</v>
      </c>
      <c r="M33" s="185">
        <f>L33*0.25</f>
        <v>953954.46906975005</v>
      </c>
      <c r="N33" s="185">
        <f>M33+L33</f>
        <v>4769772.3453487502</v>
      </c>
      <c r="O33" s="185">
        <f>O$22*1.2</f>
        <v>116542.96875</v>
      </c>
      <c r="P33" s="220"/>
      <c r="Q33" s="220"/>
      <c r="R33" s="221"/>
    </row>
    <row r="34" spans="1:18" ht="22.5" customHeight="1">
      <c r="A34" s="18">
        <v>7</v>
      </c>
      <c r="B34" s="18" t="s">
        <v>1007</v>
      </c>
      <c r="C34" s="18" t="s">
        <v>627</v>
      </c>
      <c r="D34" s="18" t="s">
        <v>1023</v>
      </c>
      <c r="E34" s="173">
        <f>E$23*1.2</f>
        <v>457603.08750000008</v>
      </c>
      <c r="F34" s="173">
        <f t="shared" ref="F34:K34" si="8">F$23*1.2</f>
        <v>0</v>
      </c>
      <c r="G34" s="173">
        <f t="shared" si="8"/>
        <v>0</v>
      </c>
      <c r="H34" s="173">
        <f t="shared" si="8"/>
        <v>236.42071650000003</v>
      </c>
      <c r="I34" s="173">
        <f t="shared" si="8"/>
        <v>4904.520192</v>
      </c>
      <c r="J34" s="173">
        <f t="shared" si="8"/>
        <v>1255.7875199999999</v>
      </c>
      <c r="K34" s="173">
        <f t="shared" si="8"/>
        <v>1369.8896640000003</v>
      </c>
      <c r="L34" s="173">
        <f>SUM(E34:K34)</f>
        <v>465369.70559250016</v>
      </c>
      <c r="M34" s="173">
        <f>L34*0.2</f>
        <v>93073.941118500035</v>
      </c>
      <c r="N34" s="173">
        <f>M34+L34</f>
        <v>558443.64671100024</v>
      </c>
      <c r="O34" s="173">
        <f>O$23*1.2</f>
        <v>15795</v>
      </c>
      <c r="P34" s="220"/>
      <c r="Q34" s="220"/>
      <c r="R34" s="221"/>
    </row>
    <row r="35" spans="1:18" ht="22.5" customHeight="1">
      <c r="A35" s="179"/>
      <c r="B35" s="180" t="s">
        <v>1006</v>
      </c>
      <c r="C35" s="179"/>
      <c r="D35" s="179"/>
      <c r="E35" s="189">
        <f>E33+E34</f>
        <v>4258364.5406250004</v>
      </c>
      <c r="F35" s="189"/>
      <c r="G35" s="189">
        <f t="shared" ref="G35:M35" si="9">G33+G34</f>
        <v>0</v>
      </c>
      <c r="H35" s="189">
        <f t="shared" si="9"/>
        <v>1818.5797425000007</v>
      </c>
      <c r="I35" s="189">
        <f t="shared" si="9"/>
        <v>5914.65888</v>
      </c>
      <c r="J35" s="189">
        <f t="shared" si="9"/>
        <v>13719.912960000003</v>
      </c>
      <c r="K35" s="189">
        <f t="shared" si="9"/>
        <v>1369.8896640000003</v>
      </c>
      <c r="L35" s="189">
        <f t="shared" si="9"/>
        <v>4281187.5818715002</v>
      </c>
      <c r="M35" s="189">
        <f t="shared" si="9"/>
        <v>1047028.4101882501</v>
      </c>
      <c r="N35" s="189">
        <f>N33+N34</f>
        <v>5328215.9920597505</v>
      </c>
      <c r="O35" s="189">
        <f>O33+O34</f>
        <v>132337.96875</v>
      </c>
      <c r="P35" s="220"/>
      <c r="Q35" s="220"/>
      <c r="R35" s="221"/>
    </row>
    <row r="36" spans="1:18" ht="22.5" customHeight="1">
      <c r="A36" s="171"/>
      <c r="B36" s="171" t="s">
        <v>180</v>
      </c>
      <c r="C36" s="171"/>
      <c r="D36" s="184"/>
      <c r="E36" s="185">
        <f>E$22*1.3</f>
        <v>4117491.57421875</v>
      </c>
      <c r="F36" s="185">
        <f t="shared" ref="F36:K36" si="10">F$22*1.3</f>
        <v>0</v>
      </c>
      <c r="G36" s="185">
        <f t="shared" si="10"/>
        <v>0</v>
      </c>
      <c r="H36" s="185">
        <f t="shared" si="10"/>
        <v>1714.0056115000009</v>
      </c>
      <c r="I36" s="185">
        <f t="shared" si="10"/>
        <v>1094.3169120000002</v>
      </c>
      <c r="J36" s="185">
        <f t="shared" si="10"/>
        <v>13502.802560000004</v>
      </c>
      <c r="K36" s="185">
        <f t="shared" si="10"/>
        <v>0</v>
      </c>
      <c r="L36" s="185">
        <f>SUM(E36:K36)</f>
        <v>4133802.6993022501</v>
      </c>
      <c r="M36" s="185">
        <f>L36*0.25</f>
        <v>1033450.6748255625</v>
      </c>
      <c r="N36" s="185">
        <f>M36+L36</f>
        <v>5167253.3741278127</v>
      </c>
      <c r="O36" s="185">
        <f>O$22*1.3</f>
        <v>126254.8828125</v>
      </c>
      <c r="P36" s="220"/>
      <c r="Q36" s="220"/>
      <c r="R36" s="221"/>
    </row>
    <row r="37" spans="1:18" ht="22.5" customHeight="1">
      <c r="A37" s="18">
        <v>8</v>
      </c>
      <c r="B37" s="18" t="s">
        <v>1007</v>
      </c>
      <c r="C37" s="18" t="s">
        <v>627</v>
      </c>
      <c r="D37" s="18" t="s">
        <v>1024</v>
      </c>
      <c r="E37" s="173">
        <f>E$23*1.3</f>
        <v>495736.67812500009</v>
      </c>
      <c r="F37" s="173">
        <f t="shared" ref="F37:K37" si="11">F$23*1.3</f>
        <v>0</v>
      </c>
      <c r="G37" s="173">
        <f t="shared" si="11"/>
        <v>0</v>
      </c>
      <c r="H37" s="173">
        <f t="shared" si="11"/>
        <v>256.12244287500005</v>
      </c>
      <c r="I37" s="173">
        <f t="shared" si="11"/>
        <v>5313.2302080000009</v>
      </c>
      <c r="J37" s="173">
        <f t="shared" si="11"/>
        <v>1360.4364799999998</v>
      </c>
      <c r="K37" s="173">
        <f t="shared" si="11"/>
        <v>1484.0471360000004</v>
      </c>
      <c r="L37" s="173">
        <f>SUM(E37:K37)</f>
        <v>504150.51439187507</v>
      </c>
      <c r="M37" s="173">
        <f>L37*0.2</f>
        <v>100830.10287837502</v>
      </c>
      <c r="N37" s="173">
        <f>M37+L37</f>
        <v>604980.61727025011</v>
      </c>
      <c r="O37" s="173">
        <f>O$23*1.3</f>
        <v>17111.25</v>
      </c>
      <c r="P37" s="220"/>
      <c r="Q37" s="220"/>
      <c r="R37" s="221"/>
    </row>
    <row r="38" spans="1:18" ht="22.5" customHeight="1">
      <c r="A38" s="133"/>
      <c r="B38" s="186" t="s">
        <v>1006</v>
      </c>
      <c r="C38" s="133"/>
      <c r="D38" s="187"/>
      <c r="E38" s="189">
        <f>E36+E37</f>
        <v>4613228.2523437496</v>
      </c>
      <c r="F38" s="189"/>
      <c r="G38" s="189">
        <f t="shared" ref="G38:M38" si="12">G36+G37</f>
        <v>0</v>
      </c>
      <c r="H38" s="189">
        <f t="shared" si="12"/>
        <v>1970.1280543750008</v>
      </c>
      <c r="I38" s="189">
        <f t="shared" si="12"/>
        <v>6407.5471200000011</v>
      </c>
      <c r="J38" s="189">
        <f t="shared" si="12"/>
        <v>14863.239040000004</v>
      </c>
      <c r="K38" s="189">
        <f t="shared" si="12"/>
        <v>1484.0471360000004</v>
      </c>
      <c r="L38" s="189">
        <f t="shared" si="12"/>
        <v>4637953.2136941254</v>
      </c>
      <c r="M38" s="189">
        <f t="shared" si="12"/>
        <v>1134280.7777039376</v>
      </c>
      <c r="N38" s="189">
        <f>N36+N37</f>
        <v>5772233.9913980626</v>
      </c>
      <c r="O38" s="189">
        <f>O36+O37</f>
        <v>143366.1328125</v>
      </c>
      <c r="P38" s="220"/>
      <c r="Q38" s="220"/>
      <c r="R38" s="221"/>
    </row>
    <row r="39" spans="1:18" ht="22.5" customHeight="1">
      <c r="A39" s="16"/>
      <c r="B39" s="16" t="s">
        <v>180</v>
      </c>
      <c r="C39" s="16"/>
      <c r="D39" s="16"/>
      <c r="E39" s="185">
        <f>E$22*1.4</f>
        <v>4434221.6953125</v>
      </c>
      <c r="F39" s="185">
        <f t="shared" ref="F39:K39" si="13">F$22*1.4</f>
        <v>0</v>
      </c>
      <c r="G39" s="185">
        <f t="shared" si="13"/>
        <v>0</v>
      </c>
      <c r="H39" s="185">
        <f t="shared" si="13"/>
        <v>1845.8521970000006</v>
      </c>
      <c r="I39" s="185">
        <f t="shared" si="13"/>
        <v>1178.4951360000002</v>
      </c>
      <c r="J39" s="185">
        <f t="shared" si="13"/>
        <v>14541.479680000002</v>
      </c>
      <c r="K39" s="185">
        <f t="shared" si="13"/>
        <v>0</v>
      </c>
      <c r="L39" s="185">
        <f>SUM(E39:K39)</f>
        <v>4451787.5223254999</v>
      </c>
      <c r="M39" s="185">
        <f>L39*0.25</f>
        <v>1112946.880581375</v>
      </c>
      <c r="N39" s="185">
        <f>M39+L39</f>
        <v>5564734.4029068751</v>
      </c>
      <c r="O39" s="185">
        <f>O$22*1.4</f>
        <v>135966.796875</v>
      </c>
      <c r="P39" s="220"/>
      <c r="Q39" s="220"/>
      <c r="R39" s="221"/>
    </row>
    <row r="40" spans="1:18" ht="22.5" customHeight="1">
      <c r="A40" s="18">
        <v>9</v>
      </c>
      <c r="B40" s="18" t="s">
        <v>1007</v>
      </c>
      <c r="C40" s="18" t="s">
        <v>627</v>
      </c>
      <c r="D40" s="18" t="s">
        <v>1025</v>
      </c>
      <c r="E40" s="173">
        <f>E$23*1.4</f>
        <v>533870.26875000005</v>
      </c>
      <c r="F40" s="173">
        <f t="shared" ref="F40:K40" si="14">F$23*1.4</f>
        <v>0</v>
      </c>
      <c r="G40" s="173">
        <f t="shared" si="14"/>
        <v>0</v>
      </c>
      <c r="H40" s="173">
        <f t="shared" si="14"/>
        <v>275.82416925000001</v>
      </c>
      <c r="I40" s="173">
        <f t="shared" si="14"/>
        <v>5721.9402239999999</v>
      </c>
      <c r="J40" s="173">
        <f t="shared" si="14"/>
        <v>1465.0854399999998</v>
      </c>
      <c r="K40" s="173">
        <f t="shared" si="14"/>
        <v>1598.2046080000002</v>
      </c>
      <c r="L40" s="173">
        <f>SUM(E40:K40)</f>
        <v>542931.32319125009</v>
      </c>
      <c r="M40" s="173">
        <f>L40*0.2</f>
        <v>108586.26463825002</v>
      </c>
      <c r="N40" s="173">
        <f>M40+L40</f>
        <v>651517.58782950009</v>
      </c>
      <c r="O40" s="173">
        <f>O$23*1.4</f>
        <v>18427.5</v>
      </c>
      <c r="P40" s="220"/>
      <c r="Q40" s="220"/>
      <c r="R40" s="221"/>
    </row>
    <row r="41" spans="1:18" ht="22.5" customHeight="1">
      <c r="A41" s="179"/>
      <c r="B41" s="180" t="s">
        <v>1006</v>
      </c>
      <c r="C41" s="179"/>
      <c r="D41" s="179"/>
      <c r="E41" s="189">
        <f>E39+E40</f>
        <v>4968091.9640624998</v>
      </c>
      <c r="F41" s="189"/>
      <c r="G41" s="189">
        <f t="shared" ref="G41:M41" si="15">G39+G40</f>
        <v>0</v>
      </c>
      <c r="H41" s="189">
        <f t="shared" si="15"/>
        <v>2121.6763662500007</v>
      </c>
      <c r="I41" s="189">
        <f t="shared" si="15"/>
        <v>6900.4353600000004</v>
      </c>
      <c r="J41" s="189">
        <f t="shared" si="15"/>
        <v>16006.565120000003</v>
      </c>
      <c r="K41" s="189">
        <f t="shared" si="15"/>
        <v>1598.2046080000002</v>
      </c>
      <c r="L41" s="189">
        <f t="shared" si="15"/>
        <v>4994718.8455167497</v>
      </c>
      <c r="M41" s="189">
        <f t="shared" si="15"/>
        <v>1221533.145219625</v>
      </c>
      <c r="N41" s="189">
        <f>N39+N40</f>
        <v>6216251.9907363756</v>
      </c>
      <c r="O41" s="189">
        <f>O39+O40</f>
        <v>154394.296875</v>
      </c>
      <c r="P41" s="220"/>
      <c r="Q41" s="220"/>
      <c r="R41" s="221"/>
    </row>
    <row r="42" spans="1:18" ht="22.5" customHeight="1">
      <c r="A42" s="171"/>
      <c r="B42" s="171" t="s">
        <v>180</v>
      </c>
      <c r="C42" s="171"/>
      <c r="D42" s="171"/>
      <c r="E42" s="185">
        <f>E$22*1.6</f>
        <v>5067681.9375</v>
      </c>
      <c r="F42" s="185">
        <f t="shared" ref="F42:K42" si="16">F$22*1.6</f>
        <v>0</v>
      </c>
      <c r="G42" s="185">
        <f t="shared" si="16"/>
        <v>0</v>
      </c>
      <c r="H42" s="185">
        <f t="shared" si="16"/>
        <v>2109.545368000001</v>
      </c>
      <c r="I42" s="185">
        <f t="shared" si="16"/>
        <v>1346.8515840000005</v>
      </c>
      <c r="J42" s="185">
        <f t="shared" si="16"/>
        <v>16618.833920000005</v>
      </c>
      <c r="K42" s="185">
        <f t="shared" si="16"/>
        <v>0</v>
      </c>
      <c r="L42" s="185">
        <f>SUM(E42:K42)</f>
        <v>5087757.1683719996</v>
      </c>
      <c r="M42" s="185">
        <f>L42*0.25</f>
        <v>1271939.2920929999</v>
      </c>
      <c r="N42" s="185">
        <f>M42+L42</f>
        <v>6359696.4604649991</v>
      </c>
      <c r="O42" s="185">
        <f>O$22*1.6</f>
        <v>155390.625</v>
      </c>
      <c r="P42" s="220"/>
      <c r="Q42" s="220"/>
      <c r="R42" s="221"/>
    </row>
    <row r="43" spans="1:18" ht="22.5" customHeight="1">
      <c r="A43" s="18">
        <v>10</v>
      </c>
      <c r="B43" s="18" t="s">
        <v>1007</v>
      </c>
      <c r="C43" s="18" t="s">
        <v>627</v>
      </c>
      <c r="D43" s="18" t="s">
        <v>1026</v>
      </c>
      <c r="E43" s="173">
        <f>E$23*1.6</f>
        <v>610137.45000000007</v>
      </c>
      <c r="F43" s="173">
        <f t="shared" ref="F43:K43" si="17">F$23*1.6</f>
        <v>0</v>
      </c>
      <c r="G43" s="173">
        <f t="shared" si="17"/>
        <v>0</v>
      </c>
      <c r="H43" s="173">
        <f t="shared" si="17"/>
        <v>315.22762200000011</v>
      </c>
      <c r="I43" s="173">
        <f t="shared" si="17"/>
        <v>6539.3602560000008</v>
      </c>
      <c r="J43" s="173">
        <f t="shared" si="17"/>
        <v>1674.3833599999998</v>
      </c>
      <c r="K43" s="173">
        <f t="shared" si="17"/>
        <v>1826.5195520000007</v>
      </c>
      <c r="L43" s="173">
        <f>SUM(E43:K43)</f>
        <v>620492.94079000002</v>
      </c>
      <c r="M43" s="173">
        <f>L43*0.2</f>
        <v>124098.58815800001</v>
      </c>
      <c r="N43" s="173">
        <f>M43+L43</f>
        <v>744591.52894800005</v>
      </c>
      <c r="O43" s="173">
        <f>O$23*1.6</f>
        <v>21060</v>
      </c>
      <c r="P43" s="220"/>
      <c r="Q43" s="220"/>
      <c r="R43" s="221"/>
    </row>
    <row r="44" spans="1:18" ht="22.5" customHeight="1">
      <c r="A44" s="133"/>
      <c r="B44" s="186" t="s">
        <v>1006</v>
      </c>
      <c r="C44" s="133"/>
      <c r="D44" s="133"/>
      <c r="E44" s="189">
        <f>E42+E43</f>
        <v>5677819.3875000002</v>
      </c>
      <c r="F44" s="189"/>
      <c r="G44" s="189">
        <f t="shared" ref="G44:M44" si="18">G42+G43</f>
        <v>0</v>
      </c>
      <c r="H44" s="189">
        <f t="shared" si="18"/>
        <v>2424.7729900000013</v>
      </c>
      <c r="I44" s="189">
        <f t="shared" si="18"/>
        <v>7886.2118400000018</v>
      </c>
      <c r="J44" s="189">
        <f t="shared" si="18"/>
        <v>18293.217280000004</v>
      </c>
      <c r="K44" s="189">
        <f t="shared" si="18"/>
        <v>1826.5195520000007</v>
      </c>
      <c r="L44" s="189">
        <f t="shared" si="18"/>
        <v>5708250.109162</v>
      </c>
      <c r="M44" s="189">
        <f t="shared" si="18"/>
        <v>1396037.8802509999</v>
      </c>
      <c r="N44" s="189">
        <f>N42+N43</f>
        <v>7104287.9894129988</v>
      </c>
      <c r="O44" s="189">
        <f>O42+O43</f>
        <v>176450.625</v>
      </c>
      <c r="P44" s="220"/>
      <c r="Q44" s="220"/>
      <c r="R44" s="221"/>
    </row>
    <row r="45" spans="1:18" ht="22.5" customHeight="1">
      <c r="A45" s="16"/>
      <c r="B45" s="16" t="s">
        <v>180</v>
      </c>
      <c r="C45" s="16"/>
      <c r="D45" s="16"/>
      <c r="E45" s="185">
        <f>E$22*1.8</f>
        <v>5701142.1796875</v>
      </c>
      <c r="F45" s="185">
        <f t="shared" ref="F45:K45" si="19">F$22*1.8</f>
        <v>0</v>
      </c>
      <c r="G45" s="185">
        <f t="shared" si="19"/>
        <v>0</v>
      </c>
      <c r="H45" s="185">
        <f t="shared" si="19"/>
        <v>2373.2385390000013</v>
      </c>
      <c r="I45" s="185">
        <f t="shared" si="19"/>
        <v>1515.2080320000005</v>
      </c>
      <c r="J45" s="185">
        <f t="shared" si="19"/>
        <v>18696.188160000005</v>
      </c>
      <c r="K45" s="185">
        <f t="shared" si="19"/>
        <v>0</v>
      </c>
      <c r="L45" s="185">
        <f>SUM(E45:K45)</f>
        <v>5723726.8144185003</v>
      </c>
      <c r="M45" s="185">
        <f>L45*0.25</f>
        <v>1430931.7036046251</v>
      </c>
      <c r="N45" s="185">
        <f>M45+L45</f>
        <v>7154658.5180231258</v>
      </c>
      <c r="O45" s="185">
        <f>O$22*1.8</f>
        <v>174814.453125</v>
      </c>
      <c r="P45" s="220"/>
      <c r="Q45" s="220"/>
      <c r="R45" s="221"/>
    </row>
    <row r="46" spans="1:18" ht="22.5" customHeight="1">
      <c r="A46" s="18">
        <v>11</v>
      </c>
      <c r="B46" s="18" t="s">
        <v>1007</v>
      </c>
      <c r="C46" s="18" t="s">
        <v>627</v>
      </c>
      <c r="D46" s="18" t="s">
        <v>1027</v>
      </c>
      <c r="E46" s="173">
        <f>E$23*1.8</f>
        <v>686404.63125000009</v>
      </c>
      <c r="F46" s="173">
        <f t="shared" ref="F46:K46" si="20">F$23*1.8</f>
        <v>0</v>
      </c>
      <c r="G46" s="173">
        <f t="shared" si="20"/>
        <v>0</v>
      </c>
      <c r="H46" s="173">
        <f t="shared" si="20"/>
        <v>354.6310747500001</v>
      </c>
      <c r="I46" s="173">
        <f t="shared" si="20"/>
        <v>7356.7802880000008</v>
      </c>
      <c r="J46" s="173">
        <f t="shared" si="20"/>
        <v>1883.6812799999998</v>
      </c>
      <c r="K46" s="173">
        <f t="shared" si="20"/>
        <v>2054.8344960000004</v>
      </c>
      <c r="L46" s="173">
        <f>SUM(E46:K46)</f>
        <v>698054.55838875007</v>
      </c>
      <c r="M46" s="173">
        <f>L46*0.2</f>
        <v>139610.91167775003</v>
      </c>
      <c r="N46" s="173">
        <f>M46+L46</f>
        <v>837665.47006650013</v>
      </c>
      <c r="O46" s="173">
        <f>O$23*1.8</f>
        <v>23692.5</v>
      </c>
    </row>
    <row r="47" spans="1:18" ht="22.5" customHeight="1">
      <c r="A47" s="133"/>
      <c r="B47" s="186" t="s">
        <v>1006</v>
      </c>
      <c r="C47" s="133"/>
      <c r="D47" s="133"/>
      <c r="E47" s="189">
        <f>E45+E46</f>
        <v>6387546.8109374996</v>
      </c>
      <c r="F47" s="189"/>
      <c r="G47" s="189">
        <f t="shared" ref="G47:M47" si="21">G45+G46</f>
        <v>0</v>
      </c>
      <c r="H47" s="189">
        <f t="shared" si="21"/>
        <v>2727.8696137500015</v>
      </c>
      <c r="I47" s="189">
        <f t="shared" si="21"/>
        <v>8871.9883200000004</v>
      </c>
      <c r="J47" s="189">
        <f t="shared" si="21"/>
        <v>20579.869440000006</v>
      </c>
      <c r="K47" s="189">
        <f t="shared" si="21"/>
        <v>2054.8344960000004</v>
      </c>
      <c r="L47" s="189">
        <f t="shared" si="21"/>
        <v>6421781.3728072504</v>
      </c>
      <c r="M47" s="189">
        <f t="shared" si="21"/>
        <v>1570542.6152823751</v>
      </c>
      <c r="N47" s="189">
        <f>N45+N46</f>
        <v>7992323.9880896257</v>
      </c>
      <c r="O47" s="189">
        <f>O45+O46</f>
        <v>198506.953125</v>
      </c>
    </row>
    <row r="48" spans="1:18" s="202" customFormat="1" ht="13.5" customHeight="1">
      <c r="C48" s="222"/>
    </row>
    <row r="49" spans="1:2">
      <c r="A49" s="202"/>
      <c r="B49" s="203" t="s">
        <v>299</v>
      </c>
    </row>
    <row r="50" spans="1:2" ht="17.25" customHeight="1">
      <c r="A50" s="204"/>
      <c r="B50" s="204" t="s">
        <v>1028</v>
      </c>
    </row>
    <row r="51" spans="1:2" ht="17.25" customHeight="1">
      <c r="A51" s="204"/>
      <c r="B51" s="204" t="s">
        <v>1029</v>
      </c>
    </row>
    <row r="52" spans="1:2" ht="17.25" customHeight="1">
      <c r="A52" s="204"/>
      <c r="B52" s="204" t="s">
        <v>1030</v>
      </c>
    </row>
    <row r="53" spans="1:2" ht="22.5" customHeight="1">
      <c r="A53" s="204"/>
      <c r="B53" s="204" t="s">
        <v>1031</v>
      </c>
    </row>
  </sheetData>
  <mergeCells count="34">
    <mergeCell ref="A1:O1"/>
    <mergeCell ref="N2:O2"/>
    <mergeCell ref="A3:A6"/>
    <mergeCell ref="B3:B6"/>
    <mergeCell ref="C3:C6"/>
    <mergeCell ref="D3:D6"/>
    <mergeCell ref="E3:L4"/>
    <mergeCell ref="M3:M6"/>
    <mergeCell ref="N3:N6"/>
    <mergeCell ref="O3:O6"/>
    <mergeCell ref="J5:J6"/>
    <mergeCell ref="K5:K6"/>
    <mergeCell ref="L5:L6"/>
    <mergeCell ref="A27:O27"/>
    <mergeCell ref="E5:E6"/>
    <mergeCell ref="F5:F6"/>
    <mergeCell ref="H5:H6"/>
    <mergeCell ref="I5:I6"/>
    <mergeCell ref="N28:O28"/>
    <mergeCell ref="A29:A32"/>
    <mergeCell ref="B29:B32"/>
    <mergeCell ref="C29:C32"/>
    <mergeCell ref="D29:D32"/>
    <mergeCell ref="E29:L30"/>
    <mergeCell ref="M29:M32"/>
    <mergeCell ref="N29:N32"/>
    <mergeCell ref="O29:O32"/>
    <mergeCell ref="E31:E32"/>
    <mergeCell ref="K31:K32"/>
    <mergeCell ref="L31:L32"/>
    <mergeCell ref="F31:F32"/>
    <mergeCell ref="H31:H32"/>
    <mergeCell ref="I31:I32"/>
    <mergeCell ref="J31:J32"/>
  </mergeCells>
  <phoneticPr fontId="45" type="noConversion"/>
  <printOptions horizontalCentered="1"/>
  <pageMargins left="0.74803149606299213" right="0.74803149606299213" top="0.78740157480314965" bottom="0.78740157480314965" header="0.31496062992125984" footer="0.31496062992125984"/>
  <pageSetup paperSize="9" scale="90" firstPageNumber="49" orientation="landscape" useFirstPageNumber="1" r:id="rId1"/>
  <headerFooter alignWithMargins="0">
    <oddHeader>&amp;R&amp;"Times New Roman,Regular"&amp;12&amp;UĐơn giá sản phẩm trích đo thửa đất - Khu vực đô thị</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R53"/>
  <sheetViews>
    <sheetView topLeftCell="C1" zoomScale="80" zoomScaleNormal="80" workbookViewId="0">
      <selection activeCell="E7" sqref="E7:K8"/>
    </sheetView>
  </sheetViews>
  <sheetFormatPr defaultRowHeight="16.5"/>
  <cols>
    <col min="1" max="1" width="4.88671875" customWidth="1"/>
    <col min="2" max="2" width="13.21875" customWidth="1"/>
    <col min="3" max="3" width="6.21875" style="2" customWidth="1"/>
    <col min="4" max="4" width="13.88671875" customWidth="1"/>
    <col min="5" max="5" width="10.5546875" customWidth="1"/>
    <col min="6" max="6" width="7.21875" hidden="1" customWidth="1"/>
    <col min="7" max="7" width="7.88671875" hidden="1" customWidth="1"/>
    <col min="9" max="11" width="8.6640625" customWidth="1"/>
    <col min="12" max="12" width="10.6640625" customWidth="1"/>
    <col min="13" max="13" width="10.109375" customWidth="1"/>
    <col min="14" max="14" width="10.77734375" customWidth="1"/>
    <col min="15" max="15" width="9.44140625" customWidth="1"/>
  </cols>
  <sheetData>
    <row r="1" spans="1:18" ht="32.25" customHeight="1">
      <c r="A1" s="1107" t="s">
        <v>976</v>
      </c>
      <c r="B1" s="1107"/>
      <c r="C1" s="1107"/>
      <c r="D1" s="1107"/>
      <c r="E1" s="1107"/>
      <c r="F1" s="1107"/>
      <c r="G1" s="1107"/>
      <c r="H1" s="1107"/>
      <c r="I1" s="1107"/>
      <c r="J1" s="1107"/>
      <c r="K1" s="1107"/>
      <c r="L1" s="1107"/>
      <c r="M1" s="1107"/>
      <c r="N1" s="1107"/>
      <c r="O1" s="1107"/>
      <c r="Q1" s="157">
        <v>0</v>
      </c>
      <c r="R1" s="157">
        <v>650000</v>
      </c>
    </row>
    <row r="2" spans="1:18" ht="18.75" customHeight="1">
      <c r="A2" s="158"/>
      <c r="B2" s="158"/>
      <c r="C2" s="159"/>
      <c r="D2" s="158"/>
      <c r="E2" s="158"/>
      <c r="F2" s="158"/>
      <c r="G2" s="158"/>
      <c r="H2" s="158"/>
      <c r="I2" s="158"/>
      <c r="J2" s="158"/>
      <c r="K2" s="158"/>
      <c r="L2" s="158"/>
      <c r="M2" s="160"/>
      <c r="N2" s="1096" t="s">
        <v>60</v>
      </c>
      <c r="O2" s="1096"/>
    </row>
    <row r="3" spans="1:18" ht="16.5" customHeight="1">
      <c r="A3" s="1097" t="s">
        <v>158</v>
      </c>
      <c r="B3" s="1094" t="s">
        <v>990</v>
      </c>
      <c r="C3" s="1094" t="s">
        <v>991</v>
      </c>
      <c r="D3" s="1094" t="s">
        <v>992</v>
      </c>
      <c r="E3" s="1101" t="s">
        <v>466</v>
      </c>
      <c r="F3" s="1102"/>
      <c r="G3" s="1102"/>
      <c r="H3" s="1102"/>
      <c r="I3" s="1102"/>
      <c r="J3" s="1102"/>
      <c r="K3" s="1102"/>
      <c r="L3" s="1103"/>
      <c r="M3" s="1094" t="s">
        <v>993</v>
      </c>
      <c r="N3" s="1094" t="s">
        <v>994</v>
      </c>
      <c r="O3" s="1094" t="s">
        <v>995</v>
      </c>
      <c r="P3" s="161" t="s">
        <v>996</v>
      </c>
      <c r="Q3" s="161" t="s">
        <v>996</v>
      </c>
      <c r="R3" s="162" t="s">
        <v>997</v>
      </c>
    </row>
    <row r="4" spans="1:18">
      <c r="A4" s="1098"/>
      <c r="B4" s="1100"/>
      <c r="C4" s="1100"/>
      <c r="D4" s="1100"/>
      <c r="E4" s="1104"/>
      <c r="F4" s="1105"/>
      <c r="G4" s="1105"/>
      <c r="H4" s="1105"/>
      <c r="I4" s="1105"/>
      <c r="J4" s="1105"/>
      <c r="K4" s="1105"/>
      <c r="L4" s="1106"/>
      <c r="M4" s="1100"/>
      <c r="N4" s="1100"/>
      <c r="O4" s="1100"/>
      <c r="P4" s="163" t="s">
        <v>998</v>
      </c>
      <c r="Q4" s="163" t="s">
        <v>999</v>
      </c>
      <c r="R4" s="164" t="s">
        <v>1000</v>
      </c>
    </row>
    <row r="5" spans="1:18" ht="21" customHeight="1">
      <c r="A5" s="1098"/>
      <c r="B5" s="1100"/>
      <c r="C5" s="1100"/>
      <c r="D5" s="1100"/>
      <c r="E5" s="1094" t="s">
        <v>1001</v>
      </c>
      <c r="F5" s="1094" t="s">
        <v>1002</v>
      </c>
      <c r="G5" s="165" t="s">
        <v>1003</v>
      </c>
      <c r="H5" s="1094" t="s">
        <v>1004</v>
      </c>
      <c r="I5" s="1094" t="s">
        <v>155</v>
      </c>
      <c r="J5" s="1094" t="s">
        <v>156</v>
      </c>
      <c r="K5" s="1094" t="s">
        <v>1005</v>
      </c>
      <c r="L5" s="1094" t="s">
        <v>1006</v>
      </c>
      <c r="M5" s="1100"/>
      <c r="N5" s="1100"/>
      <c r="O5" s="1100"/>
      <c r="P5" s="166">
        <f>$R$1*0.1/26*1.25*1</f>
        <v>3125</v>
      </c>
      <c r="Q5" s="166">
        <f>$R$1*0.1/26*1.25*0.25</f>
        <v>781.25</v>
      </c>
      <c r="R5" s="167"/>
    </row>
    <row r="6" spans="1:18" ht="20.25" customHeight="1">
      <c r="A6" s="1099"/>
      <c r="B6" s="1095"/>
      <c r="C6" s="1095"/>
      <c r="D6" s="1095"/>
      <c r="E6" s="1095"/>
      <c r="F6" s="1095"/>
      <c r="G6" s="168">
        <f>$Q$1</f>
        <v>0</v>
      </c>
      <c r="H6" s="1095"/>
      <c r="I6" s="1095"/>
      <c r="J6" s="1095"/>
      <c r="K6" s="1095"/>
      <c r="L6" s="1095"/>
      <c r="M6" s="1095"/>
      <c r="N6" s="1095"/>
      <c r="O6" s="1095"/>
      <c r="P6" s="169">
        <f>$R$1*0.1/26*1*1</f>
        <v>2500</v>
      </c>
      <c r="Q6" s="169">
        <f>$R$1*0.1/26*1*0.2</f>
        <v>500</v>
      </c>
      <c r="R6" s="170"/>
    </row>
    <row r="7" spans="1:18" ht="22.5" customHeight="1">
      <c r="A7" s="16"/>
      <c r="B7" s="171" t="s">
        <v>180</v>
      </c>
      <c r="C7" s="171"/>
      <c r="D7" s="171"/>
      <c r="E7" s="172">
        <v>649702.8125</v>
      </c>
      <c r="F7" s="172"/>
      <c r="G7" s="173">
        <f>P7*$Q$1*10</f>
        <v>0</v>
      </c>
      <c r="H7" s="172">
        <v>310.22726000000011</v>
      </c>
      <c r="I7" s="172">
        <v>259.00992000000002</v>
      </c>
      <c r="J7" s="172">
        <v>2509.9264000000003</v>
      </c>
      <c r="K7" s="173">
        <v>0</v>
      </c>
      <c r="L7" s="172">
        <f>SUM(E7:K7)</f>
        <v>652781.97607999993</v>
      </c>
      <c r="M7" s="172">
        <f>L7*0.25</f>
        <v>163195.49401999998</v>
      </c>
      <c r="N7" s="174">
        <f>M7+L7</f>
        <v>815977.47009999992</v>
      </c>
      <c r="O7" s="172">
        <f>P7+Q7</f>
        <v>19921.874999999996</v>
      </c>
      <c r="P7" s="175">
        <f>R7*P5</f>
        <v>15937.499999999998</v>
      </c>
      <c r="Q7" s="175">
        <f>R7*Q5</f>
        <v>3984.3749999999995</v>
      </c>
      <c r="R7" s="176">
        <v>5.0999999999999996</v>
      </c>
    </row>
    <row r="8" spans="1:18" ht="22.5" customHeight="1">
      <c r="A8" s="18">
        <v>1</v>
      </c>
      <c r="B8" s="18" t="s">
        <v>1007</v>
      </c>
      <c r="C8" s="18" t="s">
        <v>627</v>
      </c>
      <c r="D8" s="18" t="s">
        <v>1008</v>
      </c>
      <c r="E8" s="177">
        <v>78222.75</v>
      </c>
      <c r="F8" s="177"/>
      <c r="G8" s="173">
        <f>P8*$Q$1*10</f>
        <v>0</v>
      </c>
      <c r="H8" s="177">
        <v>50.168852307692312</v>
      </c>
      <c r="I8" s="177">
        <v>1257.5692799999999</v>
      </c>
      <c r="J8" s="177">
        <v>269.05599999999998</v>
      </c>
      <c r="K8" s="177">
        <v>292.80063999999999</v>
      </c>
      <c r="L8" s="177">
        <f>SUM(E8:K8)</f>
        <v>80092.344772307682</v>
      </c>
      <c r="M8" s="177">
        <f>L8*0.2</f>
        <v>16018.468954461538</v>
      </c>
      <c r="N8" s="178">
        <f>M8+L8</f>
        <v>96110.813726769222</v>
      </c>
      <c r="O8" s="177">
        <f>P8+Q8</f>
        <v>2700</v>
      </c>
      <c r="P8" s="175">
        <f>P6*R8</f>
        <v>2250</v>
      </c>
      <c r="Q8" s="175">
        <f>Q6*R8</f>
        <v>449.99999999999994</v>
      </c>
      <c r="R8" s="176">
        <v>0.89999999999999991</v>
      </c>
    </row>
    <row r="9" spans="1:18" ht="22.5" customHeight="1">
      <c r="A9" s="179"/>
      <c r="B9" s="180" t="s">
        <v>1006</v>
      </c>
      <c r="C9" s="179"/>
      <c r="D9" s="179"/>
      <c r="E9" s="181">
        <f t="shared" ref="E9:M9" si="0">E7+E8</f>
        <v>727925.5625</v>
      </c>
      <c r="F9" s="181"/>
      <c r="G9" s="182">
        <f t="shared" si="0"/>
        <v>0</v>
      </c>
      <c r="H9" s="181">
        <f t="shared" si="0"/>
        <v>360.39611230769242</v>
      </c>
      <c r="I9" s="181">
        <f t="shared" si="0"/>
        <v>1516.5791999999999</v>
      </c>
      <c r="J9" s="181">
        <f t="shared" si="0"/>
        <v>2778.9824000000003</v>
      </c>
      <c r="K9" s="181">
        <f t="shared" si="0"/>
        <v>292.80063999999999</v>
      </c>
      <c r="L9" s="181">
        <f t="shared" si="0"/>
        <v>732874.3208523076</v>
      </c>
      <c r="M9" s="181">
        <f t="shared" si="0"/>
        <v>179213.96297446152</v>
      </c>
      <c r="N9" s="181">
        <f>N7+N8</f>
        <v>912088.2838267691</v>
      </c>
      <c r="O9" s="183">
        <f>O7+O8</f>
        <v>22621.874999999996</v>
      </c>
      <c r="P9" s="175"/>
      <c r="Q9" s="175"/>
      <c r="R9" s="176"/>
    </row>
    <row r="10" spans="1:18" ht="22.5" customHeight="1">
      <c r="A10" s="171"/>
      <c r="B10" s="171" t="s">
        <v>180</v>
      </c>
      <c r="C10" s="171"/>
      <c r="D10" s="184"/>
      <c r="E10" s="172">
        <v>769897.83281249995</v>
      </c>
      <c r="F10" s="172"/>
      <c r="G10" s="185">
        <f>P10*$Q$1*10</f>
        <v>0</v>
      </c>
      <c r="H10" s="172">
        <v>367.61930310000014</v>
      </c>
      <c r="I10" s="172">
        <v>306.92675520000006</v>
      </c>
      <c r="J10" s="172">
        <v>2974.2627840000005</v>
      </c>
      <c r="K10" s="185">
        <v>0</v>
      </c>
      <c r="L10" s="172">
        <f t="shared" ref="L10:L23" si="1">SUM(E10:K10)</f>
        <v>773546.64165480004</v>
      </c>
      <c r="M10" s="172">
        <f>L10*0.25</f>
        <v>193386.66041370001</v>
      </c>
      <c r="N10" s="174">
        <f>M10+L10</f>
        <v>966933.30206850008</v>
      </c>
      <c r="O10" s="172">
        <f>P10+Q10</f>
        <v>23607.421875</v>
      </c>
      <c r="P10" s="175">
        <f>P5*R10</f>
        <v>18885.9375</v>
      </c>
      <c r="Q10" s="175">
        <f>Q5*R10</f>
        <v>4721.484375</v>
      </c>
      <c r="R10" s="176">
        <v>6.0434999999999999</v>
      </c>
    </row>
    <row r="11" spans="1:18" ht="22.5" customHeight="1">
      <c r="A11" s="18">
        <v>2</v>
      </c>
      <c r="B11" s="18" t="s">
        <v>1007</v>
      </c>
      <c r="C11" s="18" t="s">
        <v>627</v>
      </c>
      <c r="D11" s="18" t="s">
        <v>1009</v>
      </c>
      <c r="E11" s="177">
        <v>92693.958750000005</v>
      </c>
      <c r="F11" s="177"/>
      <c r="G11" s="173">
        <f>P11*$Q$1*10</f>
        <v>0</v>
      </c>
      <c r="H11" s="177">
        <v>59.450089984615396</v>
      </c>
      <c r="I11" s="177">
        <v>1490.2195968000001</v>
      </c>
      <c r="J11" s="177">
        <v>318.83136000000002</v>
      </c>
      <c r="K11" s="177">
        <v>346.96875840000001</v>
      </c>
      <c r="L11" s="177">
        <f t="shared" si="1"/>
        <v>94909.428555184626</v>
      </c>
      <c r="M11" s="177">
        <f>L11*0.2</f>
        <v>18981.885711036924</v>
      </c>
      <c r="N11" s="178">
        <f>M11+L11</f>
        <v>113891.31426622155</v>
      </c>
      <c r="O11" s="177">
        <f>P11+Q11</f>
        <v>3199.5</v>
      </c>
      <c r="P11" s="175">
        <f>P6*R11</f>
        <v>2666.25</v>
      </c>
      <c r="Q11" s="175">
        <f>Q6*R11</f>
        <v>533.25</v>
      </c>
      <c r="R11" s="176">
        <v>1.0665</v>
      </c>
    </row>
    <row r="12" spans="1:18" ht="22.5" customHeight="1">
      <c r="A12" s="133"/>
      <c r="B12" s="186" t="s">
        <v>1006</v>
      </c>
      <c r="C12" s="133"/>
      <c r="D12" s="187"/>
      <c r="E12" s="188">
        <f t="shared" ref="E12:M12" si="2">E10+E11</f>
        <v>862591.79156249994</v>
      </c>
      <c r="F12" s="188"/>
      <c r="G12" s="189">
        <f>G10+G11</f>
        <v>0</v>
      </c>
      <c r="H12" s="188">
        <f t="shared" si="2"/>
        <v>427.06939308461551</v>
      </c>
      <c r="I12" s="188">
        <f t="shared" si="2"/>
        <v>1797.1463520000002</v>
      </c>
      <c r="J12" s="188">
        <f t="shared" si="2"/>
        <v>3293.0941440000006</v>
      </c>
      <c r="K12" s="188">
        <f t="shared" si="2"/>
        <v>346.96875840000001</v>
      </c>
      <c r="L12" s="188">
        <f t="shared" si="2"/>
        <v>868456.07020998467</v>
      </c>
      <c r="M12" s="188">
        <f t="shared" si="2"/>
        <v>212368.54612473692</v>
      </c>
      <c r="N12" s="188">
        <f>N10+N11</f>
        <v>1080824.6163347217</v>
      </c>
      <c r="O12" s="190">
        <f>O10+O11</f>
        <v>26806.921875</v>
      </c>
      <c r="P12" s="175"/>
      <c r="Q12" s="175"/>
      <c r="R12" s="176"/>
    </row>
    <row r="13" spans="1:18" ht="22.5" customHeight="1">
      <c r="A13" s="16"/>
      <c r="B13" s="16" t="s">
        <v>180</v>
      </c>
      <c r="C13" s="16"/>
      <c r="D13" s="16"/>
      <c r="E13" s="191">
        <v>818625.54375000007</v>
      </c>
      <c r="F13" s="191"/>
      <c r="G13" s="192">
        <f>P13*$Q$1*10</f>
        <v>0</v>
      </c>
      <c r="H13" s="191">
        <v>390.88634760000014</v>
      </c>
      <c r="I13" s="191">
        <v>326.35249920000001</v>
      </c>
      <c r="J13" s="191">
        <v>3162.5072640000003</v>
      </c>
      <c r="K13" s="173">
        <v>0</v>
      </c>
      <c r="L13" s="191">
        <f t="shared" si="1"/>
        <v>822505.28986080014</v>
      </c>
      <c r="M13" s="191">
        <f>L13*0.25</f>
        <v>205626.32246520004</v>
      </c>
      <c r="N13" s="193">
        <f>M13+L13</f>
        <v>1028131.6123260001</v>
      </c>
      <c r="O13" s="191">
        <f>P13+Q13</f>
        <v>25101.5625</v>
      </c>
      <c r="P13" s="175">
        <f>P5*R13</f>
        <v>20081.25</v>
      </c>
      <c r="Q13" s="175">
        <f>Q5*R13</f>
        <v>5020.3125</v>
      </c>
      <c r="R13" s="176">
        <v>6.4260000000000002</v>
      </c>
    </row>
    <row r="14" spans="1:18" ht="22.5" customHeight="1">
      <c r="A14" s="18">
        <v>3</v>
      </c>
      <c r="B14" s="18" t="s">
        <v>1007</v>
      </c>
      <c r="C14" s="18" t="s">
        <v>627</v>
      </c>
      <c r="D14" s="18" t="s">
        <v>1018</v>
      </c>
      <c r="E14" s="177">
        <v>98560.665000000023</v>
      </c>
      <c r="F14" s="177"/>
      <c r="G14" s="173">
        <f>P14*$Q$1*10</f>
        <v>0</v>
      </c>
      <c r="H14" s="177">
        <v>63.21275390769231</v>
      </c>
      <c r="I14" s="177">
        <v>1584.5372927999999</v>
      </c>
      <c r="J14" s="177">
        <v>339.01056</v>
      </c>
      <c r="K14" s="177">
        <v>368.92880639999998</v>
      </c>
      <c r="L14" s="177">
        <f t="shared" si="1"/>
        <v>100916.35441310771</v>
      </c>
      <c r="M14" s="177">
        <f>L14*0.2</f>
        <v>20183.270882621542</v>
      </c>
      <c r="N14" s="178">
        <f>M14+L14</f>
        <v>121099.62529572925</v>
      </c>
      <c r="O14" s="177">
        <f>P14+Q14</f>
        <v>3402.0000000000005</v>
      </c>
      <c r="P14" s="175">
        <f>P6*R14</f>
        <v>2835.0000000000005</v>
      </c>
      <c r="Q14" s="175">
        <f>Q6*R14</f>
        <v>567.00000000000011</v>
      </c>
      <c r="R14" s="176">
        <v>1.1340000000000001</v>
      </c>
    </row>
    <row r="15" spans="1:18" ht="22.5" customHeight="1">
      <c r="A15" s="179"/>
      <c r="B15" s="180" t="s">
        <v>1006</v>
      </c>
      <c r="C15" s="179"/>
      <c r="D15" s="179"/>
      <c r="E15" s="181">
        <f t="shared" ref="E15:M15" si="3">E13+E14</f>
        <v>917186.20875000011</v>
      </c>
      <c r="F15" s="181"/>
      <c r="G15" s="194">
        <f>G13+G14</f>
        <v>0</v>
      </c>
      <c r="H15" s="181">
        <f t="shared" si="3"/>
        <v>454.09910150769247</v>
      </c>
      <c r="I15" s="181">
        <f t="shared" si="3"/>
        <v>1910.8897919999999</v>
      </c>
      <c r="J15" s="181">
        <f t="shared" si="3"/>
        <v>3501.5178240000005</v>
      </c>
      <c r="K15" s="181">
        <f t="shared" si="3"/>
        <v>368.92880639999998</v>
      </c>
      <c r="L15" s="181">
        <f t="shared" si="3"/>
        <v>923421.64427390788</v>
      </c>
      <c r="M15" s="181">
        <f t="shared" si="3"/>
        <v>225809.59334782159</v>
      </c>
      <c r="N15" s="181">
        <f>N13+N14</f>
        <v>1149231.2376217293</v>
      </c>
      <c r="O15" s="183">
        <f>O13+O14</f>
        <v>28503.5625</v>
      </c>
      <c r="P15" s="175"/>
      <c r="Q15" s="175"/>
      <c r="R15" s="176"/>
    </row>
    <row r="16" spans="1:18" ht="22.5" customHeight="1">
      <c r="A16" s="171"/>
      <c r="B16" s="171" t="s">
        <v>180</v>
      </c>
      <c r="C16" s="171"/>
      <c r="D16" s="171"/>
      <c r="E16" s="172">
        <v>1000542.33125</v>
      </c>
      <c r="F16" s="172"/>
      <c r="G16" s="185">
        <f>P16*$Q$1*10</f>
        <v>0</v>
      </c>
      <c r="H16" s="172">
        <v>477.7499804000002</v>
      </c>
      <c r="I16" s="172">
        <v>398.87527680000005</v>
      </c>
      <c r="J16" s="172">
        <v>3865.2866560000007</v>
      </c>
      <c r="K16" s="185">
        <v>0</v>
      </c>
      <c r="L16" s="172">
        <f t="shared" si="1"/>
        <v>1005284.2431632</v>
      </c>
      <c r="M16" s="172">
        <f>L16*0.25</f>
        <v>251321.06079079999</v>
      </c>
      <c r="N16" s="174">
        <f>M16+L16</f>
        <v>1256605.3039539999</v>
      </c>
      <c r="O16" s="172">
        <f>P16+Q16</f>
        <v>30679.6875</v>
      </c>
      <c r="P16" s="175">
        <f>P5*R16</f>
        <v>24543.75</v>
      </c>
      <c r="Q16" s="175">
        <f>Q5*R16</f>
        <v>6135.9375</v>
      </c>
      <c r="R16" s="176">
        <v>7.8540000000000001</v>
      </c>
    </row>
    <row r="17" spans="1:18" ht="22.5" customHeight="1">
      <c r="A17" s="18">
        <v>4</v>
      </c>
      <c r="B17" s="18" t="s">
        <v>1007</v>
      </c>
      <c r="C17" s="18" t="s">
        <v>627</v>
      </c>
      <c r="D17" s="18" t="s">
        <v>1019</v>
      </c>
      <c r="E17" s="177">
        <v>120463.035</v>
      </c>
      <c r="F17" s="177"/>
      <c r="G17" s="173">
        <f>P17*$Q$1*10</f>
        <v>0</v>
      </c>
      <c r="H17" s="177">
        <v>77.260032553846159</v>
      </c>
      <c r="I17" s="177">
        <v>1936.6566911999998</v>
      </c>
      <c r="J17" s="177">
        <v>414.34623999999997</v>
      </c>
      <c r="K17" s="177">
        <v>450.91298560000001</v>
      </c>
      <c r="L17" s="177">
        <f t="shared" si="1"/>
        <v>123342.21094935386</v>
      </c>
      <c r="M17" s="177">
        <f>L17*0.2</f>
        <v>24668.442189870773</v>
      </c>
      <c r="N17" s="178">
        <f>M17+L17</f>
        <v>148010.65313922463</v>
      </c>
      <c r="O17" s="177">
        <f>P17+Q17</f>
        <v>4158</v>
      </c>
      <c r="P17" s="175">
        <f>P6*R17</f>
        <v>3464.9999999999995</v>
      </c>
      <c r="Q17" s="175">
        <f>Q6*R17</f>
        <v>693</v>
      </c>
      <c r="R17" s="176">
        <v>1.3859999999999999</v>
      </c>
    </row>
    <row r="18" spans="1:18" ht="22.5" customHeight="1">
      <c r="A18" s="133"/>
      <c r="B18" s="186" t="s">
        <v>1006</v>
      </c>
      <c r="C18" s="133"/>
      <c r="D18" s="133"/>
      <c r="E18" s="188">
        <f t="shared" ref="E18:M18" si="4">E16+E17</f>
        <v>1121005.36625</v>
      </c>
      <c r="F18" s="188"/>
      <c r="G18" s="189">
        <f>G16+G17</f>
        <v>0</v>
      </c>
      <c r="H18" s="188">
        <f t="shared" si="4"/>
        <v>555.0100129538464</v>
      </c>
      <c r="I18" s="188">
        <f t="shared" si="4"/>
        <v>2335.5319679999998</v>
      </c>
      <c r="J18" s="188">
        <f t="shared" si="4"/>
        <v>4279.632896000001</v>
      </c>
      <c r="K18" s="188">
        <f t="shared" si="4"/>
        <v>450.91298560000001</v>
      </c>
      <c r="L18" s="188">
        <f t="shared" si="4"/>
        <v>1128626.4541125537</v>
      </c>
      <c r="M18" s="188">
        <f t="shared" si="4"/>
        <v>275989.50298067078</v>
      </c>
      <c r="N18" s="188">
        <f>N16+N17</f>
        <v>1404615.9570932244</v>
      </c>
      <c r="O18" s="190">
        <f>O16+O17</f>
        <v>34837.6875</v>
      </c>
      <c r="P18" s="175"/>
      <c r="Q18" s="175"/>
      <c r="R18" s="176"/>
    </row>
    <row r="19" spans="1:18" ht="22.5" customHeight="1">
      <c r="A19" s="16"/>
      <c r="B19" s="16" t="s">
        <v>180</v>
      </c>
      <c r="C19" s="16"/>
      <c r="D19" s="16"/>
      <c r="E19" s="191">
        <v>1374121.4484375003</v>
      </c>
      <c r="F19" s="191"/>
      <c r="G19" s="192">
        <f>P19*$Q$1*10</f>
        <v>0</v>
      </c>
      <c r="H19" s="191">
        <v>656.13065490000031</v>
      </c>
      <c r="I19" s="191">
        <v>547.80598080000016</v>
      </c>
      <c r="J19" s="191">
        <v>5308.4943360000016</v>
      </c>
      <c r="K19" s="173">
        <v>0</v>
      </c>
      <c r="L19" s="191">
        <f t="shared" si="1"/>
        <v>1380633.8794092003</v>
      </c>
      <c r="M19" s="191">
        <f>L19*0.25</f>
        <v>345158.46985230007</v>
      </c>
      <c r="N19" s="193">
        <f>M19+L19</f>
        <v>1725792.3492615004</v>
      </c>
      <c r="O19" s="191">
        <f>P19+Q19</f>
        <v>42134.765625</v>
      </c>
      <c r="P19" s="175">
        <f>P5*R19</f>
        <v>33707.8125</v>
      </c>
      <c r="Q19" s="175">
        <f>Q5*R19</f>
        <v>8426.953125</v>
      </c>
      <c r="R19" s="176">
        <v>10.7865</v>
      </c>
    </row>
    <row r="20" spans="1:18" ht="22.5" customHeight="1">
      <c r="A20" s="18">
        <v>5</v>
      </c>
      <c r="B20" s="18" t="s">
        <v>1007</v>
      </c>
      <c r="C20" s="18" t="s">
        <v>627</v>
      </c>
      <c r="D20" s="18" t="s">
        <v>1020</v>
      </c>
      <c r="E20" s="177">
        <v>126838.18912500002</v>
      </c>
      <c r="F20" s="177"/>
      <c r="G20" s="173">
        <f>P20*$Q$1*10</f>
        <v>0</v>
      </c>
      <c r="H20" s="177">
        <v>106.10712263076925</v>
      </c>
      <c r="I20" s="177">
        <v>2659.7590272000002</v>
      </c>
      <c r="J20" s="177">
        <v>569.05344000000002</v>
      </c>
      <c r="K20" s="177">
        <v>619.27335360000006</v>
      </c>
      <c r="L20" s="177">
        <f t="shared" si="1"/>
        <v>130792.38206843079</v>
      </c>
      <c r="M20" s="177">
        <f>L20*0.2</f>
        <v>26158.47641368616</v>
      </c>
      <c r="N20" s="178">
        <f>M20+L20</f>
        <v>156950.85848211695</v>
      </c>
      <c r="O20" s="177">
        <f>P20+Q20</f>
        <v>4378.05</v>
      </c>
      <c r="P20" s="175">
        <f>P6*R20</f>
        <v>3648.3750000000005</v>
      </c>
      <c r="Q20" s="175">
        <f>Q6*R20</f>
        <v>729.67500000000007</v>
      </c>
      <c r="R20" s="176">
        <v>1.4593500000000001</v>
      </c>
    </row>
    <row r="21" spans="1:18" ht="22.5" customHeight="1">
      <c r="A21" s="179"/>
      <c r="B21" s="180" t="s">
        <v>1006</v>
      </c>
      <c r="C21" s="179"/>
      <c r="D21" s="179"/>
      <c r="E21" s="181">
        <f t="shared" ref="E21:M21" si="5">E19+E20</f>
        <v>1500959.6375625003</v>
      </c>
      <c r="F21" s="181"/>
      <c r="G21" s="194">
        <f>G19+G20</f>
        <v>0</v>
      </c>
      <c r="H21" s="181">
        <f t="shared" si="5"/>
        <v>762.23777753076956</v>
      </c>
      <c r="I21" s="181">
        <f t="shared" si="5"/>
        <v>3207.5650080000005</v>
      </c>
      <c r="J21" s="181">
        <f t="shared" si="5"/>
        <v>5877.5477760000012</v>
      </c>
      <c r="K21" s="188">
        <f t="shared" si="5"/>
        <v>619.27335360000006</v>
      </c>
      <c r="L21" s="181">
        <f t="shared" si="5"/>
        <v>1511426.2614776311</v>
      </c>
      <c r="M21" s="181">
        <f t="shared" si="5"/>
        <v>371316.94626598625</v>
      </c>
      <c r="N21" s="181">
        <f>N19+N20</f>
        <v>1882743.2077436172</v>
      </c>
      <c r="O21" s="183">
        <f>O19+O20</f>
        <v>46512.815625000003</v>
      </c>
      <c r="P21" s="175"/>
      <c r="Q21" s="175"/>
      <c r="R21" s="176"/>
    </row>
    <row r="22" spans="1:18" ht="22.5" customHeight="1">
      <c r="A22" s="171"/>
      <c r="B22" s="171" t="s">
        <v>180</v>
      </c>
      <c r="C22" s="171"/>
      <c r="D22" s="171"/>
      <c r="E22" s="172">
        <v>2111534.140625</v>
      </c>
      <c r="F22" s="172"/>
      <c r="G22" s="185">
        <f>P22*$Q$1*10</f>
        <v>0</v>
      </c>
      <c r="H22" s="172">
        <v>1008.2385950000004</v>
      </c>
      <c r="I22" s="172">
        <v>841.78224000000012</v>
      </c>
      <c r="J22" s="172">
        <v>8157.2608000000009</v>
      </c>
      <c r="K22" s="192">
        <v>0</v>
      </c>
      <c r="L22" s="172">
        <f t="shared" si="1"/>
        <v>2121541.4222599999</v>
      </c>
      <c r="M22" s="172">
        <f>L22*0.25</f>
        <v>530385.35556499998</v>
      </c>
      <c r="N22" s="174">
        <f>M22+L22</f>
        <v>2651926.7778249998</v>
      </c>
      <c r="O22" s="172">
        <f>P22+Q22</f>
        <v>64746.09375</v>
      </c>
      <c r="P22" s="175">
        <f>P5*R22</f>
        <v>51796.875</v>
      </c>
      <c r="Q22" s="175">
        <f>Q5*R22</f>
        <v>12949.21875</v>
      </c>
      <c r="R22" s="176">
        <v>16.574999999999999</v>
      </c>
    </row>
    <row r="23" spans="1:18" ht="22.5" customHeight="1">
      <c r="A23" s="18">
        <v>6</v>
      </c>
      <c r="B23" s="18" t="s">
        <v>1007</v>
      </c>
      <c r="C23" s="18" t="s">
        <v>627</v>
      </c>
      <c r="D23" s="18" t="s">
        <v>1021</v>
      </c>
      <c r="E23" s="177">
        <v>254223.9375</v>
      </c>
      <c r="F23" s="177"/>
      <c r="G23" s="173">
        <f>P23*$Q$1*10</f>
        <v>0</v>
      </c>
      <c r="H23" s="177">
        <v>163.04877000000002</v>
      </c>
      <c r="I23" s="177">
        <v>4087.10016</v>
      </c>
      <c r="J23" s="177">
        <v>874.4319999999999</v>
      </c>
      <c r="K23" s="177">
        <v>951.60208</v>
      </c>
      <c r="L23" s="177">
        <f t="shared" si="1"/>
        <v>260300.12051000001</v>
      </c>
      <c r="M23" s="177">
        <f>L23*0.2</f>
        <v>52060.024102000003</v>
      </c>
      <c r="N23" s="178">
        <f>M23+L23</f>
        <v>312360.14461200003</v>
      </c>
      <c r="O23" s="177">
        <f>P23+Q23</f>
        <v>8775</v>
      </c>
      <c r="P23" s="175">
        <f>P6*R23</f>
        <v>7312.5</v>
      </c>
      <c r="Q23" s="175">
        <f>Q6*R23</f>
        <v>1462.5</v>
      </c>
      <c r="R23" s="176">
        <v>2.9249999999999998</v>
      </c>
    </row>
    <row r="24" spans="1:18" ht="22.5" customHeight="1">
      <c r="A24" s="133"/>
      <c r="B24" s="186" t="s">
        <v>1006</v>
      </c>
      <c r="C24" s="133"/>
      <c r="D24" s="133"/>
      <c r="E24" s="188">
        <f t="shared" ref="E24:M24" si="6">E22+E23</f>
        <v>2365758.078125</v>
      </c>
      <c r="F24" s="188"/>
      <c r="G24" s="189">
        <f>G22+G23</f>
        <v>0</v>
      </c>
      <c r="H24" s="188">
        <f t="shared" si="6"/>
        <v>1171.2873650000004</v>
      </c>
      <c r="I24" s="188">
        <f t="shared" si="6"/>
        <v>4928.8824000000004</v>
      </c>
      <c r="J24" s="188">
        <f t="shared" si="6"/>
        <v>9031.6928000000007</v>
      </c>
      <c r="K24" s="188">
        <f t="shared" si="6"/>
        <v>951.60208</v>
      </c>
      <c r="L24" s="188">
        <f t="shared" si="6"/>
        <v>2381841.5427699997</v>
      </c>
      <c r="M24" s="188">
        <f t="shared" si="6"/>
        <v>582445.37966700003</v>
      </c>
      <c r="N24" s="188">
        <f>N22+N23</f>
        <v>2964286.9224369996</v>
      </c>
      <c r="O24" s="190">
        <f>O22+O23</f>
        <v>73521.09375</v>
      </c>
      <c r="P24" s="96"/>
      <c r="Q24" s="96"/>
      <c r="R24" s="96"/>
    </row>
    <row r="25" spans="1:18" ht="21" customHeight="1">
      <c r="B25" s="195"/>
      <c r="C25" s="196"/>
      <c r="D25" s="195"/>
      <c r="E25" s="195"/>
      <c r="F25" s="195"/>
      <c r="G25" s="195"/>
      <c r="H25" s="195"/>
      <c r="I25" s="195"/>
      <c r="J25" s="195"/>
      <c r="K25" s="195"/>
      <c r="L25" s="195"/>
      <c r="M25" s="195"/>
      <c r="N25" s="197"/>
    </row>
    <row r="26" spans="1:18" ht="22.5" customHeight="1">
      <c r="B26" s="195"/>
      <c r="C26" s="196"/>
      <c r="D26" s="195"/>
      <c r="E26" s="195"/>
      <c r="F26" s="195"/>
      <c r="G26" s="195"/>
      <c r="H26" s="195"/>
      <c r="I26" s="195"/>
      <c r="J26" s="195"/>
      <c r="K26" s="195"/>
      <c r="L26" s="195"/>
      <c r="M26" s="195"/>
      <c r="N26" s="197"/>
    </row>
    <row r="27" spans="1:18" ht="28.5" customHeight="1">
      <c r="A27" s="1107" t="s">
        <v>976</v>
      </c>
      <c r="B27" s="1107"/>
      <c r="C27" s="1107"/>
      <c r="D27" s="1107"/>
      <c r="E27" s="1107"/>
      <c r="F27" s="1107"/>
      <c r="G27" s="1107"/>
      <c r="H27" s="1107"/>
      <c r="I27" s="1107"/>
      <c r="J27" s="1107"/>
      <c r="K27" s="1107"/>
      <c r="L27" s="1107"/>
      <c r="M27" s="1107"/>
      <c r="N27" s="1107"/>
      <c r="O27" s="1107"/>
    </row>
    <row r="28" spans="1:18" ht="21.75" customHeight="1">
      <c r="A28" s="198"/>
      <c r="B28" s="199"/>
      <c r="C28" s="198"/>
      <c r="D28" s="198"/>
      <c r="E28" s="200"/>
      <c r="F28" s="200"/>
      <c r="G28" s="201"/>
      <c r="H28" s="200"/>
      <c r="I28" s="200"/>
      <c r="J28" s="200"/>
      <c r="K28" s="200"/>
      <c r="L28" s="200"/>
      <c r="M28" s="200"/>
      <c r="N28" s="1096" t="s">
        <v>60</v>
      </c>
      <c r="O28" s="1096"/>
    </row>
    <row r="29" spans="1:18" ht="15.75" customHeight="1">
      <c r="A29" s="1097" t="s">
        <v>158</v>
      </c>
      <c r="B29" s="1094" t="s">
        <v>990</v>
      </c>
      <c r="C29" s="1094" t="s">
        <v>991</v>
      </c>
      <c r="D29" s="1094" t="s">
        <v>1022</v>
      </c>
      <c r="E29" s="1101" t="s">
        <v>466</v>
      </c>
      <c r="F29" s="1102"/>
      <c r="G29" s="1102"/>
      <c r="H29" s="1102"/>
      <c r="I29" s="1102"/>
      <c r="J29" s="1102"/>
      <c r="K29" s="1102"/>
      <c r="L29" s="1103"/>
      <c r="M29" s="1094" t="s">
        <v>993</v>
      </c>
      <c r="N29" s="1094" t="s">
        <v>994</v>
      </c>
      <c r="O29" s="1094" t="s">
        <v>995</v>
      </c>
    </row>
    <row r="30" spans="1:18" ht="15.75" customHeight="1">
      <c r="A30" s="1098"/>
      <c r="B30" s="1100"/>
      <c r="C30" s="1100"/>
      <c r="D30" s="1100"/>
      <c r="E30" s="1104"/>
      <c r="F30" s="1105"/>
      <c r="G30" s="1105"/>
      <c r="H30" s="1105"/>
      <c r="I30" s="1105"/>
      <c r="J30" s="1105"/>
      <c r="K30" s="1105"/>
      <c r="L30" s="1106"/>
      <c r="M30" s="1100"/>
      <c r="N30" s="1100"/>
      <c r="O30" s="1100"/>
    </row>
    <row r="31" spans="1:18" ht="18.75" customHeight="1">
      <c r="A31" s="1098"/>
      <c r="B31" s="1100"/>
      <c r="C31" s="1100"/>
      <c r="D31" s="1100"/>
      <c r="E31" s="1094" t="s">
        <v>1001</v>
      </c>
      <c r="F31" s="1094" t="s">
        <v>1002</v>
      </c>
      <c r="G31" s="165" t="s">
        <v>1003</v>
      </c>
      <c r="H31" s="1094" t="s">
        <v>1004</v>
      </c>
      <c r="I31" s="1094" t="s">
        <v>155</v>
      </c>
      <c r="J31" s="1094" t="s">
        <v>156</v>
      </c>
      <c r="K31" s="1094" t="s">
        <v>1005</v>
      </c>
      <c r="L31" s="1094" t="s">
        <v>1006</v>
      </c>
      <c r="M31" s="1100"/>
      <c r="N31" s="1100"/>
      <c r="O31" s="1100"/>
    </row>
    <row r="32" spans="1:18" ht="18.75" customHeight="1">
      <c r="A32" s="1099"/>
      <c r="B32" s="1095"/>
      <c r="C32" s="1095"/>
      <c r="D32" s="1095"/>
      <c r="E32" s="1095"/>
      <c r="F32" s="1095"/>
      <c r="G32" s="168">
        <f>$Q$1</f>
        <v>0</v>
      </c>
      <c r="H32" s="1095"/>
      <c r="I32" s="1095"/>
      <c r="J32" s="1095"/>
      <c r="K32" s="1095"/>
      <c r="L32" s="1095"/>
      <c r="M32" s="1095"/>
      <c r="N32" s="1095"/>
      <c r="O32" s="1095"/>
    </row>
    <row r="33" spans="1:15" ht="22.5" customHeight="1">
      <c r="A33" s="16"/>
      <c r="B33" s="16" t="s">
        <v>180</v>
      </c>
      <c r="C33" s="16"/>
      <c r="D33" s="16"/>
      <c r="E33" s="185">
        <f>E$22*1.2</f>
        <v>2533840.96875</v>
      </c>
      <c r="F33" s="185">
        <f t="shared" ref="F33:K33" si="7">F$22*1.2</f>
        <v>0</v>
      </c>
      <c r="G33" s="185">
        <f>G$22*1.2</f>
        <v>0</v>
      </c>
      <c r="H33" s="185">
        <f t="shared" si="7"/>
        <v>1209.8863140000003</v>
      </c>
      <c r="I33" s="185">
        <f t="shared" si="7"/>
        <v>1010.1386880000001</v>
      </c>
      <c r="J33" s="185">
        <f t="shared" si="7"/>
        <v>9788.7129600000007</v>
      </c>
      <c r="K33" s="185">
        <f t="shared" si="7"/>
        <v>0</v>
      </c>
      <c r="L33" s="185">
        <f>SUM(E33:K33)</f>
        <v>2545849.7067120001</v>
      </c>
      <c r="M33" s="185">
        <f>L33*0.25</f>
        <v>636462.42667800002</v>
      </c>
      <c r="N33" s="185">
        <f>M33+L33</f>
        <v>3182312.1333900001</v>
      </c>
      <c r="O33" s="185">
        <f>O$22*1.2</f>
        <v>77695.3125</v>
      </c>
    </row>
    <row r="34" spans="1:15" ht="22.5" customHeight="1">
      <c r="A34" s="18">
        <v>7</v>
      </c>
      <c r="B34" s="18" t="s">
        <v>1007</v>
      </c>
      <c r="C34" s="18" t="s">
        <v>627</v>
      </c>
      <c r="D34" s="18" t="s">
        <v>1023</v>
      </c>
      <c r="E34" s="173">
        <f>E$23*1.2</f>
        <v>305068.72499999998</v>
      </c>
      <c r="F34" s="173">
        <f t="shared" ref="F34:K34" si="8">F$23*1.2</f>
        <v>0</v>
      </c>
      <c r="G34" s="173">
        <f>G$23*1.2</f>
        <v>0</v>
      </c>
      <c r="H34" s="173">
        <f t="shared" si="8"/>
        <v>195.65852400000003</v>
      </c>
      <c r="I34" s="173">
        <f t="shared" si="8"/>
        <v>4904.520192</v>
      </c>
      <c r="J34" s="173">
        <f t="shared" si="8"/>
        <v>1049.3183999999999</v>
      </c>
      <c r="K34" s="173">
        <f t="shared" si="8"/>
        <v>1141.9224959999999</v>
      </c>
      <c r="L34" s="173">
        <f>SUM(E34:K34)</f>
        <v>312360.14461200003</v>
      </c>
      <c r="M34" s="173">
        <f>L34*0.2</f>
        <v>62472.028922400008</v>
      </c>
      <c r="N34" s="173">
        <f>M34+L34</f>
        <v>374832.17353440006</v>
      </c>
      <c r="O34" s="173">
        <f>O$23*1.2</f>
        <v>10530</v>
      </c>
    </row>
    <row r="35" spans="1:15" ht="22.5" customHeight="1">
      <c r="A35" s="179"/>
      <c r="B35" s="180" t="s">
        <v>1006</v>
      </c>
      <c r="C35" s="179"/>
      <c r="D35" s="179"/>
      <c r="E35" s="189">
        <f>E33+E34</f>
        <v>2838909.6937500001</v>
      </c>
      <c r="F35" s="189"/>
      <c r="G35" s="189">
        <f t="shared" ref="G35:M35" si="9">G33+G34</f>
        <v>0</v>
      </c>
      <c r="H35" s="189">
        <f t="shared" si="9"/>
        <v>1405.5448380000003</v>
      </c>
      <c r="I35" s="189">
        <f t="shared" si="9"/>
        <v>5914.65888</v>
      </c>
      <c r="J35" s="189">
        <f t="shared" si="9"/>
        <v>10838.031360000001</v>
      </c>
      <c r="K35" s="189">
        <f t="shared" si="9"/>
        <v>1141.9224959999999</v>
      </c>
      <c r="L35" s="189">
        <f t="shared" si="9"/>
        <v>2858209.8513239999</v>
      </c>
      <c r="M35" s="189">
        <f t="shared" si="9"/>
        <v>698934.45560039999</v>
      </c>
      <c r="N35" s="189">
        <f>N33+N34</f>
        <v>3557144.3069243999</v>
      </c>
      <c r="O35" s="189">
        <f>O33+O34</f>
        <v>88225.3125</v>
      </c>
    </row>
    <row r="36" spans="1:15" ht="22.5" customHeight="1">
      <c r="A36" s="171"/>
      <c r="B36" s="171" t="s">
        <v>180</v>
      </c>
      <c r="C36" s="171"/>
      <c r="D36" s="184"/>
      <c r="E36" s="185">
        <f>E$22*1.3</f>
        <v>2744994.3828125</v>
      </c>
      <c r="F36" s="185">
        <f t="shared" ref="F36:K36" si="10">F$22*1.3</f>
        <v>0</v>
      </c>
      <c r="G36" s="185">
        <f t="shared" si="10"/>
        <v>0</v>
      </c>
      <c r="H36" s="185">
        <f t="shared" si="10"/>
        <v>1310.7101735000006</v>
      </c>
      <c r="I36" s="185">
        <f t="shared" si="10"/>
        <v>1094.3169120000002</v>
      </c>
      <c r="J36" s="185">
        <f t="shared" si="10"/>
        <v>10604.439040000001</v>
      </c>
      <c r="K36" s="185">
        <f t="shared" si="10"/>
        <v>0</v>
      </c>
      <c r="L36" s="185">
        <f>SUM(E36:K36)</f>
        <v>2758003.8489379999</v>
      </c>
      <c r="M36" s="185">
        <f>L36*0.25</f>
        <v>689500.96223449998</v>
      </c>
      <c r="N36" s="185">
        <f>M36+L36</f>
        <v>3447504.8111724998</v>
      </c>
      <c r="O36" s="185">
        <f>O$22*1.3</f>
        <v>84169.921875</v>
      </c>
    </row>
    <row r="37" spans="1:15" ht="22.5" customHeight="1">
      <c r="A37" s="18">
        <v>8</v>
      </c>
      <c r="B37" s="18" t="s">
        <v>1007</v>
      </c>
      <c r="C37" s="18" t="s">
        <v>627</v>
      </c>
      <c r="D37" s="18" t="s">
        <v>1024</v>
      </c>
      <c r="E37" s="173">
        <f>E$23*1.3</f>
        <v>330491.11875000002</v>
      </c>
      <c r="F37" s="173">
        <f t="shared" ref="F37:K37" si="11">F$23*1.3</f>
        <v>0</v>
      </c>
      <c r="G37" s="173">
        <f>G$23*1.3</f>
        <v>0</v>
      </c>
      <c r="H37" s="173">
        <f t="shared" si="11"/>
        <v>211.96340100000003</v>
      </c>
      <c r="I37" s="173">
        <f t="shared" si="11"/>
        <v>5313.2302079999999</v>
      </c>
      <c r="J37" s="173">
        <f t="shared" si="11"/>
        <v>1136.7615999999998</v>
      </c>
      <c r="K37" s="173">
        <f t="shared" si="11"/>
        <v>1237.0827040000001</v>
      </c>
      <c r="L37" s="173">
        <f>SUM(E37:K37)</f>
        <v>338390.15666300006</v>
      </c>
      <c r="M37" s="173">
        <f>L37*0.2</f>
        <v>67678.031332600018</v>
      </c>
      <c r="N37" s="173">
        <f>M37+L37</f>
        <v>406068.18799560005</v>
      </c>
      <c r="O37" s="173">
        <f>O$23*1.3</f>
        <v>11407.5</v>
      </c>
    </row>
    <row r="38" spans="1:15" ht="22.5" customHeight="1">
      <c r="A38" s="133"/>
      <c r="B38" s="186" t="s">
        <v>1006</v>
      </c>
      <c r="C38" s="133"/>
      <c r="D38" s="187"/>
      <c r="E38" s="189">
        <f>E36+E37</f>
        <v>3075485.5015624999</v>
      </c>
      <c r="F38" s="189"/>
      <c r="G38" s="189">
        <f t="shared" ref="G38:M38" si="12">G36+G37</f>
        <v>0</v>
      </c>
      <c r="H38" s="189">
        <f t="shared" si="12"/>
        <v>1522.6735745000005</v>
      </c>
      <c r="I38" s="189">
        <f t="shared" si="12"/>
        <v>6407.5471200000002</v>
      </c>
      <c r="J38" s="189">
        <f t="shared" si="12"/>
        <v>11741.200640000001</v>
      </c>
      <c r="K38" s="189">
        <f t="shared" si="12"/>
        <v>1237.0827040000001</v>
      </c>
      <c r="L38" s="189">
        <f t="shared" si="12"/>
        <v>3096394.005601</v>
      </c>
      <c r="M38" s="189">
        <f t="shared" si="12"/>
        <v>757178.99356710003</v>
      </c>
      <c r="N38" s="189">
        <f>N36+N37</f>
        <v>3853572.9991680998</v>
      </c>
      <c r="O38" s="189">
        <f>O36+O37</f>
        <v>95577.421875</v>
      </c>
    </row>
    <row r="39" spans="1:15" ht="22.5" customHeight="1">
      <c r="A39" s="16"/>
      <c r="B39" s="16" t="s">
        <v>180</v>
      </c>
      <c r="C39" s="16"/>
      <c r="D39" s="16"/>
      <c r="E39" s="185">
        <f>E$22*1.4</f>
        <v>2956147.796875</v>
      </c>
      <c r="F39" s="185">
        <f t="shared" ref="F39:K39" si="13">F$22*1.4</f>
        <v>0</v>
      </c>
      <c r="G39" s="185">
        <f t="shared" si="13"/>
        <v>0</v>
      </c>
      <c r="H39" s="185">
        <f t="shared" si="13"/>
        <v>1411.5340330000004</v>
      </c>
      <c r="I39" s="185">
        <f t="shared" si="13"/>
        <v>1178.495136</v>
      </c>
      <c r="J39" s="185">
        <f t="shared" si="13"/>
        <v>11420.165120000001</v>
      </c>
      <c r="K39" s="185">
        <f t="shared" si="13"/>
        <v>0</v>
      </c>
      <c r="L39" s="185">
        <f>SUM(E39:K39)</f>
        <v>2970157.9911640002</v>
      </c>
      <c r="M39" s="185">
        <f>L39*0.25</f>
        <v>742539.49779100006</v>
      </c>
      <c r="N39" s="185">
        <f>M39+L39</f>
        <v>3712697.4889550004</v>
      </c>
      <c r="O39" s="185">
        <f>O$22*1.4</f>
        <v>90644.53125</v>
      </c>
    </row>
    <row r="40" spans="1:15" ht="22.5" customHeight="1">
      <c r="A40" s="18">
        <v>9</v>
      </c>
      <c r="B40" s="18" t="s">
        <v>1007</v>
      </c>
      <c r="C40" s="18" t="s">
        <v>627</v>
      </c>
      <c r="D40" s="18" t="s">
        <v>1025</v>
      </c>
      <c r="E40" s="173">
        <f>E$23*1.4</f>
        <v>355913.51249999995</v>
      </c>
      <c r="F40" s="173">
        <f t="shared" ref="F40:K40" si="14">F$23*1.4</f>
        <v>0</v>
      </c>
      <c r="G40" s="173">
        <f t="shared" si="14"/>
        <v>0</v>
      </c>
      <c r="H40" s="173">
        <f t="shared" si="14"/>
        <v>228.26827800000001</v>
      </c>
      <c r="I40" s="173">
        <f t="shared" si="14"/>
        <v>5721.9402239999999</v>
      </c>
      <c r="J40" s="173">
        <f t="shared" si="14"/>
        <v>1224.2047999999998</v>
      </c>
      <c r="K40" s="173">
        <f t="shared" si="14"/>
        <v>1332.2429119999999</v>
      </c>
      <c r="L40" s="173">
        <f>SUM(E40:K40)</f>
        <v>364420.16871399997</v>
      </c>
      <c r="M40" s="173">
        <f>L40*0.2</f>
        <v>72884.033742799991</v>
      </c>
      <c r="N40" s="173">
        <f>M40+L40</f>
        <v>437304.20245679998</v>
      </c>
      <c r="O40" s="173">
        <f>O$23*1.4</f>
        <v>12285</v>
      </c>
    </row>
    <row r="41" spans="1:15" ht="22.5" customHeight="1">
      <c r="A41" s="179"/>
      <c r="B41" s="180" t="s">
        <v>1006</v>
      </c>
      <c r="C41" s="179"/>
      <c r="D41" s="179"/>
      <c r="E41" s="189">
        <f>E39+E40</f>
        <v>3312061.3093750002</v>
      </c>
      <c r="F41" s="189"/>
      <c r="G41" s="189">
        <f t="shared" ref="G41:M41" si="15">G39+G40</f>
        <v>0</v>
      </c>
      <c r="H41" s="189">
        <f t="shared" si="15"/>
        <v>1639.8023110000004</v>
      </c>
      <c r="I41" s="189">
        <f t="shared" si="15"/>
        <v>6900.4353599999995</v>
      </c>
      <c r="J41" s="189">
        <f t="shared" si="15"/>
        <v>12644.369920000001</v>
      </c>
      <c r="K41" s="189">
        <f t="shared" si="15"/>
        <v>1332.2429119999999</v>
      </c>
      <c r="L41" s="189">
        <f t="shared" si="15"/>
        <v>3334578.1598780002</v>
      </c>
      <c r="M41" s="189">
        <f t="shared" si="15"/>
        <v>815423.53153380007</v>
      </c>
      <c r="N41" s="189">
        <f>N39+N40</f>
        <v>4150001.6914118002</v>
      </c>
      <c r="O41" s="189">
        <f>O39+O40</f>
        <v>102929.53125</v>
      </c>
    </row>
    <row r="42" spans="1:15" ht="22.5" customHeight="1">
      <c r="A42" s="171"/>
      <c r="B42" s="171" t="s">
        <v>180</v>
      </c>
      <c r="C42" s="171"/>
      <c r="D42" s="171"/>
      <c r="E42" s="185">
        <f>E$22*1.6</f>
        <v>3378454.625</v>
      </c>
      <c r="F42" s="185">
        <f t="shared" ref="F42:K42" si="16">F$22*1.6</f>
        <v>0</v>
      </c>
      <c r="G42" s="185">
        <f t="shared" si="16"/>
        <v>0</v>
      </c>
      <c r="H42" s="185">
        <f t="shared" si="16"/>
        <v>1613.1817520000006</v>
      </c>
      <c r="I42" s="185">
        <f t="shared" si="16"/>
        <v>1346.8515840000002</v>
      </c>
      <c r="J42" s="185">
        <f t="shared" si="16"/>
        <v>13051.617280000002</v>
      </c>
      <c r="K42" s="185">
        <f t="shared" si="16"/>
        <v>0</v>
      </c>
      <c r="L42" s="185">
        <f>SUM(E42:K42)</f>
        <v>3394466.2756159999</v>
      </c>
      <c r="M42" s="185">
        <f>L42*0.25</f>
        <v>848616.56890399999</v>
      </c>
      <c r="N42" s="185">
        <f>M42+L42</f>
        <v>4243082.8445199998</v>
      </c>
      <c r="O42" s="185">
        <f>O$22*1.6</f>
        <v>103593.75</v>
      </c>
    </row>
    <row r="43" spans="1:15" ht="22.5" customHeight="1">
      <c r="A43" s="18">
        <v>10</v>
      </c>
      <c r="B43" s="18" t="s">
        <v>1007</v>
      </c>
      <c r="C43" s="18" t="s">
        <v>627</v>
      </c>
      <c r="D43" s="18" t="s">
        <v>1026</v>
      </c>
      <c r="E43" s="173">
        <f>E$23*1.6</f>
        <v>406758.30000000005</v>
      </c>
      <c r="F43" s="173">
        <f t="shared" ref="F43:K43" si="17">F$23*1.6</f>
        <v>0</v>
      </c>
      <c r="G43" s="173">
        <f t="shared" si="17"/>
        <v>0</v>
      </c>
      <c r="H43" s="173">
        <f t="shared" si="17"/>
        <v>260.87803200000002</v>
      </c>
      <c r="I43" s="173">
        <f t="shared" si="17"/>
        <v>6539.3602559999999</v>
      </c>
      <c r="J43" s="173">
        <f t="shared" si="17"/>
        <v>1399.0911999999998</v>
      </c>
      <c r="K43" s="173">
        <f t="shared" si="17"/>
        <v>1522.5633280000002</v>
      </c>
      <c r="L43" s="173">
        <f>SUM(E43:K43)</f>
        <v>416480.19281600008</v>
      </c>
      <c r="M43" s="173">
        <f>L43*0.2</f>
        <v>83296.038563200025</v>
      </c>
      <c r="N43" s="173">
        <f>M43+L43</f>
        <v>499776.23137920012</v>
      </c>
      <c r="O43" s="173">
        <f>O$23*1.6</f>
        <v>14040</v>
      </c>
    </row>
    <row r="44" spans="1:15" ht="22.5" customHeight="1">
      <c r="A44" s="133"/>
      <c r="B44" s="186" t="s">
        <v>1006</v>
      </c>
      <c r="C44" s="133"/>
      <c r="D44" s="133"/>
      <c r="E44" s="189">
        <f>E42+E43</f>
        <v>3785212.9249999998</v>
      </c>
      <c r="F44" s="189"/>
      <c r="G44" s="189">
        <f t="shared" ref="G44:M44" si="18">G42+G43</f>
        <v>0</v>
      </c>
      <c r="H44" s="189">
        <f t="shared" si="18"/>
        <v>1874.0597840000007</v>
      </c>
      <c r="I44" s="189">
        <f t="shared" si="18"/>
        <v>7886.2118399999999</v>
      </c>
      <c r="J44" s="189">
        <f t="shared" si="18"/>
        <v>14450.708480000001</v>
      </c>
      <c r="K44" s="189">
        <f t="shared" si="18"/>
        <v>1522.5633280000002</v>
      </c>
      <c r="L44" s="189">
        <f t="shared" si="18"/>
        <v>3810946.4684319999</v>
      </c>
      <c r="M44" s="189">
        <f t="shared" si="18"/>
        <v>931912.60746720002</v>
      </c>
      <c r="N44" s="189">
        <f>N42+N43</f>
        <v>4742859.0758991996</v>
      </c>
      <c r="O44" s="189">
        <f>O42+O43</f>
        <v>117633.75</v>
      </c>
    </row>
    <row r="45" spans="1:15" ht="22.5" customHeight="1">
      <c r="A45" s="16"/>
      <c r="B45" s="16" t="s">
        <v>180</v>
      </c>
      <c r="C45" s="16"/>
      <c r="D45" s="16"/>
      <c r="E45" s="185">
        <f>E$22*1.8</f>
        <v>3800761.453125</v>
      </c>
      <c r="F45" s="185">
        <f t="shared" ref="F45:K45" si="19">F$22*1.8</f>
        <v>0</v>
      </c>
      <c r="G45" s="185">
        <f t="shared" si="19"/>
        <v>0</v>
      </c>
      <c r="H45" s="185">
        <f t="shared" si="19"/>
        <v>1814.8294710000007</v>
      </c>
      <c r="I45" s="185">
        <f t="shared" si="19"/>
        <v>1515.2080320000002</v>
      </c>
      <c r="J45" s="185">
        <f t="shared" si="19"/>
        <v>14683.069440000001</v>
      </c>
      <c r="K45" s="185">
        <f t="shared" si="19"/>
        <v>0</v>
      </c>
      <c r="L45" s="185">
        <f>SUM(E45:K45)</f>
        <v>3818774.5600680001</v>
      </c>
      <c r="M45" s="185">
        <f>L45*0.25</f>
        <v>954693.64001700003</v>
      </c>
      <c r="N45" s="185">
        <f>M45+L45</f>
        <v>4773468.2000850001</v>
      </c>
      <c r="O45" s="185">
        <f>O$22*1.8</f>
        <v>116542.96875</v>
      </c>
    </row>
    <row r="46" spans="1:15" ht="22.5" customHeight="1">
      <c r="A46" s="18">
        <v>11</v>
      </c>
      <c r="B46" s="18" t="s">
        <v>1007</v>
      </c>
      <c r="C46" s="18" t="s">
        <v>627</v>
      </c>
      <c r="D46" s="18" t="s">
        <v>1027</v>
      </c>
      <c r="E46" s="173">
        <f>E$23*1.8</f>
        <v>457603.08750000002</v>
      </c>
      <c r="F46" s="173">
        <f t="shared" ref="F46:K46" si="20">F$23*1.8</f>
        <v>0</v>
      </c>
      <c r="G46" s="173">
        <f t="shared" si="20"/>
        <v>0</v>
      </c>
      <c r="H46" s="173">
        <f t="shared" si="20"/>
        <v>293.48778600000003</v>
      </c>
      <c r="I46" s="173">
        <f t="shared" si="20"/>
        <v>7356.7802879999999</v>
      </c>
      <c r="J46" s="173">
        <f t="shared" si="20"/>
        <v>1573.9775999999999</v>
      </c>
      <c r="K46" s="173">
        <f t="shared" si="20"/>
        <v>1712.883744</v>
      </c>
      <c r="L46" s="173">
        <f>SUM(E46:K46)</f>
        <v>468540.21691800002</v>
      </c>
      <c r="M46" s="173">
        <f>L46*0.2</f>
        <v>93708.043383600016</v>
      </c>
      <c r="N46" s="173">
        <f>M46+L46</f>
        <v>562248.26030159998</v>
      </c>
      <c r="O46" s="173">
        <f>O$23*1.8</f>
        <v>15795</v>
      </c>
    </row>
    <row r="47" spans="1:15" ht="22.5" customHeight="1">
      <c r="A47" s="133"/>
      <c r="B47" s="186" t="s">
        <v>1006</v>
      </c>
      <c r="C47" s="133"/>
      <c r="D47" s="133"/>
      <c r="E47" s="189">
        <f>E45+E46</f>
        <v>4258364.5406250004</v>
      </c>
      <c r="F47" s="189"/>
      <c r="G47" s="189">
        <f t="shared" ref="G47:M47" si="21">G45+G46</f>
        <v>0</v>
      </c>
      <c r="H47" s="189">
        <f t="shared" si="21"/>
        <v>2108.3172570000006</v>
      </c>
      <c r="I47" s="189">
        <f t="shared" si="21"/>
        <v>8871.9883200000004</v>
      </c>
      <c r="J47" s="189">
        <f t="shared" si="21"/>
        <v>16257.047040000001</v>
      </c>
      <c r="K47" s="189">
        <f t="shared" si="21"/>
        <v>1712.883744</v>
      </c>
      <c r="L47" s="189">
        <f t="shared" si="21"/>
        <v>4287314.7769860001</v>
      </c>
      <c r="M47" s="189">
        <f t="shared" si="21"/>
        <v>1048401.6834006</v>
      </c>
      <c r="N47" s="189">
        <f>N45+N46</f>
        <v>5335716.4603866003</v>
      </c>
      <c r="O47" s="189">
        <f>O45+O46</f>
        <v>132337.96875</v>
      </c>
    </row>
    <row r="48" spans="1:15" ht="12.75" customHeight="1"/>
    <row r="49" spans="1:2">
      <c r="A49" s="202"/>
      <c r="B49" s="203" t="s">
        <v>299</v>
      </c>
    </row>
    <row r="50" spans="1:2" ht="17.25" customHeight="1">
      <c r="A50" s="204"/>
      <c r="B50" s="204" t="s">
        <v>1028</v>
      </c>
    </row>
    <row r="51" spans="1:2" ht="17.25" customHeight="1">
      <c r="A51" s="204"/>
      <c r="B51" s="204" t="s">
        <v>1029</v>
      </c>
    </row>
    <row r="52" spans="1:2" ht="17.25" customHeight="1">
      <c r="A52" s="204"/>
      <c r="B52" s="204" t="s">
        <v>1030</v>
      </c>
    </row>
    <row r="53" spans="1:2" ht="22.5" customHeight="1">
      <c r="A53" s="204"/>
      <c r="B53" s="204" t="s">
        <v>1031</v>
      </c>
    </row>
  </sheetData>
  <mergeCells count="34">
    <mergeCell ref="A1:O1"/>
    <mergeCell ref="N2:O2"/>
    <mergeCell ref="A3:A6"/>
    <mergeCell ref="B3:B6"/>
    <mergeCell ref="C3:C6"/>
    <mergeCell ref="D3:D6"/>
    <mergeCell ref="E3:L4"/>
    <mergeCell ref="M3:M6"/>
    <mergeCell ref="N3:N6"/>
    <mergeCell ref="O3:O6"/>
    <mergeCell ref="J5:J6"/>
    <mergeCell ref="K5:K6"/>
    <mergeCell ref="L5:L6"/>
    <mergeCell ref="A27:O27"/>
    <mergeCell ref="E5:E6"/>
    <mergeCell ref="F5:F6"/>
    <mergeCell ref="H5:H6"/>
    <mergeCell ref="I5:I6"/>
    <mergeCell ref="N28:O28"/>
    <mergeCell ref="A29:A32"/>
    <mergeCell ref="B29:B32"/>
    <mergeCell ref="C29:C32"/>
    <mergeCell ref="D29:D32"/>
    <mergeCell ref="E29:L30"/>
    <mergeCell ref="M29:M32"/>
    <mergeCell ref="N29:N32"/>
    <mergeCell ref="O29:O32"/>
    <mergeCell ref="E31:E32"/>
    <mergeCell ref="K31:K32"/>
    <mergeCell ref="L31:L32"/>
    <mergeCell ref="F31:F32"/>
    <mergeCell ref="H31:H32"/>
    <mergeCell ref="I31:I32"/>
    <mergeCell ref="J31:J32"/>
  </mergeCells>
  <phoneticPr fontId="45" type="noConversion"/>
  <printOptions horizontalCentered="1"/>
  <pageMargins left="0.74803149606299213" right="0.74803149606299213" top="0.78740157480314965" bottom="0.78740157480314965" header="0.31496062992125984" footer="0.31496062992125984"/>
  <pageSetup paperSize="9" scale="90" firstPageNumber="49" orientation="landscape" useFirstPageNumber="1" r:id="rId1"/>
  <headerFooter alignWithMargins="0">
    <oddHeader xml:space="preserve">&amp;R&amp;"Times New Roman,Regular"&amp;12&amp;UĐơn giá sản phẩm trích đo thửa đất - Khu vực nông thôn
</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R34"/>
  <sheetViews>
    <sheetView workbookViewId="0">
      <selection activeCell="F20" sqref="F20"/>
    </sheetView>
  </sheetViews>
  <sheetFormatPr defaultRowHeight="16.5"/>
  <cols>
    <col min="1" max="1" width="6.21875" customWidth="1"/>
    <col min="2" max="2" width="23.21875" customWidth="1"/>
    <col min="3" max="3" width="8.21875" customWidth="1"/>
    <col min="4" max="4" width="5.77734375" customWidth="1"/>
    <col min="5" max="5" width="10.109375" customWidth="1"/>
    <col min="6" max="6" width="9.77734375" customWidth="1"/>
    <col min="7" max="7" width="2.88671875" customWidth="1"/>
    <col min="8" max="8" width="9.21875" customWidth="1"/>
    <col min="9" max="9" width="29.88671875" customWidth="1"/>
    <col min="10" max="10" width="9.77734375" customWidth="1"/>
    <col min="11" max="11" width="14.5546875" customWidth="1"/>
    <col min="12" max="12" width="2.77734375" style="15" customWidth="1"/>
    <col min="13" max="13" width="5.33203125" style="2" customWidth="1"/>
    <col min="14" max="14" width="19.5546875" customWidth="1"/>
    <col min="16" max="16" width="6.5546875" customWidth="1"/>
    <col min="17" max="17" width="12.33203125" customWidth="1"/>
    <col min="18" max="18" width="10.6640625" customWidth="1"/>
  </cols>
  <sheetData>
    <row r="1" spans="1:18" ht="26.25" customHeight="1">
      <c r="A1" s="1109" t="s">
        <v>144</v>
      </c>
      <c r="B1" s="1109"/>
      <c r="C1" s="1109"/>
      <c r="D1" s="1109"/>
      <c r="E1" s="1109"/>
      <c r="F1" s="1109"/>
      <c r="G1" s="65"/>
      <c r="H1" s="1110" t="s">
        <v>145</v>
      </c>
      <c r="I1" s="1110"/>
      <c r="J1" s="1110"/>
      <c r="K1" s="1110"/>
      <c r="L1" s="65"/>
      <c r="M1" s="1108" t="s">
        <v>146</v>
      </c>
      <c r="N1" s="1108"/>
      <c r="O1" s="1108"/>
      <c r="P1" s="1108"/>
      <c r="Q1" s="1108"/>
      <c r="R1" s="1108"/>
    </row>
    <row r="2" spans="1:18" ht="11.25" customHeight="1">
      <c r="A2" s="66"/>
      <c r="B2" s="66"/>
      <c r="C2" s="66"/>
      <c r="D2" s="66"/>
      <c r="E2" s="66"/>
      <c r="F2" s="66"/>
      <c r="G2" s="67"/>
      <c r="H2" s="68"/>
      <c r="I2" s="68"/>
      <c r="J2" s="68"/>
      <c r="K2" s="68"/>
      <c r="L2" s="67"/>
      <c r="M2" s="94"/>
      <c r="N2" s="69"/>
      <c r="O2" s="69"/>
      <c r="P2" s="69"/>
      <c r="Q2" s="69"/>
      <c r="R2" s="69"/>
    </row>
    <row r="3" spans="1:18">
      <c r="A3" s="70" t="s">
        <v>147</v>
      </c>
      <c r="B3" s="70" t="s">
        <v>148</v>
      </c>
      <c r="C3" s="70" t="s">
        <v>149</v>
      </c>
      <c r="D3" s="70" t="s">
        <v>895</v>
      </c>
      <c r="E3" s="71" t="s">
        <v>150</v>
      </c>
      <c r="F3" s="71" t="s">
        <v>150</v>
      </c>
      <c r="G3" s="72"/>
      <c r="H3" s="73" t="s">
        <v>147</v>
      </c>
      <c r="I3" s="73" t="s">
        <v>148</v>
      </c>
      <c r="J3" s="73" t="s">
        <v>149</v>
      </c>
      <c r="K3" s="74" t="s">
        <v>150</v>
      </c>
      <c r="L3" s="72"/>
      <c r="M3" s="75" t="s">
        <v>147</v>
      </c>
      <c r="N3" s="75" t="s">
        <v>148</v>
      </c>
      <c r="O3" s="75" t="s">
        <v>149</v>
      </c>
      <c r="P3" s="75" t="s">
        <v>895</v>
      </c>
      <c r="Q3" s="76" t="s">
        <v>150</v>
      </c>
      <c r="R3" s="76" t="s">
        <v>150</v>
      </c>
    </row>
    <row r="4" spans="1:18">
      <c r="A4" s="77" t="s">
        <v>882</v>
      </c>
      <c r="B4" s="77" t="s">
        <v>151</v>
      </c>
      <c r="C4" s="77" t="s">
        <v>152</v>
      </c>
      <c r="D4" s="77" t="s">
        <v>896</v>
      </c>
      <c r="E4" s="78" t="s">
        <v>153</v>
      </c>
      <c r="F4" s="78" t="s">
        <v>154</v>
      </c>
      <c r="G4" s="79"/>
      <c r="H4" s="80" t="s">
        <v>882</v>
      </c>
      <c r="I4" s="80" t="s">
        <v>155</v>
      </c>
      <c r="J4" s="80" t="s">
        <v>152</v>
      </c>
      <c r="K4" s="81" t="s">
        <v>153</v>
      </c>
      <c r="L4" s="79"/>
      <c r="M4" s="82" t="s">
        <v>882</v>
      </c>
      <c r="N4" s="82" t="s">
        <v>156</v>
      </c>
      <c r="O4" s="82" t="s">
        <v>152</v>
      </c>
      <c r="P4" s="82" t="s">
        <v>896</v>
      </c>
      <c r="Q4" s="83" t="s">
        <v>153</v>
      </c>
      <c r="R4" s="83" t="s">
        <v>154</v>
      </c>
    </row>
    <row r="5" spans="1:18">
      <c r="A5" s="84"/>
      <c r="B5" s="85"/>
      <c r="C5" s="84"/>
      <c r="D5" s="84"/>
      <c r="E5" s="86"/>
      <c r="F5" s="86"/>
      <c r="G5" s="87"/>
      <c r="H5" s="88"/>
      <c r="I5" s="89"/>
      <c r="J5" s="88"/>
      <c r="K5" s="90"/>
      <c r="L5" s="87"/>
      <c r="M5" s="91"/>
      <c r="N5" s="92"/>
      <c r="O5" s="91"/>
      <c r="P5" s="91" t="s">
        <v>157</v>
      </c>
      <c r="Q5" s="93"/>
      <c r="R5" s="93"/>
    </row>
    <row r="6" spans="1:18">
      <c r="A6" s="27">
        <v>1</v>
      </c>
      <c r="B6" s="26" t="s">
        <v>384</v>
      </c>
      <c r="C6" s="27" t="s">
        <v>385</v>
      </c>
      <c r="D6" s="35">
        <v>36</v>
      </c>
      <c r="E6" s="35">
        <v>230000</v>
      </c>
      <c r="F6" s="36">
        <f>E6/(D6*26)</f>
        <v>245.72649572649573</v>
      </c>
      <c r="G6" s="7"/>
      <c r="H6" s="27">
        <v>1</v>
      </c>
      <c r="I6" s="42" t="s">
        <v>97</v>
      </c>
      <c r="J6" s="43" t="s">
        <v>98</v>
      </c>
      <c r="K6" s="51">
        <v>5000</v>
      </c>
      <c r="L6" s="12"/>
      <c r="M6" s="59">
        <v>1</v>
      </c>
      <c r="N6" s="58" t="s">
        <v>129</v>
      </c>
      <c r="O6" s="59" t="s">
        <v>130</v>
      </c>
      <c r="P6" s="58">
        <v>10</v>
      </c>
      <c r="Q6" s="62">
        <v>150000000</v>
      </c>
      <c r="R6" s="62">
        <f>Q6/P6/250</f>
        <v>60000</v>
      </c>
    </row>
    <row r="7" spans="1:18">
      <c r="A7" s="29">
        <v>2</v>
      </c>
      <c r="B7" s="28" t="s">
        <v>386</v>
      </c>
      <c r="C7" s="29" t="s">
        <v>385</v>
      </c>
      <c r="D7" s="37">
        <v>60</v>
      </c>
      <c r="E7" s="37">
        <v>360000</v>
      </c>
      <c r="F7" s="36">
        <f>E7/(D7*26)</f>
        <v>230.76923076923077</v>
      </c>
      <c r="G7" s="5"/>
      <c r="H7" s="29">
        <v>2</v>
      </c>
      <c r="I7" s="44" t="s">
        <v>99</v>
      </c>
      <c r="J7" s="36" t="s">
        <v>100</v>
      </c>
      <c r="K7" s="52">
        <v>2000</v>
      </c>
      <c r="L7" s="13"/>
      <c r="M7" s="61">
        <v>2</v>
      </c>
      <c r="N7" s="60" t="s">
        <v>131</v>
      </c>
      <c r="O7" s="61" t="s">
        <v>130</v>
      </c>
      <c r="P7" s="60">
        <v>5</v>
      </c>
      <c r="Q7" s="63">
        <v>15000000</v>
      </c>
      <c r="R7" s="63">
        <f>Q7/P7/500</f>
        <v>6000</v>
      </c>
    </row>
    <row r="8" spans="1:18">
      <c r="A8" s="29">
        <v>3</v>
      </c>
      <c r="B8" s="30" t="s">
        <v>387</v>
      </c>
      <c r="C8" s="29" t="s">
        <v>385</v>
      </c>
      <c r="D8" s="37">
        <v>60</v>
      </c>
      <c r="E8" s="37">
        <v>754000</v>
      </c>
      <c r="F8" s="36">
        <f>E8/(D8*26)</f>
        <v>483.33333333333331</v>
      </c>
      <c r="G8" s="5"/>
      <c r="H8" s="29">
        <v>3</v>
      </c>
      <c r="I8" s="44" t="s">
        <v>101</v>
      </c>
      <c r="J8" s="36" t="s">
        <v>100</v>
      </c>
      <c r="K8" s="52">
        <v>2000</v>
      </c>
      <c r="L8" s="13"/>
      <c r="M8" s="61">
        <v>3</v>
      </c>
      <c r="N8" s="60" t="s">
        <v>132</v>
      </c>
      <c r="O8" s="61" t="s">
        <v>130</v>
      </c>
      <c r="P8" s="60">
        <v>10</v>
      </c>
      <c r="Q8" s="63">
        <v>17000000</v>
      </c>
      <c r="R8" s="63">
        <f>Q8/P8/250</f>
        <v>6800</v>
      </c>
    </row>
    <row r="9" spans="1:18">
      <c r="A9" s="29">
        <v>4</v>
      </c>
      <c r="B9" s="30" t="s">
        <v>388</v>
      </c>
      <c r="C9" s="29" t="s">
        <v>385</v>
      </c>
      <c r="D9" s="37">
        <v>60</v>
      </c>
      <c r="E9" s="37">
        <v>2331000</v>
      </c>
      <c r="F9" s="36">
        <f t="shared" ref="F9:F20" si="0">E9/(D9*26)</f>
        <v>1494.2307692307693</v>
      </c>
      <c r="G9" s="5"/>
      <c r="H9" s="29">
        <v>4</v>
      </c>
      <c r="I9" s="44" t="s">
        <v>102</v>
      </c>
      <c r="J9" s="36" t="s">
        <v>100</v>
      </c>
      <c r="K9" s="52">
        <v>1450000</v>
      </c>
      <c r="L9" s="13"/>
      <c r="M9" s="61">
        <v>4</v>
      </c>
      <c r="N9" s="60" t="s">
        <v>133</v>
      </c>
      <c r="O9" s="61" t="s">
        <v>130</v>
      </c>
      <c r="P9" s="60">
        <v>5</v>
      </c>
      <c r="Q9" s="63">
        <v>15000000</v>
      </c>
      <c r="R9" s="63">
        <f>Q9/P9/500</f>
        <v>6000</v>
      </c>
    </row>
    <row r="10" spans="1:18">
      <c r="A10" s="29">
        <v>5</v>
      </c>
      <c r="B10" s="30" t="s">
        <v>389</v>
      </c>
      <c r="C10" s="29" t="s">
        <v>385</v>
      </c>
      <c r="D10" s="37">
        <v>24</v>
      </c>
      <c r="E10" s="37">
        <v>15000</v>
      </c>
      <c r="F10" s="36">
        <f t="shared" si="0"/>
        <v>24.03846153846154</v>
      </c>
      <c r="G10" s="5"/>
      <c r="H10" s="29">
        <v>5</v>
      </c>
      <c r="I10" s="44" t="s">
        <v>311</v>
      </c>
      <c r="J10" s="36" t="s">
        <v>104</v>
      </c>
      <c r="K10" s="52">
        <v>300000</v>
      </c>
      <c r="L10" s="13"/>
      <c r="M10" s="61">
        <v>5</v>
      </c>
      <c r="N10" s="60" t="s">
        <v>134</v>
      </c>
      <c r="O10" s="61" t="s">
        <v>130</v>
      </c>
      <c r="P10" s="60">
        <v>10</v>
      </c>
      <c r="Q10" s="63">
        <v>105000000</v>
      </c>
      <c r="R10" s="63">
        <f>Q10/P10/500</f>
        <v>21000</v>
      </c>
    </row>
    <row r="11" spans="1:18">
      <c r="A11" s="29">
        <v>6</v>
      </c>
      <c r="B11" s="30" t="s">
        <v>390</v>
      </c>
      <c r="C11" s="29" t="s">
        <v>385</v>
      </c>
      <c r="D11" s="37">
        <v>36</v>
      </c>
      <c r="E11" s="37">
        <v>270000</v>
      </c>
      <c r="F11" s="36">
        <f t="shared" si="0"/>
        <v>288.46153846153845</v>
      </c>
      <c r="G11" s="5"/>
      <c r="H11" s="29">
        <v>6</v>
      </c>
      <c r="I11" s="44" t="s">
        <v>105</v>
      </c>
      <c r="J11" s="36" t="s">
        <v>100</v>
      </c>
      <c r="K11" s="52">
        <v>3350000</v>
      </c>
      <c r="L11" s="13"/>
      <c r="M11" s="61">
        <v>6</v>
      </c>
      <c r="N11" s="60" t="s">
        <v>135</v>
      </c>
      <c r="O11" s="61" t="s">
        <v>130</v>
      </c>
      <c r="P11" s="60">
        <v>10</v>
      </c>
      <c r="Q11" s="63">
        <v>14500000</v>
      </c>
      <c r="R11" s="63">
        <f>Q11/P11/500</f>
        <v>2900</v>
      </c>
    </row>
    <row r="12" spans="1:18">
      <c r="A12" s="29">
        <v>7</v>
      </c>
      <c r="B12" s="30" t="s">
        <v>391</v>
      </c>
      <c r="C12" s="29" t="s">
        <v>385</v>
      </c>
      <c r="D12" s="37">
        <v>12</v>
      </c>
      <c r="E12" s="37">
        <v>48000</v>
      </c>
      <c r="F12" s="36">
        <f t="shared" si="0"/>
        <v>153.84615384615384</v>
      </c>
      <c r="G12" s="5"/>
      <c r="H12" s="29">
        <v>7</v>
      </c>
      <c r="I12" s="44" t="s">
        <v>106</v>
      </c>
      <c r="J12" s="36" t="s">
        <v>107</v>
      </c>
      <c r="K12" s="52">
        <v>300</v>
      </c>
      <c r="L12" s="13"/>
      <c r="M12" s="61">
        <v>7</v>
      </c>
      <c r="N12" s="60" t="s">
        <v>136</v>
      </c>
      <c r="O12" s="61" t="s">
        <v>130</v>
      </c>
      <c r="P12" s="60">
        <v>10</v>
      </c>
      <c r="Q12" s="63">
        <v>72000000</v>
      </c>
      <c r="R12" s="63">
        <f>Q12/P12/500</f>
        <v>14400</v>
      </c>
    </row>
    <row r="13" spans="1:18">
      <c r="A13" s="29">
        <v>8</v>
      </c>
      <c r="B13" s="30" t="s">
        <v>392</v>
      </c>
      <c r="C13" s="29" t="s">
        <v>385</v>
      </c>
      <c r="D13" s="37">
        <v>12</v>
      </c>
      <c r="E13" s="37">
        <v>25000</v>
      </c>
      <c r="F13" s="36">
        <f t="shared" si="0"/>
        <v>80.128205128205124</v>
      </c>
      <c r="G13" s="5"/>
      <c r="H13" s="29">
        <v>8</v>
      </c>
      <c r="I13" s="44" t="s">
        <v>320</v>
      </c>
      <c r="J13" s="36" t="s">
        <v>108</v>
      </c>
      <c r="K13" s="52">
        <v>7000</v>
      </c>
      <c r="L13" s="13"/>
      <c r="M13" s="61">
        <v>8</v>
      </c>
      <c r="N13" s="60" t="s">
        <v>137</v>
      </c>
      <c r="O13" s="61" t="s">
        <v>533</v>
      </c>
      <c r="P13" s="60">
        <v>10</v>
      </c>
      <c r="Q13" s="63">
        <v>6000000</v>
      </c>
      <c r="R13" s="63">
        <f>Q13/P13/500</f>
        <v>1200</v>
      </c>
    </row>
    <row r="14" spans="1:18">
      <c r="A14" s="29">
        <v>9</v>
      </c>
      <c r="B14" s="30" t="s">
        <v>393</v>
      </c>
      <c r="C14" s="29" t="s">
        <v>385</v>
      </c>
      <c r="D14" s="37">
        <v>12</v>
      </c>
      <c r="E14" s="37">
        <v>35000</v>
      </c>
      <c r="F14" s="36">
        <f t="shared" si="0"/>
        <v>112.17948717948718</v>
      </c>
      <c r="G14" s="5"/>
      <c r="H14" s="29">
        <v>9</v>
      </c>
      <c r="I14" s="44" t="s">
        <v>318</v>
      </c>
      <c r="J14" s="36" t="s">
        <v>107</v>
      </c>
      <c r="K14" s="52">
        <v>300</v>
      </c>
      <c r="L14" s="13"/>
      <c r="M14" s="61">
        <v>9</v>
      </c>
      <c r="N14" s="60" t="s">
        <v>534</v>
      </c>
      <c r="O14" s="61" t="s">
        <v>898</v>
      </c>
      <c r="P14" s="60"/>
      <c r="Q14" s="63">
        <v>1554</v>
      </c>
      <c r="R14" s="63">
        <v>1554</v>
      </c>
    </row>
    <row r="15" spans="1:18">
      <c r="A15" s="29">
        <v>10</v>
      </c>
      <c r="B15" s="30" t="s">
        <v>394</v>
      </c>
      <c r="C15" s="29" t="s">
        <v>385</v>
      </c>
      <c r="D15" s="37">
        <v>9</v>
      </c>
      <c r="E15" s="37">
        <v>15000</v>
      </c>
      <c r="F15" s="36">
        <f t="shared" si="0"/>
        <v>64.102564102564102</v>
      </c>
      <c r="G15" s="5"/>
      <c r="H15" s="29">
        <v>10</v>
      </c>
      <c r="I15" s="44" t="s">
        <v>109</v>
      </c>
      <c r="J15" s="36" t="s">
        <v>110</v>
      </c>
      <c r="K15" s="52">
        <v>45000</v>
      </c>
      <c r="L15" s="13"/>
      <c r="M15" s="61">
        <v>10</v>
      </c>
      <c r="N15" s="60" t="s">
        <v>129</v>
      </c>
      <c r="O15" s="61" t="s">
        <v>130</v>
      </c>
      <c r="P15" s="60">
        <v>10</v>
      </c>
      <c r="Q15" s="63">
        <v>150000000</v>
      </c>
      <c r="R15" s="63">
        <f>Q15/P15/250</f>
        <v>60000</v>
      </c>
    </row>
    <row r="16" spans="1:18">
      <c r="A16" s="29">
        <v>11</v>
      </c>
      <c r="B16" s="30" t="s">
        <v>395</v>
      </c>
      <c r="C16" s="29" t="s">
        <v>385</v>
      </c>
      <c r="D16" s="37">
        <v>12</v>
      </c>
      <c r="E16" s="37">
        <v>100000</v>
      </c>
      <c r="F16" s="36">
        <f t="shared" si="0"/>
        <v>320.5128205128205</v>
      </c>
      <c r="G16" s="5"/>
      <c r="H16" s="29">
        <v>11</v>
      </c>
      <c r="I16" s="44" t="s">
        <v>111</v>
      </c>
      <c r="J16" s="36" t="s">
        <v>110</v>
      </c>
      <c r="K16" s="52">
        <v>90000</v>
      </c>
      <c r="L16" s="13"/>
      <c r="M16" s="61">
        <v>11</v>
      </c>
      <c r="N16" s="60" t="s">
        <v>138</v>
      </c>
      <c r="O16" s="61" t="s">
        <v>385</v>
      </c>
      <c r="P16" s="60">
        <v>10</v>
      </c>
      <c r="Q16" s="63">
        <v>900000000</v>
      </c>
      <c r="R16" s="63">
        <f>Q16/P16/250</f>
        <v>360000</v>
      </c>
    </row>
    <row r="17" spans="1:18">
      <c r="A17" s="29">
        <v>12</v>
      </c>
      <c r="B17" s="30" t="s">
        <v>396</v>
      </c>
      <c r="C17" s="29" t="s">
        <v>529</v>
      </c>
      <c r="D17" s="37">
        <v>6</v>
      </c>
      <c r="E17" s="37">
        <v>18000</v>
      </c>
      <c r="F17" s="36">
        <f t="shared" si="0"/>
        <v>115.38461538461539</v>
      </c>
      <c r="G17" s="5"/>
      <c r="H17" s="29">
        <v>12</v>
      </c>
      <c r="I17" s="44" t="s">
        <v>112</v>
      </c>
      <c r="J17" s="36" t="s">
        <v>113</v>
      </c>
      <c r="K17" s="52">
        <v>25000</v>
      </c>
      <c r="L17" s="13"/>
      <c r="M17" s="61">
        <v>12</v>
      </c>
      <c r="N17" s="60" t="s">
        <v>139</v>
      </c>
      <c r="O17" s="61" t="s">
        <v>533</v>
      </c>
      <c r="P17" s="60">
        <v>10</v>
      </c>
      <c r="Q17" s="63">
        <v>300000000</v>
      </c>
      <c r="R17" s="63">
        <f>Q17/P17/250</f>
        <v>120000</v>
      </c>
    </row>
    <row r="18" spans="1:18">
      <c r="A18" s="29">
        <v>13</v>
      </c>
      <c r="B18" s="31" t="s">
        <v>530</v>
      </c>
      <c r="C18" s="29" t="s">
        <v>385</v>
      </c>
      <c r="D18" s="38">
        <v>12</v>
      </c>
      <c r="E18" s="38">
        <v>25000</v>
      </c>
      <c r="F18" s="39">
        <f t="shared" si="0"/>
        <v>80.128205128205124</v>
      </c>
      <c r="G18" s="6"/>
      <c r="H18" s="29">
        <v>13</v>
      </c>
      <c r="I18" s="45" t="s">
        <v>114</v>
      </c>
      <c r="J18" s="39" t="s">
        <v>98</v>
      </c>
      <c r="K18" s="53">
        <v>2500</v>
      </c>
      <c r="L18" s="14"/>
      <c r="M18" s="61">
        <v>13</v>
      </c>
      <c r="N18" s="60" t="s">
        <v>140</v>
      </c>
      <c r="O18" s="61" t="s">
        <v>533</v>
      </c>
      <c r="P18" s="60">
        <v>5</v>
      </c>
      <c r="Q18" s="63">
        <v>13500000</v>
      </c>
      <c r="R18" s="63">
        <f>Q18/P18/250</f>
        <v>10800</v>
      </c>
    </row>
    <row r="19" spans="1:18">
      <c r="A19" s="29">
        <v>14</v>
      </c>
      <c r="B19" s="31" t="s">
        <v>531</v>
      </c>
      <c r="C19" s="29" t="s">
        <v>385</v>
      </c>
      <c r="D19" s="38">
        <v>36</v>
      </c>
      <c r="E19" s="38">
        <v>870000</v>
      </c>
      <c r="F19" s="39">
        <f t="shared" si="0"/>
        <v>929.48717948717945</v>
      </c>
      <c r="G19" s="6"/>
      <c r="H19" s="29">
        <v>14</v>
      </c>
      <c r="I19" s="45" t="s">
        <v>115</v>
      </c>
      <c r="J19" s="39" t="s">
        <v>98</v>
      </c>
      <c r="K19" s="53">
        <v>18000</v>
      </c>
      <c r="L19" s="14"/>
      <c r="M19" s="61">
        <v>14</v>
      </c>
      <c r="N19" s="60" t="s">
        <v>141</v>
      </c>
      <c r="O19" s="61" t="s">
        <v>385</v>
      </c>
      <c r="P19" s="60">
        <v>10</v>
      </c>
      <c r="Q19" s="63">
        <v>24800000</v>
      </c>
      <c r="R19" s="64">
        <f>Q19/P19/500</f>
        <v>4960</v>
      </c>
    </row>
    <row r="20" spans="1:18">
      <c r="A20" s="29">
        <v>15</v>
      </c>
      <c r="B20" s="31" t="s">
        <v>532</v>
      </c>
      <c r="C20" s="32" t="s">
        <v>533</v>
      </c>
      <c r="D20" s="38">
        <v>30</v>
      </c>
      <c r="E20" s="38">
        <v>65000</v>
      </c>
      <c r="F20" s="39">
        <f t="shared" si="0"/>
        <v>83.333333333333329</v>
      </c>
      <c r="G20" s="6"/>
      <c r="H20" s="29">
        <v>15</v>
      </c>
      <c r="I20" s="45" t="s">
        <v>116</v>
      </c>
      <c r="J20" s="39" t="s">
        <v>98</v>
      </c>
      <c r="K20" s="53">
        <v>15000</v>
      </c>
      <c r="L20" s="14"/>
      <c r="M20" s="61">
        <v>15</v>
      </c>
      <c r="N20" s="60" t="s">
        <v>142</v>
      </c>
      <c r="O20" s="61" t="s">
        <v>385</v>
      </c>
      <c r="P20" s="60">
        <v>10</v>
      </c>
      <c r="Q20" s="63">
        <v>25500000</v>
      </c>
      <c r="R20" s="64">
        <f>Q20/P20/500</f>
        <v>5100</v>
      </c>
    </row>
    <row r="21" spans="1:18">
      <c r="A21" s="29">
        <v>16</v>
      </c>
      <c r="B21" s="31" t="s">
        <v>534</v>
      </c>
      <c r="C21" s="32" t="s">
        <v>898</v>
      </c>
      <c r="D21" s="38"/>
      <c r="E21" s="38">
        <v>1554</v>
      </c>
      <c r="F21" s="39">
        <f>E21</f>
        <v>1554</v>
      </c>
      <c r="G21" s="6"/>
      <c r="H21" s="29">
        <v>16</v>
      </c>
      <c r="I21" s="45" t="s">
        <v>117</v>
      </c>
      <c r="J21" s="39" t="s">
        <v>118</v>
      </c>
      <c r="K21" s="53">
        <v>1000</v>
      </c>
      <c r="L21" s="14"/>
      <c r="M21" s="61">
        <v>16</v>
      </c>
      <c r="N21" s="60" t="s">
        <v>143</v>
      </c>
      <c r="O21" s="61" t="s">
        <v>385</v>
      </c>
      <c r="P21" s="60">
        <v>10</v>
      </c>
      <c r="Q21" s="63">
        <v>5800000</v>
      </c>
      <c r="R21" s="64">
        <f>Q21/P21/500</f>
        <v>1160</v>
      </c>
    </row>
    <row r="22" spans="1:18">
      <c r="A22" s="34">
        <v>17</v>
      </c>
      <c r="B22" s="33" t="s">
        <v>61</v>
      </c>
      <c r="C22" s="34" t="s">
        <v>385</v>
      </c>
      <c r="D22" s="34">
        <v>48</v>
      </c>
      <c r="E22" s="40">
        <v>150000</v>
      </c>
      <c r="F22" s="39">
        <f>E22/(D22*26)</f>
        <v>120.19230769230769</v>
      </c>
      <c r="G22" s="9"/>
      <c r="H22" s="29">
        <v>17</v>
      </c>
      <c r="I22" s="45" t="s">
        <v>119</v>
      </c>
      <c r="J22" s="46" t="s">
        <v>120</v>
      </c>
      <c r="K22" s="54">
        <v>10000</v>
      </c>
      <c r="L22" s="10"/>
      <c r="M22" s="61">
        <v>17</v>
      </c>
      <c r="N22" s="60" t="s">
        <v>334</v>
      </c>
      <c r="O22" s="61" t="s">
        <v>385</v>
      </c>
      <c r="P22" s="60">
        <v>10</v>
      </c>
      <c r="Q22" s="63">
        <v>28500000</v>
      </c>
      <c r="R22" s="60">
        <f>Q22/P22/500</f>
        <v>5700</v>
      </c>
    </row>
    <row r="23" spans="1:18">
      <c r="A23" s="34">
        <v>18</v>
      </c>
      <c r="B23" s="33" t="s">
        <v>62</v>
      </c>
      <c r="C23" s="34" t="s">
        <v>385</v>
      </c>
      <c r="D23" s="34">
        <v>24</v>
      </c>
      <c r="E23" s="40">
        <v>50000</v>
      </c>
      <c r="F23" s="39">
        <f>E23/(D23*26)</f>
        <v>80.128205128205124</v>
      </c>
      <c r="G23" s="9"/>
      <c r="H23" s="29">
        <v>18</v>
      </c>
      <c r="I23" s="45" t="s">
        <v>121</v>
      </c>
      <c r="J23" s="46" t="s">
        <v>107</v>
      </c>
      <c r="K23" s="54">
        <v>1500</v>
      </c>
      <c r="L23" s="10"/>
      <c r="M23" s="61"/>
      <c r="N23" s="60"/>
      <c r="O23" s="60"/>
      <c r="P23" s="60"/>
      <c r="Q23" s="60"/>
      <c r="R23" s="60"/>
    </row>
    <row r="24" spans="1:18">
      <c r="A24" s="34">
        <v>19</v>
      </c>
      <c r="B24" s="33" t="s">
        <v>819</v>
      </c>
      <c r="C24" s="34" t="s">
        <v>820</v>
      </c>
      <c r="D24" s="34">
        <v>48</v>
      </c>
      <c r="E24" s="40">
        <v>25000</v>
      </c>
      <c r="F24" s="39">
        <f>E24/(D24*26)</f>
        <v>20.032051282051281</v>
      </c>
      <c r="G24" s="9"/>
      <c r="H24" s="29">
        <v>19</v>
      </c>
      <c r="I24" s="45" t="s">
        <v>122</v>
      </c>
      <c r="J24" s="46" t="s">
        <v>100</v>
      </c>
      <c r="K24" s="54">
        <v>2400000</v>
      </c>
      <c r="L24" s="10"/>
      <c r="M24" s="61"/>
      <c r="N24" s="60"/>
      <c r="O24" s="60"/>
      <c r="P24" s="60"/>
      <c r="Q24" s="60"/>
      <c r="R24" s="60"/>
    </row>
    <row r="25" spans="1:18">
      <c r="A25" s="34">
        <v>20</v>
      </c>
      <c r="B25" s="33" t="s">
        <v>63</v>
      </c>
      <c r="C25" s="34" t="s">
        <v>820</v>
      </c>
      <c r="D25" s="34">
        <v>48</v>
      </c>
      <c r="E25" s="40">
        <v>25000</v>
      </c>
      <c r="F25" s="39">
        <f>E25/(D25*26)</f>
        <v>20.032051282051281</v>
      </c>
      <c r="G25" s="9"/>
      <c r="H25" s="29">
        <v>20</v>
      </c>
      <c r="I25" s="45" t="s">
        <v>123</v>
      </c>
      <c r="J25" s="46" t="s">
        <v>124</v>
      </c>
      <c r="K25" s="54">
        <v>4500</v>
      </c>
      <c r="L25" s="10"/>
      <c r="M25" s="61"/>
      <c r="N25" s="60"/>
      <c r="O25" s="60"/>
      <c r="P25" s="60"/>
      <c r="Q25" s="60"/>
      <c r="R25" s="60"/>
    </row>
    <row r="26" spans="1:18">
      <c r="A26" s="34"/>
      <c r="B26" s="33"/>
      <c r="C26" s="34"/>
      <c r="D26" s="34"/>
      <c r="E26" s="40"/>
      <c r="F26" s="41"/>
      <c r="G26" s="9"/>
      <c r="H26" s="55">
        <v>21</v>
      </c>
      <c r="I26" s="47" t="s">
        <v>125</v>
      </c>
      <c r="J26" s="46" t="s">
        <v>107</v>
      </c>
      <c r="K26" s="54">
        <v>300</v>
      </c>
      <c r="L26" s="10"/>
      <c r="M26" s="61"/>
      <c r="N26" s="60"/>
      <c r="O26" s="60"/>
      <c r="P26" s="60"/>
      <c r="Q26" s="60"/>
      <c r="R26" s="60"/>
    </row>
    <row r="27" spans="1:18">
      <c r="A27" s="3"/>
      <c r="B27" s="4"/>
      <c r="C27" s="3"/>
      <c r="D27" s="3"/>
      <c r="E27" s="8"/>
      <c r="F27" s="9"/>
      <c r="G27" s="9"/>
      <c r="H27" s="55">
        <v>22</v>
      </c>
      <c r="I27" s="47" t="s">
        <v>126</v>
      </c>
      <c r="J27" s="46" t="s">
        <v>120</v>
      </c>
      <c r="K27" s="54">
        <v>10000</v>
      </c>
      <c r="L27" s="10"/>
      <c r="M27" s="61"/>
      <c r="N27" s="60"/>
      <c r="O27" s="60"/>
      <c r="P27" s="60"/>
      <c r="Q27" s="60"/>
      <c r="R27" s="60"/>
    </row>
    <row r="28" spans="1:18">
      <c r="A28" s="3"/>
      <c r="B28" s="4"/>
      <c r="C28" s="3"/>
      <c r="D28" s="3"/>
      <c r="E28" s="8"/>
      <c r="F28" s="9"/>
      <c r="G28" s="9"/>
      <c r="H28" s="55">
        <v>23</v>
      </c>
      <c r="I28" s="47" t="s">
        <v>127</v>
      </c>
      <c r="J28" s="46" t="s">
        <v>98</v>
      </c>
      <c r="K28" s="54">
        <v>3000</v>
      </c>
      <c r="L28" s="10"/>
      <c r="M28" s="61"/>
      <c r="N28" s="60"/>
      <c r="O28" s="60"/>
      <c r="P28" s="60"/>
      <c r="Q28" s="60"/>
      <c r="R28" s="60"/>
    </row>
    <row r="29" spans="1:18">
      <c r="H29" s="56">
        <v>24</v>
      </c>
      <c r="I29" s="48" t="s">
        <v>128</v>
      </c>
      <c r="J29" s="49" t="s">
        <v>100</v>
      </c>
      <c r="K29" s="57">
        <v>1250000</v>
      </c>
      <c r="M29" s="95"/>
      <c r="N29" s="50"/>
      <c r="O29" s="50"/>
      <c r="P29" s="50"/>
      <c r="Q29" s="50"/>
      <c r="R29" s="50"/>
    </row>
    <row r="30" spans="1:18">
      <c r="H30" s="50"/>
      <c r="I30" s="48" t="s">
        <v>925</v>
      </c>
      <c r="J30" s="46" t="s">
        <v>98</v>
      </c>
      <c r="K30" s="57">
        <v>150000</v>
      </c>
      <c r="M30" s="95"/>
      <c r="N30" s="50"/>
      <c r="O30" s="50"/>
      <c r="P30" s="50"/>
      <c r="Q30" s="50"/>
      <c r="R30" s="50"/>
    </row>
    <row r="31" spans="1:18">
      <c r="H31" s="50"/>
      <c r="I31" s="50"/>
      <c r="J31" s="50"/>
      <c r="K31" s="50"/>
      <c r="M31" s="95"/>
      <c r="N31" s="50"/>
      <c r="O31" s="50"/>
      <c r="P31" s="50"/>
      <c r="Q31" s="50"/>
      <c r="R31" s="50"/>
    </row>
    <row r="32" spans="1:18">
      <c r="H32" s="50"/>
      <c r="I32" s="50"/>
      <c r="J32" s="50"/>
      <c r="K32" s="50"/>
      <c r="M32" s="95"/>
      <c r="N32" s="50"/>
      <c r="O32" s="50"/>
      <c r="P32" s="50"/>
      <c r="Q32" s="50"/>
      <c r="R32" s="50"/>
    </row>
    <row r="33" spans="8:18">
      <c r="H33" s="50"/>
      <c r="I33" s="50"/>
      <c r="J33" s="50"/>
      <c r="K33" s="50"/>
      <c r="M33" s="95"/>
      <c r="N33" s="50"/>
      <c r="O33" s="50"/>
      <c r="P33" s="50"/>
      <c r="Q33" s="50"/>
      <c r="R33" s="50"/>
    </row>
    <row r="34" spans="8:18">
      <c r="H34" s="50"/>
      <c r="I34" s="50"/>
      <c r="J34" s="50"/>
      <c r="K34" s="50"/>
    </row>
  </sheetData>
  <mergeCells count="3">
    <mergeCell ref="M1:R1"/>
    <mergeCell ref="A1:F1"/>
    <mergeCell ref="H1:K1"/>
  </mergeCells>
  <phoneticPr fontId="5" type="noConversion"/>
  <printOptions horizontalCentered="1"/>
  <pageMargins left="1.1417322834645669" right="0.9448818897637796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2:U788"/>
  <sheetViews>
    <sheetView showZeros="0" tabSelected="1" zoomScale="75" zoomScaleNormal="85" workbookViewId="0">
      <selection activeCell="I217" sqref="I217"/>
    </sheetView>
  </sheetViews>
  <sheetFormatPr defaultRowHeight="16.5"/>
  <cols>
    <col min="1" max="1" width="6.109375" style="359" customWidth="1"/>
    <col min="2" max="2" width="41.5546875" style="969" customWidth="1"/>
    <col min="3" max="3" width="7.5546875" style="360" customWidth="1"/>
    <col min="4" max="4" width="5.77734375" style="361" customWidth="1"/>
    <col min="5" max="5" width="8.77734375" style="336" customWidth="1"/>
    <col min="6" max="6" width="8.33203125" style="336" customWidth="1"/>
    <col min="7" max="7" width="6.5546875" style="362" hidden="1" customWidth="1"/>
    <col min="8" max="8" width="7.44140625" style="336" customWidth="1"/>
    <col min="9" max="9" width="8.6640625" style="336" customWidth="1"/>
    <col min="10" max="10" width="7.6640625" style="336" customWidth="1"/>
    <col min="11" max="11" width="8.21875" style="336" customWidth="1"/>
    <col min="12" max="12" width="8.88671875" style="336"/>
    <col min="13" max="13" width="8.44140625" style="336" customWidth="1"/>
    <col min="14" max="14" width="9.6640625" style="336" customWidth="1"/>
    <col min="15" max="15" width="11.33203125" style="336" customWidth="1"/>
    <col min="16" max="16" width="8.77734375" style="336" customWidth="1"/>
    <col min="17" max="17" width="11.44140625" style="67" hidden="1" customWidth="1"/>
    <col min="18" max="18" width="7.109375" style="67" hidden="1" customWidth="1"/>
    <col min="19" max="19" width="10.77734375" style="67" hidden="1" customWidth="1"/>
    <col min="20" max="20" width="8.88671875" style="15" hidden="1" customWidth="1"/>
    <col min="21" max="21" width="9.21875" style="15" hidden="1" customWidth="1"/>
    <col min="22" max="16384" width="8.88671875" style="15"/>
  </cols>
  <sheetData>
    <row r="2" spans="1:21" ht="21.75" customHeight="1">
      <c r="A2" s="1114" t="s">
        <v>874</v>
      </c>
      <c r="B2" s="1114"/>
      <c r="C2" s="1114"/>
      <c r="D2" s="1114"/>
      <c r="E2" s="1114"/>
      <c r="F2" s="1114"/>
      <c r="G2" s="1114"/>
      <c r="H2" s="1114"/>
      <c r="I2" s="1114"/>
      <c r="J2" s="1114"/>
      <c r="K2" s="1114"/>
      <c r="L2" s="1114"/>
      <c r="M2" s="1114"/>
      <c r="N2" s="1114"/>
      <c r="O2" s="1114"/>
      <c r="P2" s="1114"/>
      <c r="Q2" s="334" t="s">
        <v>790</v>
      </c>
      <c r="R2" s="335">
        <v>0</v>
      </c>
    </row>
    <row r="3" spans="1:21" ht="18.75" customHeight="1">
      <c r="A3" s="1113" t="s">
        <v>960</v>
      </c>
      <c r="B3" s="1113"/>
      <c r="C3" s="1113"/>
      <c r="D3" s="1113"/>
      <c r="E3" s="1113"/>
      <c r="F3" s="1113"/>
      <c r="G3" s="1113"/>
      <c r="H3" s="1113"/>
      <c r="I3" s="1113"/>
      <c r="J3" s="1113"/>
      <c r="K3" s="1113"/>
      <c r="L3" s="1113"/>
      <c r="M3" s="1113"/>
      <c r="N3" s="1113"/>
      <c r="O3" s="1113"/>
      <c r="P3" s="1113"/>
    </row>
    <row r="4" spans="1:21" ht="13.9" customHeight="1">
      <c r="A4" s="1029"/>
      <c r="B4" s="1029"/>
      <c r="C4" s="1029"/>
      <c r="D4" s="1029"/>
      <c r="E4" s="1029"/>
      <c r="F4" s="1029"/>
      <c r="G4" s="1029"/>
      <c r="H4" s="1029"/>
      <c r="I4" s="1029"/>
      <c r="J4" s="1029"/>
      <c r="K4" s="1029"/>
      <c r="L4" s="1029"/>
      <c r="M4" s="1029"/>
      <c r="N4" s="1029"/>
      <c r="O4" s="1029"/>
      <c r="P4" s="1029"/>
    </row>
    <row r="5" spans="1:21" ht="24.6" hidden="1" customHeight="1">
      <c r="A5" s="1136" t="s">
        <v>874</v>
      </c>
      <c r="B5" s="1136"/>
      <c r="C5" s="1136"/>
      <c r="D5" s="1136"/>
      <c r="E5" s="1136"/>
      <c r="F5" s="1136"/>
      <c r="G5" s="1136"/>
      <c r="H5" s="1136"/>
      <c r="I5" s="1136"/>
      <c r="J5" s="1136"/>
      <c r="K5" s="1136"/>
      <c r="L5" s="1136"/>
      <c r="M5" s="1136"/>
      <c r="N5" s="1136"/>
      <c r="O5" s="1136"/>
      <c r="P5" s="1136"/>
    </row>
    <row r="6" spans="1:21" s="345" customFormat="1" ht="16.149999999999999" customHeight="1">
      <c r="A6" s="337"/>
      <c r="B6" s="834"/>
      <c r="C6" s="338"/>
      <c r="D6" s="339" t="s">
        <v>576</v>
      </c>
      <c r="E6" s="340"/>
      <c r="F6" s="341"/>
      <c r="G6" s="342"/>
      <c r="H6" s="341"/>
      <c r="I6" s="343"/>
      <c r="J6" s="341"/>
      <c r="K6" s="341"/>
      <c r="L6" s="344"/>
      <c r="M6" s="988"/>
      <c r="N6" s="990" t="s">
        <v>980</v>
      </c>
      <c r="O6" s="990"/>
      <c r="P6" s="340"/>
      <c r="Q6" s="332"/>
      <c r="R6" s="332"/>
      <c r="S6" s="332"/>
    </row>
    <row r="7" spans="1:21" s="345" customFormat="1" ht="7.5" hidden="1" customHeight="1">
      <c r="A7" s="337"/>
      <c r="B7" s="834"/>
      <c r="C7" s="338"/>
      <c r="D7" s="346"/>
      <c r="E7" s="340"/>
      <c r="F7" s="340"/>
      <c r="G7" s="347"/>
      <c r="H7" s="340"/>
      <c r="I7" s="340"/>
      <c r="J7" s="340"/>
      <c r="K7" s="340"/>
      <c r="L7" s="340"/>
      <c r="M7" s="340"/>
      <c r="N7" s="340"/>
      <c r="O7" s="340"/>
      <c r="P7" s="340"/>
      <c r="Q7" s="332"/>
      <c r="R7" s="332"/>
      <c r="S7" s="332"/>
    </row>
    <row r="8" spans="1:21" s="992" customFormat="1" ht="23.25" customHeight="1">
      <c r="A8" s="1115" t="s">
        <v>876</v>
      </c>
      <c r="B8" s="1115" t="s">
        <v>381</v>
      </c>
      <c r="C8" s="1111" t="s">
        <v>981</v>
      </c>
      <c r="D8" s="1111" t="s">
        <v>982</v>
      </c>
      <c r="E8" s="1111" t="s">
        <v>466</v>
      </c>
      <c r="F8" s="1111"/>
      <c r="G8" s="1111"/>
      <c r="H8" s="1111"/>
      <c r="I8" s="1111"/>
      <c r="J8" s="1111"/>
      <c r="K8" s="1111"/>
      <c r="L8" s="1111"/>
      <c r="M8" s="1111" t="s">
        <v>581</v>
      </c>
      <c r="N8" s="1111" t="s">
        <v>467</v>
      </c>
      <c r="O8" s="1119" t="s">
        <v>657</v>
      </c>
      <c r="P8" s="1111" t="s">
        <v>468</v>
      </c>
      <c r="Q8" s="1003"/>
      <c r="R8" s="1003"/>
      <c r="S8" s="982"/>
      <c r="T8" s="1111" t="s">
        <v>535</v>
      </c>
      <c r="U8" s="1119" t="s">
        <v>657</v>
      </c>
    </row>
    <row r="9" spans="1:21" s="992" customFormat="1" ht="42" customHeight="1">
      <c r="A9" s="1115"/>
      <c r="B9" s="1115"/>
      <c r="C9" s="1111"/>
      <c r="D9" s="1111"/>
      <c r="E9" s="825" t="s">
        <v>469</v>
      </c>
      <c r="F9" s="825" t="s">
        <v>470</v>
      </c>
      <c r="G9" s="852" t="s">
        <v>1003</v>
      </c>
      <c r="H9" s="825" t="s">
        <v>59</v>
      </c>
      <c r="I9" s="825" t="s">
        <v>527</v>
      </c>
      <c r="J9" s="825" t="s">
        <v>280</v>
      </c>
      <c r="K9" s="825" t="s">
        <v>472</v>
      </c>
      <c r="L9" s="825" t="s">
        <v>473</v>
      </c>
      <c r="M9" s="1111"/>
      <c r="N9" s="1111"/>
      <c r="O9" s="1120"/>
      <c r="P9" s="1111"/>
      <c r="Q9" s="1003"/>
      <c r="R9" s="1003"/>
      <c r="S9" s="982"/>
      <c r="T9" s="1111"/>
      <c r="U9" s="1120"/>
    </row>
    <row r="10" spans="1:21" s="841" customFormat="1" ht="47.25" customHeight="1">
      <c r="A10" s="831"/>
      <c r="B10" s="838" t="s">
        <v>671</v>
      </c>
      <c r="C10" s="382"/>
      <c r="D10" s="382"/>
      <c r="E10" s="382"/>
      <c r="F10" s="382"/>
      <c r="G10" s="837"/>
      <c r="H10" s="382"/>
      <c r="I10" s="382"/>
      <c r="J10" s="382"/>
      <c r="K10" s="382"/>
      <c r="L10" s="382"/>
      <c r="M10" s="382"/>
      <c r="N10" s="382"/>
      <c r="O10" s="820"/>
      <c r="P10" s="382"/>
      <c r="Q10" s="839"/>
      <c r="R10" s="839"/>
      <c r="S10" s="840"/>
    </row>
    <row r="11" spans="1:21" s="841" customFormat="1" ht="24.75" customHeight="1">
      <c r="A11" s="1112"/>
      <c r="B11" s="1121" t="s">
        <v>451</v>
      </c>
      <c r="C11" s="1111" t="s">
        <v>281</v>
      </c>
      <c r="D11" s="825">
        <v>1</v>
      </c>
      <c r="E11" s="842" t="e">
        <f>E18+E48+E82</f>
        <v>#VALUE!</v>
      </c>
      <c r="F11" s="842">
        <f t="shared" ref="F11:L11" si="0">F18+F48+F82</f>
        <v>16718.875</v>
      </c>
      <c r="G11" s="842">
        <f t="shared" si="0"/>
        <v>0</v>
      </c>
      <c r="H11" s="843">
        <f>H18+H48+H82</f>
        <v>0.73967522519030449</v>
      </c>
      <c r="I11" s="843">
        <f t="shared" si="0"/>
        <v>4.1197274999999998</v>
      </c>
      <c r="J11" s="843">
        <f t="shared" si="0"/>
        <v>0.41727249999999999</v>
      </c>
      <c r="K11" s="843">
        <f t="shared" si="0"/>
        <v>0.80866274999999999</v>
      </c>
      <c r="L11" s="844" t="e">
        <f t="shared" si="0"/>
        <v>#VALUE!</v>
      </c>
      <c r="M11" s="844" t="e">
        <f>M18+M48+M82</f>
        <v>#VALUE!</v>
      </c>
      <c r="N11" s="844" t="e">
        <f>N18+N48+N82</f>
        <v>#VALUE!</v>
      </c>
      <c r="O11" s="844">
        <v>2348.2999999999884</v>
      </c>
      <c r="P11" s="844">
        <f>P18+P48+P82</f>
        <v>9903.7834134615387</v>
      </c>
      <c r="Q11" s="839"/>
      <c r="R11" s="839"/>
      <c r="S11" s="840"/>
      <c r="T11" s="845">
        <f>'[1]1,DG-capmoi'!N9</f>
        <v>358528.19885806245</v>
      </c>
      <c r="U11" s="845" t="e">
        <f>T11-N11</f>
        <v>#VALUE!</v>
      </c>
    </row>
    <row r="12" spans="1:21" s="841" customFormat="1" ht="24.75" customHeight="1">
      <c r="A12" s="1112"/>
      <c r="B12" s="1122"/>
      <c r="C12" s="1111"/>
      <c r="D12" s="825">
        <v>2</v>
      </c>
      <c r="E12" s="842" t="e">
        <f t="shared" ref="E12:N12" si="1">E19+E48+E82</f>
        <v>#VALUE!</v>
      </c>
      <c r="F12" s="842">
        <f t="shared" si="1"/>
        <v>19076.875</v>
      </c>
      <c r="G12" s="842">
        <f t="shared" si="1"/>
        <v>0</v>
      </c>
      <c r="H12" s="843">
        <f t="shared" si="1"/>
        <v>0.76005674160657055</v>
      </c>
      <c r="I12" s="843">
        <f t="shared" si="1"/>
        <v>4.1197274999999998</v>
      </c>
      <c r="J12" s="843">
        <f t="shared" si="1"/>
        <v>0.41727249999999999</v>
      </c>
      <c r="K12" s="843">
        <f t="shared" si="1"/>
        <v>0.80866274999999999</v>
      </c>
      <c r="L12" s="844" t="e">
        <f t="shared" si="1"/>
        <v>#VALUE!</v>
      </c>
      <c r="M12" s="844" t="e">
        <f t="shared" si="1"/>
        <v>#VALUE!</v>
      </c>
      <c r="N12" s="844" t="e">
        <f t="shared" si="1"/>
        <v>#VALUE!</v>
      </c>
      <c r="O12" s="844">
        <v>2679.5</v>
      </c>
      <c r="P12" s="844">
        <f>P19+P48+P82</f>
        <v>10284.964182692307</v>
      </c>
      <c r="Q12" s="839"/>
      <c r="R12" s="839"/>
      <c r="S12" s="840"/>
      <c r="T12" s="845">
        <f>'[1]1,DG-capmoi'!N10</f>
        <v>373798.54371699865</v>
      </c>
      <c r="U12" s="845" t="e">
        <f t="shared" ref="U12:U52" si="2">T12-N12</f>
        <v>#VALUE!</v>
      </c>
    </row>
    <row r="13" spans="1:21" s="841" customFormat="1" ht="24.75" customHeight="1">
      <c r="A13" s="1112"/>
      <c r="B13" s="1123"/>
      <c r="C13" s="1111"/>
      <c r="D13" s="825">
        <v>3</v>
      </c>
      <c r="E13" s="842" t="e">
        <f t="shared" ref="E13:N13" si="3">E20+E48+E82</f>
        <v>#VALUE!</v>
      </c>
      <c r="F13" s="842">
        <f t="shared" si="3"/>
        <v>21827.875</v>
      </c>
      <c r="G13" s="842">
        <f t="shared" si="3"/>
        <v>0</v>
      </c>
      <c r="H13" s="843">
        <f t="shared" si="3"/>
        <v>0.80081977443910268</v>
      </c>
      <c r="I13" s="843">
        <f t="shared" si="3"/>
        <v>4.1197274999999998</v>
      </c>
      <c r="J13" s="843">
        <f t="shared" si="3"/>
        <v>0.41727249999999999</v>
      </c>
      <c r="K13" s="843">
        <f t="shared" si="3"/>
        <v>0.80866274999999999</v>
      </c>
      <c r="L13" s="844" t="e">
        <f t="shared" si="3"/>
        <v>#VALUE!</v>
      </c>
      <c r="M13" s="844" t="e">
        <f t="shared" si="3"/>
        <v>#VALUE!</v>
      </c>
      <c r="N13" s="844" t="e">
        <f t="shared" si="3"/>
        <v>#VALUE!</v>
      </c>
      <c r="O13" s="844">
        <v>3065.9000000000233</v>
      </c>
      <c r="P13" s="844">
        <f>P20+P48+P82</f>
        <v>10727.625721153847</v>
      </c>
      <c r="Q13" s="839"/>
      <c r="R13" s="839"/>
      <c r="S13" s="840"/>
      <c r="T13" s="845">
        <f>'[1]1,DG-capmoi'!N11</f>
        <v>391548.226759871</v>
      </c>
      <c r="U13" s="845" t="e">
        <f t="shared" si="2"/>
        <v>#VALUE!</v>
      </c>
    </row>
    <row r="14" spans="1:21" s="841" customFormat="1" ht="24.75" customHeight="1">
      <c r="A14" s="1140"/>
      <c r="B14" s="1121" t="s">
        <v>452</v>
      </c>
      <c r="C14" s="1111" t="s">
        <v>281</v>
      </c>
      <c r="D14" s="825">
        <v>1</v>
      </c>
      <c r="E14" s="842" t="e">
        <f t="shared" ref="E14:N14" si="4">E21+E49+E83</f>
        <v>#VALUE!</v>
      </c>
      <c r="F14" s="842">
        <f t="shared" si="4"/>
        <v>16718.875</v>
      </c>
      <c r="G14" s="842">
        <f t="shared" si="4"/>
        <v>0</v>
      </c>
      <c r="H14" s="846">
        <f t="shared" si="4"/>
        <v>0.73967522519030449</v>
      </c>
      <c r="I14" s="846">
        <f t="shared" si="4"/>
        <v>4.1197274999999998</v>
      </c>
      <c r="J14" s="846">
        <f t="shared" si="4"/>
        <v>0.41727249999999999</v>
      </c>
      <c r="K14" s="846">
        <f t="shared" si="4"/>
        <v>0.80866274999999999</v>
      </c>
      <c r="L14" s="842" t="e">
        <f t="shared" si="4"/>
        <v>#VALUE!</v>
      </c>
      <c r="M14" s="842" t="e">
        <f t="shared" si="4"/>
        <v>#VALUE!</v>
      </c>
      <c r="N14" s="842" t="e">
        <f t="shared" si="4"/>
        <v>#VALUE!</v>
      </c>
      <c r="O14" s="842">
        <v>2348.2999999999884</v>
      </c>
      <c r="P14" s="842">
        <f>P21+P49+P83</f>
        <v>9288.9757211538454</v>
      </c>
      <c r="Q14" s="839"/>
      <c r="R14" s="839"/>
      <c r="S14" s="840"/>
      <c r="T14" s="845">
        <f>'[1]1,DG-capmoi'!N12</f>
        <v>344815.06698306242</v>
      </c>
      <c r="U14" s="845" t="e">
        <f t="shared" si="2"/>
        <v>#VALUE!</v>
      </c>
    </row>
    <row r="15" spans="1:21" s="841" customFormat="1" ht="24.75" customHeight="1">
      <c r="A15" s="1141"/>
      <c r="B15" s="1122"/>
      <c r="C15" s="1111"/>
      <c r="D15" s="825">
        <v>2</v>
      </c>
      <c r="E15" s="842" t="e">
        <f t="shared" ref="E15:N15" si="5">E22+E49+E83</f>
        <v>#VALUE!</v>
      </c>
      <c r="F15" s="842">
        <f t="shared" si="5"/>
        <v>19076.875</v>
      </c>
      <c r="G15" s="842">
        <f t="shared" si="5"/>
        <v>0</v>
      </c>
      <c r="H15" s="846">
        <f t="shared" si="5"/>
        <v>0.76005674160657055</v>
      </c>
      <c r="I15" s="846">
        <f t="shared" si="5"/>
        <v>4.1197274999999998</v>
      </c>
      <c r="J15" s="846">
        <f t="shared" si="5"/>
        <v>0.41727249999999999</v>
      </c>
      <c r="K15" s="846">
        <f t="shared" si="5"/>
        <v>0.80866274999999999</v>
      </c>
      <c r="L15" s="842" t="e">
        <f t="shared" si="5"/>
        <v>#VALUE!</v>
      </c>
      <c r="M15" s="842" t="e">
        <f t="shared" si="5"/>
        <v>#VALUE!</v>
      </c>
      <c r="N15" s="842" t="e">
        <f t="shared" si="5"/>
        <v>#VALUE!</v>
      </c>
      <c r="O15" s="842">
        <v>2679.5</v>
      </c>
      <c r="P15" s="842">
        <f>P22+P49+P83</f>
        <v>9670.1564903846156</v>
      </c>
      <c r="Q15" s="847">
        <f>'He so chung'!$D$22</f>
        <v>5346.1538461538457</v>
      </c>
      <c r="R15" s="847">
        <f>'He so chung'!$D$23</f>
        <v>801.92307692307691</v>
      </c>
      <c r="S15" s="848"/>
      <c r="T15" s="845">
        <f>'[1]1,DG-capmoi'!N13</f>
        <v>360085.41184199869</v>
      </c>
      <c r="U15" s="845" t="e">
        <f t="shared" si="2"/>
        <v>#VALUE!</v>
      </c>
    </row>
    <row r="16" spans="1:21" s="841" customFormat="1" ht="24.75" customHeight="1">
      <c r="A16" s="1142"/>
      <c r="B16" s="1123"/>
      <c r="C16" s="1111"/>
      <c r="D16" s="825">
        <v>3</v>
      </c>
      <c r="E16" s="842" t="e">
        <f t="shared" ref="E16:N16" si="6">E23+E49+E83</f>
        <v>#VALUE!</v>
      </c>
      <c r="F16" s="842">
        <f t="shared" si="6"/>
        <v>21827.875</v>
      </c>
      <c r="G16" s="842">
        <f t="shared" si="6"/>
        <v>0</v>
      </c>
      <c r="H16" s="846">
        <f t="shared" si="6"/>
        <v>0.80081977443910268</v>
      </c>
      <c r="I16" s="846">
        <f t="shared" si="6"/>
        <v>4.1197274999999998</v>
      </c>
      <c r="J16" s="846">
        <f t="shared" si="6"/>
        <v>0.41727249999999999</v>
      </c>
      <c r="K16" s="846">
        <f t="shared" si="6"/>
        <v>0.80866274999999999</v>
      </c>
      <c r="L16" s="842" t="e">
        <f t="shared" si="6"/>
        <v>#VALUE!</v>
      </c>
      <c r="M16" s="842" t="e">
        <f>M23+M49+M83</f>
        <v>#VALUE!</v>
      </c>
      <c r="N16" s="842" t="e">
        <f t="shared" si="6"/>
        <v>#VALUE!</v>
      </c>
      <c r="O16" s="842">
        <v>3065.9000000000233</v>
      </c>
      <c r="P16" s="842">
        <f>P23+P49+P83</f>
        <v>10112.818028846154</v>
      </c>
      <c r="Q16" s="849"/>
      <c r="R16" s="849"/>
      <c r="S16" s="848"/>
      <c r="T16" s="845">
        <f>'[1]1,DG-capmoi'!N14</f>
        <v>377835.09488487104</v>
      </c>
      <c r="U16" s="845" t="e">
        <f t="shared" si="2"/>
        <v>#VALUE!</v>
      </c>
    </row>
    <row r="17" spans="1:21" s="841" customFormat="1" ht="33" customHeight="1">
      <c r="A17" s="850" t="s">
        <v>179</v>
      </c>
      <c r="B17" s="851" t="s">
        <v>606</v>
      </c>
      <c r="C17" s="825"/>
      <c r="D17" s="825"/>
      <c r="E17" s="825"/>
      <c r="F17" s="825"/>
      <c r="G17" s="852"/>
      <c r="H17" s="825"/>
      <c r="I17" s="825"/>
      <c r="J17" s="825"/>
      <c r="K17" s="825"/>
      <c r="L17" s="825"/>
      <c r="M17" s="825"/>
      <c r="N17" s="825"/>
      <c r="O17" s="825">
        <v>0</v>
      </c>
      <c r="P17" s="825"/>
      <c r="Q17" s="849"/>
      <c r="R17" s="849"/>
      <c r="S17" s="848"/>
      <c r="T17" s="845">
        <f>'[1]1,DG-capmoi'!N15</f>
        <v>0</v>
      </c>
      <c r="U17" s="845">
        <f t="shared" si="2"/>
        <v>0</v>
      </c>
    </row>
    <row r="18" spans="1:21" s="855" customFormat="1" ht="18.75" customHeight="1">
      <c r="A18" s="1139" t="s">
        <v>665</v>
      </c>
      <c r="B18" s="1121" t="s">
        <v>451</v>
      </c>
      <c r="C18" s="1111" t="s">
        <v>281</v>
      </c>
      <c r="D18" s="853">
        <v>1</v>
      </c>
      <c r="E18" s="844" t="e">
        <f>E25+E26+E27+E29+E31+E32+E33+E37+E39+E40+E42+E44+E45+E46</f>
        <v>#VALUE!</v>
      </c>
      <c r="F18" s="844">
        <f>F25+F26+F27+F29+F31+F32+F33+F37+F39+F40+F42+F44+F45+F46</f>
        <v>16718.875</v>
      </c>
      <c r="G18" s="844">
        <f>G24+G31+G32+G33+G37+G38+G39+G40+G42+G43+G44+G45+G46</f>
        <v>0</v>
      </c>
      <c r="H18" s="843">
        <f>'Dcu-DKDD'!H28/8000</f>
        <v>0.34648577907652245</v>
      </c>
      <c r="I18" s="843">
        <f>'VL-DKDD'!F31/8000</f>
        <v>0.86683500000000002</v>
      </c>
      <c r="J18" s="843">
        <f>'TB-DKDD'!I14/8000</f>
        <v>2.0497499999999998E-2</v>
      </c>
      <c r="K18" s="843">
        <f>'NL-DKDD'!F9/8000</f>
        <v>3.9821250000000002E-2</v>
      </c>
      <c r="L18" s="844" t="e">
        <f t="shared" ref="L18:L23" si="7">SUM(E18:K18)</f>
        <v>#VALUE!</v>
      </c>
      <c r="M18" s="844" t="e">
        <f>L18*'He so chung'!$D$17/100</f>
        <v>#VALUE!</v>
      </c>
      <c r="N18" s="844" t="e">
        <f t="shared" ref="N18:N23" si="8">L18+M18</f>
        <v>#VALUE!</v>
      </c>
      <c r="O18" s="844">
        <v>2348.2999999999884</v>
      </c>
      <c r="P18" s="844">
        <f>P25+P26+P27+P29+P31+P32+P33+P37+P39+P40+P42+P44+P45+P46</f>
        <v>5558.6300480769223</v>
      </c>
      <c r="Q18" s="854"/>
      <c r="R18" s="854"/>
      <c r="S18" s="848"/>
      <c r="T18" s="845">
        <f>'[1]1,DG-capmoi'!N16</f>
        <v>209295.37777968921</v>
      </c>
      <c r="U18" s="845" t="e">
        <f t="shared" si="2"/>
        <v>#VALUE!</v>
      </c>
    </row>
    <row r="19" spans="1:21" s="855" customFormat="1" ht="18.75" customHeight="1">
      <c r="A19" s="1139"/>
      <c r="B19" s="1122"/>
      <c r="C19" s="1111"/>
      <c r="D19" s="853">
        <v>2</v>
      </c>
      <c r="E19" s="844" t="e">
        <f>E25+E26+E27+E29+E31+E32+E34+E37+E39+E40+E42+E44+E45+E46</f>
        <v>#VALUE!</v>
      </c>
      <c r="F19" s="844">
        <f>F25+F26+F27+F29+F31+F32+F34+F37+F39+F40+F42+F44+F45+F46</f>
        <v>19076.875</v>
      </c>
      <c r="G19" s="844">
        <f>G24+G31+G32+G34+G37+G38+G39+G40+G42+G43+G44+G45+G46</f>
        <v>0</v>
      </c>
      <c r="H19" s="843">
        <f>'Dcu-DKDD'!H29/8000</f>
        <v>0.36686729549278851</v>
      </c>
      <c r="I19" s="843">
        <f>'VL-DKDD'!F31/8000</f>
        <v>0.86683500000000002</v>
      </c>
      <c r="J19" s="843">
        <f>'TB-DKDD'!I14/8000</f>
        <v>2.0497499999999998E-2</v>
      </c>
      <c r="K19" s="843">
        <f>'NL-DKDD'!F9/8000</f>
        <v>3.9821250000000002E-2</v>
      </c>
      <c r="L19" s="844" t="e">
        <f t="shared" si="7"/>
        <v>#VALUE!</v>
      </c>
      <c r="M19" s="844" t="e">
        <f>L19*'He so chung'!$D$17/100</f>
        <v>#VALUE!</v>
      </c>
      <c r="N19" s="844" t="e">
        <f t="shared" si="8"/>
        <v>#VALUE!</v>
      </c>
      <c r="O19" s="844">
        <v>2679.5</v>
      </c>
      <c r="P19" s="844">
        <f>P25+P26+P27+P29+P31+P32+P34+P37+P39+P40+P42+P44+P45+P46</f>
        <v>5939.8108173076907</v>
      </c>
      <c r="Q19" s="854"/>
      <c r="R19" s="854"/>
      <c r="S19" s="848"/>
      <c r="T19" s="845">
        <f>'[1]1,DG-capmoi'!N17</f>
        <v>224565.72263862539</v>
      </c>
      <c r="U19" s="845" t="e">
        <f t="shared" si="2"/>
        <v>#VALUE!</v>
      </c>
    </row>
    <row r="20" spans="1:21" s="855" customFormat="1" ht="18.75" customHeight="1">
      <c r="A20" s="1139"/>
      <c r="B20" s="1123"/>
      <c r="C20" s="1111"/>
      <c r="D20" s="853">
        <v>3</v>
      </c>
      <c r="E20" s="844" t="e">
        <f>E25+E26+E27+E29+E31+E32+E35+E37+E39+E40+E42+E44+E45+E46</f>
        <v>#VALUE!</v>
      </c>
      <c r="F20" s="844">
        <f>F25+F26+F27+F29+F31+F32+F35+F37+F39+F40+F42+F44+F45+F46</f>
        <v>21827.875</v>
      </c>
      <c r="G20" s="844">
        <f>G24+G31+G32+G35+G37+G38+G39+G40+G42+G43+G44+G45+G46</f>
        <v>0</v>
      </c>
      <c r="H20" s="843">
        <f>'Dcu-DKDD'!H30/8000</f>
        <v>0.40763032832532059</v>
      </c>
      <c r="I20" s="843">
        <f>'VL-DKDD'!F31/8000</f>
        <v>0.86683500000000002</v>
      </c>
      <c r="J20" s="843">
        <f>'TB-DKDD'!I14/8000</f>
        <v>2.0497499999999998E-2</v>
      </c>
      <c r="K20" s="843">
        <f>'NL-DKDD'!F9/8000</f>
        <v>3.9821250000000002E-2</v>
      </c>
      <c r="L20" s="844" t="e">
        <f t="shared" si="7"/>
        <v>#VALUE!</v>
      </c>
      <c r="M20" s="844" t="e">
        <f>L20*'He so chung'!$D$17/100</f>
        <v>#VALUE!</v>
      </c>
      <c r="N20" s="844" t="e">
        <f t="shared" si="8"/>
        <v>#VALUE!</v>
      </c>
      <c r="O20" s="844">
        <v>3065.8999999999942</v>
      </c>
      <c r="P20" s="844">
        <f>P25+P26+P27+P29+P31+P32+P35+P37+P39+P40+P42+P44+P45+P46</f>
        <v>6382.4723557692305</v>
      </c>
      <c r="Q20" s="854"/>
      <c r="R20" s="854"/>
      <c r="S20" s="848"/>
      <c r="T20" s="845">
        <f>'[1]1,DG-capmoi'!N18</f>
        <v>242315.40568149777</v>
      </c>
      <c r="U20" s="845" t="e">
        <f t="shared" si="2"/>
        <v>#VALUE!</v>
      </c>
    </row>
    <row r="21" spans="1:21" s="855" customFormat="1" ht="18.75" customHeight="1">
      <c r="A21" s="1145" t="s">
        <v>666</v>
      </c>
      <c r="B21" s="1121" t="s">
        <v>452</v>
      </c>
      <c r="C21" s="1111" t="s">
        <v>281</v>
      </c>
      <c r="D21" s="853">
        <v>1</v>
      </c>
      <c r="E21" s="844" t="e">
        <f>E25+E26+E27+E30+E31+E32+E33+E38+E39+E40+E43+E44+E45+E46</f>
        <v>#VALUE!</v>
      </c>
      <c r="F21" s="844">
        <f>F25+F26+F27+F30+F31+F32+F33+F38+F39+F40+F43+F44+F45+F46</f>
        <v>16718.875</v>
      </c>
      <c r="G21" s="844">
        <f>G27+G34+G35+G36+G40+G41+G42+G43+G45+G46+G48+G50+G51</f>
        <v>0</v>
      </c>
      <c r="H21" s="843">
        <f>H18</f>
        <v>0.34648577907652245</v>
      </c>
      <c r="I21" s="843">
        <f>I18</f>
        <v>0.86683500000000002</v>
      </c>
      <c r="J21" s="843">
        <f>J18</f>
        <v>2.0497499999999998E-2</v>
      </c>
      <c r="K21" s="843">
        <f>K18</f>
        <v>3.9821250000000002E-2</v>
      </c>
      <c r="L21" s="844" t="e">
        <f t="shared" si="7"/>
        <v>#VALUE!</v>
      </c>
      <c r="M21" s="844" t="e">
        <f>L21*'He so chung'!$D$17/100</f>
        <v>#VALUE!</v>
      </c>
      <c r="N21" s="844" t="e">
        <f t="shared" si="8"/>
        <v>#VALUE!</v>
      </c>
      <c r="O21" s="844">
        <v>2348.2999999999884</v>
      </c>
      <c r="P21" s="844">
        <f>P25+P26+P27+P30+P31+P32+P33+P38+P39+P40+P43+P44+P45+P46</f>
        <v>5159.0050480769223</v>
      </c>
      <c r="Q21" s="854"/>
      <c r="R21" s="854"/>
      <c r="S21" s="848"/>
      <c r="T21" s="845">
        <f>'[1]1,DG-capmoi'!N19</f>
        <v>195582.24590468919</v>
      </c>
      <c r="U21" s="845" t="e">
        <f t="shared" si="2"/>
        <v>#VALUE!</v>
      </c>
    </row>
    <row r="22" spans="1:21" s="855" customFormat="1" ht="18.75" customHeight="1">
      <c r="A22" s="1146"/>
      <c r="B22" s="1122"/>
      <c r="C22" s="1111"/>
      <c r="D22" s="853">
        <v>2</v>
      </c>
      <c r="E22" s="844" t="e">
        <f>E25+E26+E27+E30+E31+E32+E34+E38+E39+E40+E43+E44+E45+E46</f>
        <v>#VALUE!</v>
      </c>
      <c r="F22" s="844">
        <f>F25+F26+F27+F30+F31+F32+F34+F38+F39+F40+F43+F44+F45+F46</f>
        <v>19076.875</v>
      </c>
      <c r="G22" s="844">
        <f>G27+G34+G35+G37+G40+G41+G42+G43+G45+G46+G48+G50+G51</f>
        <v>0</v>
      </c>
      <c r="H22" s="843">
        <f t="shared" ref="H22:K23" si="9">H19</f>
        <v>0.36686729549278851</v>
      </c>
      <c r="I22" s="843">
        <f t="shared" si="9"/>
        <v>0.86683500000000002</v>
      </c>
      <c r="J22" s="843">
        <f t="shared" si="9"/>
        <v>2.0497499999999998E-2</v>
      </c>
      <c r="K22" s="843">
        <f t="shared" si="9"/>
        <v>3.9821250000000002E-2</v>
      </c>
      <c r="L22" s="844" t="e">
        <f t="shared" si="7"/>
        <v>#VALUE!</v>
      </c>
      <c r="M22" s="844" t="e">
        <f>L22*'He so chung'!$D$17/100</f>
        <v>#VALUE!</v>
      </c>
      <c r="N22" s="844" t="e">
        <f t="shared" si="8"/>
        <v>#VALUE!</v>
      </c>
      <c r="O22" s="844">
        <v>2679.5</v>
      </c>
      <c r="P22" s="844">
        <f>P25+P26+P27+P30+P31+P32+P34+P38+P39+P40+P43+P44+P45+P46</f>
        <v>5540.1858173076926</v>
      </c>
      <c r="Q22" s="854"/>
      <c r="R22" s="854"/>
      <c r="S22" s="848"/>
      <c r="T22" s="845">
        <f>'[1]1,DG-capmoi'!N20</f>
        <v>210852.59076362543</v>
      </c>
      <c r="U22" s="845" t="e">
        <f t="shared" si="2"/>
        <v>#VALUE!</v>
      </c>
    </row>
    <row r="23" spans="1:21" s="855" customFormat="1" ht="18.75" customHeight="1">
      <c r="A23" s="1147"/>
      <c r="B23" s="1123"/>
      <c r="C23" s="1111"/>
      <c r="D23" s="853">
        <v>3</v>
      </c>
      <c r="E23" s="844" t="e">
        <f>E25+E26+E27+E30+E31+E32+E35+E38+E39+E40+E43+E44+E45+E46</f>
        <v>#VALUE!</v>
      </c>
      <c r="F23" s="844">
        <f>F25+F26+F27+F30+F31+F32+F35+F38+F39+F40+F43+F44+F45+F46</f>
        <v>21827.875</v>
      </c>
      <c r="G23" s="844">
        <f>G27+G34+G35+G38+G40+G41+G42+G43+G45+G46+G48+G50+G51</f>
        <v>0</v>
      </c>
      <c r="H23" s="843">
        <f t="shared" si="9"/>
        <v>0.40763032832532059</v>
      </c>
      <c r="I23" s="843">
        <f t="shared" si="9"/>
        <v>0.86683500000000002</v>
      </c>
      <c r="J23" s="843">
        <f t="shared" si="9"/>
        <v>2.0497499999999998E-2</v>
      </c>
      <c r="K23" s="843">
        <f t="shared" si="9"/>
        <v>3.9821250000000002E-2</v>
      </c>
      <c r="L23" s="844" t="e">
        <f t="shared" si="7"/>
        <v>#VALUE!</v>
      </c>
      <c r="M23" s="844" t="e">
        <f>L23*'He so chung'!$D$17/100</f>
        <v>#VALUE!</v>
      </c>
      <c r="N23" s="844" t="e">
        <f t="shared" si="8"/>
        <v>#VALUE!</v>
      </c>
      <c r="O23" s="844">
        <v>3065.8999999999942</v>
      </c>
      <c r="P23" s="844">
        <f>P25+P26+P27+P30+P31+P32+P35+P38+P39+P40+P43+P44+P45+P46</f>
        <v>5982.8473557692305</v>
      </c>
      <c r="Q23" s="854"/>
      <c r="R23" s="854"/>
      <c r="S23" s="848"/>
      <c r="T23" s="845">
        <f>'[1]1,DG-capmoi'!N21</f>
        <v>228602.2738064978</v>
      </c>
      <c r="U23" s="845" t="e">
        <f t="shared" si="2"/>
        <v>#VALUE!</v>
      </c>
    </row>
    <row r="24" spans="1:21" s="855" customFormat="1" ht="23.25" customHeight="1">
      <c r="A24" s="832">
        <v>1</v>
      </c>
      <c r="B24" s="827" t="s">
        <v>599</v>
      </c>
      <c r="C24" s="823"/>
      <c r="D24" s="823"/>
      <c r="E24" s="844"/>
      <c r="F24" s="844"/>
      <c r="G24" s="844"/>
      <c r="H24" s="843"/>
      <c r="I24" s="843"/>
      <c r="J24" s="843"/>
      <c r="K24" s="843"/>
      <c r="L24" s="844"/>
      <c r="M24" s="844"/>
      <c r="N24" s="844"/>
      <c r="O24" s="844"/>
      <c r="P24" s="844"/>
      <c r="Q24" s="856"/>
      <c r="R24" s="856"/>
      <c r="S24" s="857"/>
      <c r="T24" s="845">
        <f>'[1]1,DG-capmoi'!N22</f>
        <v>0</v>
      </c>
      <c r="U24" s="845">
        <f t="shared" si="2"/>
        <v>0</v>
      </c>
    </row>
    <row r="25" spans="1:21" s="855" customFormat="1" ht="23.25" customHeight="1">
      <c r="A25" s="832" t="s">
        <v>891</v>
      </c>
      <c r="B25" s="827" t="s">
        <v>21</v>
      </c>
      <c r="C25" s="823" t="s">
        <v>281</v>
      </c>
      <c r="D25" s="858" t="s">
        <v>370</v>
      </c>
      <c r="E25" s="859" t="e">
        <f>NC_DKDD!H8/8000*10</f>
        <v>#VALUE!</v>
      </c>
      <c r="F25" s="859">
        <f>NC_DKDD!H9/8000*10</f>
        <v>327.5</v>
      </c>
      <c r="G25" s="860">
        <f>$R$2*10*Q25</f>
        <v>0</v>
      </c>
      <c r="H25" s="861"/>
      <c r="I25" s="843"/>
      <c r="J25" s="843"/>
      <c r="K25" s="843"/>
      <c r="L25" s="844"/>
      <c r="M25" s="844"/>
      <c r="N25" s="844"/>
      <c r="O25" s="844"/>
      <c r="P25" s="859">
        <f>Q25+R25</f>
        <v>30.740384615384613</v>
      </c>
      <c r="Q25" s="862">
        <f>S25*$Q$15</f>
        <v>26.73076923076923</v>
      </c>
      <c r="R25" s="862">
        <f>S25*$R$15</f>
        <v>4.009615384615385</v>
      </c>
      <c r="S25" s="863">
        <f>NC_DKDD!G8/8000*10</f>
        <v>5.0000000000000001E-3</v>
      </c>
      <c r="T25" s="845">
        <f>'[1]1,DG-capmoi'!N23</f>
        <v>0</v>
      </c>
      <c r="U25" s="845">
        <f t="shared" si="2"/>
        <v>0</v>
      </c>
    </row>
    <row r="26" spans="1:21" s="855" customFormat="1" ht="54.75" customHeight="1">
      <c r="A26" s="832" t="s">
        <v>899</v>
      </c>
      <c r="B26" s="827" t="s">
        <v>24</v>
      </c>
      <c r="C26" s="823" t="s">
        <v>281</v>
      </c>
      <c r="D26" s="858" t="s">
        <v>370</v>
      </c>
      <c r="E26" s="859" t="e">
        <f>NC_DKDD!H10/8000</f>
        <v>#VALUE!</v>
      </c>
      <c r="F26" s="859"/>
      <c r="G26" s="860">
        <f t="shared" ref="G26:G90" si="10">$R$2*10*Q26</f>
        <v>0</v>
      </c>
      <c r="H26" s="861"/>
      <c r="I26" s="843"/>
      <c r="J26" s="843"/>
      <c r="K26" s="843"/>
      <c r="L26" s="844"/>
      <c r="M26" s="844"/>
      <c r="N26" s="844"/>
      <c r="O26" s="844"/>
      <c r="P26" s="859">
        <f t="shared" ref="P26:P90" si="11">Q26+R26</f>
        <v>36.888461538461534</v>
      </c>
      <c r="Q26" s="862">
        <f t="shared" ref="Q26:Q90" si="12">S26*$Q$15</f>
        <v>32.076923076923073</v>
      </c>
      <c r="R26" s="862">
        <f t="shared" ref="R26:R90" si="13">S26*$R$15</f>
        <v>4.8115384615384613</v>
      </c>
      <c r="S26" s="864">
        <f>NC_DKDD!G10/8000</f>
        <v>6.0000000000000001E-3</v>
      </c>
      <c r="T26" s="845">
        <f>'[1]1,DG-capmoi'!N24</f>
        <v>0</v>
      </c>
      <c r="U26" s="845">
        <f t="shared" si="2"/>
        <v>0</v>
      </c>
    </row>
    <row r="27" spans="1:21" s="855" customFormat="1" ht="30.75" customHeight="1">
      <c r="A27" s="832" t="s">
        <v>892</v>
      </c>
      <c r="B27" s="827" t="s">
        <v>27</v>
      </c>
      <c r="C27" s="823" t="s">
        <v>281</v>
      </c>
      <c r="D27" s="858" t="s">
        <v>370</v>
      </c>
      <c r="E27" s="859" t="e">
        <f>NC_DKDD!H11/8000*10</f>
        <v>#VALUE!</v>
      </c>
      <c r="F27" s="859">
        <f>NC_DKDD!H12/8000*10</f>
        <v>409.375</v>
      </c>
      <c r="G27" s="860">
        <f t="shared" si="10"/>
        <v>0</v>
      </c>
      <c r="H27" s="861"/>
      <c r="I27" s="843"/>
      <c r="J27" s="843"/>
      <c r="K27" s="843"/>
      <c r="L27" s="844"/>
      <c r="M27" s="844"/>
      <c r="N27" s="844"/>
      <c r="O27" s="844"/>
      <c r="P27" s="859">
        <f t="shared" si="11"/>
        <v>19.212740384615387</v>
      </c>
      <c r="Q27" s="862">
        <f t="shared" si="12"/>
        <v>16.70673076923077</v>
      </c>
      <c r="R27" s="862">
        <f t="shared" si="13"/>
        <v>2.5060096153846154</v>
      </c>
      <c r="S27" s="865">
        <f>NC_DKDD!G11/8000*10</f>
        <v>3.1250000000000002E-3</v>
      </c>
      <c r="T27" s="845">
        <f>'[1]1,DG-capmoi'!N25</f>
        <v>0</v>
      </c>
      <c r="U27" s="845">
        <f t="shared" si="2"/>
        <v>0</v>
      </c>
    </row>
    <row r="28" spans="1:21" s="855" customFormat="1" ht="23.25" customHeight="1">
      <c r="A28" s="832" t="s">
        <v>30</v>
      </c>
      <c r="B28" s="827" t="s">
        <v>31</v>
      </c>
      <c r="C28" s="823"/>
      <c r="D28" s="823"/>
      <c r="E28" s="866"/>
      <c r="F28" s="859"/>
      <c r="G28" s="860">
        <f t="shared" si="10"/>
        <v>0</v>
      </c>
      <c r="H28" s="861"/>
      <c r="I28" s="843"/>
      <c r="J28" s="843"/>
      <c r="K28" s="843"/>
      <c r="L28" s="844"/>
      <c r="M28" s="844"/>
      <c r="N28" s="844"/>
      <c r="O28" s="844"/>
      <c r="P28" s="859">
        <f t="shared" si="11"/>
        <v>0</v>
      </c>
      <c r="Q28" s="862">
        <f t="shared" si="12"/>
        <v>0</v>
      </c>
      <c r="R28" s="862">
        <f t="shared" si="13"/>
        <v>0</v>
      </c>
      <c r="S28" s="867"/>
      <c r="T28" s="845">
        <f>'[1]1,DG-capmoi'!N26</f>
        <v>0</v>
      </c>
      <c r="U28" s="845">
        <f t="shared" si="2"/>
        <v>0</v>
      </c>
    </row>
    <row r="29" spans="1:21" s="855" customFormat="1" ht="23.25" customHeight="1">
      <c r="A29" s="832" t="s">
        <v>32</v>
      </c>
      <c r="B29" s="827" t="s">
        <v>33</v>
      </c>
      <c r="C29" s="823" t="s">
        <v>281</v>
      </c>
      <c r="D29" s="858" t="s">
        <v>370</v>
      </c>
      <c r="E29" s="859" t="e">
        <f>NC_DKDD!H14</f>
        <v>#VALUE!</v>
      </c>
      <c r="F29" s="859"/>
      <c r="G29" s="860">
        <f t="shared" si="10"/>
        <v>0</v>
      </c>
      <c r="H29" s="861"/>
      <c r="I29" s="843"/>
      <c r="J29" s="843"/>
      <c r="K29" s="843"/>
      <c r="L29" s="844"/>
      <c r="M29" s="844"/>
      <c r="N29" s="844"/>
      <c r="O29" s="844"/>
      <c r="P29" s="859">
        <f t="shared" si="11"/>
        <v>614.80769230769238</v>
      </c>
      <c r="Q29" s="862">
        <f t="shared" si="12"/>
        <v>534.61538461538464</v>
      </c>
      <c r="R29" s="862">
        <f t="shared" si="13"/>
        <v>80.192307692307693</v>
      </c>
      <c r="S29" s="864">
        <f>NC_DKDD!G14</f>
        <v>0.1</v>
      </c>
      <c r="T29" s="845">
        <f>'[1]1,DG-capmoi'!N27</f>
        <v>0</v>
      </c>
      <c r="U29" s="845">
        <f t="shared" si="2"/>
        <v>0</v>
      </c>
    </row>
    <row r="30" spans="1:21" s="855" customFormat="1" ht="23.25" customHeight="1">
      <c r="A30" s="832" t="s">
        <v>35</v>
      </c>
      <c r="B30" s="827" t="s">
        <v>36</v>
      </c>
      <c r="C30" s="823" t="s">
        <v>281</v>
      </c>
      <c r="D30" s="858" t="s">
        <v>370</v>
      </c>
      <c r="E30" s="859" t="e">
        <f>NC_DKDD!H15</f>
        <v>#VALUE!</v>
      </c>
      <c r="F30" s="859"/>
      <c r="G30" s="860">
        <f t="shared" si="10"/>
        <v>0</v>
      </c>
      <c r="H30" s="861"/>
      <c r="I30" s="843"/>
      <c r="J30" s="843"/>
      <c r="K30" s="843"/>
      <c r="L30" s="844"/>
      <c r="M30" s="844"/>
      <c r="N30" s="844"/>
      <c r="O30" s="844"/>
      <c r="P30" s="859">
        <f t="shared" si="11"/>
        <v>307.40384615384619</v>
      </c>
      <c r="Q30" s="862">
        <f t="shared" si="12"/>
        <v>267.30769230769232</v>
      </c>
      <c r="R30" s="862">
        <f t="shared" si="13"/>
        <v>40.096153846153847</v>
      </c>
      <c r="S30" s="864">
        <f>NC_DKDD!G15</f>
        <v>0.05</v>
      </c>
      <c r="T30" s="845">
        <f>'[1]1,DG-capmoi'!N28</f>
        <v>0</v>
      </c>
      <c r="U30" s="845">
        <f t="shared" si="2"/>
        <v>0</v>
      </c>
    </row>
    <row r="31" spans="1:21" s="855" customFormat="1" ht="45" customHeight="1">
      <c r="A31" s="832">
        <v>2</v>
      </c>
      <c r="B31" s="827" t="s">
        <v>37</v>
      </c>
      <c r="C31" s="823" t="s">
        <v>281</v>
      </c>
      <c r="D31" s="858" t="s">
        <v>370</v>
      </c>
      <c r="E31" s="859" t="e">
        <f>NC_DKDD!H16</f>
        <v>#VALUE!</v>
      </c>
      <c r="F31" s="859"/>
      <c r="G31" s="860">
        <f t="shared" si="10"/>
        <v>0</v>
      </c>
      <c r="H31" s="861"/>
      <c r="I31" s="843"/>
      <c r="J31" s="843"/>
      <c r="K31" s="843"/>
      <c r="L31" s="844"/>
      <c r="M31" s="844"/>
      <c r="N31" s="844"/>
      <c r="O31" s="844"/>
      <c r="P31" s="859">
        <f t="shared" si="11"/>
        <v>614.80769230769238</v>
      </c>
      <c r="Q31" s="862">
        <f t="shared" si="12"/>
        <v>534.61538461538464</v>
      </c>
      <c r="R31" s="862">
        <f t="shared" si="13"/>
        <v>80.192307692307693</v>
      </c>
      <c r="S31" s="864">
        <f>NC_DKDD!G16</f>
        <v>0.1</v>
      </c>
      <c r="T31" s="845">
        <f>'[1]1,DG-capmoi'!N29</f>
        <v>0</v>
      </c>
      <c r="U31" s="845">
        <f t="shared" si="2"/>
        <v>0</v>
      </c>
    </row>
    <row r="32" spans="1:21" s="855" customFormat="1" ht="33.75" customHeight="1">
      <c r="A32" s="832">
        <v>3</v>
      </c>
      <c r="B32" s="827" t="s">
        <v>38</v>
      </c>
      <c r="C32" s="823" t="s">
        <v>523</v>
      </c>
      <c r="D32" s="858" t="s">
        <v>370</v>
      </c>
      <c r="E32" s="859" t="e">
        <f>NC_DKDD!H17</f>
        <v>#VALUE!</v>
      </c>
      <c r="F32" s="859"/>
      <c r="G32" s="860">
        <f t="shared" si="10"/>
        <v>0</v>
      </c>
      <c r="H32" s="861"/>
      <c r="I32" s="843"/>
      <c r="J32" s="843"/>
      <c r="K32" s="843"/>
      <c r="L32" s="844"/>
      <c r="M32" s="844"/>
      <c r="N32" s="844"/>
      <c r="O32" s="844"/>
      <c r="P32" s="859">
        <f t="shared" si="11"/>
        <v>657.84423076923065</v>
      </c>
      <c r="Q32" s="862">
        <f t="shared" si="12"/>
        <v>572.03846153846143</v>
      </c>
      <c r="R32" s="862">
        <f t="shared" si="13"/>
        <v>85.805769230769229</v>
      </c>
      <c r="S32" s="864">
        <f>NC_DKDD!G17</f>
        <v>0.107</v>
      </c>
      <c r="T32" s="845">
        <f>'[1]1,DG-capmoi'!N30</f>
        <v>0</v>
      </c>
      <c r="U32" s="845">
        <f t="shared" si="2"/>
        <v>0</v>
      </c>
    </row>
    <row r="33" spans="1:21" s="855" customFormat="1" ht="18.75" customHeight="1">
      <c r="A33" s="1116">
        <v>4</v>
      </c>
      <c r="B33" s="1137" t="s">
        <v>39</v>
      </c>
      <c r="C33" s="1144" t="s">
        <v>281</v>
      </c>
      <c r="D33" s="823">
        <v>1</v>
      </c>
      <c r="E33" s="859" t="e">
        <f>NC_DKDD!H18</f>
        <v>#VALUE!</v>
      </c>
      <c r="F33" s="859">
        <f>NC_DKDD!H19</f>
        <v>15982</v>
      </c>
      <c r="G33" s="860">
        <f t="shared" si="10"/>
        <v>0</v>
      </c>
      <c r="H33" s="861"/>
      <c r="I33" s="843"/>
      <c r="J33" s="843"/>
      <c r="K33" s="843"/>
      <c r="L33" s="844"/>
      <c r="M33" s="844"/>
      <c r="N33" s="844"/>
      <c r="O33" s="844"/>
      <c r="P33" s="859">
        <f t="shared" si="11"/>
        <v>2533.0076923076922</v>
      </c>
      <c r="Q33" s="862">
        <f t="shared" si="12"/>
        <v>2202.6153846153843</v>
      </c>
      <c r="R33" s="862">
        <f t="shared" si="13"/>
        <v>330.39230769230767</v>
      </c>
      <c r="S33" s="864">
        <f>NC_DKDD!G18</f>
        <v>0.41199999999999998</v>
      </c>
      <c r="T33" s="845">
        <f>'[1]1,DG-capmoi'!N31</f>
        <v>0</v>
      </c>
      <c r="U33" s="845">
        <f t="shared" si="2"/>
        <v>0</v>
      </c>
    </row>
    <row r="34" spans="1:21" s="855" customFormat="1" ht="18.75" customHeight="1">
      <c r="A34" s="1116"/>
      <c r="B34" s="1137"/>
      <c r="C34" s="1144"/>
      <c r="D34" s="823">
        <v>2</v>
      </c>
      <c r="E34" s="859" t="e">
        <f>NC_DKDD!H20</f>
        <v>#VALUE!</v>
      </c>
      <c r="F34" s="859">
        <f>NC_DKDD!H21</f>
        <v>18340</v>
      </c>
      <c r="G34" s="860">
        <f t="shared" si="10"/>
        <v>0</v>
      </c>
      <c r="H34" s="861"/>
      <c r="I34" s="843"/>
      <c r="J34" s="843"/>
      <c r="K34" s="843"/>
      <c r="L34" s="844"/>
      <c r="M34" s="844"/>
      <c r="N34" s="844"/>
      <c r="O34" s="844"/>
      <c r="P34" s="859">
        <f t="shared" si="11"/>
        <v>2914.1884615384615</v>
      </c>
      <c r="Q34" s="862">
        <f t="shared" si="12"/>
        <v>2534.0769230769229</v>
      </c>
      <c r="R34" s="862">
        <f t="shared" si="13"/>
        <v>380.11153846153843</v>
      </c>
      <c r="S34" s="864">
        <f>NC_DKDD!G20</f>
        <v>0.47399999999999998</v>
      </c>
      <c r="T34" s="845">
        <f>'[1]1,DG-capmoi'!N32</f>
        <v>0</v>
      </c>
      <c r="U34" s="845">
        <f t="shared" si="2"/>
        <v>0</v>
      </c>
    </row>
    <row r="35" spans="1:21" s="855" customFormat="1" ht="18.75" customHeight="1">
      <c r="A35" s="1116"/>
      <c r="B35" s="1137"/>
      <c r="C35" s="1144"/>
      <c r="D35" s="823">
        <v>3</v>
      </c>
      <c r="E35" s="859" t="e">
        <f>NC_DKDD!H22</f>
        <v>#VALUE!</v>
      </c>
      <c r="F35" s="859">
        <f>NC_DKDD!H23</f>
        <v>21091</v>
      </c>
      <c r="G35" s="860">
        <f t="shared" si="10"/>
        <v>0</v>
      </c>
      <c r="H35" s="861"/>
      <c r="I35" s="843"/>
      <c r="J35" s="843"/>
      <c r="K35" s="843"/>
      <c r="L35" s="844"/>
      <c r="M35" s="844"/>
      <c r="N35" s="844"/>
      <c r="O35" s="844"/>
      <c r="P35" s="859">
        <f t="shared" si="11"/>
        <v>3356.85</v>
      </c>
      <c r="Q35" s="862">
        <f t="shared" si="12"/>
        <v>2919</v>
      </c>
      <c r="R35" s="862">
        <f t="shared" si="13"/>
        <v>437.85</v>
      </c>
      <c r="S35" s="864">
        <f>NC_DKDD!G22</f>
        <v>0.54600000000000004</v>
      </c>
      <c r="T35" s="845">
        <f>'[1]1,DG-capmoi'!N33</f>
        <v>0</v>
      </c>
      <c r="U35" s="845">
        <f t="shared" si="2"/>
        <v>0</v>
      </c>
    </row>
    <row r="36" spans="1:21" s="855" customFormat="1" ht="27.75" customHeight="1">
      <c r="A36" s="832">
        <v>5</v>
      </c>
      <c r="B36" s="827" t="s">
        <v>340</v>
      </c>
      <c r="C36" s="823"/>
      <c r="D36" s="823"/>
      <c r="E36" s="866"/>
      <c r="F36" s="859"/>
      <c r="G36" s="860">
        <f t="shared" si="10"/>
        <v>0</v>
      </c>
      <c r="H36" s="861"/>
      <c r="I36" s="843"/>
      <c r="J36" s="843"/>
      <c r="K36" s="843"/>
      <c r="L36" s="844"/>
      <c r="M36" s="844"/>
      <c r="N36" s="844"/>
      <c r="O36" s="844"/>
      <c r="P36" s="859">
        <f t="shared" si="11"/>
        <v>0</v>
      </c>
      <c r="Q36" s="862">
        <f t="shared" si="12"/>
        <v>0</v>
      </c>
      <c r="R36" s="862">
        <f t="shared" si="13"/>
        <v>0</v>
      </c>
      <c r="S36" s="867"/>
      <c r="T36" s="845">
        <f>'[1]1,DG-capmoi'!N34</f>
        <v>0</v>
      </c>
      <c r="U36" s="845">
        <f t="shared" si="2"/>
        <v>0</v>
      </c>
    </row>
    <row r="37" spans="1:21" s="855" customFormat="1" ht="23.25" customHeight="1">
      <c r="A37" s="832" t="s">
        <v>607</v>
      </c>
      <c r="B37" s="827" t="s">
        <v>33</v>
      </c>
      <c r="C37" s="823" t="s">
        <v>281</v>
      </c>
      <c r="D37" s="858" t="s">
        <v>370</v>
      </c>
      <c r="E37" s="859" t="e">
        <f>NC_DKDD!H25</f>
        <v>#VALUE!</v>
      </c>
      <c r="F37" s="859"/>
      <c r="G37" s="860">
        <f t="shared" si="10"/>
        <v>0</v>
      </c>
      <c r="H37" s="861"/>
      <c r="I37" s="843"/>
      <c r="J37" s="843"/>
      <c r="K37" s="843"/>
      <c r="L37" s="844"/>
      <c r="M37" s="844"/>
      <c r="N37" s="844"/>
      <c r="O37" s="844"/>
      <c r="P37" s="859">
        <f t="shared" si="11"/>
        <v>307.40384615384619</v>
      </c>
      <c r="Q37" s="862">
        <f t="shared" si="12"/>
        <v>267.30769230769232</v>
      </c>
      <c r="R37" s="862">
        <f t="shared" si="13"/>
        <v>40.096153846153847</v>
      </c>
      <c r="S37" s="864">
        <f>NC_DKDD!G25</f>
        <v>0.05</v>
      </c>
      <c r="T37" s="845">
        <f>'[1]1,DG-capmoi'!N35</f>
        <v>0</v>
      </c>
      <c r="U37" s="845">
        <f t="shared" si="2"/>
        <v>0</v>
      </c>
    </row>
    <row r="38" spans="1:21" s="855" customFormat="1" ht="23.25" customHeight="1">
      <c r="A38" s="832" t="s">
        <v>608</v>
      </c>
      <c r="B38" s="827" t="s">
        <v>36</v>
      </c>
      <c r="C38" s="823" t="s">
        <v>281</v>
      </c>
      <c r="D38" s="858" t="s">
        <v>370</v>
      </c>
      <c r="E38" s="859" t="e">
        <f>NC_DKDD!H26</f>
        <v>#VALUE!</v>
      </c>
      <c r="F38" s="859"/>
      <c r="G38" s="860">
        <f t="shared" si="10"/>
        <v>0</v>
      </c>
      <c r="H38" s="861"/>
      <c r="I38" s="843"/>
      <c r="J38" s="843"/>
      <c r="K38" s="843"/>
      <c r="L38" s="844"/>
      <c r="M38" s="844"/>
      <c r="N38" s="844"/>
      <c r="O38" s="844"/>
      <c r="P38" s="859">
        <f t="shared" si="11"/>
        <v>245.92307692307691</v>
      </c>
      <c r="Q38" s="862">
        <f t="shared" si="12"/>
        <v>213.84615384615384</v>
      </c>
      <c r="R38" s="862">
        <f t="shared" si="13"/>
        <v>32.07692307692308</v>
      </c>
      <c r="S38" s="864">
        <f>NC_DKDD!G26</f>
        <v>0.04</v>
      </c>
      <c r="T38" s="845">
        <f>'[1]1,DG-capmoi'!N36</f>
        <v>0</v>
      </c>
      <c r="U38" s="845">
        <f t="shared" si="2"/>
        <v>0</v>
      </c>
    </row>
    <row r="39" spans="1:21" s="855" customFormat="1" ht="33" customHeight="1">
      <c r="A39" s="832">
        <v>6</v>
      </c>
      <c r="B39" s="827" t="s">
        <v>341</v>
      </c>
      <c r="C39" s="823" t="s">
        <v>523</v>
      </c>
      <c r="D39" s="858" t="s">
        <v>370</v>
      </c>
      <c r="E39" s="859" t="e">
        <f>NC_DKDD!H27</f>
        <v>#VALUE!</v>
      </c>
      <c r="F39" s="859"/>
      <c r="G39" s="860">
        <f t="shared" si="10"/>
        <v>0</v>
      </c>
      <c r="H39" s="861"/>
      <c r="I39" s="843"/>
      <c r="J39" s="843"/>
      <c r="K39" s="843"/>
      <c r="L39" s="844"/>
      <c r="M39" s="844"/>
      <c r="N39" s="844"/>
      <c r="O39" s="844"/>
      <c r="P39" s="859">
        <f t="shared" si="11"/>
        <v>18.444230769230767</v>
      </c>
      <c r="Q39" s="862">
        <f t="shared" si="12"/>
        <v>16.038461538461537</v>
      </c>
      <c r="R39" s="862">
        <f t="shared" si="13"/>
        <v>2.4057692307692307</v>
      </c>
      <c r="S39" s="864">
        <f>NC_DKDD!G27</f>
        <v>3.0000000000000001E-3</v>
      </c>
      <c r="T39" s="845">
        <f>'[1]1,DG-capmoi'!N37</f>
        <v>0</v>
      </c>
      <c r="U39" s="845">
        <f t="shared" si="2"/>
        <v>0</v>
      </c>
    </row>
    <row r="40" spans="1:21" s="855" customFormat="1" ht="30" customHeight="1">
      <c r="A40" s="832">
        <v>7</v>
      </c>
      <c r="B40" s="827" t="s">
        <v>855</v>
      </c>
      <c r="C40" s="823" t="s">
        <v>281</v>
      </c>
      <c r="D40" s="858" t="s">
        <v>370</v>
      </c>
      <c r="E40" s="859" t="e">
        <f>NC_DKDD!H28</f>
        <v>#VALUE!</v>
      </c>
      <c r="F40" s="859"/>
      <c r="G40" s="860">
        <f t="shared" si="10"/>
        <v>0</v>
      </c>
      <c r="H40" s="861"/>
      <c r="I40" s="843"/>
      <c r="J40" s="843"/>
      <c r="K40" s="843"/>
      <c r="L40" s="844"/>
      <c r="M40" s="844"/>
      <c r="N40" s="844"/>
      <c r="O40" s="844"/>
      <c r="P40" s="859">
        <f t="shared" si="11"/>
        <v>79.924999999999983</v>
      </c>
      <c r="Q40" s="862">
        <f t="shared" si="12"/>
        <v>69.499999999999986</v>
      </c>
      <c r="R40" s="862">
        <f t="shared" si="13"/>
        <v>10.424999999999999</v>
      </c>
      <c r="S40" s="864">
        <f>NC_DKDD!G28</f>
        <v>1.2999999999999999E-2</v>
      </c>
      <c r="T40" s="845">
        <f>'[1]1,DG-capmoi'!N38</f>
        <v>0</v>
      </c>
      <c r="U40" s="845">
        <f t="shared" si="2"/>
        <v>0</v>
      </c>
    </row>
    <row r="41" spans="1:21" s="855" customFormat="1" ht="31.5" customHeight="1">
      <c r="A41" s="832">
        <v>8</v>
      </c>
      <c r="B41" s="827" t="s">
        <v>348</v>
      </c>
      <c r="C41" s="823"/>
      <c r="D41" s="823"/>
      <c r="E41" s="859">
        <f>NC_DKDD!H29</f>
        <v>0</v>
      </c>
      <c r="F41" s="859"/>
      <c r="G41" s="860">
        <f t="shared" si="10"/>
        <v>0</v>
      </c>
      <c r="H41" s="861"/>
      <c r="I41" s="843"/>
      <c r="J41" s="843"/>
      <c r="K41" s="843"/>
      <c r="L41" s="844"/>
      <c r="M41" s="844"/>
      <c r="N41" s="844"/>
      <c r="O41" s="844"/>
      <c r="P41" s="859">
        <f t="shared" si="11"/>
        <v>0</v>
      </c>
      <c r="Q41" s="862">
        <f t="shared" si="12"/>
        <v>0</v>
      </c>
      <c r="R41" s="862">
        <f t="shared" si="13"/>
        <v>0</v>
      </c>
      <c r="S41" s="864">
        <f>NC_DKDD!G29</f>
        <v>0</v>
      </c>
      <c r="T41" s="845">
        <f>'[1]1,DG-capmoi'!N39</f>
        <v>0</v>
      </c>
      <c r="U41" s="845">
        <f t="shared" si="2"/>
        <v>0</v>
      </c>
    </row>
    <row r="42" spans="1:21" s="855" customFormat="1" ht="20.25" customHeight="1">
      <c r="A42" s="832" t="s">
        <v>374</v>
      </c>
      <c r="B42" s="827" t="s">
        <v>33</v>
      </c>
      <c r="C42" s="823" t="s">
        <v>281</v>
      </c>
      <c r="D42" s="858" t="s">
        <v>370</v>
      </c>
      <c r="E42" s="859" t="e">
        <f>NC_DKDD!H30</f>
        <v>#VALUE!</v>
      </c>
      <c r="F42" s="859"/>
      <c r="G42" s="860">
        <f t="shared" si="10"/>
        <v>0</v>
      </c>
      <c r="H42" s="861"/>
      <c r="I42" s="843"/>
      <c r="J42" s="843"/>
      <c r="K42" s="843"/>
      <c r="L42" s="844"/>
      <c r="M42" s="844"/>
      <c r="N42" s="844"/>
      <c r="O42" s="844"/>
      <c r="P42" s="859">
        <f t="shared" si="11"/>
        <v>92.22115384615384</v>
      </c>
      <c r="Q42" s="862">
        <f t="shared" si="12"/>
        <v>80.192307692307679</v>
      </c>
      <c r="R42" s="862">
        <f t="shared" si="13"/>
        <v>12.028846153846153</v>
      </c>
      <c r="S42" s="864">
        <f>NC_DKDD!G30</f>
        <v>1.4999999999999999E-2</v>
      </c>
      <c r="T42" s="845">
        <f>'[1]1,DG-capmoi'!N40</f>
        <v>0</v>
      </c>
      <c r="U42" s="845">
        <f t="shared" si="2"/>
        <v>0</v>
      </c>
    </row>
    <row r="43" spans="1:21" s="855" customFormat="1" ht="20.25" customHeight="1">
      <c r="A43" s="832" t="s">
        <v>375</v>
      </c>
      <c r="B43" s="827" t="s">
        <v>36</v>
      </c>
      <c r="C43" s="823" t="s">
        <v>281</v>
      </c>
      <c r="D43" s="858" t="s">
        <v>370</v>
      </c>
      <c r="E43" s="859" t="e">
        <f>NC_DKDD!H31</f>
        <v>#VALUE!</v>
      </c>
      <c r="F43" s="859"/>
      <c r="G43" s="860">
        <f t="shared" si="10"/>
        <v>0</v>
      </c>
      <c r="H43" s="861"/>
      <c r="I43" s="843"/>
      <c r="J43" s="843"/>
      <c r="K43" s="843"/>
      <c r="L43" s="844"/>
      <c r="M43" s="844"/>
      <c r="N43" s="844"/>
      <c r="O43" s="844"/>
      <c r="P43" s="859">
        <f t="shared" si="11"/>
        <v>61.480769230769226</v>
      </c>
      <c r="Q43" s="862">
        <f t="shared" si="12"/>
        <v>53.46153846153846</v>
      </c>
      <c r="R43" s="862">
        <f t="shared" si="13"/>
        <v>8.0192307692307701</v>
      </c>
      <c r="S43" s="864">
        <f>NC_DKDD!G31</f>
        <v>0.01</v>
      </c>
      <c r="T43" s="845">
        <f>'[1]1,DG-capmoi'!N41</f>
        <v>0</v>
      </c>
      <c r="U43" s="845">
        <f t="shared" si="2"/>
        <v>0</v>
      </c>
    </row>
    <row r="44" spans="1:21" s="855" customFormat="1" ht="26.25" customHeight="1">
      <c r="A44" s="832">
        <v>9</v>
      </c>
      <c r="B44" s="827" t="s">
        <v>856</v>
      </c>
      <c r="C44" s="823" t="s">
        <v>281</v>
      </c>
      <c r="D44" s="858" t="s">
        <v>370</v>
      </c>
      <c r="E44" s="859" t="e">
        <f>NC_DKDD!H32</f>
        <v>#VALUE!</v>
      </c>
      <c r="F44" s="859"/>
      <c r="G44" s="860">
        <f t="shared" si="10"/>
        <v>0</v>
      </c>
      <c r="H44" s="861"/>
      <c r="I44" s="843"/>
      <c r="J44" s="843"/>
      <c r="K44" s="843"/>
      <c r="L44" s="844"/>
      <c r="M44" s="844"/>
      <c r="N44" s="844"/>
      <c r="O44" s="844"/>
      <c r="P44" s="859">
        <f t="shared" si="11"/>
        <v>307.40384615384619</v>
      </c>
      <c r="Q44" s="862">
        <f t="shared" si="12"/>
        <v>267.30769230769232</v>
      </c>
      <c r="R44" s="862">
        <f t="shared" si="13"/>
        <v>40.096153846153847</v>
      </c>
      <c r="S44" s="864">
        <f>NC_DKDD!G32</f>
        <v>0.05</v>
      </c>
      <c r="T44" s="845">
        <f>'[1]1,DG-capmoi'!N42</f>
        <v>0</v>
      </c>
      <c r="U44" s="845">
        <f t="shared" si="2"/>
        <v>0</v>
      </c>
    </row>
    <row r="45" spans="1:21" s="855" customFormat="1" ht="57">
      <c r="A45" s="832">
        <v>10</v>
      </c>
      <c r="B45" s="827" t="s">
        <v>857</v>
      </c>
      <c r="C45" s="823" t="s">
        <v>281</v>
      </c>
      <c r="D45" s="858" t="s">
        <v>370</v>
      </c>
      <c r="E45" s="859" t="e">
        <f>NC_DKDD!H33</f>
        <v>#VALUE!</v>
      </c>
      <c r="F45" s="859"/>
      <c r="G45" s="860">
        <f t="shared" si="10"/>
        <v>0</v>
      </c>
      <c r="H45" s="861"/>
      <c r="I45" s="843"/>
      <c r="J45" s="843"/>
      <c r="K45" s="843"/>
      <c r="L45" s="844"/>
      <c r="M45" s="844"/>
      <c r="N45" s="844"/>
      <c r="O45" s="844"/>
      <c r="P45" s="859">
        <f t="shared" si="11"/>
        <v>122.96153846153845</v>
      </c>
      <c r="Q45" s="862">
        <f t="shared" si="12"/>
        <v>106.92307692307692</v>
      </c>
      <c r="R45" s="862">
        <f t="shared" si="13"/>
        <v>16.03846153846154</v>
      </c>
      <c r="S45" s="864">
        <f>NC_DKDD!G33</f>
        <v>0.02</v>
      </c>
      <c r="T45" s="845">
        <f>'[1]1,DG-capmoi'!N43</f>
        <v>0</v>
      </c>
      <c r="U45" s="845">
        <f t="shared" si="2"/>
        <v>0</v>
      </c>
    </row>
    <row r="46" spans="1:21" s="855" customFormat="1" ht="57.75" customHeight="1">
      <c r="A46" s="832">
        <v>11</v>
      </c>
      <c r="B46" s="827" t="s">
        <v>764</v>
      </c>
      <c r="C46" s="823" t="s">
        <v>281</v>
      </c>
      <c r="D46" s="858" t="s">
        <v>370</v>
      </c>
      <c r="E46" s="859" t="e">
        <f>NC_DKDD!H34</f>
        <v>#VALUE!</v>
      </c>
      <c r="F46" s="859"/>
      <c r="G46" s="860">
        <f t="shared" si="10"/>
        <v>0</v>
      </c>
      <c r="H46" s="861"/>
      <c r="I46" s="843"/>
      <c r="J46" s="843"/>
      <c r="K46" s="843"/>
      <c r="L46" s="844"/>
      <c r="M46" s="844"/>
      <c r="N46" s="844"/>
      <c r="O46" s="844"/>
      <c r="P46" s="859">
        <f t="shared" si="11"/>
        <v>122.96153846153845</v>
      </c>
      <c r="Q46" s="862">
        <f t="shared" si="12"/>
        <v>106.92307692307692</v>
      </c>
      <c r="R46" s="862">
        <f t="shared" si="13"/>
        <v>16.03846153846154</v>
      </c>
      <c r="S46" s="864">
        <f>NC_DKDD!G34</f>
        <v>0.02</v>
      </c>
      <c r="T46" s="845">
        <f>'[1]1,DG-capmoi'!N44</f>
        <v>0</v>
      </c>
      <c r="U46" s="845">
        <f t="shared" si="2"/>
        <v>0</v>
      </c>
    </row>
    <row r="47" spans="1:21" s="855" customFormat="1" ht="32.25" customHeight="1">
      <c r="A47" s="832"/>
      <c r="B47" s="868" t="s">
        <v>765</v>
      </c>
      <c r="C47" s="823"/>
      <c r="D47" s="858"/>
      <c r="E47" s="859"/>
      <c r="F47" s="859"/>
      <c r="G47" s="860"/>
      <c r="H47" s="861"/>
      <c r="I47" s="843"/>
      <c r="J47" s="843"/>
      <c r="K47" s="843"/>
      <c r="L47" s="844"/>
      <c r="M47" s="844"/>
      <c r="N47" s="844"/>
      <c r="O47" s="844"/>
      <c r="P47" s="844"/>
      <c r="Q47" s="862"/>
      <c r="R47" s="862"/>
      <c r="S47" s="864"/>
      <c r="T47" s="845">
        <f>'[1]1,DG-capmoi'!N45</f>
        <v>0</v>
      </c>
      <c r="U47" s="845">
        <f t="shared" si="2"/>
        <v>0</v>
      </c>
    </row>
    <row r="48" spans="1:21" s="855" customFormat="1" ht="22.5" customHeight="1">
      <c r="A48" s="869" t="s">
        <v>667</v>
      </c>
      <c r="B48" s="868" t="s">
        <v>451</v>
      </c>
      <c r="C48" s="823" t="s">
        <v>281</v>
      </c>
      <c r="D48" s="858" t="s">
        <v>370</v>
      </c>
      <c r="E48" s="870" t="e">
        <f>E51+E53+E54+E55+E57+E61+E63+E65+E68+E70+E71+E72+E75+E76+E77+E78+E79+E80</f>
        <v>#VALUE!</v>
      </c>
      <c r="F48" s="859"/>
      <c r="G48" s="860">
        <f t="shared" si="10"/>
        <v>0</v>
      </c>
      <c r="H48" s="861">
        <f>'Dcu-DKDD'!J28/8000</f>
        <v>0.31491246284054486</v>
      </c>
      <c r="I48" s="843">
        <f>'VL-DKDD'!H31/8000</f>
        <v>1.9610775</v>
      </c>
      <c r="J48" s="843">
        <f>'TB-DKDD'!K14/8000</f>
        <v>0.27631749999999999</v>
      </c>
      <c r="K48" s="843">
        <f>'NL-DKDD'!H9/8000</f>
        <v>0.54234599999999999</v>
      </c>
      <c r="L48" s="844" t="e">
        <f>SUM(E48:K48)</f>
        <v>#VALUE!</v>
      </c>
      <c r="M48" s="844" t="e">
        <f>L48*'He so chung'!$D$17/100</f>
        <v>#VALUE!</v>
      </c>
      <c r="N48" s="844" t="e">
        <f>L48+M48</f>
        <v>#VALUE!</v>
      </c>
      <c r="O48" s="844"/>
      <c r="P48" s="870">
        <f>P51+P53+P54+P55+P57+P61+P63+P65+P68+P70+P71+P72+P75+P76+P77+P78+P79+P80</f>
        <v>3891.7326923076921</v>
      </c>
      <c r="Q48" s="862">
        <f t="shared" si="12"/>
        <v>3384.1153846153848</v>
      </c>
      <c r="R48" s="862">
        <f t="shared" si="13"/>
        <v>507.6173076923078</v>
      </c>
      <c r="S48" s="871">
        <f>S51+S53+S54+S55+S57+S61+S63+S65+S68+S70+S71+S72+S75+S76+S77+S78+S79+S80</f>
        <v>0.63300000000000012</v>
      </c>
      <c r="T48" s="845">
        <f>'[1]1,DG-capmoi'!N46</f>
        <v>136678.49970340531</v>
      </c>
      <c r="U48" s="845" t="e">
        <f t="shared" si="2"/>
        <v>#VALUE!</v>
      </c>
    </row>
    <row r="49" spans="1:21" s="855" customFormat="1" ht="22.5" customHeight="1">
      <c r="A49" s="869" t="s">
        <v>668</v>
      </c>
      <c r="B49" s="868" t="s">
        <v>452</v>
      </c>
      <c r="C49" s="823" t="s">
        <v>281</v>
      </c>
      <c r="D49" s="858" t="s">
        <v>370</v>
      </c>
      <c r="E49" s="870" t="e">
        <f>E52+E53+E54+E55+E57+E60+E64+E65+E68+E70+E71+E72+E75+E76+E77+E78+E79+E80</f>
        <v>#VALUE!</v>
      </c>
      <c r="F49" s="859"/>
      <c r="G49" s="860"/>
      <c r="H49" s="861">
        <f>H48</f>
        <v>0.31491246284054486</v>
      </c>
      <c r="I49" s="843">
        <f t="shared" ref="I49:N49" si="14">I48</f>
        <v>1.9610775</v>
      </c>
      <c r="J49" s="843">
        <f t="shared" si="14"/>
        <v>0.27631749999999999</v>
      </c>
      <c r="K49" s="843">
        <f t="shared" si="14"/>
        <v>0.54234599999999999</v>
      </c>
      <c r="L49" s="859" t="e">
        <f t="shared" si="14"/>
        <v>#VALUE!</v>
      </c>
      <c r="M49" s="859" t="e">
        <f t="shared" si="14"/>
        <v>#VALUE!</v>
      </c>
      <c r="N49" s="859" t="e">
        <f t="shared" si="14"/>
        <v>#VALUE!</v>
      </c>
      <c r="O49" s="861"/>
      <c r="P49" s="870">
        <f>P52+P53+P54+P55+P57+P60+P64+P65+P68+P70+P71+P72+P75+P76+P77+P78+P79+P80</f>
        <v>3676.5499999999997</v>
      </c>
      <c r="Q49" s="862">
        <f>S49*$Q$15</f>
        <v>3197.0000000000009</v>
      </c>
      <c r="R49" s="862">
        <f>S49*$R$15</f>
        <v>479.55000000000013</v>
      </c>
      <c r="S49" s="871">
        <f>S52+S53+S54+S55+S57+S60+S64+S65+S68+S70+S71+S72+S75+S76+S77+S78+S79+S80</f>
        <v>0.5980000000000002</v>
      </c>
      <c r="T49" s="845">
        <f>'[1]1,DG-capmoi'!N47</f>
        <v>136678.49970340531</v>
      </c>
      <c r="U49" s="845" t="e">
        <f t="shared" si="2"/>
        <v>#VALUE!</v>
      </c>
    </row>
    <row r="50" spans="1:21" s="855" customFormat="1" ht="30.75" customHeight="1">
      <c r="A50" s="832">
        <v>1</v>
      </c>
      <c r="B50" s="827" t="s">
        <v>766</v>
      </c>
      <c r="C50" s="823"/>
      <c r="D50" s="823"/>
      <c r="E50" s="859"/>
      <c r="F50" s="859"/>
      <c r="G50" s="860">
        <f t="shared" si="10"/>
        <v>0</v>
      </c>
      <c r="H50" s="861"/>
      <c r="I50" s="843"/>
      <c r="J50" s="843"/>
      <c r="K50" s="843"/>
      <c r="L50" s="844"/>
      <c r="M50" s="844"/>
      <c r="N50" s="844"/>
      <c r="O50" s="844"/>
      <c r="P50" s="859">
        <f t="shared" si="11"/>
        <v>0</v>
      </c>
      <c r="Q50" s="862">
        <f t="shared" si="12"/>
        <v>0</v>
      </c>
      <c r="R50" s="862">
        <f t="shared" si="13"/>
        <v>0</v>
      </c>
      <c r="S50" s="864">
        <f>NC_DKDD!G36</f>
        <v>0</v>
      </c>
      <c r="T50" s="845">
        <f>'[1]1,DG-capmoi'!N48</f>
        <v>0</v>
      </c>
      <c r="U50" s="845">
        <f t="shared" si="2"/>
        <v>0</v>
      </c>
    </row>
    <row r="51" spans="1:21" s="855" customFormat="1" ht="23.25" customHeight="1">
      <c r="A51" s="832" t="s">
        <v>891</v>
      </c>
      <c r="B51" s="827" t="s">
        <v>33</v>
      </c>
      <c r="C51" s="823" t="s">
        <v>281</v>
      </c>
      <c r="D51" s="858" t="s">
        <v>370</v>
      </c>
      <c r="E51" s="859" t="e">
        <f>NC_DKDD!H37</f>
        <v>#VALUE!</v>
      </c>
      <c r="F51" s="859"/>
      <c r="G51" s="860">
        <f t="shared" si="10"/>
        <v>0</v>
      </c>
      <c r="H51" s="861"/>
      <c r="I51" s="843"/>
      <c r="J51" s="843"/>
      <c r="K51" s="843"/>
      <c r="L51" s="844"/>
      <c r="M51" s="844"/>
      <c r="N51" s="844"/>
      <c r="O51" s="844"/>
      <c r="P51" s="859">
        <f t="shared" si="11"/>
        <v>245.92307692307691</v>
      </c>
      <c r="Q51" s="862">
        <f t="shared" si="12"/>
        <v>213.84615384615384</v>
      </c>
      <c r="R51" s="862">
        <f t="shared" si="13"/>
        <v>32.07692307692308</v>
      </c>
      <c r="S51" s="864">
        <f>NC_DKDD!G37</f>
        <v>0.04</v>
      </c>
      <c r="T51" s="845">
        <f>'[1]1,DG-capmoi'!N49</f>
        <v>0</v>
      </c>
      <c r="U51" s="845">
        <f t="shared" si="2"/>
        <v>0</v>
      </c>
    </row>
    <row r="52" spans="1:21" s="855" customFormat="1" ht="23.25" customHeight="1">
      <c r="A52" s="832" t="s">
        <v>899</v>
      </c>
      <c r="B52" s="827" t="s">
        <v>36</v>
      </c>
      <c r="C52" s="823" t="s">
        <v>281</v>
      </c>
      <c r="D52" s="858" t="s">
        <v>370</v>
      </c>
      <c r="E52" s="859" t="e">
        <f>NC_DKDD!H38</f>
        <v>#VALUE!</v>
      </c>
      <c r="F52" s="859"/>
      <c r="G52" s="860">
        <f t="shared" si="10"/>
        <v>0</v>
      </c>
      <c r="H52" s="861"/>
      <c r="I52" s="843"/>
      <c r="J52" s="843"/>
      <c r="K52" s="843"/>
      <c r="L52" s="844"/>
      <c r="M52" s="844"/>
      <c r="N52" s="844"/>
      <c r="O52" s="844"/>
      <c r="P52" s="859">
        <f t="shared" si="11"/>
        <v>153.70192307692309</v>
      </c>
      <c r="Q52" s="862">
        <f t="shared" si="12"/>
        <v>133.65384615384616</v>
      </c>
      <c r="R52" s="862">
        <f t="shared" si="13"/>
        <v>20.048076923076923</v>
      </c>
      <c r="S52" s="864">
        <f>NC_DKDD!G38</f>
        <v>2.5000000000000001E-2</v>
      </c>
      <c r="T52" s="845">
        <f>'[1]1,DG-capmoi'!N50</f>
        <v>0</v>
      </c>
      <c r="U52" s="845">
        <f t="shared" si="2"/>
        <v>0</v>
      </c>
    </row>
    <row r="53" spans="1:21" s="855" customFormat="1" ht="35.25" customHeight="1">
      <c r="A53" s="832">
        <v>2</v>
      </c>
      <c r="B53" s="827" t="s">
        <v>767</v>
      </c>
      <c r="C53" s="823" t="s">
        <v>281</v>
      </c>
      <c r="D53" s="858" t="s">
        <v>370</v>
      </c>
      <c r="E53" s="859" t="e">
        <f>NC_DKDD!H39</f>
        <v>#VALUE!</v>
      </c>
      <c r="F53" s="859"/>
      <c r="G53" s="860">
        <f t="shared" si="10"/>
        <v>0</v>
      </c>
      <c r="H53" s="861"/>
      <c r="I53" s="843"/>
      <c r="J53" s="843"/>
      <c r="K53" s="843"/>
      <c r="L53" s="844"/>
      <c r="M53" s="844"/>
      <c r="N53" s="844"/>
      <c r="O53" s="844"/>
      <c r="P53" s="859">
        <f t="shared" si="11"/>
        <v>122.96153846153845</v>
      </c>
      <c r="Q53" s="862">
        <f t="shared" si="12"/>
        <v>106.92307692307692</v>
      </c>
      <c r="R53" s="862">
        <f t="shared" si="13"/>
        <v>16.03846153846154</v>
      </c>
      <c r="S53" s="864">
        <f>NC_DKDD!G39</f>
        <v>0.02</v>
      </c>
      <c r="T53" s="845">
        <f>'[1]1,DG-capmoi'!N51</f>
        <v>0</v>
      </c>
      <c r="U53" s="845">
        <f t="shared" ref="U53:U117" si="15">T53-N53</f>
        <v>0</v>
      </c>
    </row>
    <row r="54" spans="1:21" s="855" customFormat="1" ht="47.25" customHeight="1">
      <c r="A54" s="832">
        <v>3</v>
      </c>
      <c r="B54" s="827" t="s">
        <v>768</v>
      </c>
      <c r="C54" s="823" t="s">
        <v>281</v>
      </c>
      <c r="D54" s="858" t="s">
        <v>370</v>
      </c>
      <c r="E54" s="859" t="e">
        <f>NC_DKDD!H40</f>
        <v>#VALUE!</v>
      </c>
      <c r="F54" s="859"/>
      <c r="G54" s="860">
        <f t="shared" si="10"/>
        <v>0</v>
      </c>
      <c r="H54" s="861"/>
      <c r="I54" s="843"/>
      <c r="J54" s="843"/>
      <c r="K54" s="843"/>
      <c r="L54" s="844"/>
      <c r="M54" s="844"/>
      <c r="N54" s="844"/>
      <c r="O54" s="844"/>
      <c r="P54" s="859">
        <f>Q54+R54</f>
        <v>1229.6153846153848</v>
      </c>
      <c r="Q54" s="862">
        <f t="shared" si="12"/>
        <v>1069.2307692307693</v>
      </c>
      <c r="R54" s="862">
        <f t="shared" si="13"/>
        <v>160.38461538461539</v>
      </c>
      <c r="S54" s="864">
        <f>NC_DKDD!G40</f>
        <v>0.2</v>
      </c>
      <c r="T54" s="845">
        <f>'[1]1,DG-capmoi'!N52</f>
        <v>0</v>
      </c>
      <c r="U54" s="845">
        <f t="shared" si="15"/>
        <v>0</v>
      </c>
    </row>
    <row r="55" spans="1:21" s="855" customFormat="1" ht="35.25" customHeight="1">
      <c r="A55" s="832">
        <v>4</v>
      </c>
      <c r="B55" s="827" t="s">
        <v>69</v>
      </c>
      <c r="C55" s="823" t="s">
        <v>523</v>
      </c>
      <c r="D55" s="858" t="s">
        <v>370</v>
      </c>
      <c r="E55" s="859" t="e">
        <f>NC_DKDD!H41</f>
        <v>#VALUE!</v>
      </c>
      <c r="F55" s="859"/>
      <c r="G55" s="860">
        <f t="shared" si="10"/>
        <v>0</v>
      </c>
      <c r="H55" s="861"/>
      <c r="I55" s="843"/>
      <c r="J55" s="843"/>
      <c r="K55" s="843"/>
      <c r="L55" s="844"/>
      <c r="M55" s="844"/>
      <c r="N55" s="844"/>
      <c r="O55" s="844"/>
      <c r="P55" s="859">
        <f t="shared" si="11"/>
        <v>36.888461538461534</v>
      </c>
      <c r="Q55" s="862">
        <f t="shared" si="12"/>
        <v>32.076923076923073</v>
      </c>
      <c r="R55" s="862">
        <f t="shared" si="13"/>
        <v>4.8115384615384613</v>
      </c>
      <c r="S55" s="864">
        <f>NC_DKDD!G41</f>
        <v>6.0000000000000001E-3</v>
      </c>
      <c r="T55" s="845">
        <f>'[1]1,DG-capmoi'!N53</f>
        <v>0</v>
      </c>
      <c r="U55" s="845">
        <f t="shared" si="15"/>
        <v>0</v>
      </c>
    </row>
    <row r="56" spans="1:21" s="855" customFormat="1" ht="21" customHeight="1">
      <c r="A56" s="832">
        <v>5</v>
      </c>
      <c r="B56" s="827" t="s">
        <v>660</v>
      </c>
      <c r="C56" s="823"/>
      <c r="D56" s="872"/>
      <c r="E56" s="859">
        <f>NC_DKDD!H42</f>
        <v>0</v>
      </c>
      <c r="F56" s="859"/>
      <c r="G56" s="860">
        <f t="shared" si="10"/>
        <v>0</v>
      </c>
      <c r="H56" s="861"/>
      <c r="I56" s="843"/>
      <c r="J56" s="843"/>
      <c r="K56" s="843"/>
      <c r="L56" s="844"/>
      <c r="M56" s="844"/>
      <c r="N56" s="844"/>
      <c r="O56" s="844"/>
      <c r="P56" s="859">
        <f t="shared" si="11"/>
        <v>0</v>
      </c>
      <c r="Q56" s="862">
        <f t="shared" si="12"/>
        <v>0</v>
      </c>
      <c r="R56" s="862">
        <f t="shared" si="13"/>
        <v>0</v>
      </c>
      <c r="S56" s="864">
        <f>NC_DKDD!G42</f>
        <v>0</v>
      </c>
      <c r="T56" s="845">
        <f>'[1]1,DG-capmoi'!N54</f>
        <v>0</v>
      </c>
      <c r="U56" s="845">
        <f t="shared" si="15"/>
        <v>0</v>
      </c>
    </row>
    <row r="57" spans="1:21" s="855" customFormat="1" ht="21" customHeight="1">
      <c r="A57" s="832" t="s">
        <v>607</v>
      </c>
      <c r="B57" s="827" t="s">
        <v>770</v>
      </c>
      <c r="C57" s="823" t="s">
        <v>523</v>
      </c>
      <c r="D57" s="858" t="s">
        <v>370</v>
      </c>
      <c r="E57" s="859" t="e">
        <f>NC_DKDD!H43</f>
        <v>#VALUE!</v>
      </c>
      <c r="F57" s="859"/>
      <c r="G57" s="860">
        <f t="shared" si="10"/>
        <v>0</v>
      </c>
      <c r="H57" s="861"/>
      <c r="I57" s="843"/>
      <c r="J57" s="843"/>
      <c r="K57" s="843"/>
      <c r="L57" s="844"/>
      <c r="M57" s="844"/>
      <c r="N57" s="844"/>
      <c r="O57" s="844"/>
      <c r="P57" s="859">
        <f t="shared" si="11"/>
        <v>153.70192307692309</v>
      </c>
      <c r="Q57" s="862">
        <f t="shared" si="12"/>
        <v>133.65384615384616</v>
      </c>
      <c r="R57" s="862">
        <f t="shared" si="13"/>
        <v>20.048076923076923</v>
      </c>
      <c r="S57" s="873">
        <f>NC_DKDD!G43</f>
        <v>2.5000000000000001E-2</v>
      </c>
      <c r="T57" s="845">
        <f>'[1]1,DG-capmoi'!N55</f>
        <v>0</v>
      </c>
      <c r="U57" s="845">
        <f t="shared" si="15"/>
        <v>0</v>
      </c>
    </row>
    <row r="58" spans="1:21" s="855" customFormat="1" ht="21" customHeight="1">
      <c r="A58" s="832" t="s">
        <v>608</v>
      </c>
      <c r="B58" s="827" t="s">
        <v>771</v>
      </c>
      <c r="C58" s="823" t="s">
        <v>523</v>
      </c>
      <c r="D58" s="858" t="s">
        <v>370</v>
      </c>
      <c r="E58" s="859" t="e">
        <f>NC_DKDD!H44</f>
        <v>#VALUE!</v>
      </c>
      <c r="F58" s="859"/>
      <c r="G58" s="860">
        <f t="shared" si="10"/>
        <v>0</v>
      </c>
      <c r="H58" s="861"/>
      <c r="I58" s="843"/>
      <c r="J58" s="843"/>
      <c r="K58" s="843"/>
      <c r="L58" s="844"/>
      <c r="M58" s="844"/>
      <c r="N58" s="844"/>
      <c r="O58" s="844"/>
      <c r="P58" s="859">
        <f t="shared" si="11"/>
        <v>307.40384615384619</v>
      </c>
      <c r="Q58" s="862">
        <f t="shared" si="12"/>
        <v>267.30769230769232</v>
      </c>
      <c r="R58" s="862">
        <f t="shared" si="13"/>
        <v>40.096153846153847</v>
      </c>
      <c r="S58" s="873">
        <f>NC_DKDD!G44</f>
        <v>0.05</v>
      </c>
      <c r="T58" s="845">
        <f>'[1]1,DG-capmoi'!N56</f>
        <v>0</v>
      </c>
      <c r="U58" s="845">
        <f t="shared" si="15"/>
        <v>0</v>
      </c>
    </row>
    <row r="59" spans="1:21" s="855" customFormat="1" ht="42.75">
      <c r="A59" s="832">
        <v>6</v>
      </c>
      <c r="B59" s="827" t="s">
        <v>772</v>
      </c>
      <c r="C59" s="823"/>
      <c r="D59" s="823"/>
      <c r="E59" s="859">
        <f>NC_DKDD!H45</f>
        <v>0</v>
      </c>
      <c r="F59" s="859"/>
      <c r="G59" s="860">
        <f t="shared" si="10"/>
        <v>0</v>
      </c>
      <c r="H59" s="861"/>
      <c r="I59" s="843"/>
      <c r="J59" s="843"/>
      <c r="K59" s="843"/>
      <c r="L59" s="844"/>
      <c r="M59" s="844"/>
      <c r="N59" s="844"/>
      <c r="O59" s="844"/>
      <c r="P59" s="859">
        <f t="shared" si="11"/>
        <v>0</v>
      </c>
      <c r="Q59" s="862">
        <f t="shared" si="12"/>
        <v>0</v>
      </c>
      <c r="R59" s="862">
        <f t="shared" si="13"/>
        <v>0</v>
      </c>
      <c r="S59" s="873">
        <f>NC_DKDD!G45</f>
        <v>0</v>
      </c>
      <c r="T59" s="845">
        <f>'[1]1,DG-capmoi'!N57</f>
        <v>0</v>
      </c>
      <c r="U59" s="845">
        <f t="shared" si="15"/>
        <v>0</v>
      </c>
    </row>
    <row r="60" spans="1:21" s="855" customFormat="1" ht="20.25" customHeight="1">
      <c r="A60" s="832" t="s">
        <v>444</v>
      </c>
      <c r="B60" s="827" t="s">
        <v>773</v>
      </c>
      <c r="C60" s="823" t="s">
        <v>281</v>
      </c>
      <c r="D60" s="858" t="s">
        <v>370</v>
      </c>
      <c r="E60" s="859" t="e">
        <f>NC_DKDD!H46</f>
        <v>#VALUE!</v>
      </c>
      <c r="F60" s="859"/>
      <c r="G60" s="860">
        <f t="shared" si="10"/>
        <v>0</v>
      </c>
      <c r="H60" s="861"/>
      <c r="I60" s="843"/>
      <c r="J60" s="843"/>
      <c r="K60" s="843"/>
      <c r="L60" s="844"/>
      <c r="M60" s="844"/>
      <c r="N60" s="844"/>
      <c r="O60" s="844"/>
      <c r="P60" s="859">
        <f t="shared" si="11"/>
        <v>184.44230769230768</v>
      </c>
      <c r="Q60" s="862">
        <f t="shared" si="12"/>
        <v>160.38461538461536</v>
      </c>
      <c r="R60" s="862">
        <f t="shared" si="13"/>
        <v>24.057692307692307</v>
      </c>
      <c r="S60" s="873">
        <f>NC_DKDD!G46</f>
        <v>0.03</v>
      </c>
      <c r="T60" s="845">
        <f>'[1]1,DG-capmoi'!N58</f>
        <v>0</v>
      </c>
      <c r="U60" s="845">
        <f t="shared" si="15"/>
        <v>0</v>
      </c>
    </row>
    <row r="61" spans="1:21" s="855" customFormat="1" ht="20.25" customHeight="1">
      <c r="A61" s="832" t="s">
        <v>445</v>
      </c>
      <c r="B61" s="827" t="s">
        <v>774</v>
      </c>
      <c r="C61" s="823" t="s">
        <v>281</v>
      </c>
      <c r="D61" s="858" t="s">
        <v>370</v>
      </c>
      <c r="E61" s="859" t="e">
        <f>NC_DKDD!H47</f>
        <v>#VALUE!</v>
      </c>
      <c r="F61" s="859"/>
      <c r="G61" s="860">
        <f t="shared" si="10"/>
        <v>0</v>
      </c>
      <c r="H61" s="861"/>
      <c r="I61" s="843"/>
      <c r="J61" s="843"/>
      <c r="K61" s="843"/>
      <c r="L61" s="844"/>
      <c r="M61" s="844"/>
      <c r="N61" s="844"/>
      <c r="O61" s="844"/>
      <c r="P61" s="859">
        <f t="shared" si="11"/>
        <v>245.92307692307691</v>
      </c>
      <c r="Q61" s="862">
        <f t="shared" si="12"/>
        <v>213.84615384615384</v>
      </c>
      <c r="R61" s="862">
        <f t="shared" si="13"/>
        <v>32.07692307692308</v>
      </c>
      <c r="S61" s="873">
        <f>NC_DKDD!G47</f>
        <v>0.04</v>
      </c>
      <c r="T61" s="845">
        <f>'[1]1,DG-capmoi'!N59</f>
        <v>0</v>
      </c>
      <c r="U61" s="845">
        <f t="shared" si="15"/>
        <v>0</v>
      </c>
    </row>
    <row r="62" spans="1:21" s="855" customFormat="1" ht="42.75">
      <c r="A62" s="832">
        <v>7</v>
      </c>
      <c r="B62" s="827" t="s">
        <v>775</v>
      </c>
      <c r="C62" s="823"/>
      <c r="D62" s="823"/>
      <c r="E62" s="859">
        <f>NC_DKDD!H48</f>
        <v>0</v>
      </c>
      <c r="F62" s="859"/>
      <c r="G62" s="860">
        <f t="shared" si="10"/>
        <v>0</v>
      </c>
      <c r="H62" s="861"/>
      <c r="I62" s="843"/>
      <c r="J62" s="843"/>
      <c r="K62" s="843"/>
      <c r="L62" s="844"/>
      <c r="M62" s="844"/>
      <c r="N62" s="844"/>
      <c r="O62" s="844"/>
      <c r="P62" s="859">
        <f t="shared" si="11"/>
        <v>0</v>
      </c>
      <c r="Q62" s="862">
        <f t="shared" si="12"/>
        <v>0</v>
      </c>
      <c r="R62" s="862">
        <f t="shared" si="13"/>
        <v>0</v>
      </c>
      <c r="S62" s="873">
        <f>NC_DKDD!G48</f>
        <v>0</v>
      </c>
      <c r="T62" s="845">
        <f>'[1]1,DG-capmoi'!N60</f>
        <v>0</v>
      </c>
      <c r="U62" s="845">
        <f t="shared" si="15"/>
        <v>0</v>
      </c>
    </row>
    <row r="63" spans="1:21" s="855" customFormat="1" ht="33" customHeight="1">
      <c r="A63" s="832" t="s">
        <v>872</v>
      </c>
      <c r="B63" s="827" t="s">
        <v>776</v>
      </c>
      <c r="C63" s="823" t="s">
        <v>281</v>
      </c>
      <c r="D63" s="858" t="s">
        <v>370</v>
      </c>
      <c r="E63" s="859" t="e">
        <f>NC_DKDD!H49</f>
        <v>#VALUE!</v>
      </c>
      <c r="F63" s="859"/>
      <c r="G63" s="860">
        <f t="shared" si="10"/>
        <v>0</v>
      </c>
      <c r="H63" s="861"/>
      <c r="I63" s="843"/>
      <c r="J63" s="843"/>
      <c r="K63" s="843"/>
      <c r="L63" s="844"/>
      <c r="M63" s="844"/>
      <c r="N63" s="844"/>
      <c r="O63" s="844"/>
      <c r="P63" s="859">
        <f t="shared" si="11"/>
        <v>245.92307692307691</v>
      </c>
      <c r="Q63" s="862">
        <f t="shared" si="12"/>
        <v>213.84615384615384</v>
      </c>
      <c r="R63" s="862">
        <f t="shared" si="13"/>
        <v>32.07692307692308</v>
      </c>
      <c r="S63" s="864">
        <f>NC_DKDD!G49</f>
        <v>0.04</v>
      </c>
      <c r="T63" s="845">
        <f>'[1]1,DG-capmoi'!N61</f>
        <v>0</v>
      </c>
      <c r="U63" s="845">
        <f t="shared" si="15"/>
        <v>0</v>
      </c>
    </row>
    <row r="64" spans="1:21" s="855" customFormat="1" ht="32.25" customHeight="1">
      <c r="A64" s="832" t="s">
        <v>873</v>
      </c>
      <c r="B64" s="827" t="s">
        <v>777</v>
      </c>
      <c r="C64" s="823" t="s">
        <v>281</v>
      </c>
      <c r="D64" s="858" t="s">
        <v>370</v>
      </c>
      <c r="E64" s="859" t="e">
        <f>NC_DKDD!H50</f>
        <v>#VALUE!</v>
      </c>
      <c r="F64" s="859"/>
      <c r="G64" s="860">
        <f t="shared" si="10"/>
        <v>0</v>
      </c>
      <c r="H64" s="861"/>
      <c r="I64" s="843"/>
      <c r="J64" s="843"/>
      <c r="K64" s="843"/>
      <c r="L64" s="844"/>
      <c r="M64" s="844"/>
      <c r="N64" s="844"/>
      <c r="O64" s="844"/>
      <c r="P64" s="859">
        <f t="shared" si="11"/>
        <v>184.44230769230768</v>
      </c>
      <c r="Q64" s="862">
        <f t="shared" si="12"/>
        <v>160.38461538461536</v>
      </c>
      <c r="R64" s="862">
        <f t="shared" si="13"/>
        <v>24.057692307692307</v>
      </c>
      <c r="S64" s="864">
        <f>NC_DKDD!G50</f>
        <v>0.03</v>
      </c>
      <c r="T64" s="845">
        <f>'[1]1,DG-capmoi'!N62</f>
        <v>0</v>
      </c>
      <c r="U64" s="845">
        <f t="shared" si="15"/>
        <v>0</v>
      </c>
    </row>
    <row r="65" spans="1:21" s="855" customFormat="1" ht="27.75" customHeight="1">
      <c r="A65" s="832">
        <v>8</v>
      </c>
      <c r="B65" s="827" t="s">
        <v>211</v>
      </c>
      <c r="C65" s="823" t="s">
        <v>523</v>
      </c>
      <c r="D65" s="858" t="s">
        <v>370</v>
      </c>
      <c r="E65" s="859" t="e">
        <f>NC_DKDD!H51</f>
        <v>#VALUE!</v>
      </c>
      <c r="F65" s="859"/>
      <c r="G65" s="860">
        <f t="shared" si="10"/>
        <v>0</v>
      </c>
      <c r="H65" s="861"/>
      <c r="I65" s="843"/>
      <c r="J65" s="843"/>
      <c r="K65" s="843"/>
      <c r="L65" s="844"/>
      <c r="M65" s="844"/>
      <c r="N65" s="844"/>
      <c r="O65" s="844"/>
      <c r="P65" s="859">
        <f t="shared" si="11"/>
        <v>184.44230769230768</v>
      </c>
      <c r="Q65" s="862">
        <f t="shared" si="12"/>
        <v>160.38461538461536</v>
      </c>
      <c r="R65" s="862">
        <f t="shared" si="13"/>
        <v>24.057692307692307</v>
      </c>
      <c r="S65" s="864">
        <f>NC_DKDD!G51</f>
        <v>0.03</v>
      </c>
      <c r="T65" s="845">
        <f>'[1]1,DG-capmoi'!N63</f>
        <v>0</v>
      </c>
      <c r="U65" s="845">
        <f t="shared" si="15"/>
        <v>0</v>
      </c>
    </row>
    <row r="66" spans="1:21" s="885" customFormat="1" ht="27" customHeight="1">
      <c r="A66" s="874">
        <v>9</v>
      </c>
      <c r="B66" s="875" t="s">
        <v>978</v>
      </c>
      <c r="C66" s="876" t="s">
        <v>524</v>
      </c>
      <c r="D66" s="877" t="s">
        <v>370</v>
      </c>
      <c r="E66" s="878" t="e">
        <f>NC_DKDD!H52</f>
        <v>#VALUE!</v>
      </c>
      <c r="F66" s="878"/>
      <c r="G66" s="879">
        <f t="shared" si="10"/>
        <v>0</v>
      </c>
      <c r="H66" s="880"/>
      <c r="I66" s="881"/>
      <c r="J66" s="881"/>
      <c r="K66" s="881"/>
      <c r="L66" s="882"/>
      <c r="M66" s="882"/>
      <c r="N66" s="882"/>
      <c r="O66" s="882"/>
      <c r="P66" s="878">
        <f t="shared" si="11"/>
        <v>1229.6153846153848</v>
      </c>
      <c r="Q66" s="883">
        <f t="shared" si="12"/>
        <v>1069.2307692307693</v>
      </c>
      <c r="R66" s="883">
        <f t="shared" si="13"/>
        <v>160.38461538461539</v>
      </c>
      <c r="S66" s="884">
        <f>NC_DKDD!G52</f>
        <v>0.2</v>
      </c>
      <c r="T66" s="845">
        <f>'[1]1,DG-capmoi'!N64</f>
        <v>0</v>
      </c>
      <c r="U66" s="845">
        <f t="shared" si="15"/>
        <v>0</v>
      </c>
    </row>
    <row r="67" spans="1:21" s="855" customFormat="1" ht="24.75" customHeight="1">
      <c r="A67" s="832">
        <v>10</v>
      </c>
      <c r="B67" s="827" t="s">
        <v>213</v>
      </c>
      <c r="C67" s="823"/>
      <c r="D67" s="823"/>
      <c r="E67" s="859">
        <f>NC_DKDD!H53</f>
        <v>0</v>
      </c>
      <c r="F67" s="859"/>
      <c r="G67" s="860">
        <f t="shared" si="10"/>
        <v>0</v>
      </c>
      <c r="H67" s="861"/>
      <c r="I67" s="843"/>
      <c r="J67" s="843"/>
      <c r="K67" s="843"/>
      <c r="L67" s="844"/>
      <c r="M67" s="844"/>
      <c r="N67" s="844"/>
      <c r="O67" s="844"/>
      <c r="P67" s="859">
        <f t="shared" si="11"/>
        <v>0</v>
      </c>
      <c r="Q67" s="862">
        <f t="shared" si="12"/>
        <v>0</v>
      </c>
      <c r="R67" s="862">
        <f t="shared" si="13"/>
        <v>0</v>
      </c>
      <c r="S67" s="864">
        <f>NC_DKDD!G53</f>
        <v>0</v>
      </c>
      <c r="T67" s="845">
        <f>'[1]1,DG-capmoi'!N65</f>
        <v>0</v>
      </c>
      <c r="U67" s="845">
        <f t="shared" si="15"/>
        <v>0</v>
      </c>
    </row>
    <row r="68" spans="1:21" s="855" customFormat="1" ht="24.75" customHeight="1">
      <c r="A68" s="832" t="s">
        <v>214</v>
      </c>
      <c r="B68" s="827" t="s">
        <v>215</v>
      </c>
      <c r="C68" s="823" t="s">
        <v>320</v>
      </c>
      <c r="D68" s="858" t="s">
        <v>370</v>
      </c>
      <c r="E68" s="859" t="e">
        <f>NC_DKDD!H54</f>
        <v>#VALUE!</v>
      </c>
      <c r="F68" s="859"/>
      <c r="G68" s="860">
        <f t="shared" si="10"/>
        <v>0</v>
      </c>
      <c r="H68" s="861"/>
      <c r="I68" s="843"/>
      <c r="J68" s="843"/>
      <c r="K68" s="843"/>
      <c r="L68" s="844"/>
      <c r="M68" s="844"/>
      <c r="N68" s="844"/>
      <c r="O68" s="844"/>
      <c r="P68" s="859">
        <f t="shared" si="11"/>
        <v>307.40384615384619</v>
      </c>
      <c r="Q68" s="862">
        <f t="shared" si="12"/>
        <v>267.30769230769232</v>
      </c>
      <c r="R68" s="862">
        <f t="shared" si="13"/>
        <v>40.096153846153847</v>
      </c>
      <c r="S68" s="864">
        <f>NC_DKDD!G54</f>
        <v>0.05</v>
      </c>
      <c r="T68" s="845">
        <f>'[1]1,DG-capmoi'!N66</f>
        <v>0</v>
      </c>
      <c r="U68" s="845">
        <f t="shared" si="15"/>
        <v>0</v>
      </c>
    </row>
    <row r="69" spans="1:21" s="855" customFormat="1" ht="24.75" customHeight="1">
      <c r="A69" s="832" t="s">
        <v>216</v>
      </c>
      <c r="B69" s="827" t="s">
        <v>217</v>
      </c>
      <c r="C69" s="823" t="s">
        <v>320</v>
      </c>
      <c r="D69" s="858" t="s">
        <v>370</v>
      </c>
      <c r="E69" s="859" t="e">
        <f>NC_DKDD!H55</f>
        <v>#VALUE!</v>
      </c>
      <c r="F69" s="859"/>
      <c r="G69" s="860">
        <f t="shared" si="10"/>
        <v>0</v>
      </c>
      <c r="H69" s="861"/>
      <c r="I69" s="843"/>
      <c r="J69" s="843"/>
      <c r="K69" s="843"/>
      <c r="L69" s="844"/>
      <c r="M69" s="844"/>
      <c r="N69" s="844"/>
      <c r="O69" s="844"/>
      <c r="P69" s="859">
        <f t="shared" si="11"/>
        <v>614.80769230769238</v>
      </c>
      <c r="Q69" s="862">
        <f t="shared" si="12"/>
        <v>534.61538461538464</v>
      </c>
      <c r="R69" s="862">
        <f t="shared" si="13"/>
        <v>80.192307692307693</v>
      </c>
      <c r="S69" s="864">
        <f>NC_DKDD!G55</f>
        <v>0.1</v>
      </c>
      <c r="T69" s="845">
        <f>'[1]1,DG-capmoi'!N67</f>
        <v>0</v>
      </c>
      <c r="U69" s="845">
        <f t="shared" si="15"/>
        <v>0</v>
      </c>
    </row>
    <row r="70" spans="1:21" s="855" customFormat="1" ht="36" customHeight="1">
      <c r="A70" s="832">
        <v>11</v>
      </c>
      <c r="B70" s="827" t="s">
        <v>218</v>
      </c>
      <c r="C70" s="823" t="s">
        <v>281</v>
      </c>
      <c r="D70" s="858" t="s">
        <v>370</v>
      </c>
      <c r="E70" s="859" t="e">
        <f>NC_DKDD!H56</f>
        <v>#VALUE!</v>
      </c>
      <c r="F70" s="859"/>
      <c r="G70" s="860">
        <f t="shared" si="10"/>
        <v>0</v>
      </c>
      <c r="H70" s="861"/>
      <c r="I70" s="843"/>
      <c r="J70" s="843"/>
      <c r="K70" s="843"/>
      <c r="L70" s="844"/>
      <c r="M70" s="844"/>
      <c r="N70" s="844"/>
      <c r="O70" s="844"/>
      <c r="P70" s="859">
        <f t="shared" si="11"/>
        <v>245.92307692307691</v>
      </c>
      <c r="Q70" s="862">
        <f t="shared" si="12"/>
        <v>213.84615384615384</v>
      </c>
      <c r="R70" s="862">
        <f t="shared" si="13"/>
        <v>32.07692307692308</v>
      </c>
      <c r="S70" s="864">
        <f>NC_DKDD!G56</f>
        <v>0.04</v>
      </c>
      <c r="T70" s="845">
        <f>'[1]1,DG-capmoi'!N68</f>
        <v>0</v>
      </c>
      <c r="U70" s="845">
        <f t="shared" si="15"/>
        <v>0</v>
      </c>
    </row>
    <row r="71" spans="1:21" s="855" customFormat="1" ht="28.5">
      <c r="A71" s="832">
        <v>12</v>
      </c>
      <c r="B71" s="827" t="s">
        <v>219</v>
      </c>
      <c r="C71" s="823" t="s">
        <v>281</v>
      </c>
      <c r="D71" s="858" t="s">
        <v>370</v>
      </c>
      <c r="E71" s="859" t="e">
        <f>NC_DKDD!H57</f>
        <v>#VALUE!</v>
      </c>
      <c r="F71" s="859"/>
      <c r="G71" s="860">
        <f t="shared" si="10"/>
        <v>0</v>
      </c>
      <c r="H71" s="861"/>
      <c r="I71" s="843"/>
      <c r="J71" s="843"/>
      <c r="K71" s="843"/>
      <c r="L71" s="844"/>
      <c r="M71" s="844"/>
      <c r="N71" s="844"/>
      <c r="O71" s="844"/>
      <c r="P71" s="859">
        <f t="shared" si="11"/>
        <v>122.96153846153845</v>
      </c>
      <c r="Q71" s="862">
        <f t="shared" si="12"/>
        <v>106.92307692307692</v>
      </c>
      <c r="R71" s="862">
        <f t="shared" si="13"/>
        <v>16.03846153846154</v>
      </c>
      <c r="S71" s="864">
        <f>NC_DKDD!G57</f>
        <v>0.02</v>
      </c>
      <c r="T71" s="845">
        <f>'[1]1,DG-capmoi'!N69</f>
        <v>0</v>
      </c>
      <c r="U71" s="845">
        <f t="shared" si="15"/>
        <v>0</v>
      </c>
    </row>
    <row r="72" spans="1:21" s="855" customFormat="1" ht="26.25" customHeight="1">
      <c r="A72" s="832">
        <v>13</v>
      </c>
      <c r="B72" s="827" t="s">
        <v>220</v>
      </c>
      <c r="C72" s="823" t="s">
        <v>523</v>
      </c>
      <c r="D72" s="858" t="s">
        <v>370</v>
      </c>
      <c r="E72" s="859" t="e">
        <f>NC_DKDD!H58</f>
        <v>#VALUE!</v>
      </c>
      <c r="F72" s="859"/>
      <c r="G72" s="860">
        <f t="shared" si="10"/>
        <v>0</v>
      </c>
      <c r="H72" s="861"/>
      <c r="I72" s="843"/>
      <c r="J72" s="843"/>
      <c r="K72" s="843"/>
      <c r="L72" s="844"/>
      <c r="M72" s="844"/>
      <c r="N72" s="844"/>
      <c r="O72" s="844"/>
      <c r="P72" s="859">
        <f t="shared" si="11"/>
        <v>202.88653846153844</v>
      </c>
      <c r="Q72" s="862">
        <f t="shared" si="12"/>
        <v>176.42307692307691</v>
      </c>
      <c r="R72" s="862">
        <f t="shared" si="13"/>
        <v>26.463461538461541</v>
      </c>
      <c r="S72" s="864">
        <f>NC_DKDD!G58</f>
        <v>3.3000000000000002E-2</v>
      </c>
      <c r="T72" s="845">
        <f>'[1]1,DG-capmoi'!N70</f>
        <v>0</v>
      </c>
      <c r="U72" s="845">
        <f t="shared" si="15"/>
        <v>0</v>
      </c>
    </row>
    <row r="73" spans="1:21" s="855" customFormat="1" ht="26.25" customHeight="1">
      <c r="A73" s="832">
        <v>14</v>
      </c>
      <c r="B73" s="827" t="s">
        <v>221</v>
      </c>
      <c r="C73" s="823"/>
      <c r="D73" s="823"/>
      <c r="E73" s="859">
        <f>NC_DKDD!H59</f>
        <v>0</v>
      </c>
      <c r="F73" s="859"/>
      <c r="G73" s="860">
        <f t="shared" si="10"/>
        <v>0</v>
      </c>
      <c r="H73" s="861"/>
      <c r="I73" s="843"/>
      <c r="J73" s="843"/>
      <c r="K73" s="843"/>
      <c r="L73" s="844"/>
      <c r="M73" s="844"/>
      <c r="N73" s="844"/>
      <c r="O73" s="844"/>
      <c r="P73" s="859">
        <f t="shared" si="11"/>
        <v>0</v>
      </c>
      <c r="Q73" s="862">
        <f t="shared" si="12"/>
        <v>0</v>
      </c>
      <c r="R73" s="862">
        <f t="shared" si="13"/>
        <v>0</v>
      </c>
      <c r="S73" s="864">
        <f>NC_DKDD!G59</f>
        <v>0</v>
      </c>
      <c r="T73" s="845">
        <f>'[1]1,DG-capmoi'!N71</f>
        <v>0</v>
      </c>
      <c r="U73" s="845">
        <f t="shared" si="15"/>
        <v>0</v>
      </c>
    </row>
    <row r="74" spans="1:21" s="855" customFormat="1" ht="28.5">
      <c r="A74" s="832" t="s">
        <v>47</v>
      </c>
      <c r="B74" s="827" t="s">
        <v>931</v>
      </c>
      <c r="C74" s="823"/>
      <c r="D74" s="823"/>
      <c r="E74" s="859">
        <f>NC_DKDD!H60</f>
        <v>0</v>
      </c>
      <c r="F74" s="859"/>
      <c r="G74" s="860">
        <f t="shared" si="10"/>
        <v>0</v>
      </c>
      <c r="H74" s="861"/>
      <c r="I74" s="843"/>
      <c r="J74" s="843"/>
      <c r="K74" s="843"/>
      <c r="L74" s="844"/>
      <c r="M74" s="844"/>
      <c r="N74" s="844"/>
      <c r="O74" s="844"/>
      <c r="P74" s="859">
        <f t="shared" si="11"/>
        <v>0</v>
      </c>
      <c r="Q74" s="862">
        <f t="shared" si="12"/>
        <v>0</v>
      </c>
      <c r="R74" s="862">
        <f t="shared" si="13"/>
        <v>0</v>
      </c>
      <c r="S74" s="864"/>
      <c r="T74" s="845">
        <f>'[1]1,DG-capmoi'!N72</f>
        <v>0</v>
      </c>
      <c r="U74" s="845">
        <f t="shared" si="15"/>
        <v>0</v>
      </c>
    </row>
    <row r="75" spans="1:21" s="855" customFormat="1" ht="26.25" customHeight="1">
      <c r="A75" s="832" t="s">
        <v>932</v>
      </c>
      <c r="B75" s="827" t="s">
        <v>933</v>
      </c>
      <c r="C75" s="823" t="s">
        <v>525</v>
      </c>
      <c r="D75" s="858" t="s">
        <v>370</v>
      </c>
      <c r="E75" s="859" t="e">
        <f>NC_DKDD!H61</f>
        <v>#VALUE!</v>
      </c>
      <c r="F75" s="859"/>
      <c r="G75" s="860">
        <f t="shared" si="10"/>
        <v>0</v>
      </c>
      <c r="H75" s="861"/>
      <c r="I75" s="843"/>
      <c r="J75" s="843"/>
      <c r="K75" s="843"/>
      <c r="L75" s="844"/>
      <c r="M75" s="844"/>
      <c r="N75" s="844"/>
      <c r="O75" s="844"/>
      <c r="P75" s="859">
        <f t="shared" si="11"/>
        <v>98.369230769230768</v>
      </c>
      <c r="Q75" s="862">
        <f t="shared" si="12"/>
        <v>85.538461538461533</v>
      </c>
      <c r="R75" s="862">
        <f t="shared" si="13"/>
        <v>12.830769230769231</v>
      </c>
      <c r="S75" s="864">
        <f>NC_DKDD!G61</f>
        <v>1.6E-2</v>
      </c>
      <c r="T75" s="845">
        <f>'[1]1,DG-capmoi'!N73</f>
        <v>0</v>
      </c>
      <c r="U75" s="845">
        <f t="shared" si="15"/>
        <v>0</v>
      </c>
    </row>
    <row r="76" spans="1:21" s="855" customFormat="1" ht="26.25" customHeight="1">
      <c r="A76" s="832" t="s">
        <v>936</v>
      </c>
      <c r="B76" s="827" t="s">
        <v>937</v>
      </c>
      <c r="C76" s="823" t="s">
        <v>525</v>
      </c>
      <c r="D76" s="858" t="s">
        <v>370</v>
      </c>
      <c r="E76" s="859" t="e">
        <f>NC_DKDD!H62</f>
        <v>#VALUE!</v>
      </c>
      <c r="F76" s="859"/>
      <c r="G76" s="860">
        <f t="shared" si="10"/>
        <v>0</v>
      </c>
      <c r="H76" s="861"/>
      <c r="I76" s="843"/>
      <c r="J76" s="843"/>
      <c r="K76" s="843"/>
      <c r="L76" s="844"/>
      <c r="M76" s="844"/>
      <c r="N76" s="844"/>
      <c r="O76" s="844"/>
      <c r="P76" s="859">
        <f t="shared" si="11"/>
        <v>49.184615384615384</v>
      </c>
      <c r="Q76" s="862">
        <f t="shared" si="12"/>
        <v>42.769230769230766</v>
      </c>
      <c r="R76" s="862">
        <f t="shared" si="13"/>
        <v>6.4153846153846157</v>
      </c>
      <c r="S76" s="864">
        <f>NC_DKDD!G62</f>
        <v>8.0000000000000002E-3</v>
      </c>
      <c r="T76" s="845">
        <f>'[1]1,DG-capmoi'!N74</f>
        <v>0</v>
      </c>
      <c r="U76" s="845">
        <f t="shared" si="15"/>
        <v>0</v>
      </c>
    </row>
    <row r="77" spans="1:21" s="855" customFormat="1" ht="28.5">
      <c r="A77" s="832" t="s">
        <v>938</v>
      </c>
      <c r="B77" s="827" t="s">
        <v>48</v>
      </c>
      <c r="C77" s="823" t="s">
        <v>525</v>
      </c>
      <c r="D77" s="858" t="s">
        <v>370</v>
      </c>
      <c r="E77" s="859" t="e">
        <f>NC_DKDD!H63</f>
        <v>#VALUE!</v>
      </c>
      <c r="F77" s="859"/>
      <c r="G77" s="860">
        <f t="shared" si="10"/>
        <v>0</v>
      </c>
      <c r="H77" s="861"/>
      <c r="I77" s="843"/>
      <c r="J77" s="843"/>
      <c r="K77" s="843"/>
      <c r="L77" s="844"/>
      <c r="M77" s="844"/>
      <c r="N77" s="844"/>
      <c r="O77" s="844"/>
      <c r="P77" s="859">
        <f t="shared" si="11"/>
        <v>24.592307692307692</v>
      </c>
      <c r="Q77" s="862">
        <f t="shared" si="12"/>
        <v>21.384615384615383</v>
      </c>
      <c r="R77" s="862">
        <f t="shared" si="13"/>
        <v>3.2076923076923078</v>
      </c>
      <c r="S77" s="864">
        <f>NC_DKDD!G63</f>
        <v>4.0000000000000001E-3</v>
      </c>
      <c r="T77" s="845">
        <f>'[1]1,DG-capmoi'!N75</f>
        <v>0</v>
      </c>
      <c r="U77" s="845">
        <f t="shared" si="15"/>
        <v>0</v>
      </c>
    </row>
    <row r="78" spans="1:21" s="855" customFormat="1" ht="28.5">
      <c r="A78" s="832" t="s">
        <v>49</v>
      </c>
      <c r="B78" s="827" t="s">
        <v>50</v>
      </c>
      <c r="C78" s="823" t="s">
        <v>523</v>
      </c>
      <c r="D78" s="858" t="s">
        <v>370</v>
      </c>
      <c r="E78" s="859" t="e">
        <f>NC_DKDD!H64</f>
        <v>#VALUE!</v>
      </c>
      <c r="F78" s="859"/>
      <c r="G78" s="860">
        <f t="shared" si="10"/>
        <v>0</v>
      </c>
      <c r="H78" s="861"/>
      <c r="I78" s="843"/>
      <c r="J78" s="843"/>
      <c r="K78" s="843"/>
      <c r="L78" s="844"/>
      <c r="M78" s="844"/>
      <c r="N78" s="844"/>
      <c r="O78" s="844"/>
      <c r="P78" s="859">
        <f t="shared" si="11"/>
        <v>61.480769230769226</v>
      </c>
      <c r="Q78" s="862">
        <f t="shared" si="12"/>
        <v>53.46153846153846</v>
      </c>
      <c r="R78" s="862">
        <f t="shared" si="13"/>
        <v>8.0192307692307701</v>
      </c>
      <c r="S78" s="864">
        <f>NC_DKDD!G64</f>
        <v>0.01</v>
      </c>
      <c r="T78" s="845">
        <f>'[1]1,DG-capmoi'!N76</f>
        <v>0</v>
      </c>
      <c r="U78" s="845">
        <f t="shared" si="15"/>
        <v>0</v>
      </c>
    </row>
    <row r="79" spans="1:21" s="855" customFormat="1" ht="48.75" customHeight="1">
      <c r="A79" s="832">
        <v>15</v>
      </c>
      <c r="B79" s="827" t="s">
        <v>1054</v>
      </c>
      <c r="C79" s="823" t="s">
        <v>281</v>
      </c>
      <c r="D79" s="858" t="s">
        <v>370</v>
      </c>
      <c r="E79" s="859" t="e">
        <f>NC_DKDD!H65</f>
        <v>#VALUE!</v>
      </c>
      <c r="F79" s="859"/>
      <c r="G79" s="860">
        <f t="shared" si="10"/>
        <v>0</v>
      </c>
      <c r="H79" s="861"/>
      <c r="I79" s="843"/>
      <c r="J79" s="843"/>
      <c r="K79" s="843"/>
      <c r="L79" s="844"/>
      <c r="M79" s="844"/>
      <c r="N79" s="844"/>
      <c r="O79" s="844"/>
      <c r="P79" s="859">
        <f t="shared" si="11"/>
        <v>307.40384615384619</v>
      </c>
      <c r="Q79" s="862">
        <f t="shared" si="12"/>
        <v>267.30769230769232</v>
      </c>
      <c r="R79" s="862">
        <f t="shared" si="13"/>
        <v>40.096153846153847</v>
      </c>
      <c r="S79" s="864">
        <f>NC_DKDD!G65</f>
        <v>0.05</v>
      </c>
      <c r="T79" s="845">
        <f>'[1]1,DG-capmoi'!N77</f>
        <v>0</v>
      </c>
      <c r="U79" s="845">
        <f t="shared" si="15"/>
        <v>0</v>
      </c>
    </row>
    <row r="80" spans="1:21" s="855" customFormat="1" ht="30" customHeight="1">
      <c r="A80" s="832">
        <v>16</v>
      </c>
      <c r="B80" s="827" t="s">
        <v>1055</v>
      </c>
      <c r="C80" s="823" t="s">
        <v>281</v>
      </c>
      <c r="D80" s="858" t="s">
        <v>370</v>
      </c>
      <c r="E80" s="859" t="e">
        <f>NC_DKDD!H66/8000</f>
        <v>#VALUE!</v>
      </c>
      <c r="F80" s="859"/>
      <c r="G80" s="860">
        <f t="shared" si="10"/>
        <v>0</v>
      </c>
      <c r="H80" s="861"/>
      <c r="I80" s="843"/>
      <c r="J80" s="843"/>
      <c r="K80" s="843"/>
      <c r="L80" s="844"/>
      <c r="M80" s="844"/>
      <c r="N80" s="844"/>
      <c r="O80" s="844"/>
      <c r="P80" s="859">
        <f t="shared" si="11"/>
        <v>6.148076923076923</v>
      </c>
      <c r="Q80" s="862">
        <f t="shared" si="12"/>
        <v>5.3461538461538458</v>
      </c>
      <c r="R80" s="862">
        <f t="shared" si="13"/>
        <v>0.80192307692307696</v>
      </c>
      <c r="S80" s="863">
        <f>NC_DKDD!G66/8000</f>
        <v>1E-3</v>
      </c>
      <c r="T80" s="845">
        <f>'[1]1,DG-capmoi'!N78</f>
        <v>0</v>
      </c>
      <c r="U80" s="845">
        <f t="shared" si="15"/>
        <v>0</v>
      </c>
    </row>
    <row r="81" spans="1:21" s="855" customFormat="1" ht="32.25" customHeight="1">
      <c r="A81" s="869" t="s">
        <v>913</v>
      </c>
      <c r="B81" s="868" t="s">
        <v>1057</v>
      </c>
      <c r="C81" s="823"/>
      <c r="D81" s="858"/>
      <c r="E81" s="859"/>
      <c r="F81" s="859"/>
      <c r="G81" s="860"/>
      <c r="H81" s="861"/>
      <c r="I81" s="843"/>
      <c r="J81" s="843"/>
      <c r="K81" s="843"/>
      <c r="L81" s="844"/>
      <c r="M81" s="844"/>
      <c r="N81" s="844"/>
      <c r="O81" s="844"/>
      <c r="P81" s="844"/>
      <c r="Q81" s="862"/>
      <c r="R81" s="862"/>
      <c r="S81" s="863"/>
      <c r="T81" s="845">
        <f>'[1]1,DG-capmoi'!N79</f>
        <v>0</v>
      </c>
      <c r="U81" s="845">
        <f t="shared" si="15"/>
        <v>0</v>
      </c>
    </row>
    <row r="82" spans="1:21" s="855" customFormat="1" ht="24" customHeight="1">
      <c r="A82" s="869" t="s">
        <v>669</v>
      </c>
      <c r="B82" s="868" t="s">
        <v>451</v>
      </c>
      <c r="C82" s="823"/>
      <c r="D82" s="823"/>
      <c r="E82" s="870" t="e">
        <f>SUM(E84:E90)</f>
        <v>#VALUE!</v>
      </c>
      <c r="F82" s="859"/>
      <c r="G82" s="860">
        <f t="shared" si="10"/>
        <v>0</v>
      </c>
      <c r="H82" s="861">
        <f>'Dcu-DKDD'!L28/8000</f>
        <v>7.8276983273237177E-2</v>
      </c>
      <c r="I82" s="843">
        <f>'VL-DKDD'!J31/8000</f>
        <v>1.2918150000000002</v>
      </c>
      <c r="J82" s="843">
        <f>'TB-DKDD'!M14/8000</f>
        <v>0.1204575</v>
      </c>
      <c r="K82" s="843">
        <f>'NL-DKDD'!J9/8000</f>
        <v>0.22649549999999999</v>
      </c>
      <c r="L82" s="844" t="e">
        <f>SUM(E82:K82)</f>
        <v>#VALUE!</v>
      </c>
      <c r="M82" s="844" t="e">
        <f>L82*'He so chung'!$D$17/100</f>
        <v>#VALUE!</v>
      </c>
      <c r="N82" s="844" t="e">
        <f>L82+M82</f>
        <v>#VALUE!</v>
      </c>
      <c r="O82" s="844"/>
      <c r="P82" s="870">
        <f>SUM(P84:P90)</f>
        <v>453.42067307692304</v>
      </c>
      <c r="Q82" s="862">
        <f t="shared" si="12"/>
        <v>394.27884615384619</v>
      </c>
      <c r="R82" s="862">
        <f t="shared" si="13"/>
        <v>59.141826923076927</v>
      </c>
      <c r="S82" s="871">
        <f>SUM(S84:S90)</f>
        <v>7.375000000000001E-2</v>
      </c>
      <c r="T82" s="845">
        <f>'[1]1,DG-capmoi'!N80</f>
        <v>12554.321374967942</v>
      </c>
      <c r="U82" s="845" t="e">
        <f t="shared" si="15"/>
        <v>#VALUE!</v>
      </c>
    </row>
    <row r="83" spans="1:21" s="855" customFormat="1" ht="24" customHeight="1">
      <c r="A83" s="869" t="s">
        <v>670</v>
      </c>
      <c r="B83" s="868" t="s">
        <v>452</v>
      </c>
      <c r="C83" s="823"/>
      <c r="D83" s="823"/>
      <c r="E83" s="870" t="e">
        <f>SUM(E84:E90)</f>
        <v>#VALUE!</v>
      </c>
      <c r="F83" s="859"/>
      <c r="G83" s="860"/>
      <c r="H83" s="861">
        <f>H82</f>
        <v>7.8276983273237177E-2</v>
      </c>
      <c r="I83" s="843">
        <f t="shared" ref="I83:N83" si="16">I82</f>
        <v>1.2918150000000002</v>
      </c>
      <c r="J83" s="843">
        <f t="shared" si="16"/>
        <v>0.1204575</v>
      </c>
      <c r="K83" s="843">
        <f t="shared" si="16"/>
        <v>0.22649549999999999</v>
      </c>
      <c r="L83" s="844" t="e">
        <f t="shared" si="16"/>
        <v>#VALUE!</v>
      </c>
      <c r="M83" s="859" t="e">
        <f>M82</f>
        <v>#VALUE!</v>
      </c>
      <c r="N83" s="859" t="e">
        <f t="shared" si="16"/>
        <v>#VALUE!</v>
      </c>
      <c r="O83" s="861"/>
      <c r="P83" s="870">
        <f>SUM(P84:P90)</f>
        <v>453.42067307692304</v>
      </c>
      <c r="Q83" s="862">
        <f>S83*$Q$15</f>
        <v>394.27884615384619</v>
      </c>
      <c r="R83" s="862">
        <f>S83*$R$15</f>
        <v>59.141826923076927</v>
      </c>
      <c r="S83" s="871">
        <f>SUM(S84:S90)</f>
        <v>7.375000000000001E-2</v>
      </c>
      <c r="T83" s="845">
        <f>'[1]1,DG-capmoi'!N81</f>
        <v>12554.321374967942</v>
      </c>
      <c r="U83" s="845" t="e">
        <f t="shared" si="15"/>
        <v>#VALUE!</v>
      </c>
    </row>
    <row r="84" spans="1:21" s="855" customFormat="1" ht="27" customHeight="1">
      <c r="A84" s="832">
        <v>1</v>
      </c>
      <c r="B84" s="827" t="s">
        <v>279</v>
      </c>
      <c r="C84" s="823"/>
      <c r="D84" s="823"/>
      <c r="E84" s="859"/>
      <c r="F84" s="859"/>
      <c r="G84" s="860">
        <f t="shared" si="10"/>
        <v>0</v>
      </c>
      <c r="H84" s="861"/>
      <c r="I84" s="843"/>
      <c r="J84" s="843"/>
      <c r="K84" s="843"/>
      <c r="L84" s="844"/>
      <c r="M84" s="844"/>
      <c r="N84" s="844"/>
      <c r="O84" s="844"/>
      <c r="P84" s="859">
        <f t="shared" si="11"/>
        <v>0</v>
      </c>
      <c r="Q84" s="862">
        <f t="shared" si="12"/>
        <v>0</v>
      </c>
      <c r="R84" s="862">
        <f t="shared" si="13"/>
        <v>0</v>
      </c>
      <c r="S84" s="864"/>
      <c r="T84" s="845">
        <f>'[1]1,DG-capmoi'!N82</f>
        <v>0</v>
      </c>
      <c r="U84" s="845">
        <f t="shared" si="15"/>
        <v>0</v>
      </c>
    </row>
    <row r="85" spans="1:21" s="855" customFormat="1" ht="28.5">
      <c r="A85" s="832" t="s">
        <v>891</v>
      </c>
      <c r="B85" s="827" t="s">
        <v>1058</v>
      </c>
      <c r="C85" s="823" t="s">
        <v>281</v>
      </c>
      <c r="D85" s="858" t="s">
        <v>370</v>
      </c>
      <c r="E85" s="859" t="e">
        <f>NC_DKDD!H69/8000</f>
        <v>#VALUE!</v>
      </c>
      <c r="F85" s="859"/>
      <c r="G85" s="860">
        <f t="shared" si="10"/>
        <v>0</v>
      </c>
      <c r="H85" s="861"/>
      <c r="I85" s="843"/>
      <c r="J85" s="843"/>
      <c r="K85" s="843"/>
      <c r="L85" s="844"/>
      <c r="M85" s="844"/>
      <c r="N85" s="844"/>
      <c r="O85" s="844"/>
      <c r="P85" s="859">
        <f t="shared" si="11"/>
        <v>230.55288461538458</v>
      </c>
      <c r="Q85" s="862">
        <f t="shared" si="12"/>
        <v>200.4807692307692</v>
      </c>
      <c r="R85" s="862">
        <f t="shared" si="13"/>
        <v>30.072115384615383</v>
      </c>
      <c r="S85" s="864">
        <f>NC_DKDD!G69/8000</f>
        <v>3.7499999999999999E-2</v>
      </c>
      <c r="T85" s="845">
        <f>'[1]1,DG-capmoi'!N83</f>
        <v>0</v>
      </c>
      <c r="U85" s="845">
        <f t="shared" si="15"/>
        <v>0</v>
      </c>
    </row>
    <row r="86" spans="1:21" s="855" customFormat="1" ht="26.25" customHeight="1">
      <c r="A86" s="832" t="s">
        <v>899</v>
      </c>
      <c r="B86" s="827" t="s">
        <v>491</v>
      </c>
      <c r="C86" s="823" t="s">
        <v>523</v>
      </c>
      <c r="D86" s="858" t="s">
        <v>370</v>
      </c>
      <c r="E86" s="859" t="e">
        <f>NC_DKDD!H70</f>
        <v>#VALUE!</v>
      </c>
      <c r="F86" s="859"/>
      <c r="G86" s="860">
        <f t="shared" si="10"/>
        <v>0</v>
      </c>
      <c r="H86" s="861"/>
      <c r="I86" s="843"/>
      <c r="J86" s="843"/>
      <c r="K86" s="843"/>
      <c r="L86" s="844"/>
      <c r="M86" s="844"/>
      <c r="N86" s="844"/>
      <c r="O86" s="844"/>
      <c r="P86" s="859">
        <f t="shared" si="11"/>
        <v>61.480769230769226</v>
      </c>
      <c r="Q86" s="862">
        <f t="shared" si="12"/>
        <v>53.46153846153846</v>
      </c>
      <c r="R86" s="862">
        <f t="shared" si="13"/>
        <v>8.0192307692307701</v>
      </c>
      <c r="S86" s="864">
        <f>NC_DKDD!G70</f>
        <v>0.01</v>
      </c>
      <c r="T86" s="845">
        <f>'[1]1,DG-capmoi'!N84</f>
        <v>0</v>
      </c>
      <c r="U86" s="845">
        <f t="shared" si="15"/>
        <v>0</v>
      </c>
    </row>
    <row r="87" spans="1:21" s="855" customFormat="1" ht="28.5">
      <c r="A87" s="832">
        <v>2</v>
      </c>
      <c r="B87" s="827" t="s">
        <v>492</v>
      </c>
      <c r="C87" s="823"/>
      <c r="D87" s="823"/>
      <c r="E87" s="859">
        <f>NC_DKDD!H71</f>
        <v>0</v>
      </c>
      <c r="F87" s="859"/>
      <c r="G87" s="860">
        <f t="shared" si="10"/>
        <v>0</v>
      </c>
      <c r="H87" s="861"/>
      <c r="I87" s="843"/>
      <c r="J87" s="843"/>
      <c r="K87" s="843"/>
      <c r="L87" s="844"/>
      <c r="M87" s="844"/>
      <c r="N87" s="844"/>
      <c r="O87" s="844"/>
      <c r="P87" s="859">
        <f t="shared" si="11"/>
        <v>0</v>
      </c>
      <c r="Q87" s="862">
        <f t="shared" si="12"/>
        <v>0</v>
      </c>
      <c r="R87" s="862">
        <f t="shared" si="13"/>
        <v>0</v>
      </c>
      <c r="S87" s="864"/>
      <c r="T87" s="845">
        <f>'[1]1,DG-capmoi'!N85</f>
        <v>0</v>
      </c>
      <c r="U87" s="845">
        <f t="shared" si="15"/>
        <v>0</v>
      </c>
    </row>
    <row r="88" spans="1:21" s="855" customFormat="1" ht="27" customHeight="1">
      <c r="A88" s="832" t="s">
        <v>900</v>
      </c>
      <c r="B88" s="827" t="s">
        <v>493</v>
      </c>
      <c r="C88" s="823" t="s">
        <v>55</v>
      </c>
      <c r="D88" s="858" t="s">
        <v>370</v>
      </c>
      <c r="E88" s="859" t="e">
        <f>NC_DKDD!H72/60</f>
        <v>#VALUE!</v>
      </c>
      <c r="F88" s="859"/>
      <c r="G88" s="860">
        <f t="shared" si="10"/>
        <v>0</v>
      </c>
      <c r="H88" s="861"/>
      <c r="I88" s="843"/>
      <c r="J88" s="843"/>
      <c r="K88" s="843"/>
      <c r="L88" s="844"/>
      <c r="M88" s="844"/>
      <c r="N88" s="844"/>
      <c r="O88" s="844"/>
      <c r="P88" s="859">
        <f t="shared" si="11"/>
        <v>153.70192307692309</v>
      </c>
      <c r="Q88" s="862">
        <f t="shared" si="12"/>
        <v>133.65384615384616</v>
      </c>
      <c r="R88" s="862">
        <f t="shared" si="13"/>
        <v>20.048076923076923</v>
      </c>
      <c r="S88" s="863">
        <f>NC_DKDD!G72</f>
        <v>2.5000000000000001E-2</v>
      </c>
      <c r="T88" s="845">
        <f>'[1]1,DG-capmoi'!N86</f>
        <v>0</v>
      </c>
      <c r="U88" s="845">
        <f t="shared" si="15"/>
        <v>0</v>
      </c>
    </row>
    <row r="89" spans="1:21" s="855" customFormat="1" ht="27" customHeight="1">
      <c r="A89" s="832" t="s">
        <v>901</v>
      </c>
      <c r="B89" s="827" t="s">
        <v>494</v>
      </c>
      <c r="C89" s="823" t="s">
        <v>281</v>
      </c>
      <c r="D89" s="858" t="s">
        <v>370</v>
      </c>
      <c r="E89" s="859" t="e">
        <f>NC_DKDD!H73/8000</f>
        <v>#VALUE!</v>
      </c>
      <c r="F89" s="859"/>
      <c r="G89" s="860">
        <f t="shared" si="10"/>
        <v>0</v>
      </c>
      <c r="H89" s="861"/>
      <c r="I89" s="843"/>
      <c r="J89" s="843"/>
      <c r="K89" s="843"/>
      <c r="L89" s="844"/>
      <c r="M89" s="844"/>
      <c r="N89" s="844"/>
      <c r="O89" s="844"/>
      <c r="P89" s="859">
        <f t="shared" si="11"/>
        <v>1.5370192307692307</v>
      </c>
      <c r="Q89" s="862">
        <f t="shared" si="12"/>
        <v>1.3365384615384615</v>
      </c>
      <c r="R89" s="862">
        <f t="shared" si="13"/>
        <v>0.20048076923076924</v>
      </c>
      <c r="S89" s="863">
        <f>NC_DKDD!G73/8000</f>
        <v>2.5000000000000001E-4</v>
      </c>
      <c r="T89" s="845">
        <f>'[1]1,DG-capmoi'!N87</f>
        <v>0</v>
      </c>
      <c r="U89" s="845">
        <f t="shared" si="15"/>
        <v>0</v>
      </c>
    </row>
    <row r="90" spans="1:21" s="855" customFormat="1" ht="28.5">
      <c r="A90" s="832">
        <v>3</v>
      </c>
      <c r="B90" s="827" t="s">
        <v>495</v>
      </c>
      <c r="C90" s="823" t="s">
        <v>281</v>
      </c>
      <c r="D90" s="858" t="s">
        <v>370</v>
      </c>
      <c r="E90" s="859" t="e">
        <f>NC_DKDD!H74/8000</f>
        <v>#VALUE!</v>
      </c>
      <c r="F90" s="859"/>
      <c r="G90" s="860">
        <f t="shared" si="10"/>
        <v>0</v>
      </c>
      <c r="H90" s="861"/>
      <c r="I90" s="843"/>
      <c r="J90" s="843"/>
      <c r="K90" s="843"/>
      <c r="L90" s="844"/>
      <c r="M90" s="844"/>
      <c r="N90" s="844"/>
      <c r="O90" s="844"/>
      <c r="P90" s="859">
        <f t="shared" si="11"/>
        <v>6.148076923076923</v>
      </c>
      <c r="Q90" s="862">
        <f t="shared" si="12"/>
        <v>5.3461538461538458</v>
      </c>
      <c r="R90" s="862">
        <f t="shared" si="13"/>
        <v>0.80192307692307696</v>
      </c>
      <c r="S90" s="863">
        <f>NC_DKDD!G74/8000</f>
        <v>1E-3</v>
      </c>
      <c r="T90" s="845">
        <f>'[1]1,DG-capmoi'!N88</f>
        <v>0</v>
      </c>
      <c r="U90" s="845">
        <f t="shared" si="15"/>
        <v>0</v>
      </c>
    </row>
    <row r="91" spans="1:21" ht="25.5" customHeight="1">
      <c r="A91" s="353"/>
      <c r="B91" s="886" t="s">
        <v>282</v>
      </c>
      <c r="C91" s="354"/>
      <c r="D91" s="353"/>
      <c r="E91" s="355"/>
      <c r="F91" s="355"/>
      <c r="G91" s="356"/>
      <c r="H91" s="355"/>
      <c r="I91" s="355"/>
      <c r="J91" s="357"/>
      <c r="K91" s="357"/>
      <c r="L91" s="357"/>
      <c r="M91" s="340"/>
      <c r="N91" s="340"/>
      <c r="O91" s="340"/>
      <c r="P91" s="365"/>
      <c r="Q91" s="332"/>
      <c r="R91" s="332"/>
      <c r="T91" s="845">
        <f>'[1]1,DG-capmoi'!N89</f>
        <v>0</v>
      </c>
      <c r="U91" s="845">
        <f t="shared" si="15"/>
        <v>0</v>
      </c>
    </row>
    <row r="92" spans="1:21" ht="27.75" customHeight="1">
      <c r="A92" s="358"/>
      <c r="B92" s="1138" t="s">
        <v>20</v>
      </c>
      <c r="C92" s="1138"/>
      <c r="D92" s="1138"/>
      <c r="E92" s="1138"/>
      <c r="F92" s="1138"/>
      <c r="G92" s="1138"/>
      <c r="H92" s="1138"/>
      <c r="I92" s="1138"/>
      <c r="J92" s="1138"/>
      <c r="K92" s="1138"/>
      <c r="L92" s="1138"/>
      <c r="M92" s="1138"/>
      <c r="N92" s="1138"/>
      <c r="O92" s="1138"/>
      <c r="P92" s="1138"/>
      <c r="Q92" s="332"/>
      <c r="R92" s="332"/>
      <c r="T92" s="845">
        <f>'[1]1,DG-capmoi'!N90</f>
        <v>0</v>
      </c>
      <c r="U92" s="845">
        <f t="shared" si="15"/>
        <v>0</v>
      </c>
    </row>
    <row r="93" spans="1:21" ht="27.75" customHeight="1">
      <c r="A93" s="358"/>
      <c r="B93" s="1117" t="s">
        <v>902</v>
      </c>
      <c r="C93" s="1117"/>
      <c r="D93" s="1117"/>
      <c r="E93" s="1117"/>
      <c r="F93" s="1117"/>
      <c r="G93" s="1117"/>
      <c r="H93" s="1117"/>
      <c r="I93" s="1117"/>
      <c r="J93" s="1117"/>
      <c r="K93" s="1117"/>
      <c r="L93" s="1117"/>
      <c r="M93" s="1117"/>
      <c r="N93" s="1117"/>
      <c r="O93" s="1117"/>
      <c r="P93" s="1117"/>
      <c r="Q93" s="332"/>
      <c r="R93" s="332"/>
      <c r="T93" s="845">
        <f>'[1]1,DG-capmoi'!N91</f>
        <v>0</v>
      </c>
      <c r="U93" s="845">
        <f t="shared" si="15"/>
        <v>0</v>
      </c>
    </row>
    <row r="94" spans="1:21" ht="34.5" customHeight="1">
      <c r="A94" s="358"/>
      <c r="B94" s="1117" t="s">
        <v>230</v>
      </c>
      <c r="C94" s="1117"/>
      <c r="D94" s="1117"/>
      <c r="E94" s="1117"/>
      <c r="F94" s="1117"/>
      <c r="G94" s="1117"/>
      <c r="H94" s="1117"/>
      <c r="I94" s="1117"/>
      <c r="J94" s="1117"/>
      <c r="K94" s="1117"/>
      <c r="L94" s="1117"/>
      <c r="M94" s="1117"/>
      <c r="N94" s="1117"/>
      <c r="O94" s="1117"/>
      <c r="P94" s="1117"/>
      <c r="Q94" s="332"/>
      <c r="R94" s="332"/>
      <c r="T94" s="845">
        <f>'[1]1,DG-capmoi'!N92</f>
        <v>0</v>
      </c>
      <c r="U94" s="845">
        <f t="shared" si="15"/>
        <v>0</v>
      </c>
    </row>
    <row r="95" spans="1:21" ht="34.5" customHeight="1">
      <c r="A95" s="358"/>
      <c r="B95" s="1117" t="s">
        <v>637</v>
      </c>
      <c r="C95" s="1117"/>
      <c r="D95" s="1117"/>
      <c r="E95" s="1117"/>
      <c r="F95" s="1117"/>
      <c r="G95" s="1117"/>
      <c r="H95" s="1117"/>
      <c r="I95" s="1117"/>
      <c r="J95" s="1117"/>
      <c r="K95" s="1117"/>
      <c r="L95" s="1117"/>
      <c r="M95" s="1117"/>
      <c r="N95" s="1117"/>
      <c r="O95" s="1117"/>
      <c r="P95" s="1117"/>
      <c r="Q95" s="332"/>
      <c r="R95" s="332"/>
      <c r="T95" s="845">
        <f>'[1]1,DG-capmoi'!N93</f>
        <v>0</v>
      </c>
      <c r="U95" s="845">
        <f t="shared" si="15"/>
        <v>0</v>
      </c>
    </row>
    <row r="96" spans="1:21" ht="34.5" customHeight="1">
      <c r="A96" s="358"/>
      <c r="B96" s="1117" t="s">
        <v>638</v>
      </c>
      <c r="C96" s="1117"/>
      <c r="D96" s="1117"/>
      <c r="E96" s="1117"/>
      <c r="F96" s="1117"/>
      <c r="G96" s="1117"/>
      <c r="H96" s="1117"/>
      <c r="I96" s="1117"/>
      <c r="J96" s="1117"/>
      <c r="K96" s="1117"/>
      <c r="L96" s="1117"/>
      <c r="M96" s="1117"/>
      <c r="N96" s="1117"/>
      <c r="O96" s="1117"/>
      <c r="P96" s="1117"/>
      <c r="Q96" s="332"/>
      <c r="R96" s="332"/>
      <c r="T96" s="845">
        <f>'[1]1,DG-capmoi'!N94</f>
        <v>0</v>
      </c>
      <c r="U96" s="845">
        <f t="shared" si="15"/>
        <v>0</v>
      </c>
    </row>
    <row r="97" spans="1:21" ht="42.75" customHeight="1">
      <c r="A97" s="358"/>
      <c r="B97" s="1117" t="s">
        <v>256</v>
      </c>
      <c r="C97" s="1117"/>
      <c r="D97" s="1117"/>
      <c r="E97" s="1117"/>
      <c r="F97" s="1117"/>
      <c r="G97" s="1117"/>
      <c r="H97" s="1117"/>
      <c r="I97" s="1117"/>
      <c r="J97" s="1117"/>
      <c r="K97" s="1117"/>
      <c r="L97" s="1117"/>
      <c r="M97" s="1117"/>
      <c r="N97" s="1117"/>
      <c r="O97" s="1117"/>
      <c r="P97" s="1117"/>
      <c r="Q97" s="332"/>
      <c r="R97" s="332"/>
      <c r="T97" s="845">
        <f>'[1]1,DG-capmoi'!N95</f>
        <v>0</v>
      </c>
      <c r="U97" s="845">
        <f t="shared" si="15"/>
        <v>0</v>
      </c>
    </row>
    <row r="98" spans="1:21" ht="42.75" customHeight="1">
      <c r="A98" s="358"/>
      <c r="B98" s="1143" t="s">
        <v>640</v>
      </c>
      <c r="C98" s="1143"/>
      <c r="D98" s="1143"/>
      <c r="E98" s="1143"/>
      <c r="F98" s="1143"/>
      <c r="G98" s="1143"/>
      <c r="H98" s="1143"/>
      <c r="I98" s="1143"/>
      <c r="J98" s="1143"/>
      <c r="K98" s="1143"/>
      <c r="L98" s="1143"/>
      <c r="M98" s="1143"/>
      <c r="N98" s="1143"/>
      <c r="O98" s="1143"/>
      <c r="P98" s="1143"/>
      <c r="Q98" s="332"/>
      <c r="R98" s="332"/>
      <c r="T98" s="845">
        <f>'[1]1,DG-capmoi'!N96</f>
        <v>0</v>
      </c>
      <c r="U98" s="845">
        <f t="shared" si="15"/>
        <v>0</v>
      </c>
    </row>
    <row r="99" spans="1:21" ht="22.5" customHeight="1">
      <c r="A99" s="1114" t="s">
        <v>875</v>
      </c>
      <c r="B99" s="1114"/>
      <c r="C99" s="1114"/>
      <c r="D99" s="1114"/>
      <c r="E99" s="1114"/>
      <c r="F99" s="1114"/>
      <c r="G99" s="1114"/>
      <c r="H99" s="1114"/>
      <c r="I99" s="1114"/>
      <c r="J99" s="1114"/>
      <c r="K99" s="1114"/>
      <c r="L99" s="1114"/>
      <c r="M99" s="1114"/>
      <c r="N99" s="1114"/>
      <c r="O99" s="1114"/>
      <c r="P99" s="1114"/>
      <c r="T99" s="845">
        <f>'[1]1,DG-capmoi'!N97</f>
        <v>0</v>
      </c>
      <c r="U99" s="845">
        <f t="shared" si="15"/>
        <v>0</v>
      </c>
    </row>
    <row r="100" spans="1:21" ht="18" customHeight="1">
      <c r="A100" s="1113" t="s">
        <v>960</v>
      </c>
      <c r="B100" s="1113"/>
      <c r="C100" s="1113"/>
      <c r="D100" s="1113"/>
      <c r="E100" s="1113"/>
      <c r="F100" s="1113"/>
      <c r="G100" s="1113"/>
      <c r="H100" s="1113"/>
      <c r="I100" s="1113"/>
      <c r="J100" s="1113"/>
      <c r="K100" s="1113"/>
      <c r="L100" s="1113"/>
      <c r="M100" s="1113"/>
      <c r="N100" s="1113"/>
      <c r="O100" s="1113"/>
      <c r="P100" s="1113"/>
      <c r="T100" s="845"/>
      <c r="U100" s="845"/>
    </row>
    <row r="101" spans="1:21" s="345" customFormat="1" ht="19.5" customHeight="1">
      <c r="A101" s="337"/>
      <c r="B101" s="834"/>
      <c r="C101" s="338"/>
      <c r="D101" s="339" t="s">
        <v>576</v>
      </c>
      <c r="E101" s="340"/>
      <c r="F101" s="341"/>
      <c r="G101" s="342"/>
      <c r="H101" s="341"/>
      <c r="I101" s="343"/>
      <c r="J101" s="341"/>
      <c r="K101" s="341"/>
      <c r="L101" s="991"/>
      <c r="M101" s="341"/>
      <c r="N101" s="990"/>
      <c r="O101" s="990" t="s">
        <v>980</v>
      </c>
      <c r="P101" s="975"/>
      <c r="Q101" s="332"/>
      <c r="R101" s="332"/>
      <c r="S101" s="332"/>
      <c r="T101" s="845">
        <f>'[1]1,DG-capmoi'!N98</f>
        <v>0</v>
      </c>
      <c r="U101" s="845">
        <f t="shared" si="15"/>
        <v>0</v>
      </c>
    </row>
    <row r="102" spans="1:21" s="345" customFormat="1" ht="7.5" customHeight="1">
      <c r="A102" s="337"/>
      <c r="B102" s="834"/>
      <c r="C102" s="338"/>
      <c r="D102" s="346"/>
      <c r="E102" s="340"/>
      <c r="F102" s="340"/>
      <c r="G102" s="347"/>
      <c r="H102" s="340"/>
      <c r="I102" s="340"/>
      <c r="J102" s="340"/>
      <c r="K102" s="340"/>
      <c r="L102" s="340"/>
      <c r="M102" s="340"/>
      <c r="N102" s="340"/>
      <c r="O102" s="340"/>
      <c r="P102" s="340"/>
      <c r="Q102" s="332"/>
      <c r="R102" s="332"/>
      <c r="S102" s="332"/>
      <c r="T102" s="845">
        <f>'[1]1,DG-capmoi'!N99</f>
        <v>0</v>
      </c>
      <c r="U102" s="845">
        <f t="shared" si="15"/>
        <v>0</v>
      </c>
    </row>
    <row r="103" spans="1:21" s="992" customFormat="1" ht="23.25" customHeight="1">
      <c r="A103" s="1115" t="s">
        <v>876</v>
      </c>
      <c r="B103" s="1115" t="s">
        <v>381</v>
      </c>
      <c r="C103" s="1111" t="s">
        <v>981</v>
      </c>
      <c r="D103" s="1111" t="s">
        <v>982</v>
      </c>
      <c r="E103" s="1111" t="s">
        <v>466</v>
      </c>
      <c r="F103" s="1111"/>
      <c r="G103" s="1111"/>
      <c r="H103" s="1111"/>
      <c r="I103" s="1111"/>
      <c r="J103" s="1111"/>
      <c r="K103" s="1111"/>
      <c r="L103" s="1111"/>
      <c r="M103" s="1111" t="s">
        <v>581</v>
      </c>
      <c r="N103" s="1111" t="s">
        <v>467</v>
      </c>
      <c r="O103" s="1119" t="s">
        <v>657</v>
      </c>
      <c r="P103" s="1111" t="s">
        <v>468</v>
      </c>
      <c r="Q103" s="1003"/>
      <c r="R103" s="1003"/>
      <c r="S103" s="982"/>
      <c r="T103" s="1030"/>
      <c r="U103" s="1030"/>
    </row>
    <row r="104" spans="1:21" s="992" customFormat="1" ht="36" customHeight="1">
      <c r="A104" s="1115"/>
      <c r="B104" s="1115"/>
      <c r="C104" s="1111"/>
      <c r="D104" s="1111"/>
      <c r="E104" s="825" t="s">
        <v>469</v>
      </c>
      <c r="F104" s="825" t="s">
        <v>470</v>
      </c>
      <c r="G104" s="852" t="s">
        <v>1003</v>
      </c>
      <c r="H104" s="825" t="s">
        <v>59</v>
      </c>
      <c r="I104" s="825" t="s">
        <v>471</v>
      </c>
      <c r="J104" s="825" t="s">
        <v>280</v>
      </c>
      <c r="K104" s="825" t="s">
        <v>472</v>
      </c>
      <c r="L104" s="825" t="s">
        <v>473</v>
      </c>
      <c r="M104" s="1111"/>
      <c r="N104" s="1111"/>
      <c r="O104" s="1120"/>
      <c r="P104" s="1111"/>
      <c r="Q104" s="1003"/>
      <c r="R104" s="1003"/>
      <c r="S104" s="982"/>
      <c r="T104" s="1030">
        <f>'[1]1,DG-capmoi'!N101</f>
        <v>0</v>
      </c>
      <c r="U104" s="1030">
        <f t="shared" si="15"/>
        <v>0</v>
      </c>
    </row>
    <row r="105" spans="1:21" s="836" customFormat="1" ht="57" customHeight="1">
      <c r="A105" s="831"/>
      <c r="B105" s="838" t="s">
        <v>43</v>
      </c>
      <c r="C105" s="382"/>
      <c r="D105" s="382"/>
      <c r="E105" s="382"/>
      <c r="F105" s="382"/>
      <c r="G105" s="837"/>
      <c r="H105" s="382"/>
      <c r="I105" s="382"/>
      <c r="J105" s="382"/>
      <c r="K105" s="382"/>
      <c r="L105" s="382"/>
      <c r="M105" s="382"/>
      <c r="N105" s="382"/>
      <c r="O105" s="820"/>
      <c r="P105" s="382"/>
      <c r="Q105" s="835"/>
      <c r="R105" s="835"/>
      <c r="S105" s="367"/>
      <c r="T105" s="845">
        <f>'[1]1,DG-capmoi'!N102</f>
        <v>0</v>
      </c>
      <c r="U105" s="845">
        <f t="shared" si="15"/>
        <v>0</v>
      </c>
    </row>
    <row r="106" spans="1:21" s="836" customFormat="1" ht="22.5" customHeight="1">
      <c r="A106" s="831"/>
      <c r="B106" s="831"/>
      <c r="C106" s="382"/>
      <c r="D106" s="382"/>
      <c r="E106" s="382"/>
      <c r="F106" s="382"/>
      <c r="G106" s="837"/>
      <c r="H106" s="382"/>
      <c r="I106" s="382"/>
      <c r="J106" s="382"/>
      <c r="K106" s="382"/>
      <c r="L106" s="382"/>
      <c r="M106" s="382"/>
      <c r="N106" s="382"/>
      <c r="O106" s="820"/>
      <c r="P106" s="382"/>
      <c r="Q106" s="887">
        <f>'He so chung'!$D$22</f>
        <v>5346.1538461538457</v>
      </c>
      <c r="R106" s="887">
        <f>'He so chung'!$D$23</f>
        <v>801.92307692307691</v>
      </c>
      <c r="S106" s="367"/>
      <c r="T106" s="845">
        <f>'[1]1,DG-capmoi'!N103</f>
        <v>0</v>
      </c>
      <c r="U106" s="845">
        <f t="shared" si="15"/>
        <v>0</v>
      </c>
    </row>
    <row r="107" spans="1:21" s="836" customFormat="1" ht="24" customHeight="1">
      <c r="A107" s="1112"/>
      <c r="B107" s="1121" t="s">
        <v>451</v>
      </c>
      <c r="C107" s="1124" t="s">
        <v>281</v>
      </c>
      <c r="D107" s="382">
        <v>2</v>
      </c>
      <c r="E107" s="383" t="e">
        <f>E116+E149+E183</f>
        <v>#VALUE!</v>
      </c>
      <c r="F107" s="383">
        <f>F116+F149+F183</f>
        <v>33929</v>
      </c>
      <c r="G107" s="430">
        <f t="shared" ref="G107:M107" si="17">G116+G149+G183</f>
        <v>0</v>
      </c>
      <c r="H107" s="430">
        <f t="shared" si="17"/>
        <v>1.6616105267147436</v>
      </c>
      <c r="I107" s="430">
        <f t="shared" si="17"/>
        <v>9.4113360000000004</v>
      </c>
      <c r="J107" s="430">
        <f t="shared" si="17"/>
        <v>0.83852799999999994</v>
      </c>
      <c r="K107" s="430">
        <f t="shared" si="17"/>
        <v>1.9682963999999998</v>
      </c>
      <c r="L107" s="383" t="e">
        <f t="shared" si="17"/>
        <v>#VALUE!</v>
      </c>
      <c r="M107" s="383" t="e">
        <f t="shared" si="17"/>
        <v>#VALUE!</v>
      </c>
      <c r="N107" s="383" t="e">
        <f>N116+N149+N183</f>
        <v>#VALUE!</v>
      </c>
      <c r="O107" s="383">
        <v>4765.5999999999767</v>
      </c>
      <c r="P107" s="383">
        <f>P116+P149+P183</f>
        <v>15297.645000000002</v>
      </c>
      <c r="Q107" s="835"/>
      <c r="R107" s="835"/>
      <c r="S107" s="367"/>
      <c r="T107" s="845">
        <f>'[1]1,DG-capmoi'!N104</f>
        <v>562299.7871424472</v>
      </c>
      <c r="U107" s="845" t="e">
        <f t="shared" si="15"/>
        <v>#VALUE!</v>
      </c>
    </row>
    <row r="108" spans="1:21" s="836" customFormat="1" ht="24" customHeight="1">
      <c r="A108" s="1112"/>
      <c r="B108" s="1122"/>
      <c r="C108" s="1124"/>
      <c r="D108" s="382">
        <v>3</v>
      </c>
      <c r="E108" s="383" t="e">
        <f>E117+E149+E183</f>
        <v>#VALUE!</v>
      </c>
      <c r="F108" s="383">
        <f>F117+F149+F183</f>
        <v>40479</v>
      </c>
      <c r="G108" s="430">
        <f t="shared" ref="G108:N108" si="18">G117+G149+G183</f>
        <v>0</v>
      </c>
      <c r="H108" s="430">
        <f t="shared" si="18"/>
        <v>1.7457495854166667</v>
      </c>
      <c r="I108" s="430">
        <f t="shared" si="18"/>
        <v>9.4113360000000004</v>
      </c>
      <c r="J108" s="430">
        <f t="shared" si="18"/>
        <v>0.83852799999999994</v>
      </c>
      <c r="K108" s="430">
        <f t="shared" si="18"/>
        <v>1.9682963999999998</v>
      </c>
      <c r="L108" s="383" t="e">
        <f t="shared" si="18"/>
        <v>#VALUE!</v>
      </c>
      <c r="M108" s="383" t="e">
        <f t="shared" si="18"/>
        <v>#VALUE!</v>
      </c>
      <c r="N108" s="383" t="e">
        <f t="shared" si="18"/>
        <v>#VALUE!</v>
      </c>
      <c r="O108" s="383">
        <v>5685.5999999999767</v>
      </c>
      <c r="P108" s="383">
        <f>P117+P149+P183</f>
        <v>16404.298846153848</v>
      </c>
      <c r="Q108" s="835"/>
      <c r="R108" s="835"/>
      <c r="S108" s="367"/>
      <c r="T108" s="845">
        <f>'[1]1,DG-capmoi'!N105</f>
        <v>606251.34931582632</v>
      </c>
      <c r="U108" s="845" t="e">
        <f t="shared" si="15"/>
        <v>#VALUE!</v>
      </c>
    </row>
    <row r="109" spans="1:21" s="836" customFormat="1" ht="24" customHeight="1">
      <c r="A109" s="1112"/>
      <c r="B109" s="1122"/>
      <c r="C109" s="1124"/>
      <c r="D109" s="382">
        <v>4</v>
      </c>
      <c r="E109" s="383" t="e">
        <f>E118+E149+E183</f>
        <v>#VALUE!</v>
      </c>
      <c r="F109" s="383">
        <f>F118+F149+F183</f>
        <v>48339</v>
      </c>
      <c r="G109" s="430">
        <f t="shared" ref="G109:N109" si="19">G118+G149+G183</f>
        <v>0</v>
      </c>
      <c r="H109" s="430">
        <f t="shared" si="19"/>
        <v>1.8298886441185898</v>
      </c>
      <c r="I109" s="430">
        <f t="shared" si="19"/>
        <v>9.4113360000000004</v>
      </c>
      <c r="J109" s="430">
        <f t="shared" si="19"/>
        <v>0.83852799999999994</v>
      </c>
      <c r="K109" s="430">
        <f t="shared" si="19"/>
        <v>1.9682963999999998</v>
      </c>
      <c r="L109" s="383" t="e">
        <f t="shared" si="19"/>
        <v>#VALUE!</v>
      </c>
      <c r="M109" s="383" t="e">
        <f t="shared" si="19"/>
        <v>#VALUE!</v>
      </c>
      <c r="N109" s="383" t="e">
        <f t="shared" si="19"/>
        <v>#VALUE!</v>
      </c>
      <c r="O109" s="383">
        <v>6789.5999999999767</v>
      </c>
      <c r="P109" s="383">
        <f>P118+P149+P183</f>
        <v>17732.283461538464</v>
      </c>
      <c r="Q109" s="835"/>
      <c r="R109" s="835"/>
      <c r="S109" s="367"/>
      <c r="T109" s="845">
        <f>'[1]1,DG-capmoi'!N106</f>
        <v>658993.20457189763</v>
      </c>
      <c r="U109" s="845" t="e">
        <f t="shared" si="15"/>
        <v>#VALUE!</v>
      </c>
    </row>
    <row r="110" spans="1:21" s="836" customFormat="1" ht="24" customHeight="1">
      <c r="A110" s="1112"/>
      <c r="B110" s="1123"/>
      <c r="C110" s="1124"/>
      <c r="D110" s="382">
        <v>5</v>
      </c>
      <c r="E110" s="383" t="e">
        <f>E119+E149+E183</f>
        <v>#VALUE!</v>
      </c>
      <c r="F110" s="383">
        <f>F119+F149+F183</f>
        <v>57771</v>
      </c>
      <c r="G110" s="430">
        <f t="shared" ref="G110:N110" si="20">G119+G149+G183</f>
        <v>0</v>
      </c>
      <c r="H110" s="430">
        <f t="shared" si="20"/>
        <v>1.9140277028205126</v>
      </c>
      <c r="I110" s="430">
        <f t="shared" si="20"/>
        <v>9.4113360000000004</v>
      </c>
      <c r="J110" s="430">
        <f t="shared" si="20"/>
        <v>0.83852799999999994</v>
      </c>
      <c r="K110" s="430">
        <f t="shared" si="20"/>
        <v>1.9682963999999998</v>
      </c>
      <c r="L110" s="383" t="e">
        <f t="shared" si="20"/>
        <v>#VALUE!</v>
      </c>
      <c r="M110" s="383" t="e">
        <f t="shared" si="20"/>
        <v>#VALUE!</v>
      </c>
      <c r="N110" s="383" t="e">
        <f t="shared" si="20"/>
        <v>#VALUE!</v>
      </c>
      <c r="O110" s="383">
        <v>8114.4000000000233</v>
      </c>
      <c r="P110" s="383">
        <f>P119+P149+P183</f>
        <v>19330.783461538464</v>
      </c>
      <c r="Q110" s="835"/>
      <c r="R110" s="835"/>
      <c r="S110" s="367"/>
      <c r="T110" s="845">
        <f>'[1]1,DG-capmoi'!N107</f>
        <v>722441.18470681517</v>
      </c>
      <c r="U110" s="845" t="e">
        <f t="shared" si="15"/>
        <v>#VALUE!</v>
      </c>
    </row>
    <row r="111" spans="1:21" s="836" customFormat="1" ht="24" customHeight="1">
      <c r="A111" s="1112"/>
      <c r="B111" s="1121" t="s">
        <v>452</v>
      </c>
      <c r="C111" s="1124" t="s">
        <v>281</v>
      </c>
      <c r="D111" s="382">
        <v>2</v>
      </c>
      <c r="E111" s="383" t="e">
        <f>E120+E150+E184</f>
        <v>#VALUE!</v>
      </c>
      <c r="F111" s="383">
        <f t="shared" ref="F111:N111" si="21">F120+F150+F184</f>
        <v>33929</v>
      </c>
      <c r="G111" s="383">
        <f t="shared" si="21"/>
        <v>0</v>
      </c>
      <c r="H111" s="383">
        <f t="shared" si="21"/>
        <v>1.6616105267147436</v>
      </c>
      <c r="I111" s="383">
        <f t="shared" si="21"/>
        <v>9.4113360000000004</v>
      </c>
      <c r="J111" s="383">
        <f t="shared" si="21"/>
        <v>0.83852799999999994</v>
      </c>
      <c r="K111" s="383">
        <f t="shared" si="21"/>
        <v>1.9682963999999998</v>
      </c>
      <c r="L111" s="383" t="e">
        <f t="shared" si="21"/>
        <v>#VALUE!</v>
      </c>
      <c r="M111" s="383" t="e">
        <f t="shared" si="21"/>
        <v>#VALUE!</v>
      </c>
      <c r="N111" s="383" t="e">
        <f t="shared" si="21"/>
        <v>#VALUE!</v>
      </c>
      <c r="O111" s="383">
        <v>4765.6000000000931</v>
      </c>
      <c r="P111" s="383">
        <f>P120+P150+P184</f>
        <v>14682.837307692311</v>
      </c>
      <c r="Q111" s="835"/>
      <c r="R111" s="835"/>
      <c r="S111" s="367"/>
      <c r="T111" s="845">
        <f>'[1]1,DG-capmoi'!N108</f>
        <v>541154.4756280242</v>
      </c>
      <c r="U111" s="845" t="e">
        <f t="shared" si="15"/>
        <v>#VALUE!</v>
      </c>
    </row>
    <row r="112" spans="1:21" s="836" customFormat="1" ht="24" customHeight="1">
      <c r="A112" s="1112"/>
      <c r="B112" s="1122"/>
      <c r="C112" s="1124"/>
      <c r="D112" s="382">
        <v>3</v>
      </c>
      <c r="E112" s="383" t="e">
        <f>E121+E150+E184</f>
        <v>#VALUE!</v>
      </c>
      <c r="F112" s="383">
        <f t="shared" ref="F112:N112" si="22">F121+F150+F184</f>
        <v>40479</v>
      </c>
      <c r="G112" s="383">
        <f t="shared" si="22"/>
        <v>0</v>
      </c>
      <c r="H112" s="383">
        <f t="shared" si="22"/>
        <v>1.7457495854166667</v>
      </c>
      <c r="I112" s="383">
        <f t="shared" si="22"/>
        <v>9.4113360000000004</v>
      </c>
      <c r="J112" s="383">
        <f t="shared" si="22"/>
        <v>0.83852799999999994</v>
      </c>
      <c r="K112" s="383">
        <f t="shared" si="22"/>
        <v>1.9682963999999998</v>
      </c>
      <c r="L112" s="383" t="e">
        <f t="shared" si="22"/>
        <v>#VALUE!</v>
      </c>
      <c r="M112" s="383" t="e">
        <f t="shared" si="22"/>
        <v>#VALUE!</v>
      </c>
      <c r="N112" s="383" t="e">
        <f t="shared" si="22"/>
        <v>#VALUE!</v>
      </c>
      <c r="O112" s="383">
        <v>5685.5999999999767</v>
      </c>
      <c r="P112" s="383">
        <f>P121+P150+P184</f>
        <v>15789.491153846157</v>
      </c>
      <c r="Q112" s="835"/>
      <c r="R112" s="835"/>
      <c r="S112" s="367"/>
      <c r="T112" s="845">
        <f>'[1]1,DG-capmoi'!N109</f>
        <v>585106.0378014032</v>
      </c>
      <c r="U112" s="845" t="e">
        <f t="shared" si="15"/>
        <v>#VALUE!</v>
      </c>
    </row>
    <row r="113" spans="1:21" s="836" customFormat="1" ht="24" customHeight="1">
      <c r="A113" s="1112"/>
      <c r="B113" s="1122"/>
      <c r="C113" s="1124"/>
      <c r="D113" s="382">
        <v>4</v>
      </c>
      <c r="E113" s="383" t="e">
        <f>E122+E150+E184</f>
        <v>#VALUE!</v>
      </c>
      <c r="F113" s="383">
        <f t="shared" ref="F113:N113" si="23">F122+F150+F184</f>
        <v>48339</v>
      </c>
      <c r="G113" s="383">
        <f t="shared" si="23"/>
        <v>0</v>
      </c>
      <c r="H113" s="383">
        <f t="shared" si="23"/>
        <v>1.8298886441185898</v>
      </c>
      <c r="I113" s="383">
        <f t="shared" si="23"/>
        <v>9.4113360000000004</v>
      </c>
      <c r="J113" s="383">
        <f t="shared" si="23"/>
        <v>0.83852799999999994</v>
      </c>
      <c r="K113" s="383">
        <f t="shared" si="23"/>
        <v>1.9682963999999998</v>
      </c>
      <c r="L113" s="383" t="e">
        <f t="shared" si="23"/>
        <v>#VALUE!</v>
      </c>
      <c r="M113" s="383" t="e">
        <f t="shared" si="23"/>
        <v>#VALUE!</v>
      </c>
      <c r="N113" s="383" t="e">
        <f t="shared" si="23"/>
        <v>#VALUE!</v>
      </c>
      <c r="O113" s="383">
        <v>6789.5999999999767</v>
      </c>
      <c r="P113" s="383">
        <f>P122+P150+P184</f>
        <v>17117.475769230772</v>
      </c>
      <c r="Q113" s="835"/>
      <c r="R113" s="835"/>
      <c r="S113" s="367"/>
      <c r="T113" s="845">
        <f>'[1]1,DG-capmoi'!N110</f>
        <v>637847.89305747452</v>
      </c>
      <c r="U113" s="845" t="e">
        <f t="shared" si="15"/>
        <v>#VALUE!</v>
      </c>
    </row>
    <row r="114" spans="1:21" s="836" customFormat="1" ht="24" customHeight="1">
      <c r="A114" s="1112"/>
      <c r="B114" s="1123"/>
      <c r="C114" s="1124"/>
      <c r="D114" s="382">
        <v>5</v>
      </c>
      <c r="E114" s="383" t="e">
        <f>E123+E150+E184</f>
        <v>#VALUE!</v>
      </c>
      <c r="F114" s="383">
        <f t="shared" ref="F114:N114" si="24">F123+F150+F184</f>
        <v>57771</v>
      </c>
      <c r="G114" s="383">
        <f t="shared" si="24"/>
        <v>0</v>
      </c>
      <c r="H114" s="383">
        <f t="shared" si="24"/>
        <v>1.9140277028205126</v>
      </c>
      <c r="I114" s="383">
        <f t="shared" si="24"/>
        <v>9.4113360000000004</v>
      </c>
      <c r="J114" s="383">
        <f t="shared" si="24"/>
        <v>0.83852799999999994</v>
      </c>
      <c r="K114" s="383">
        <f t="shared" si="24"/>
        <v>1.9682963999999998</v>
      </c>
      <c r="L114" s="383" t="e">
        <f t="shared" si="24"/>
        <v>#VALUE!</v>
      </c>
      <c r="M114" s="383" t="e">
        <f t="shared" si="24"/>
        <v>#VALUE!</v>
      </c>
      <c r="N114" s="383" t="e">
        <f t="shared" si="24"/>
        <v>#VALUE!</v>
      </c>
      <c r="O114" s="383">
        <v>8114.4000000000233</v>
      </c>
      <c r="P114" s="383">
        <f>P123+P150+P184</f>
        <v>18715.975769230772</v>
      </c>
      <c r="Q114" s="835"/>
      <c r="R114" s="835"/>
      <c r="S114" s="367"/>
      <c r="T114" s="845">
        <f>'[1]1,DG-capmoi'!N111</f>
        <v>701295.87319239206</v>
      </c>
      <c r="U114" s="845" t="e">
        <f t="shared" si="15"/>
        <v>#VALUE!</v>
      </c>
    </row>
    <row r="115" spans="1:21" s="836" customFormat="1" ht="33" customHeight="1">
      <c r="A115" s="831" t="s">
        <v>179</v>
      </c>
      <c r="B115" s="888" t="s">
        <v>453</v>
      </c>
      <c r="C115" s="382"/>
      <c r="D115" s="382"/>
      <c r="E115" s="382"/>
      <c r="F115" s="382"/>
      <c r="G115" s="889"/>
      <c r="H115" s="889"/>
      <c r="I115" s="889"/>
      <c r="J115" s="889"/>
      <c r="K115" s="889"/>
      <c r="L115" s="382"/>
      <c r="M115" s="382"/>
      <c r="N115" s="382"/>
      <c r="O115" s="382">
        <v>0</v>
      </c>
      <c r="P115" s="382"/>
      <c r="Q115" s="890"/>
      <c r="R115" s="890"/>
      <c r="S115" s="891"/>
      <c r="T115" s="845">
        <f>'[1]1,DG-capmoi'!N112</f>
        <v>0</v>
      </c>
      <c r="U115" s="845">
        <f t="shared" si="15"/>
        <v>0</v>
      </c>
    </row>
    <row r="116" spans="1:21" s="896" customFormat="1" ht="18.75" customHeight="1">
      <c r="A116" s="1139" t="s">
        <v>665</v>
      </c>
      <c r="B116" s="1121" t="s">
        <v>451</v>
      </c>
      <c r="C116" s="1124" t="s">
        <v>281</v>
      </c>
      <c r="D116" s="892">
        <v>2</v>
      </c>
      <c r="E116" s="893" t="e">
        <f>E125+E126+E127+E129+E131+E132+E133+E138+E140+E141+E143+E145+E146+E147</f>
        <v>#VALUE!</v>
      </c>
      <c r="F116" s="893">
        <f>F125+F126+F127+F129+F131+F132+F133+F138+F140+F141+F143+F145+F146+F147</f>
        <v>33929</v>
      </c>
      <c r="G116" s="894">
        <f>G124+G139</f>
        <v>0</v>
      </c>
      <c r="H116" s="894">
        <f>'Dcu-DKDD'!H64/5000</f>
        <v>0.7572515283173078</v>
      </c>
      <c r="I116" s="894">
        <f>'VL-DKDD'!F66/5000</f>
        <v>3.1654800000000001</v>
      </c>
      <c r="J116" s="894">
        <f>'TB-DKDD'!I32/5000</f>
        <v>1.8616000000000001E-2</v>
      </c>
      <c r="K116" s="894">
        <f>'NL-DKDD'!F23/5000</f>
        <v>3.8850000000000003E-2</v>
      </c>
      <c r="L116" s="893" t="e">
        <f t="shared" ref="L116:L123" si="25">SUM(E116:K116)</f>
        <v>#VALUE!</v>
      </c>
      <c r="M116" s="893" t="e">
        <f>L116*'He so chung'!$D$17/100</f>
        <v>#VALUE!</v>
      </c>
      <c r="N116" s="893" t="e">
        <f t="shared" ref="N116:N123" si="26">L116+M116</f>
        <v>#VALUE!</v>
      </c>
      <c r="O116" s="893">
        <v>4765.6000000000349</v>
      </c>
      <c r="P116" s="893">
        <f>P125+P126+P127+P129+P131+P132+P133+P138+P140+P141+P143+P145+P146+P147</f>
        <v>10467.715769230772</v>
      </c>
      <c r="Q116" s="895"/>
      <c r="R116" s="895"/>
      <c r="S116" s="891"/>
      <c r="T116" s="845">
        <f>'[1]1,DG-capmoi'!N113</f>
        <v>395215.70646984997</v>
      </c>
      <c r="U116" s="845" t="e">
        <f t="shared" si="15"/>
        <v>#VALUE!</v>
      </c>
    </row>
    <row r="117" spans="1:21" s="896" customFormat="1" ht="18.75" customHeight="1">
      <c r="A117" s="1139"/>
      <c r="B117" s="1122"/>
      <c r="C117" s="1124"/>
      <c r="D117" s="892">
        <v>3</v>
      </c>
      <c r="E117" s="893" t="e">
        <f>E125+E126+E127+E129+E131+E132+E134+E138+E140+E141+E143+E145+E146+E147</f>
        <v>#VALUE!</v>
      </c>
      <c r="F117" s="893">
        <f>F125+F126+F127+F129+F131+F132+F134+F138+F140+F141+F143+F145+F146+F147</f>
        <v>40479</v>
      </c>
      <c r="G117" s="894">
        <f>G125+G139</f>
        <v>0</v>
      </c>
      <c r="H117" s="894">
        <f>'Dcu-DKDD'!H65/5000</f>
        <v>0.84139058701923075</v>
      </c>
      <c r="I117" s="894">
        <f>'VL-DKDD'!F66/5000</f>
        <v>3.1654800000000001</v>
      </c>
      <c r="J117" s="894">
        <f>'TB-DKDD'!I32/5000</f>
        <v>1.8616000000000001E-2</v>
      </c>
      <c r="K117" s="894">
        <f>'NL-DKDD'!F23/5000</f>
        <v>3.8850000000000003E-2</v>
      </c>
      <c r="L117" s="893" t="e">
        <f t="shared" si="25"/>
        <v>#VALUE!</v>
      </c>
      <c r="M117" s="893" t="e">
        <f>L117*'He so chung'!$D$17/100</f>
        <v>#VALUE!</v>
      </c>
      <c r="N117" s="893" t="e">
        <f t="shared" si="26"/>
        <v>#VALUE!</v>
      </c>
      <c r="O117" s="893">
        <v>5685.5999999999767</v>
      </c>
      <c r="P117" s="893">
        <f>P125+P126+P127+P129+P131+P132+P134+P138+P140+P141+P143+P145+P146+P147</f>
        <v>11574.369615384618</v>
      </c>
      <c r="Q117" s="895"/>
      <c r="R117" s="895"/>
      <c r="S117" s="891"/>
      <c r="T117" s="845">
        <f>'[1]1,DG-capmoi'!N114</f>
        <v>439167.26864322904</v>
      </c>
      <c r="U117" s="845" t="e">
        <f t="shared" si="15"/>
        <v>#VALUE!</v>
      </c>
    </row>
    <row r="118" spans="1:21" s="896" customFormat="1" ht="18.75" customHeight="1">
      <c r="A118" s="1139"/>
      <c r="B118" s="1122"/>
      <c r="C118" s="1124"/>
      <c r="D118" s="892">
        <v>4</v>
      </c>
      <c r="E118" s="893" t="e">
        <f>E125+E126+E127+E129+E131+E132+E135+E138+E140+E141+E143+E145+E146+E147</f>
        <v>#VALUE!</v>
      </c>
      <c r="F118" s="893">
        <f>F125+F126+F127+F129+F131+F132+F135+F138+F140+F141+F143+F145+F146+F147</f>
        <v>48339</v>
      </c>
      <c r="G118" s="894">
        <f>G126+G139</f>
        <v>0</v>
      </c>
      <c r="H118" s="894">
        <f>'Dcu-DKDD'!H66/5000</f>
        <v>0.92552964572115393</v>
      </c>
      <c r="I118" s="894">
        <f>'VL-DKDD'!F66/5000</f>
        <v>3.1654800000000001</v>
      </c>
      <c r="J118" s="894">
        <f>'TB-DKDD'!I32/5000</f>
        <v>1.8616000000000001E-2</v>
      </c>
      <c r="K118" s="894">
        <f>'NL-DKDD'!F23/5000</f>
        <v>3.8850000000000003E-2</v>
      </c>
      <c r="L118" s="893" t="e">
        <f t="shared" si="25"/>
        <v>#VALUE!</v>
      </c>
      <c r="M118" s="893" t="e">
        <f>L118*'He so chung'!$D$17/100</f>
        <v>#VALUE!</v>
      </c>
      <c r="N118" s="893" t="e">
        <f t="shared" si="26"/>
        <v>#VALUE!</v>
      </c>
      <c r="O118" s="893">
        <v>6789.5999999999767</v>
      </c>
      <c r="P118" s="893">
        <f>P125+P126+P127+P129+P131+P132+P135+P138+P140+P141+P143+P145+P146+P147</f>
        <v>12902.354230769233</v>
      </c>
      <c r="Q118" s="895"/>
      <c r="R118" s="895"/>
      <c r="S118" s="891"/>
      <c r="T118" s="845">
        <f>'[1]1,DG-capmoi'!N115</f>
        <v>491909.12389930035</v>
      </c>
      <c r="U118" s="845" t="e">
        <f t="shared" ref="U118:U181" si="27">T118-N118</f>
        <v>#VALUE!</v>
      </c>
    </row>
    <row r="119" spans="1:21" s="896" customFormat="1" ht="18.75" customHeight="1">
      <c r="A119" s="1139"/>
      <c r="B119" s="1123"/>
      <c r="C119" s="1124"/>
      <c r="D119" s="892">
        <v>5</v>
      </c>
      <c r="E119" s="893" t="e">
        <f>E125+E126+E127+E129+E131+E132+E136+E138+E140+E141+E143+E145+E146+E147</f>
        <v>#VALUE!</v>
      </c>
      <c r="F119" s="893">
        <f>F125+F126+F127+F129+F131+F132+F136+F138+F140+F141+F143+F145+F146+F147</f>
        <v>57771</v>
      </c>
      <c r="G119" s="894">
        <f>G127+G139</f>
        <v>0</v>
      </c>
      <c r="H119" s="894">
        <f>'Dcu-DKDD'!H67/5000</f>
        <v>1.0096687044230768</v>
      </c>
      <c r="I119" s="894">
        <f>'VL-DKDD'!F66/5000</f>
        <v>3.1654800000000001</v>
      </c>
      <c r="J119" s="894">
        <f>'TB-DKDD'!I32/5000</f>
        <v>1.8616000000000001E-2</v>
      </c>
      <c r="K119" s="894">
        <f>'NL-DKDD'!F23/5000</f>
        <v>3.8850000000000003E-2</v>
      </c>
      <c r="L119" s="893" t="e">
        <f t="shared" si="25"/>
        <v>#VALUE!</v>
      </c>
      <c r="M119" s="893" t="e">
        <f>L119*'He so chung'!$D$17/100</f>
        <v>#VALUE!</v>
      </c>
      <c r="N119" s="893" t="e">
        <f t="shared" si="26"/>
        <v>#VALUE!</v>
      </c>
      <c r="O119" s="893">
        <v>8114.4000000000233</v>
      </c>
      <c r="P119" s="893">
        <f>P125+P126+P127+P129+P131+P132+P136+P138+P140+P141+P143+P145+P146+P147</f>
        <v>14500.854230769233</v>
      </c>
      <c r="Q119" s="895"/>
      <c r="R119" s="895"/>
      <c r="S119" s="891"/>
      <c r="T119" s="845">
        <f>'[1]1,DG-capmoi'!N116</f>
        <v>555357.10403421789</v>
      </c>
      <c r="U119" s="845" t="e">
        <f t="shared" si="27"/>
        <v>#VALUE!</v>
      </c>
    </row>
    <row r="120" spans="1:21" s="896" customFormat="1" ht="18.75" customHeight="1">
      <c r="A120" s="1145" t="s">
        <v>666</v>
      </c>
      <c r="B120" s="1121" t="s">
        <v>452</v>
      </c>
      <c r="C120" s="1124" t="s">
        <v>281</v>
      </c>
      <c r="D120" s="892">
        <v>2</v>
      </c>
      <c r="E120" s="893" t="e">
        <f>E125+E126+E127+E130+E131+E132+E133+E139+E140+E141+E144+E145+E146+E147</f>
        <v>#VALUE!</v>
      </c>
      <c r="F120" s="893">
        <f>F125+F126+F127+F130+F131+F132+F133+F139+F140+F141+F144+F145+F146+F147</f>
        <v>33929</v>
      </c>
      <c r="G120" s="894"/>
      <c r="H120" s="894">
        <f t="shared" ref="H120:K121" si="28">H116</f>
        <v>0.7572515283173078</v>
      </c>
      <c r="I120" s="894">
        <f t="shared" si="28"/>
        <v>3.1654800000000001</v>
      </c>
      <c r="J120" s="894">
        <f t="shared" si="28"/>
        <v>1.8616000000000001E-2</v>
      </c>
      <c r="K120" s="894">
        <f t="shared" si="28"/>
        <v>3.8850000000000003E-2</v>
      </c>
      <c r="L120" s="893" t="e">
        <f t="shared" si="25"/>
        <v>#VALUE!</v>
      </c>
      <c r="M120" s="893" t="e">
        <f>L120*'He so chung'!$D$17/100</f>
        <v>#VALUE!</v>
      </c>
      <c r="N120" s="893" t="e">
        <f t="shared" si="26"/>
        <v>#VALUE!</v>
      </c>
      <c r="O120" s="893">
        <v>4765.6000000000349</v>
      </c>
      <c r="P120" s="893">
        <f>P125+P126+P127+P130+P131+P132+P133+P139+P140+P141+P144+P145+P146+P147</f>
        <v>10068.090769230772</v>
      </c>
      <c r="Q120" s="895"/>
      <c r="R120" s="895"/>
      <c r="S120" s="891"/>
      <c r="T120" s="845">
        <f>'[1]1,DG-capmoi'!N117</f>
        <v>381502.57459485001</v>
      </c>
      <c r="U120" s="845" t="e">
        <f t="shared" si="27"/>
        <v>#VALUE!</v>
      </c>
    </row>
    <row r="121" spans="1:21" s="896" customFormat="1" ht="18.75" customHeight="1">
      <c r="A121" s="1146"/>
      <c r="B121" s="1122"/>
      <c r="C121" s="1124"/>
      <c r="D121" s="892">
        <v>3</v>
      </c>
      <c r="E121" s="893" t="e">
        <f>E125+E126+E127+E130+E131+E132+E134+E139+E140+E141+E144+E145+E146+E147</f>
        <v>#VALUE!</v>
      </c>
      <c r="F121" s="893">
        <f>F125+F126+F127+F130+F131+F132+F134+F139+F140+F141+F144+F145+F146+F147</f>
        <v>40479</v>
      </c>
      <c r="G121" s="894"/>
      <c r="H121" s="894">
        <f t="shared" si="28"/>
        <v>0.84139058701923075</v>
      </c>
      <c r="I121" s="894">
        <f t="shared" si="28"/>
        <v>3.1654800000000001</v>
      </c>
      <c r="J121" s="894">
        <f t="shared" si="28"/>
        <v>1.8616000000000001E-2</v>
      </c>
      <c r="K121" s="894">
        <f t="shared" si="28"/>
        <v>3.8850000000000003E-2</v>
      </c>
      <c r="L121" s="893" t="e">
        <f t="shared" si="25"/>
        <v>#VALUE!</v>
      </c>
      <c r="M121" s="893" t="e">
        <f>L121*'He so chung'!$D$17/100</f>
        <v>#VALUE!</v>
      </c>
      <c r="N121" s="893" t="e">
        <f t="shared" si="26"/>
        <v>#VALUE!</v>
      </c>
      <c r="O121" s="893">
        <v>5685.5999999999767</v>
      </c>
      <c r="P121" s="893">
        <f>P125+P126+P127+P130+P131+P132+P134+P139+P140+P141+P144+P145+P146+P147</f>
        <v>11174.744615384618</v>
      </c>
      <c r="Q121" s="895"/>
      <c r="R121" s="895"/>
      <c r="S121" s="891"/>
      <c r="T121" s="845">
        <f>'[1]1,DG-capmoi'!N118</f>
        <v>425454.13676822901</v>
      </c>
      <c r="U121" s="845" t="e">
        <f t="shared" si="27"/>
        <v>#VALUE!</v>
      </c>
    </row>
    <row r="122" spans="1:21" s="896" customFormat="1" ht="18.75" customHeight="1">
      <c r="A122" s="1146"/>
      <c r="B122" s="1122"/>
      <c r="C122" s="1124"/>
      <c r="D122" s="892">
        <v>4</v>
      </c>
      <c r="E122" s="893" t="e">
        <f>E125+E126+E127+E130+E131+E132+E135+E139+E140+E141+E144+E145+E146+E147</f>
        <v>#VALUE!</v>
      </c>
      <c r="F122" s="893">
        <f>F125+F126+F127+F130+F131+F132+F135+F139+F140+F141+F144+F145+F146+F147</f>
        <v>48339</v>
      </c>
      <c r="G122" s="894"/>
      <c r="H122" s="894">
        <f t="shared" ref="H122:K123" si="29">H118</f>
        <v>0.92552964572115393</v>
      </c>
      <c r="I122" s="894">
        <f t="shared" si="29"/>
        <v>3.1654800000000001</v>
      </c>
      <c r="J122" s="894">
        <f t="shared" si="29"/>
        <v>1.8616000000000001E-2</v>
      </c>
      <c r="K122" s="894">
        <f t="shared" si="29"/>
        <v>3.8850000000000003E-2</v>
      </c>
      <c r="L122" s="893" t="e">
        <f t="shared" si="25"/>
        <v>#VALUE!</v>
      </c>
      <c r="M122" s="893" t="e">
        <f>L122*'He so chung'!$D$17/100</f>
        <v>#VALUE!</v>
      </c>
      <c r="N122" s="893" t="e">
        <f t="shared" si="26"/>
        <v>#VALUE!</v>
      </c>
      <c r="O122" s="893">
        <v>6789.5999999999767</v>
      </c>
      <c r="P122" s="893">
        <f>P125+P126+P127+P130+P131+P132+P135+P139+P140+P141+P144+P145+P146+P147</f>
        <v>12502.729230769233</v>
      </c>
      <c r="Q122" s="895"/>
      <c r="R122" s="895"/>
      <c r="S122" s="891"/>
      <c r="T122" s="845">
        <f>'[1]1,DG-capmoi'!N119</f>
        <v>478195.99202430033</v>
      </c>
      <c r="U122" s="845" t="e">
        <f t="shared" si="27"/>
        <v>#VALUE!</v>
      </c>
    </row>
    <row r="123" spans="1:21" s="896" customFormat="1" ht="18.75" customHeight="1">
      <c r="A123" s="1147"/>
      <c r="B123" s="1123"/>
      <c r="C123" s="1124"/>
      <c r="D123" s="892">
        <v>5</v>
      </c>
      <c r="E123" s="893" t="e">
        <f>E125+E126+E127+E130+E131+E132+E136+E139+E140+E141+E144+E145+E146+E147</f>
        <v>#VALUE!</v>
      </c>
      <c r="F123" s="893">
        <f>F125+F126+F127+F130+F131+F132+F136+F139+F140+F141+F144+F145+F146+F147</f>
        <v>57771</v>
      </c>
      <c r="G123" s="894"/>
      <c r="H123" s="894">
        <f t="shared" si="29"/>
        <v>1.0096687044230768</v>
      </c>
      <c r="I123" s="894">
        <f t="shared" si="29"/>
        <v>3.1654800000000001</v>
      </c>
      <c r="J123" s="894">
        <f t="shared" si="29"/>
        <v>1.8616000000000001E-2</v>
      </c>
      <c r="K123" s="894">
        <f t="shared" si="29"/>
        <v>3.8850000000000003E-2</v>
      </c>
      <c r="L123" s="893" t="e">
        <f t="shared" si="25"/>
        <v>#VALUE!</v>
      </c>
      <c r="M123" s="893" t="e">
        <f>L123*'He so chung'!$D$17/100</f>
        <v>#VALUE!</v>
      </c>
      <c r="N123" s="893" t="e">
        <f t="shared" si="26"/>
        <v>#VALUE!</v>
      </c>
      <c r="O123" s="893">
        <v>8114.4000000000233</v>
      </c>
      <c r="P123" s="893">
        <f>P125+P126+P127+P130+P131+P132+P136+P139+P140+P141+P144+P145+P146+P147</f>
        <v>14101.229230769233</v>
      </c>
      <c r="Q123" s="895"/>
      <c r="R123" s="895"/>
      <c r="S123" s="891"/>
      <c r="T123" s="845">
        <f>'[1]1,DG-capmoi'!N120</f>
        <v>541643.97215921793</v>
      </c>
      <c r="U123" s="845" t="e">
        <f t="shared" si="27"/>
        <v>#VALUE!</v>
      </c>
    </row>
    <row r="124" spans="1:21" s="896" customFormat="1" ht="27" customHeight="1">
      <c r="A124" s="832">
        <v>1</v>
      </c>
      <c r="B124" s="827" t="s">
        <v>599</v>
      </c>
      <c r="C124" s="832"/>
      <c r="D124" s="897"/>
      <c r="E124" s="898"/>
      <c r="F124" s="898"/>
      <c r="G124" s="898"/>
      <c r="H124" s="898"/>
      <c r="I124" s="898"/>
      <c r="J124" s="898"/>
      <c r="K124" s="898"/>
      <c r="L124" s="899"/>
      <c r="M124" s="899"/>
      <c r="N124" s="899"/>
      <c r="O124" s="899"/>
      <c r="P124" s="898"/>
      <c r="Q124" s="900"/>
      <c r="R124" s="900"/>
      <c r="S124" s="835"/>
      <c r="T124" s="845">
        <f>'[1]1,DG-capmoi'!N121</f>
        <v>0</v>
      </c>
      <c r="U124" s="845">
        <f t="shared" si="27"/>
        <v>0</v>
      </c>
    </row>
    <row r="125" spans="1:21" s="896" customFormat="1" ht="27" customHeight="1">
      <c r="A125" s="832" t="s">
        <v>891</v>
      </c>
      <c r="B125" s="827" t="s">
        <v>21</v>
      </c>
      <c r="C125" s="832" t="s">
        <v>281</v>
      </c>
      <c r="D125" s="901" t="s">
        <v>880</v>
      </c>
      <c r="E125" s="898" t="e">
        <f>NC_DKDD!H82/5000*10</f>
        <v>#VALUE!</v>
      </c>
      <c r="F125" s="898">
        <f>NC_DKDD!H83/5000*10</f>
        <v>524</v>
      </c>
      <c r="G125" s="898"/>
      <c r="H125" s="898"/>
      <c r="I125" s="898"/>
      <c r="J125" s="898"/>
      <c r="K125" s="898"/>
      <c r="L125" s="899"/>
      <c r="M125" s="899"/>
      <c r="N125" s="899"/>
      <c r="O125" s="899"/>
      <c r="P125" s="898">
        <f>Q125+R125</f>
        <v>49.184615384615384</v>
      </c>
      <c r="Q125" s="900">
        <f>S125*$Q$106</f>
        <v>42.769230769230766</v>
      </c>
      <c r="R125" s="900">
        <f>S125*$R$106</f>
        <v>6.4153846153846157</v>
      </c>
      <c r="S125" s="902">
        <f>NC_DKDD!G82/5000*10</f>
        <v>8.0000000000000002E-3</v>
      </c>
      <c r="T125" s="845">
        <f>'[1]1,DG-capmoi'!N122</f>
        <v>0</v>
      </c>
      <c r="U125" s="845">
        <f t="shared" si="27"/>
        <v>0</v>
      </c>
    </row>
    <row r="126" spans="1:21" s="896" customFormat="1" ht="42.75">
      <c r="A126" s="832" t="s">
        <v>899</v>
      </c>
      <c r="B126" s="827" t="s">
        <v>65</v>
      </c>
      <c r="C126" s="832" t="s">
        <v>488</v>
      </c>
      <c r="D126" s="901" t="s">
        <v>880</v>
      </c>
      <c r="E126" s="898" t="e">
        <f>NC_DKDD!H84/5000</f>
        <v>#VALUE!</v>
      </c>
      <c r="F126" s="898"/>
      <c r="G126" s="898"/>
      <c r="H126" s="898"/>
      <c r="I126" s="898"/>
      <c r="J126" s="898"/>
      <c r="K126" s="898"/>
      <c r="L126" s="899"/>
      <c r="M126" s="899"/>
      <c r="N126" s="899"/>
      <c r="O126" s="899"/>
      <c r="P126" s="898">
        <f>Q126+R126</f>
        <v>59.021538461538448</v>
      </c>
      <c r="Q126" s="900">
        <f>S126*$Q$106</f>
        <v>51.323076923076911</v>
      </c>
      <c r="R126" s="900">
        <f t="shared" ref="R126:R190" si="30">S126*$R$106</f>
        <v>7.6984615384615376</v>
      </c>
      <c r="S126" s="902">
        <f>NC_DKDD!G84/5000</f>
        <v>9.5999999999999992E-3</v>
      </c>
      <c r="T126" s="845">
        <f>'[1]1,DG-capmoi'!N123</f>
        <v>0</v>
      </c>
      <c r="U126" s="845">
        <f t="shared" si="27"/>
        <v>0</v>
      </c>
    </row>
    <row r="127" spans="1:21" s="896" customFormat="1" ht="38.25" customHeight="1">
      <c r="A127" s="832" t="s">
        <v>892</v>
      </c>
      <c r="B127" s="827" t="s">
        <v>27</v>
      </c>
      <c r="C127" s="832" t="s">
        <v>281</v>
      </c>
      <c r="D127" s="901" t="s">
        <v>880</v>
      </c>
      <c r="E127" s="898" t="e">
        <f>NC_DKDD!H85/5000*10</f>
        <v>#VALUE!</v>
      </c>
      <c r="F127" s="898">
        <f>NC_DKDD!H86/5000*10</f>
        <v>655</v>
      </c>
      <c r="G127" s="898"/>
      <c r="H127" s="898"/>
      <c r="I127" s="898"/>
      <c r="J127" s="898"/>
      <c r="K127" s="898"/>
      <c r="L127" s="899"/>
      <c r="M127" s="899"/>
      <c r="N127" s="899"/>
      <c r="O127" s="899"/>
      <c r="P127" s="898">
        <f>Q127+R127</f>
        <v>30.740384615384613</v>
      </c>
      <c r="Q127" s="900">
        <f>S127*$Q$106</f>
        <v>26.73076923076923</v>
      </c>
      <c r="R127" s="900">
        <f t="shared" si="30"/>
        <v>4.009615384615385</v>
      </c>
      <c r="S127" s="902">
        <f>NC_DKDD!G85/5000*10</f>
        <v>5.0000000000000001E-3</v>
      </c>
      <c r="T127" s="845">
        <f>'[1]1,DG-capmoi'!N124</f>
        <v>0</v>
      </c>
      <c r="U127" s="845">
        <f t="shared" si="27"/>
        <v>0</v>
      </c>
    </row>
    <row r="128" spans="1:21" s="905" customFormat="1" ht="27.75" customHeight="1">
      <c r="A128" s="832" t="s">
        <v>30</v>
      </c>
      <c r="B128" s="827" t="s">
        <v>31</v>
      </c>
      <c r="C128" s="832"/>
      <c r="D128" s="832"/>
      <c r="E128" s="903"/>
      <c r="F128" s="903"/>
      <c r="G128" s="391"/>
      <c r="H128" s="903"/>
      <c r="I128" s="903"/>
      <c r="J128" s="903"/>
      <c r="K128" s="903"/>
      <c r="L128" s="899"/>
      <c r="M128" s="899"/>
      <c r="N128" s="899"/>
      <c r="O128" s="899"/>
      <c r="P128" s="898">
        <f>Q128+R128</f>
        <v>0</v>
      </c>
      <c r="Q128" s="900">
        <f>S128*$Q$106</f>
        <v>0</v>
      </c>
      <c r="R128" s="900">
        <f t="shared" si="30"/>
        <v>0</v>
      </c>
      <c r="S128" s="904"/>
      <c r="T128" s="845">
        <f>'[1]1,DG-capmoi'!N125</f>
        <v>0</v>
      </c>
      <c r="U128" s="845">
        <f t="shared" si="27"/>
        <v>0</v>
      </c>
    </row>
    <row r="129" spans="1:21" s="905" customFormat="1" ht="22.5" customHeight="1">
      <c r="A129" s="832" t="s">
        <v>32</v>
      </c>
      <c r="B129" s="827" t="s">
        <v>33</v>
      </c>
      <c r="C129" s="832" t="s">
        <v>281</v>
      </c>
      <c r="D129" s="901" t="s">
        <v>880</v>
      </c>
      <c r="E129" s="903" t="e">
        <f>NC_DKDD!H88</f>
        <v>#VALUE!</v>
      </c>
      <c r="F129" s="903"/>
      <c r="G129" s="391"/>
      <c r="H129" s="903"/>
      <c r="I129" s="903"/>
      <c r="J129" s="903"/>
      <c r="K129" s="903"/>
      <c r="L129" s="899"/>
      <c r="M129" s="899"/>
      <c r="N129" s="899"/>
      <c r="O129" s="899"/>
      <c r="P129" s="898">
        <f t="shared" ref="P129:P138" si="31">Q129+R129</f>
        <v>922.21153846153834</v>
      </c>
      <c r="Q129" s="900">
        <f t="shared" ref="Q129:Q138" si="32">S129*$Q$106</f>
        <v>801.92307692307679</v>
      </c>
      <c r="R129" s="900">
        <f t="shared" si="30"/>
        <v>120.28846153846153</v>
      </c>
      <c r="S129" s="904">
        <f>NC_DKDD!G88</f>
        <v>0.15</v>
      </c>
      <c r="T129" s="845">
        <f>'[1]1,DG-capmoi'!N126</f>
        <v>0</v>
      </c>
      <c r="U129" s="845">
        <f t="shared" si="27"/>
        <v>0</v>
      </c>
    </row>
    <row r="130" spans="1:21" s="905" customFormat="1" ht="21" customHeight="1">
      <c r="A130" s="832" t="s">
        <v>35</v>
      </c>
      <c r="B130" s="827" t="s">
        <v>36</v>
      </c>
      <c r="C130" s="832" t="s">
        <v>281</v>
      </c>
      <c r="D130" s="901" t="s">
        <v>880</v>
      </c>
      <c r="E130" s="903" t="e">
        <f>NC_DKDD!H89</f>
        <v>#VALUE!</v>
      </c>
      <c r="F130" s="903"/>
      <c r="G130" s="391"/>
      <c r="H130" s="903"/>
      <c r="I130" s="903"/>
      <c r="J130" s="903"/>
      <c r="K130" s="903"/>
      <c r="L130" s="899"/>
      <c r="M130" s="899"/>
      <c r="N130" s="899"/>
      <c r="O130" s="899"/>
      <c r="P130" s="898">
        <f t="shared" si="31"/>
        <v>614.80769230769238</v>
      </c>
      <c r="Q130" s="900">
        <f t="shared" si="32"/>
        <v>534.61538461538464</v>
      </c>
      <c r="R130" s="900">
        <f t="shared" si="30"/>
        <v>80.192307692307693</v>
      </c>
      <c r="S130" s="904">
        <f>NC_DKDD!G89</f>
        <v>0.1</v>
      </c>
      <c r="T130" s="845">
        <f>'[1]1,DG-capmoi'!N127</f>
        <v>0</v>
      </c>
      <c r="U130" s="845">
        <f t="shared" si="27"/>
        <v>0</v>
      </c>
    </row>
    <row r="131" spans="1:21" s="905" customFormat="1" ht="42.75">
      <c r="A131" s="832">
        <v>2</v>
      </c>
      <c r="B131" s="827" t="s">
        <v>37</v>
      </c>
      <c r="C131" s="832" t="s">
        <v>281</v>
      </c>
      <c r="D131" s="901" t="s">
        <v>880</v>
      </c>
      <c r="E131" s="903" t="e">
        <f>NC_DKDD!H90</f>
        <v>#VALUE!</v>
      </c>
      <c r="F131" s="903"/>
      <c r="G131" s="391"/>
      <c r="H131" s="903"/>
      <c r="I131" s="903"/>
      <c r="J131" s="903"/>
      <c r="K131" s="903"/>
      <c r="L131" s="899"/>
      <c r="M131" s="899"/>
      <c r="N131" s="899"/>
      <c r="O131" s="899"/>
      <c r="P131" s="898">
        <f t="shared" si="31"/>
        <v>1229.6153846153848</v>
      </c>
      <c r="Q131" s="900">
        <f t="shared" si="32"/>
        <v>1069.2307692307693</v>
      </c>
      <c r="R131" s="900">
        <f t="shared" si="30"/>
        <v>160.38461538461539</v>
      </c>
      <c r="S131" s="904">
        <f>NC_DKDD!G90</f>
        <v>0.2</v>
      </c>
      <c r="T131" s="845">
        <f>'[1]1,DG-capmoi'!N128</f>
        <v>0</v>
      </c>
      <c r="U131" s="845">
        <f t="shared" si="27"/>
        <v>0</v>
      </c>
    </row>
    <row r="132" spans="1:21" s="905" customFormat="1" ht="33" customHeight="1">
      <c r="A132" s="832">
        <v>3</v>
      </c>
      <c r="B132" s="827" t="s">
        <v>38</v>
      </c>
      <c r="C132" s="832" t="s">
        <v>523</v>
      </c>
      <c r="D132" s="901" t="s">
        <v>880</v>
      </c>
      <c r="E132" s="903" t="e">
        <f>NC_DKDD!H91</f>
        <v>#VALUE!</v>
      </c>
      <c r="F132" s="903"/>
      <c r="G132" s="391"/>
      <c r="H132" s="903"/>
      <c r="I132" s="903"/>
      <c r="J132" s="903"/>
      <c r="K132" s="903"/>
      <c r="L132" s="899"/>
      <c r="M132" s="899"/>
      <c r="N132" s="899"/>
      <c r="O132" s="899"/>
      <c r="P132" s="898">
        <f t="shared" si="31"/>
        <v>657.84423076923065</v>
      </c>
      <c r="Q132" s="900">
        <f t="shared" si="32"/>
        <v>572.03846153846143</v>
      </c>
      <c r="R132" s="900">
        <f t="shared" si="30"/>
        <v>85.805769230769229</v>
      </c>
      <c r="S132" s="904">
        <f>NC_DKDD!G91</f>
        <v>0.107</v>
      </c>
      <c r="T132" s="845">
        <f>'[1]1,DG-capmoi'!N129</f>
        <v>0</v>
      </c>
      <c r="U132" s="845">
        <f t="shared" si="27"/>
        <v>0</v>
      </c>
    </row>
    <row r="133" spans="1:21" s="905" customFormat="1" ht="18.75" customHeight="1">
      <c r="A133" s="1116">
        <v>4</v>
      </c>
      <c r="B133" s="1137" t="s">
        <v>39</v>
      </c>
      <c r="C133" s="1116" t="s">
        <v>281</v>
      </c>
      <c r="D133" s="832">
        <v>2</v>
      </c>
      <c r="E133" s="903" t="e">
        <f>NC_DKDD!H92</f>
        <v>#VALUE!</v>
      </c>
      <c r="F133" s="903">
        <f>NC_DKDD!H93</f>
        <v>32750</v>
      </c>
      <c r="G133" s="391"/>
      <c r="H133" s="903"/>
      <c r="I133" s="903"/>
      <c r="J133" s="903"/>
      <c r="K133" s="903"/>
      <c r="L133" s="899"/>
      <c r="M133" s="899"/>
      <c r="N133" s="899"/>
      <c r="O133" s="899"/>
      <c r="P133" s="898">
        <f t="shared" si="31"/>
        <v>5533.2692307692305</v>
      </c>
      <c r="Q133" s="900">
        <f t="shared" si="32"/>
        <v>4811.538461538461</v>
      </c>
      <c r="R133" s="900">
        <f t="shared" si="30"/>
        <v>721.73076923076928</v>
      </c>
      <c r="S133" s="904">
        <f>NC_DKDD!G92</f>
        <v>0.9</v>
      </c>
      <c r="T133" s="845">
        <f>'[1]1,DG-capmoi'!N130</f>
        <v>0</v>
      </c>
      <c r="U133" s="845">
        <f t="shared" si="27"/>
        <v>0</v>
      </c>
    </row>
    <row r="134" spans="1:21" s="905" customFormat="1" ht="18.75" customHeight="1">
      <c r="A134" s="1116"/>
      <c r="B134" s="1137"/>
      <c r="C134" s="1116"/>
      <c r="D134" s="832">
        <v>3</v>
      </c>
      <c r="E134" s="903" t="e">
        <f>NC_DKDD!H94</f>
        <v>#VALUE!</v>
      </c>
      <c r="F134" s="903">
        <f>NC_DKDD!H95</f>
        <v>39300</v>
      </c>
      <c r="G134" s="391"/>
      <c r="H134" s="903"/>
      <c r="I134" s="903"/>
      <c r="J134" s="903"/>
      <c r="K134" s="903"/>
      <c r="L134" s="899"/>
      <c r="M134" s="899"/>
      <c r="N134" s="899"/>
      <c r="O134" s="899"/>
      <c r="P134" s="898">
        <f t="shared" si="31"/>
        <v>6639.9230769230762</v>
      </c>
      <c r="Q134" s="900">
        <f t="shared" si="32"/>
        <v>5773.8461538461534</v>
      </c>
      <c r="R134" s="900">
        <f t="shared" si="30"/>
        <v>866.07692307692309</v>
      </c>
      <c r="S134" s="904">
        <f>NC_DKDD!G94</f>
        <v>1.08</v>
      </c>
      <c r="T134" s="845">
        <f>'[1]1,DG-capmoi'!N131</f>
        <v>0</v>
      </c>
      <c r="U134" s="845">
        <f t="shared" si="27"/>
        <v>0</v>
      </c>
    </row>
    <row r="135" spans="1:21" s="905" customFormat="1" ht="19.5" customHeight="1">
      <c r="A135" s="1116"/>
      <c r="B135" s="1137"/>
      <c r="C135" s="1116"/>
      <c r="D135" s="832">
        <v>4</v>
      </c>
      <c r="E135" s="903" t="e">
        <f>NC_DKDD!H96</f>
        <v>#VALUE!</v>
      </c>
      <c r="F135" s="903">
        <f>NC_DKDD!H97</f>
        <v>47160</v>
      </c>
      <c r="G135" s="391"/>
      <c r="H135" s="903"/>
      <c r="I135" s="903"/>
      <c r="J135" s="903"/>
      <c r="K135" s="903"/>
      <c r="L135" s="899"/>
      <c r="M135" s="899"/>
      <c r="N135" s="899"/>
      <c r="O135" s="899"/>
      <c r="P135" s="898">
        <f t="shared" si="31"/>
        <v>7967.9076923076918</v>
      </c>
      <c r="Q135" s="900">
        <f t="shared" si="32"/>
        <v>6928.6153846153838</v>
      </c>
      <c r="R135" s="900">
        <f t="shared" si="30"/>
        <v>1039.2923076923078</v>
      </c>
      <c r="S135" s="904">
        <f>NC_DKDD!G96</f>
        <v>1.296</v>
      </c>
      <c r="T135" s="845">
        <f>'[1]1,DG-capmoi'!N132</f>
        <v>0</v>
      </c>
      <c r="U135" s="845">
        <f t="shared" si="27"/>
        <v>0</v>
      </c>
    </row>
    <row r="136" spans="1:21" s="905" customFormat="1" ht="15">
      <c r="A136" s="1116"/>
      <c r="B136" s="1137"/>
      <c r="C136" s="1116"/>
      <c r="D136" s="832">
        <v>5</v>
      </c>
      <c r="E136" s="903" t="e">
        <f>NC_DKDD!H98</f>
        <v>#VALUE!</v>
      </c>
      <c r="F136" s="903">
        <f>NC_DKDD!H99</f>
        <v>56592</v>
      </c>
      <c r="G136" s="391"/>
      <c r="H136" s="903"/>
      <c r="I136" s="903"/>
      <c r="J136" s="903"/>
      <c r="K136" s="903"/>
      <c r="L136" s="899"/>
      <c r="M136" s="899"/>
      <c r="N136" s="899"/>
      <c r="O136" s="899"/>
      <c r="P136" s="898">
        <f t="shared" si="31"/>
        <v>9566.4076923076918</v>
      </c>
      <c r="Q136" s="900">
        <f t="shared" si="32"/>
        <v>8318.6153846153848</v>
      </c>
      <c r="R136" s="900">
        <f t="shared" si="30"/>
        <v>1247.7923076923078</v>
      </c>
      <c r="S136" s="904">
        <f>NC_DKDD!G98</f>
        <v>1.556</v>
      </c>
      <c r="T136" s="845">
        <f>'[1]1,DG-capmoi'!N133</f>
        <v>0</v>
      </c>
      <c r="U136" s="845">
        <f t="shared" si="27"/>
        <v>0</v>
      </c>
    </row>
    <row r="137" spans="1:21" s="905" customFormat="1" ht="31.15" customHeight="1">
      <c r="A137" s="832">
        <v>5</v>
      </c>
      <c r="B137" s="827" t="s">
        <v>340</v>
      </c>
      <c r="C137" s="832"/>
      <c r="D137" s="832"/>
      <c r="E137" s="903"/>
      <c r="F137" s="903"/>
      <c r="G137" s="391"/>
      <c r="H137" s="903"/>
      <c r="I137" s="903"/>
      <c r="J137" s="903"/>
      <c r="K137" s="903"/>
      <c r="L137" s="899"/>
      <c r="M137" s="899"/>
      <c r="N137" s="899"/>
      <c r="O137" s="899"/>
      <c r="P137" s="898">
        <f t="shared" si="31"/>
        <v>0</v>
      </c>
      <c r="Q137" s="900">
        <f t="shared" si="32"/>
        <v>0</v>
      </c>
      <c r="R137" s="900">
        <f t="shared" si="30"/>
        <v>0</v>
      </c>
      <c r="S137" s="904"/>
      <c r="T137" s="845">
        <f>'[1]1,DG-capmoi'!N134</f>
        <v>0</v>
      </c>
      <c r="U137" s="845">
        <f t="shared" si="27"/>
        <v>0</v>
      </c>
    </row>
    <row r="138" spans="1:21" s="905" customFormat="1" ht="30" customHeight="1">
      <c r="A138" s="832" t="s">
        <v>607</v>
      </c>
      <c r="B138" s="827" t="s">
        <v>33</v>
      </c>
      <c r="C138" s="832" t="s">
        <v>281</v>
      </c>
      <c r="D138" s="901" t="s">
        <v>880</v>
      </c>
      <c r="E138" s="903" t="e">
        <f>NC_DKDD!H101</f>
        <v>#VALUE!</v>
      </c>
      <c r="F138" s="903"/>
      <c r="G138" s="391"/>
      <c r="H138" s="903"/>
      <c r="I138" s="903"/>
      <c r="J138" s="903"/>
      <c r="K138" s="903"/>
      <c r="L138" s="899"/>
      <c r="M138" s="899"/>
      <c r="N138" s="899"/>
      <c r="O138" s="899"/>
      <c r="P138" s="898">
        <f t="shared" si="31"/>
        <v>307.40384615384619</v>
      </c>
      <c r="Q138" s="900">
        <f t="shared" si="32"/>
        <v>267.30769230769232</v>
      </c>
      <c r="R138" s="900">
        <f t="shared" si="30"/>
        <v>40.096153846153847</v>
      </c>
      <c r="S138" s="904">
        <f>NC_DKDD!G101</f>
        <v>0.05</v>
      </c>
      <c r="T138" s="845">
        <f>'[1]1,DG-capmoi'!N135</f>
        <v>0</v>
      </c>
      <c r="U138" s="845">
        <f t="shared" si="27"/>
        <v>0</v>
      </c>
    </row>
    <row r="139" spans="1:21" s="896" customFormat="1" ht="26.45" customHeight="1">
      <c r="A139" s="832" t="s">
        <v>608</v>
      </c>
      <c r="B139" s="827" t="s">
        <v>36</v>
      </c>
      <c r="C139" s="832" t="s">
        <v>281</v>
      </c>
      <c r="D139" s="901" t="s">
        <v>880</v>
      </c>
      <c r="E139" s="903" t="e">
        <f>NC_DKDD!H102</f>
        <v>#VALUE!</v>
      </c>
      <c r="F139" s="898"/>
      <c r="G139" s="391"/>
      <c r="H139" s="898"/>
      <c r="I139" s="898"/>
      <c r="J139" s="898"/>
      <c r="K139" s="898"/>
      <c r="L139" s="899"/>
      <c r="M139" s="899"/>
      <c r="N139" s="899"/>
      <c r="O139" s="899"/>
      <c r="P139" s="898">
        <f t="shared" ref="P139:P175" si="33">Q139+R139</f>
        <v>245.92307692307691</v>
      </c>
      <c r="Q139" s="900">
        <f t="shared" ref="Q139:Q175" si="34">S139*$Q$106</f>
        <v>213.84615384615384</v>
      </c>
      <c r="R139" s="900">
        <f t="shared" si="30"/>
        <v>32.07692307692308</v>
      </c>
      <c r="S139" s="904">
        <f>NC_DKDD!G102</f>
        <v>0.04</v>
      </c>
      <c r="T139" s="845">
        <f>'[1]1,DG-capmoi'!N136</f>
        <v>0</v>
      </c>
      <c r="U139" s="845">
        <f t="shared" si="27"/>
        <v>0</v>
      </c>
    </row>
    <row r="140" spans="1:21" s="907" customFormat="1" ht="31.9" customHeight="1">
      <c r="A140" s="832">
        <v>6</v>
      </c>
      <c r="B140" s="827" t="s">
        <v>66</v>
      </c>
      <c r="C140" s="832" t="s">
        <v>523</v>
      </c>
      <c r="D140" s="901" t="s">
        <v>880</v>
      </c>
      <c r="E140" s="903" t="e">
        <f>NC_DKDD!H103</f>
        <v>#VALUE!</v>
      </c>
      <c r="F140" s="906"/>
      <c r="G140" s="906"/>
      <c r="H140" s="893"/>
      <c r="I140" s="893"/>
      <c r="J140" s="893"/>
      <c r="K140" s="893"/>
      <c r="L140" s="893"/>
      <c r="M140" s="893"/>
      <c r="N140" s="893"/>
      <c r="O140" s="893"/>
      <c r="P140" s="898">
        <f t="shared" si="33"/>
        <v>18.444230769230767</v>
      </c>
      <c r="Q140" s="900">
        <f t="shared" si="34"/>
        <v>16.038461538461537</v>
      </c>
      <c r="R140" s="900">
        <f t="shared" si="30"/>
        <v>2.4057692307692307</v>
      </c>
      <c r="S140" s="904">
        <f>NC_DKDD!G103</f>
        <v>3.0000000000000001E-3</v>
      </c>
      <c r="T140" s="845">
        <f>'[1]1,DG-capmoi'!N137</f>
        <v>0</v>
      </c>
      <c r="U140" s="845">
        <f t="shared" si="27"/>
        <v>0</v>
      </c>
    </row>
    <row r="141" spans="1:21" s="908" customFormat="1" ht="28.5" customHeight="1">
      <c r="A141" s="832">
        <v>7</v>
      </c>
      <c r="B141" s="827" t="s">
        <v>855</v>
      </c>
      <c r="C141" s="832" t="s">
        <v>281</v>
      </c>
      <c r="D141" s="901" t="s">
        <v>880</v>
      </c>
      <c r="E141" s="903" t="e">
        <f>NC_DKDD!H104</f>
        <v>#VALUE!</v>
      </c>
      <c r="F141" s="898"/>
      <c r="G141" s="898"/>
      <c r="H141" s="898"/>
      <c r="I141" s="898"/>
      <c r="J141" s="898"/>
      <c r="K141" s="898"/>
      <c r="L141" s="899"/>
      <c r="M141" s="899"/>
      <c r="N141" s="899"/>
      <c r="O141" s="899"/>
      <c r="P141" s="898">
        <f t="shared" si="33"/>
        <v>92.22115384615384</v>
      </c>
      <c r="Q141" s="900">
        <f t="shared" si="34"/>
        <v>80.192307692307679</v>
      </c>
      <c r="R141" s="900">
        <f t="shared" si="30"/>
        <v>12.028846153846153</v>
      </c>
      <c r="S141" s="904">
        <f>NC_DKDD!G104</f>
        <v>1.4999999999999999E-2</v>
      </c>
      <c r="T141" s="845">
        <f>'[1]1,DG-capmoi'!N138</f>
        <v>0</v>
      </c>
      <c r="U141" s="845">
        <f t="shared" si="27"/>
        <v>0</v>
      </c>
    </row>
    <row r="142" spans="1:21" s="905" customFormat="1" ht="29.45" customHeight="1">
      <c r="A142" s="832">
        <v>8</v>
      </c>
      <c r="B142" s="827" t="s">
        <v>348</v>
      </c>
      <c r="C142" s="832"/>
      <c r="D142" s="832"/>
      <c r="E142" s="903">
        <f>NC_DKDD!H105</f>
        <v>0</v>
      </c>
      <c r="F142" s="903"/>
      <c r="G142" s="391"/>
      <c r="H142" s="903"/>
      <c r="I142" s="903"/>
      <c r="J142" s="903"/>
      <c r="K142" s="903"/>
      <c r="L142" s="899"/>
      <c r="M142" s="899"/>
      <c r="N142" s="899"/>
      <c r="O142" s="899"/>
      <c r="P142" s="898">
        <f t="shared" si="33"/>
        <v>0</v>
      </c>
      <c r="Q142" s="900">
        <f t="shared" si="34"/>
        <v>0</v>
      </c>
      <c r="R142" s="900">
        <f t="shared" si="30"/>
        <v>0</v>
      </c>
      <c r="S142" s="904">
        <f>NC_DKDD!G105</f>
        <v>0</v>
      </c>
      <c r="T142" s="845">
        <f>'[1]1,DG-capmoi'!N139</f>
        <v>0</v>
      </c>
      <c r="U142" s="845">
        <f t="shared" si="27"/>
        <v>0</v>
      </c>
    </row>
    <row r="143" spans="1:21" s="905" customFormat="1" ht="21.75" customHeight="1">
      <c r="A143" s="832" t="s">
        <v>374</v>
      </c>
      <c r="B143" s="827" t="s">
        <v>33</v>
      </c>
      <c r="C143" s="832" t="s">
        <v>281</v>
      </c>
      <c r="D143" s="901" t="s">
        <v>880</v>
      </c>
      <c r="E143" s="903" t="e">
        <f>NC_DKDD!H106</f>
        <v>#VALUE!</v>
      </c>
      <c r="F143" s="903"/>
      <c r="G143" s="391"/>
      <c r="H143" s="903"/>
      <c r="I143" s="903"/>
      <c r="J143" s="903"/>
      <c r="K143" s="903"/>
      <c r="L143" s="899"/>
      <c r="M143" s="899"/>
      <c r="N143" s="899"/>
      <c r="O143" s="899"/>
      <c r="P143" s="898">
        <f t="shared" si="33"/>
        <v>92.22115384615384</v>
      </c>
      <c r="Q143" s="900">
        <f t="shared" si="34"/>
        <v>80.192307692307679</v>
      </c>
      <c r="R143" s="900">
        <f t="shared" si="30"/>
        <v>12.028846153846153</v>
      </c>
      <c r="S143" s="904">
        <f>NC_DKDD!G106</f>
        <v>1.4999999999999999E-2</v>
      </c>
      <c r="T143" s="845">
        <f>'[1]1,DG-capmoi'!N140</f>
        <v>0</v>
      </c>
      <c r="U143" s="845">
        <f t="shared" si="27"/>
        <v>0</v>
      </c>
    </row>
    <row r="144" spans="1:21" s="905" customFormat="1" ht="21.75" customHeight="1">
      <c r="A144" s="832" t="s">
        <v>375</v>
      </c>
      <c r="B144" s="827" t="s">
        <v>36</v>
      </c>
      <c r="C144" s="832" t="s">
        <v>281</v>
      </c>
      <c r="D144" s="901" t="s">
        <v>880</v>
      </c>
      <c r="E144" s="903" t="e">
        <f>NC_DKDD!H107</f>
        <v>#VALUE!</v>
      </c>
      <c r="F144" s="903"/>
      <c r="G144" s="391"/>
      <c r="H144" s="903"/>
      <c r="I144" s="903"/>
      <c r="J144" s="903"/>
      <c r="K144" s="903"/>
      <c r="L144" s="899"/>
      <c r="M144" s="899"/>
      <c r="N144" s="899"/>
      <c r="O144" s="899"/>
      <c r="P144" s="898">
        <f t="shared" si="33"/>
        <v>61.480769230769226</v>
      </c>
      <c r="Q144" s="900">
        <f t="shared" si="34"/>
        <v>53.46153846153846</v>
      </c>
      <c r="R144" s="900">
        <f t="shared" si="30"/>
        <v>8.0192307692307701</v>
      </c>
      <c r="S144" s="904">
        <f>NC_DKDD!G107</f>
        <v>0.01</v>
      </c>
      <c r="T144" s="845">
        <f>'[1]1,DG-capmoi'!N141</f>
        <v>0</v>
      </c>
      <c r="U144" s="845">
        <f t="shared" si="27"/>
        <v>0</v>
      </c>
    </row>
    <row r="145" spans="1:21" s="896" customFormat="1" ht="30.75" customHeight="1">
      <c r="A145" s="832">
        <v>9</v>
      </c>
      <c r="B145" s="827" t="s">
        <v>856</v>
      </c>
      <c r="C145" s="832" t="s">
        <v>281</v>
      </c>
      <c r="D145" s="901" t="s">
        <v>880</v>
      </c>
      <c r="E145" s="903" t="e">
        <f>NC_DKDD!H108</f>
        <v>#VALUE!</v>
      </c>
      <c r="F145" s="909"/>
      <c r="G145" s="898"/>
      <c r="H145" s="898"/>
      <c r="I145" s="898"/>
      <c r="J145" s="898"/>
      <c r="K145" s="898"/>
      <c r="L145" s="899"/>
      <c r="M145" s="899"/>
      <c r="N145" s="899"/>
      <c r="O145" s="899"/>
      <c r="P145" s="898">
        <f t="shared" si="33"/>
        <v>1229.6153846153848</v>
      </c>
      <c r="Q145" s="900">
        <f t="shared" si="34"/>
        <v>1069.2307692307693</v>
      </c>
      <c r="R145" s="900">
        <f t="shared" si="30"/>
        <v>160.38461538461539</v>
      </c>
      <c r="S145" s="904">
        <f>NC_DKDD!G108</f>
        <v>0.2</v>
      </c>
      <c r="T145" s="845">
        <f>'[1]1,DG-capmoi'!N142</f>
        <v>0</v>
      </c>
      <c r="U145" s="845">
        <f t="shared" si="27"/>
        <v>0</v>
      </c>
    </row>
    <row r="146" spans="1:21" s="905" customFormat="1" ht="62.25" customHeight="1">
      <c r="A146" s="832">
        <v>10</v>
      </c>
      <c r="B146" s="827" t="s">
        <v>67</v>
      </c>
      <c r="C146" s="832" t="s">
        <v>281</v>
      </c>
      <c r="D146" s="901" t="s">
        <v>880</v>
      </c>
      <c r="E146" s="903" t="e">
        <f>NC_DKDD!H109</f>
        <v>#VALUE!</v>
      </c>
      <c r="F146" s="903"/>
      <c r="G146" s="391"/>
      <c r="H146" s="903"/>
      <c r="I146" s="903"/>
      <c r="J146" s="903"/>
      <c r="K146" s="903"/>
      <c r="L146" s="899"/>
      <c r="M146" s="899"/>
      <c r="N146" s="899"/>
      <c r="O146" s="899"/>
      <c r="P146" s="898">
        <f t="shared" si="33"/>
        <v>122.96153846153845</v>
      </c>
      <c r="Q146" s="900">
        <f t="shared" si="34"/>
        <v>106.92307692307692</v>
      </c>
      <c r="R146" s="900">
        <f t="shared" si="30"/>
        <v>16.03846153846154</v>
      </c>
      <c r="S146" s="904">
        <f>NC_DKDD!G109</f>
        <v>0.02</v>
      </c>
      <c r="T146" s="845">
        <f>'[1]1,DG-capmoi'!N143</f>
        <v>0</v>
      </c>
      <c r="U146" s="845">
        <f t="shared" si="27"/>
        <v>0</v>
      </c>
    </row>
    <row r="147" spans="1:21" s="905" customFormat="1" ht="57" customHeight="1">
      <c r="A147" s="832">
        <v>11</v>
      </c>
      <c r="B147" s="827" t="s">
        <v>764</v>
      </c>
      <c r="C147" s="832" t="s">
        <v>281</v>
      </c>
      <c r="D147" s="901" t="s">
        <v>880</v>
      </c>
      <c r="E147" s="903" t="e">
        <f>NC_DKDD!H110</f>
        <v>#VALUE!</v>
      </c>
      <c r="F147" s="903"/>
      <c r="G147" s="391"/>
      <c r="H147" s="903"/>
      <c r="I147" s="903"/>
      <c r="J147" s="903"/>
      <c r="K147" s="903"/>
      <c r="L147" s="899"/>
      <c r="M147" s="899"/>
      <c r="N147" s="899"/>
      <c r="O147" s="899"/>
      <c r="P147" s="898">
        <f t="shared" si="33"/>
        <v>122.96153846153845</v>
      </c>
      <c r="Q147" s="900">
        <f t="shared" si="34"/>
        <v>106.92307692307692</v>
      </c>
      <c r="R147" s="900">
        <f t="shared" si="30"/>
        <v>16.03846153846154</v>
      </c>
      <c r="S147" s="904">
        <f>NC_DKDD!G110</f>
        <v>0.02</v>
      </c>
      <c r="T147" s="845">
        <f>'[1]1,DG-capmoi'!N144</f>
        <v>0</v>
      </c>
      <c r="U147" s="845">
        <f t="shared" si="27"/>
        <v>0</v>
      </c>
    </row>
    <row r="148" spans="1:21" s="905" customFormat="1" ht="32.25" customHeight="1">
      <c r="A148" s="832" t="s">
        <v>184</v>
      </c>
      <c r="B148" s="868" t="s">
        <v>765</v>
      </c>
      <c r="C148" s="832"/>
      <c r="D148" s="901"/>
      <c r="E148" s="903"/>
      <c r="F148" s="903"/>
      <c r="G148" s="391"/>
      <c r="H148" s="903"/>
      <c r="I148" s="903"/>
      <c r="J148" s="903"/>
      <c r="K148" s="903"/>
      <c r="L148" s="899"/>
      <c r="M148" s="899"/>
      <c r="N148" s="899"/>
      <c r="O148" s="899"/>
      <c r="P148" s="898">
        <f t="shared" si="33"/>
        <v>0</v>
      </c>
      <c r="Q148" s="900">
        <f t="shared" si="34"/>
        <v>0</v>
      </c>
      <c r="R148" s="900">
        <f t="shared" si="30"/>
        <v>0</v>
      </c>
      <c r="S148" s="904"/>
      <c r="T148" s="845">
        <f>'[1]1,DG-capmoi'!N145</f>
        <v>0</v>
      </c>
      <c r="U148" s="845">
        <f t="shared" si="27"/>
        <v>0</v>
      </c>
    </row>
    <row r="149" spans="1:21" s="836" customFormat="1" ht="26.25" customHeight="1">
      <c r="A149" s="869" t="s">
        <v>667</v>
      </c>
      <c r="B149" s="868" t="s">
        <v>451</v>
      </c>
      <c r="C149" s="832" t="s">
        <v>281</v>
      </c>
      <c r="D149" s="901" t="s">
        <v>880</v>
      </c>
      <c r="E149" s="910" t="e">
        <f>E152+E154+E155+E156+E158+E162+E164+E166+E169+E171+E172+E173+E176+E177+E178+E179+E180+E181</f>
        <v>#VALUE!</v>
      </c>
      <c r="F149" s="910">
        <f>F152+F154+F155+F156+F158+F162+F164+F166+F167+F169+F171+F172+F173+F176+F177+F178+F179+F180+F181</f>
        <v>0</v>
      </c>
      <c r="G149" s="391"/>
      <c r="H149" s="911">
        <f>'Dcu-DKDD'!J64/5000</f>
        <v>0.77438820801282049</v>
      </c>
      <c r="I149" s="911">
        <f>'VL-DKDD'!H66/5000</f>
        <v>3.7429559999999999</v>
      </c>
      <c r="J149" s="911">
        <f>'TB-DKDD'!K32/5000</f>
        <v>0.58052000000000004</v>
      </c>
      <c r="K149" s="911">
        <f>'NL-DKDD'!H23/5000</f>
        <v>1.38306</v>
      </c>
      <c r="L149" s="893" t="e">
        <f>SUM(E149:K149)</f>
        <v>#VALUE!</v>
      </c>
      <c r="M149" s="893" t="e">
        <f>L149*'He so chung'!$D$17/100</f>
        <v>#VALUE!</v>
      </c>
      <c r="N149" s="893" t="e">
        <f>L149+M149</f>
        <v>#VALUE!</v>
      </c>
      <c r="O149" s="899"/>
      <c r="P149" s="910">
        <f>P152+P154+P155+P156+P158+P162+P164+P166+P169+P171+P172+P173+P176+P177+P178+P179+P180+P181</f>
        <v>4233.5657692307686</v>
      </c>
      <c r="Q149" s="900">
        <f t="shared" si="34"/>
        <v>3681.3615384615391</v>
      </c>
      <c r="R149" s="900">
        <f t="shared" si="30"/>
        <v>552.20423076923089</v>
      </c>
      <c r="S149" s="436">
        <f>S152+S154+S155+S156+S158+S162+S164+S166+S169+S171+S172+S173+S176+S177+S178+S179+S180+S181</f>
        <v>0.68860000000000021</v>
      </c>
      <c r="T149" s="845">
        <f>'[1]1,DG-capmoi'!N146</f>
        <v>148592.0316905315</v>
      </c>
      <c r="U149" s="845" t="e">
        <f t="shared" si="27"/>
        <v>#VALUE!</v>
      </c>
    </row>
    <row r="150" spans="1:21" s="836" customFormat="1" ht="26.25" customHeight="1">
      <c r="A150" s="869" t="s">
        <v>673</v>
      </c>
      <c r="B150" s="868" t="s">
        <v>452</v>
      </c>
      <c r="C150" s="832" t="s">
        <v>281</v>
      </c>
      <c r="D150" s="901" t="s">
        <v>880</v>
      </c>
      <c r="E150" s="910" t="e">
        <f>E153+E154+E155+E156+E158+E161+E165+E166+E169+E171+E172+E173+E176+E177+E178+E179+E180+E181</f>
        <v>#VALUE!</v>
      </c>
      <c r="F150" s="910">
        <f>F153+F154+F155+F156+F158+F161+F165+F166+F167+F169+F171+F172+F173+F176+F177+F178+F179+F180+F181</f>
        <v>0</v>
      </c>
      <c r="G150" s="391"/>
      <c r="H150" s="911">
        <f>H149</f>
        <v>0.77438820801282049</v>
      </c>
      <c r="I150" s="911">
        <f>I149</f>
        <v>3.7429559999999999</v>
      </c>
      <c r="J150" s="911">
        <f>J149</f>
        <v>0.58052000000000004</v>
      </c>
      <c r="K150" s="911">
        <f>K149</f>
        <v>1.38306</v>
      </c>
      <c r="L150" s="893" t="e">
        <f>SUM(E150:K150)</f>
        <v>#VALUE!</v>
      </c>
      <c r="M150" s="893" t="e">
        <f>L150*'He so chung'!$D$17/100</f>
        <v>#VALUE!</v>
      </c>
      <c r="N150" s="893" t="e">
        <f>L150+M150</f>
        <v>#VALUE!</v>
      </c>
      <c r="O150" s="899"/>
      <c r="P150" s="910">
        <f>P153+P154+P155+P156+P158+P161+P165+P166+P169+P171+P172+P173+P176+P177+P178+P179+P180+P181</f>
        <v>4018.3830769230772</v>
      </c>
      <c r="Q150" s="900">
        <f t="shared" si="34"/>
        <v>3494.2461538461539</v>
      </c>
      <c r="R150" s="900">
        <f t="shared" si="30"/>
        <v>524.13692307692315</v>
      </c>
      <c r="S150" s="436">
        <f>S153+S154+S155+S156+S158+S161+S165+S166+S169+S171+S172+S173+S176+S177+S178+S179+S180+S181</f>
        <v>0.65360000000000007</v>
      </c>
      <c r="T150" s="845">
        <f>'[1]1,DG-capmoi'!N147</f>
        <v>141159.85205110841</v>
      </c>
      <c r="U150" s="845" t="e">
        <f t="shared" si="27"/>
        <v>#VALUE!</v>
      </c>
    </row>
    <row r="151" spans="1:21" s="836" customFormat="1" ht="29.25" customHeight="1">
      <c r="A151" s="832">
        <v>1</v>
      </c>
      <c r="B151" s="827" t="s">
        <v>68</v>
      </c>
      <c r="C151" s="832"/>
      <c r="D151" s="832"/>
      <c r="E151" s="912"/>
      <c r="F151" s="391"/>
      <c r="G151" s="391"/>
      <c r="H151" s="913"/>
      <c r="I151" s="913"/>
      <c r="J151" s="913"/>
      <c r="K151" s="913"/>
      <c r="L151" s="899"/>
      <c r="M151" s="899"/>
      <c r="N151" s="899"/>
      <c r="O151" s="899"/>
      <c r="P151" s="898">
        <f t="shared" si="33"/>
        <v>0</v>
      </c>
      <c r="Q151" s="900">
        <f t="shared" si="34"/>
        <v>0</v>
      </c>
      <c r="R151" s="900">
        <f t="shared" si="30"/>
        <v>0</v>
      </c>
      <c r="S151" s="904">
        <f>NC_DKDD!G112</f>
        <v>0</v>
      </c>
      <c r="T151" s="845">
        <f>'[1]1,DG-capmoi'!N148</f>
        <v>0</v>
      </c>
      <c r="U151" s="845">
        <f t="shared" si="27"/>
        <v>0</v>
      </c>
    </row>
    <row r="152" spans="1:21" s="836" customFormat="1" ht="23.45" customHeight="1">
      <c r="A152" s="832" t="s">
        <v>891</v>
      </c>
      <c r="B152" s="827" t="s">
        <v>33</v>
      </c>
      <c r="C152" s="832" t="s">
        <v>281</v>
      </c>
      <c r="D152" s="901" t="s">
        <v>880</v>
      </c>
      <c r="E152" s="912" t="e">
        <f>NC_DKDD!H113</f>
        <v>#VALUE!</v>
      </c>
      <c r="F152" s="391"/>
      <c r="G152" s="391"/>
      <c r="H152" s="913"/>
      <c r="I152" s="913"/>
      <c r="J152" s="913"/>
      <c r="K152" s="913"/>
      <c r="L152" s="899"/>
      <c r="M152" s="899"/>
      <c r="N152" s="899"/>
      <c r="O152" s="899"/>
      <c r="P152" s="898">
        <f t="shared" si="33"/>
        <v>245.92307692307691</v>
      </c>
      <c r="Q152" s="900">
        <f t="shared" si="34"/>
        <v>213.84615384615384</v>
      </c>
      <c r="R152" s="900">
        <f t="shared" si="30"/>
        <v>32.07692307692308</v>
      </c>
      <c r="S152" s="904">
        <f>NC_DKDD!G113</f>
        <v>0.04</v>
      </c>
      <c r="T152" s="845">
        <f>'[1]1,DG-capmoi'!N149</f>
        <v>0</v>
      </c>
      <c r="U152" s="845">
        <f t="shared" si="27"/>
        <v>0</v>
      </c>
    </row>
    <row r="153" spans="1:21" s="836" customFormat="1" ht="23.45" customHeight="1">
      <c r="A153" s="832" t="s">
        <v>899</v>
      </c>
      <c r="B153" s="827" t="s">
        <v>36</v>
      </c>
      <c r="C153" s="832" t="s">
        <v>281</v>
      </c>
      <c r="D153" s="901" t="s">
        <v>880</v>
      </c>
      <c r="E153" s="912" t="e">
        <f>NC_DKDD!H114</f>
        <v>#VALUE!</v>
      </c>
      <c r="F153" s="391"/>
      <c r="G153" s="391"/>
      <c r="H153" s="913"/>
      <c r="I153" s="913"/>
      <c r="J153" s="913"/>
      <c r="K153" s="913"/>
      <c r="L153" s="899"/>
      <c r="M153" s="899"/>
      <c r="N153" s="899"/>
      <c r="O153" s="899"/>
      <c r="P153" s="898">
        <f t="shared" si="33"/>
        <v>153.70192307692309</v>
      </c>
      <c r="Q153" s="900">
        <f t="shared" si="34"/>
        <v>133.65384615384616</v>
      </c>
      <c r="R153" s="900">
        <f t="shared" si="30"/>
        <v>20.048076923076923</v>
      </c>
      <c r="S153" s="904">
        <f>NC_DKDD!G114</f>
        <v>2.5000000000000001E-2</v>
      </c>
      <c r="T153" s="845">
        <f>'[1]1,DG-capmoi'!N150</f>
        <v>0</v>
      </c>
      <c r="U153" s="845">
        <f t="shared" si="27"/>
        <v>0</v>
      </c>
    </row>
    <row r="154" spans="1:21" s="836" customFormat="1" ht="28.5">
      <c r="A154" s="832">
        <v>2</v>
      </c>
      <c r="B154" s="827" t="s">
        <v>767</v>
      </c>
      <c r="C154" s="832" t="s">
        <v>281</v>
      </c>
      <c r="D154" s="901" t="s">
        <v>880</v>
      </c>
      <c r="E154" s="912" t="e">
        <f>NC_DKDD!H115</f>
        <v>#VALUE!</v>
      </c>
      <c r="F154" s="391"/>
      <c r="G154" s="391"/>
      <c r="H154" s="913"/>
      <c r="I154" s="913"/>
      <c r="J154" s="913"/>
      <c r="K154" s="913"/>
      <c r="L154" s="899"/>
      <c r="M154" s="899"/>
      <c r="N154" s="899"/>
      <c r="O154" s="899"/>
      <c r="P154" s="898">
        <f t="shared" si="33"/>
        <v>122.96153846153845</v>
      </c>
      <c r="Q154" s="900">
        <f t="shared" si="34"/>
        <v>106.92307692307692</v>
      </c>
      <c r="R154" s="900">
        <f t="shared" si="30"/>
        <v>16.03846153846154</v>
      </c>
      <c r="S154" s="904">
        <f>NC_DKDD!G115</f>
        <v>0.02</v>
      </c>
      <c r="T154" s="845">
        <f>'[1]1,DG-capmoi'!N151</f>
        <v>0</v>
      </c>
      <c r="U154" s="845">
        <f t="shared" si="27"/>
        <v>0</v>
      </c>
    </row>
    <row r="155" spans="1:21" s="836" customFormat="1" ht="39.75" customHeight="1">
      <c r="A155" s="832">
        <v>3</v>
      </c>
      <c r="B155" s="827" t="s">
        <v>768</v>
      </c>
      <c r="C155" s="832" t="s">
        <v>281</v>
      </c>
      <c r="D155" s="901" t="s">
        <v>880</v>
      </c>
      <c r="E155" s="912" t="e">
        <f>NC_DKDD!H116</f>
        <v>#VALUE!</v>
      </c>
      <c r="F155" s="391"/>
      <c r="G155" s="391"/>
      <c r="H155" s="913"/>
      <c r="I155" s="913"/>
      <c r="J155" s="913"/>
      <c r="K155" s="913"/>
      <c r="L155" s="899"/>
      <c r="M155" s="899"/>
      <c r="N155" s="899"/>
      <c r="O155" s="899"/>
      <c r="P155" s="898">
        <f t="shared" si="33"/>
        <v>1229.6153846153848</v>
      </c>
      <c r="Q155" s="900">
        <f t="shared" si="34"/>
        <v>1069.2307692307693</v>
      </c>
      <c r="R155" s="900">
        <f t="shared" si="30"/>
        <v>160.38461538461539</v>
      </c>
      <c r="S155" s="904">
        <f>NC_DKDD!G116</f>
        <v>0.2</v>
      </c>
      <c r="T155" s="845">
        <f>'[1]1,DG-capmoi'!N152</f>
        <v>0</v>
      </c>
      <c r="U155" s="845">
        <f t="shared" si="27"/>
        <v>0</v>
      </c>
    </row>
    <row r="156" spans="1:21" s="836" customFormat="1" ht="30.75" customHeight="1">
      <c r="A156" s="832">
        <v>4</v>
      </c>
      <c r="B156" s="827" t="s">
        <v>69</v>
      </c>
      <c r="C156" s="832" t="s">
        <v>523</v>
      </c>
      <c r="D156" s="901" t="s">
        <v>880</v>
      </c>
      <c r="E156" s="912" t="e">
        <f>NC_DKDD!H117</f>
        <v>#VALUE!</v>
      </c>
      <c r="F156" s="391"/>
      <c r="G156" s="391"/>
      <c r="H156" s="913"/>
      <c r="I156" s="913"/>
      <c r="J156" s="913"/>
      <c r="K156" s="913"/>
      <c r="L156" s="899"/>
      <c r="M156" s="899"/>
      <c r="N156" s="899"/>
      <c r="O156" s="899"/>
      <c r="P156" s="898">
        <f t="shared" si="33"/>
        <v>36.888461538461534</v>
      </c>
      <c r="Q156" s="900">
        <f t="shared" si="34"/>
        <v>32.076923076923073</v>
      </c>
      <c r="R156" s="900">
        <f t="shared" si="30"/>
        <v>4.8115384615384613</v>
      </c>
      <c r="S156" s="904">
        <f>NC_DKDD!G117</f>
        <v>6.0000000000000001E-3</v>
      </c>
      <c r="T156" s="845">
        <f>'[1]1,DG-capmoi'!N153</f>
        <v>0</v>
      </c>
      <c r="U156" s="845">
        <f t="shared" si="27"/>
        <v>0</v>
      </c>
    </row>
    <row r="157" spans="1:21" s="836" customFormat="1" ht="21" customHeight="1">
      <c r="A157" s="832">
        <v>5</v>
      </c>
      <c r="B157" s="827" t="s">
        <v>660</v>
      </c>
      <c r="C157" s="832"/>
      <c r="D157" s="832"/>
      <c r="E157" s="912">
        <f>NC_DKDD!H118</f>
        <v>0</v>
      </c>
      <c r="F157" s="391"/>
      <c r="G157" s="391"/>
      <c r="H157" s="913"/>
      <c r="I157" s="913"/>
      <c r="J157" s="913"/>
      <c r="K157" s="913"/>
      <c r="L157" s="899"/>
      <c r="M157" s="899"/>
      <c r="N157" s="899"/>
      <c r="O157" s="899"/>
      <c r="P157" s="898">
        <f t="shared" si="33"/>
        <v>0</v>
      </c>
      <c r="Q157" s="900">
        <f t="shared" si="34"/>
        <v>0</v>
      </c>
      <c r="R157" s="900">
        <f t="shared" si="30"/>
        <v>0</v>
      </c>
      <c r="S157" s="904">
        <f>NC_DKDD!G118</f>
        <v>0</v>
      </c>
      <c r="T157" s="845">
        <f>'[1]1,DG-capmoi'!N154</f>
        <v>0</v>
      </c>
      <c r="U157" s="845">
        <f t="shared" si="27"/>
        <v>0</v>
      </c>
    </row>
    <row r="158" spans="1:21" s="836" customFormat="1" ht="21" customHeight="1">
      <c r="A158" s="832" t="s">
        <v>607</v>
      </c>
      <c r="B158" s="827" t="s">
        <v>770</v>
      </c>
      <c r="C158" s="832" t="s">
        <v>281</v>
      </c>
      <c r="D158" s="901" t="s">
        <v>880</v>
      </c>
      <c r="E158" s="912" t="e">
        <f>NC_DKDD!H119</f>
        <v>#VALUE!</v>
      </c>
      <c r="F158" s="391"/>
      <c r="G158" s="391"/>
      <c r="H158" s="913"/>
      <c r="I158" s="913"/>
      <c r="J158" s="913"/>
      <c r="K158" s="913"/>
      <c r="L158" s="899"/>
      <c r="M158" s="899"/>
      <c r="N158" s="899"/>
      <c r="O158" s="899"/>
      <c r="P158" s="898">
        <f t="shared" si="33"/>
        <v>245.92307692307691</v>
      </c>
      <c r="Q158" s="900">
        <f t="shared" si="34"/>
        <v>213.84615384615384</v>
      </c>
      <c r="R158" s="900">
        <f t="shared" si="30"/>
        <v>32.07692307692308</v>
      </c>
      <c r="S158" s="904">
        <f>NC_DKDD!G119</f>
        <v>0.04</v>
      </c>
      <c r="T158" s="845">
        <f>'[1]1,DG-capmoi'!N155</f>
        <v>0</v>
      </c>
      <c r="U158" s="845">
        <f t="shared" si="27"/>
        <v>0</v>
      </c>
    </row>
    <row r="159" spans="1:21" s="836" customFormat="1" ht="21" customHeight="1">
      <c r="A159" s="832" t="s">
        <v>608</v>
      </c>
      <c r="B159" s="827" t="s">
        <v>771</v>
      </c>
      <c r="C159" s="832" t="s">
        <v>281</v>
      </c>
      <c r="D159" s="901" t="s">
        <v>880</v>
      </c>
      <c r="E159" s="912" t="e">
        <f>NC_DKDD!H120</f>
        <v>#VALUE!</v>
      </c>
      <c r="F159" s="391"/>
      <c r="G159" s="391"/>
      <c r="H159" s="913"/>
      <c r="I159" s="913"/>
      <c r="J159" s="913"/>
      <c r="K159" s="913"/>
      <c r="L159" s="899"/>
      <c r="M159" s="899"/>
      <c r="N159" s="899"/>
      <c r="O159" s="899"/>
      <c r="P159" s="898">
        <f t="shared" si="33"/>
        <v>491.84615384615381</v>
      </c>
      <c r="Q159" s="900">
        <f t="shared" si="34"/>
        <v>427.69230769230768</v>
      </c>
      <c r="R159" s="900">
        <f t="shared" si="30"/>
        <v>64.15384615384616</v>
      </c>
      <c r="S159" s="904">
        <f>NC_DKDD!G120</f>
        <v>0.08</v>
      </c>
      <c r="T159" s="845">
        <f>'[1]1,DG-capmoi'!N156</f>
        <v>0</v>
      </c>
      <c r="U159" s="845">
        <f t="shared" si="27"/>
        <v>0</v>
      </c>
    </row>
    <row r="160" spans="1:21" s="836" customFormat="1" ht="46.5" customHeight="1">
      <c r="A160" s="832">
        <v>6</v>
      </c>
      <c r="B160" s="827" t="s">
        <v>772</v>
      </c>
      <c r="C160" s="832"/>
      <c r="D160" s="832"/>
      <c r="E160" s="912">
        <f>NC_DKDD!H121</f>
        <v>0</v>
      </c>
      <c r="F160" s="391"/>
      <c r="G160" s="391"/>
      <c r="H160" s="913"/>
      <c r="I160" s="913"/>
      <c r="J160" s="913"/>
      <c r="K160" s="913"/>
      <c r="L160" s="899"/>
      <c r="M160" s="899"/>
      <c r="N160" s="899"/>
      <c r="O160" s="899"/>
      <c r="P160" s="898">
        <f t="shared" si="33"/>
        <v>0</v>
      </c>
      <c r="Q160" s="900">
        <f t="shared" si="34"/>
        <v>0</v>
      </c>
      <c r="R160" s="900">
        <f t="shared" si="30"/>
        <v>0</v>
      </c>
      <c r="S160" s="904">
        <f>NC_DKDD!G121</f>
        <v>0</v>
      </c>
      <c r="T160" s="845">
        <f>'[1]1,DG-capmoi'!N157</f>
        <v>0</v>
      </c>
      <c r="U160" s="845">
        <f t="shared" si="27"/>
        <v>0</v>
      </c>
    </row>
    <row r="161" spans="1:21" s="836" customFormat="1" ht="26.25" customHeight="1">
      <c r="A161" s="832" t="s">
        <v>444</v>
      </c>
      <c r="B161" s="827" t="s">
        <v>773</v>
      </c>
      <c r="C161" s="832" t="s">
        <v>281</v>
      </c>
      <c r="D161" s="901" t="s">
        <v>880</v>
      </c>
      <c r="E161" s="912" t="e">
        <f>NC_DKDD!H122</f>
        <v>#VALUE!</v>
      </c>
      <c r="F161" s="391"/>
      <c r="G161" s="391"/>
      <c r="H161" s="913"/>
      <c r="I161" s="913"/>
      <c r="J161" s="913"/>
      <c r="K161" s="913"/>
      <c r="L161" s="899"/>
      <c r="M161" s="899"/>
      <c r="N161" s="899"/>
      <c r="O161" s="899"/>
      <c r="P161" s="898">
        <f t="shared" si="33"/>
        <v>307.40384615384619</v>
      </c>
      <c r="Q161" s="900">
        <f t="shared" si="34"/>
        <v>267.30769230769232</v>
      </c>
      <c r="R161" s="900">
        <f t="shared" si="30"/>
        <v>40.096153846153847</v>
      </c>
      <c r="S161" s="904">
        <f>NC_DKDD!G122</f>
        <v>0.05</v>
      </c>
      <c r="T161" s="845">
        <f>'[1]1,DG-capmoi'!N158</f>
        <v>0</v>
      </c>
      <c r="U161" s="845">
        <f t="shared" si="27"/>
        <v>0</v>
      </c>
    </row>
    <row r="162" spans="1:21" s="836" customFormat="1" ht="26.25" customHeight="1">
      <c r="A162" s="832" t="s">
        <v>445</v>
      </c>
      <c r="B162" s="827" t="s">
        <v>774</v>
      </c>
      <c r="C162" s="832" t="s">
        <v>281</v>
      </c>
      <c r="D162" s="901" t="s">
        <v>880</v>
      </c>
      <c r="E162" s="912" t="e">
        <f>NC_DKDD!H123</f>
        <v>#VALUE!</v>
      </c>
      <c r="F162" s="391"/>
      <c r="G162" s="391"/>
      <c r="H162" s="913"/>
      <c r="I162" s="913"/>
      <c r="J162" s="913"/>
      <c r="K162" s="913"/>
      <c r="L162" s="899"/>
      <c r="M162" s="899"/>
      <c r="N162" s="899"/>
      <c r="O162" s="899"/>
      <c r="P162" s="898">
        <f t="shared" si="33"/>
        <v>368.88461538461536</v>
      </c>
      <c r="Q162" s="900">
        <f t="shared" si="34"/>
        <v>320.76923076923072</v>
      </c>
      <c r="R162" s="900">
        <f t="shared" si="30"/>
        <v>48.115384615384613</v>
      </c>
      <c r="S162" s="904">
        <f>NC_DKDD!G123</f>
        <v>0.06</v>
      </c>
      <c r="T162" s="845">
        <f>'[1]1,DG-capmoi'!N159</f>
        <v>0</v>
      </c>
      <c r="U162" s="845">
        <f t="shared" si="27"/>
        <v>0</v>
      </c>
    </row>
    <row r="163" spans="1:21" s="836" customFormat="1" ht="42.75">
      <c r="A163" s="832">
        <v>7</v>
      </c>
      <c r="B163" s="827" t="s">
        <v>775</v>
      </c>
      <c r="C163" s="832"/>
      <c r="D163" s="832"/>
      <c r="E163" s="912">
        <f>NC_DKDD!H124</f>
        <v>0</v>
      </c>
      <c r="F163" s="913"/>
      <c r="G163" s="391"/>
      <c r="H163" s="913"/>
      <c r="I163" s="913"/>
      <c r="J163" s="914"/>
      <c r="K163" s="914"/>
      <c r="L163" s="899"/>
      <c r="M163" s="899"/>
      <c r="N163" s="899"/>
      <c r="O163" s="899"/>
      <c r="P163" s="898">
        <f t="shared" si="33"/>
        <v>0</v>
      </c>
      <c r="Q163" s="900">
        <f t="shared" si="34"/>
        <v>0</v>
      </c>
      <c r="R163" s="900">
        <f t="shared" si="30"/>
        <v>0</v>
      </c>
      <c r="S163" s="904">
        <f>NC_DKDD!G124</f>
        <v>0</v>
      </c>
      <c r="T163" s="845">
        <f>'[1]1,DG-capmoi'!N160</f>
        <v>0</v>
      </c>
      <c r="U163" s="845">
        <f t="shared" si="27"/>
        <v>0</v>
      </c>
    </row>
    <row r="164" spans="1:21" s="907" customFormat="1" ht="35.25" customHeight="1">
      <c r="A164" s="832" t="s">
        <v>872</v>
      </c>
      <c r="B164" s="827" t="s">
        <v>70</v>
      </c>
      <c r="C164" s="832" t="s">
        <v>281</v>
      </c>
      <c r="D164" s="901" t="s">
        <v>880</v>
      </c>
      <c r="E164" s="912" t="e">
        <f>NC_DKDD!H125</f>
        <v>#VALUE!</v>
      </c>
      <c r="F164" s="906"/>
      <c r="G164" s="915"/>
      <c r="H164" s="915"/>
      <c r="I164" s="915"/>
      <c r="J164" s="915"/>
      <c r="K164" s="915"/>
      <c r="L164" s="915"/>
      <c r="M164" s="893"/>
      <c r="N164" s="893"/>
      <c r="O164" s="893"/>
      <c r="P164" s="898">
        <f t="shared" si="33"/>
        <v>368.88461538461536</v>
      </c>
      <c r="Q164" s="900">
        <f t="shared" si="34"/>
        <v>320.76923076923072</v>
      </c>
      <c r="R164" s="900">
        <f t="shared" si="30"/>
        <v>48.115384615384613</v>
      </c>
      <c r="S164" s="904">
        <f>NC_DKDD!G125</f>
        <v>0.06</v>
      </c>
      <c r="T164" s="845">
        <f>'[1]1,DG-capmoi'!N161</f>
        <v>0</v>
      </c>
      <c r="U164" s="845">
        <f t="shared" si="27"/>
        <v>0</v>
      </c>
    </row>
    <row r="165" spans="1:21" s="836" customFormat="1" ht="35.25" customHeight="1">
      <c r="A165" s="832" t="s">
        <v>873</v>
      </c>
      <c r="B165" s="827" t="s">
        <v>777</v>
      </c>
      <c r="C165" s="832" t="s">
        <v>281</v>
      </c>
      <c r="D165" s="901" t="s">
        <v>880</v>
      </c>
      <c r="E165" s="912" t="e">
        <f>NC_DKDD!H126</f>
        <v>#VALUE!</v>
      </c>
      <c r="F165" s="909"/>
      <c r="G165" s="913"/>
      <c r="H165" s="913"/>
      <c r="I165" s="913"/>
      <c r="J165" s="913"/>
      <c r="K165" s="913"/>
      <c r="L165" s="916"/>
      <c r="M165" s="899"/>
      <c r="N165" s="899"/>
      <c r="O165" s="899"/>
      <c r="P165" s="898">
        <f t="shared" si="33"/>
        <v>307.40384615384619</v>
      </c>
      <c r="Q165" s="900">
        <f t="shared" si="34"/>
        <v>267.30769230769232</v>
      </c>
      <c r="R165" s="900">
        <f t="shared" si="30"/>
        <v>40.096153846153847</v>
      </c>
      <c r="S165" s="904">
        <f>NC_DKDD!G126</f>
        <v>0.05</v>
      </c>
      <c r="T165" s="845">
        <f>'[1]1,DG-capmoi'!N162</f>
        <v>0</v>
      </c>
      <c r="U165" s="845">
        <f t="shared" si="27"/>
        <v>0</v>
      </c>
    </row>
    <row r="166" spans="1:21" s="836" customFormat="1" ht="31.5" customHeight="1">
      <c r="A166" s="832">
        <v>8</v>
      </c>
      <c r="B166" s="827" t="s">
        <v>211</v>
      </c>
      <c r="C166" s="832" t="s">
        <v>523</v>
      </c>
      <c r="D166" s="901" t="s">
        <v>880</v>
      </c>
      <c r="E166" s="912" t="e">
        <f>NC_DKDD!H127</f>
        <v>#VALUE!</v>
      </c>
      <c r="F166" s="391"/>
      <c r="G166" s="391"/>
      <c r="H166" s="913"/>
      <c r="I166" s="913"/>
      <c r="J166" s="914"/>
      <c r="K166" s="914"/>
      <c r="L166" s="916"/>
      <c r="M166" s="899"/>
      <c r="N166" s="899"/>
      <c r="O166" s="899"/>
      <c r="P166" s="898">
        <f t="shared" si="33"/>
        <v>184.44230769230768</v>
      </c>
      <c r="Q166" s="900">
        <f t="shared" si="34"/>
        <v>160.38461538461536</v>
      </c>
      <c r="R166" s="900">
        <f t="shared" si="30"/>
        <v>24.057692307692307</v>
      </c>
      <c r="S166" s="904">
        <f>NC_DKDD!G127</f>
        <v>0.03</v>
      </c>
      <c r="T166" s="845">
        <f>'[1]1,DG-capmoi'!N163</f>
        <v>0</v>
      </c>
      <c r="U166" s="845">
        <f t="shared" si="27"/>
        <v>0</v>
      </c>
    </row>
    <row r="167" spans="1:21" s="836" customFormat="1" ht="23.25" customHeight="1">
      <c r="A167" s="832">
        <v>9</v>
      </c>
      <c r="B167" s="827" t="s">
        <v>978</v>
      </c>
      <c r="C167" s="832" t="s">
        <v>524</v>
      </c>
      <c r="D167" s="901" t="s">
        <v>880</v>
      </c>
      <c r="E167" s="912">
        <v>0</v>
      </c>
      <c r="F167" s="391"/>
      <c r="G167" s="391"/>
      <c r="H167" s="913"/>
      <c r="I167" s="913"/>
      <c r="J167" s="914"/>
      <c r="K167" s="914"/>
      <c r="L167" s="916"/>
      <c r="M167" s="899"/>
      <c r="N167" s="899"/>
      <c r="O167" s="899"/>
      <c r="P167" s="898">
        <f t="shared" si="33"/>
        <v>1229.6153846153848</v>
      </c>
      <c r="Q167" s="900">
        <f t="shared" si="34"/>
        <v>1069.2307692307693</v>
      </c>
      <c r="R167" s="900">
        <f t="shared" si="30"/>
        <v>160.38461538461539</v>
      </c>
      <c r="S167" s="904">
        <f>NC_DKDD!G128</f>
        <v>0.2</v>
      </c>
      <c r="T167" s="845">
        <f>'[1]1,DG-capmoi'!N164</f>
        <v>0</v>
      </c>
      <c r="U167" s="845">
        <f t="shared" si="27"/>
        <v>0</v>
      </c>
    </row>
    <row r="168" spans="1:21" s="836" customFormat="1" ht="23.25" customHeight="1">
      <c r="A168" s="832">
        <v>10</v>
      </c>
      <c r="B168" s="827" t="s">
        <v>213</v>
      </c>
      <c r="C168" s="832"/>
      <c r="D168" s="832"/>
      <c r="E168" s="912">
        <f>NC_DKDD!H129</f>
        <v>0</v>
      </c>
      <c r="F168" s="391"/>
      <c r="G168" s="391"/>
      <c r="H168" s="913"/>
      <c r="I168" s="913"/>
      <c r="J168" s="914"/>
      <c r="K168" s="914"/>
      <c r="L168" s="916"/>
      <c r="M168" s="899"/>
      <c r="N168" s="899"/>
      <c r="O168" s="899"/>
      <c r="P168" s="898">
        <f t="shared" si="33"/>
        <v>0</v>
      </c>
      <c r="Q168" s="900">
        <f t="shared" si="34"/>
        <v>0</v>
      </c>
      <c r="R168" s="900">
        <f t="shared" si="30"/>
        <v>0</v>
      </c>
      <c r="S168" s="904">
        <f>NC_DKDD!G129</f>
        <v>0</v>
      </c>
      <c r="T168" s="845">
        <f>'[1]1,DG-capmoi'!N165</f>
        <v>0</v>
      </c>
      <c r="U168" s="845">
        <f t="shared" si="27"/>
        <v>0</v>
      </c>
    </row>
    <row r="169" spans="1:21" s="836" customFormat="1" ht="23.25" customHeight="1">
      <c r="A169" s="832" t="s">
        <v>214</v>
      </c>
      <c r="B169" s="827" t="s">
        <v>215</v>
      </c>
      <c r="C169" s="832" t="s">
        <v>320</v>
      </c>
      <c r="D169" s="901" t="s">
        <v>880</v>
      </c>
      <c r="E169" s="912" t="e">
        <f>NC_DKDD!H130</f>
        <v>#VALUE!</v>
      </c>
      <c r="F169" s="391"/>
      <c r="G169" s="391"/>
      <c r="H169" s="913"/>
      <c r="I169" s="913"/>
      <c r="J169" s="914"/>
      <c r="K169" s="914"/>
      <c r="L169" s="916"/>
      <c r="M169" s="899"/>
      <c r="N169" s="899"/>
      <c r="O169" s="899"/>
      <c r="P169" s="898">
        <f t="shared" si="33"/>
        <v>307.40384615384619</v>
      </c>
      <c r="Q169" s="900">
        <f t="shared" si="34"/>
        <v>267.30769230769232</v>
      </c>
      <c r="R169" s="900">
        <f t="shared" si="30"/>
        <v>40.096153846153847</v>
      </c>
      <c r="S169" s="904">
        <f>NC_DKDD!G130</f>
        <v>0.05</v>
      </c>
      <c r="T169" s="845">
        <f>'[1]1,DG-capmoi'!N166</f>
        <v>0</v>
      </c>
      <c r="U169" s="845">
        <f t="shared" si="27"/>
        <v>0</v>
      </c>
    </row>
    <row r="170" spans="1:21" s="836" customFormat="1" ht="22.9" customHeight="1">
      <c r="A170" s="832" t="s">
        <v>216</v>
      </c>
      <c r="B170" s="827" t="s">
        <v>217</v>
      </c>
      <c r="C170" s="832" t="s">
        <v>320</v>
      </c>
      <c r="D170" s="901" t="s">
        <v>880</v>
      </c>
      <c r="E170" s="912" t="e">
        <f>NC_DKDD!H131</f>
        <v>#VALUE!</v>
      </c>
      <c r="F170" s="391"/>
      <c r="G170" s="391"/>
      <c r="H170" s="913"/>
      <c r="I170" s="913"/>
      <c r="J170" s="914"/>
      <c r="K170" s="914"/>
      <c r="L170" s="916"/>
      <c r="M170" s="899"/>
      <c r="N170" s="899"/>
      <c r="O170" s="899"/>
      <c r="P170" s="898">
        <f t="shared" si="33"/>
        <v>614.80769230769238</v>
      </c>
      <c r="Q170" s="900">
        <f t="shared" si="34"/>
        <v>534.61538461538464</v>
      </c>
      <c r="R170" s="900">
        <f t="shared" si="30"/>
        <v>80.192307692307693</v>
      </c>
      <c r="S170" s="904">
        <f>NC_DKDD!G131</f>
        <v>0.1</v>
      </c>
      <c r="T170" s="845">
        <f>'[1]1,DG-capmoi'!N167</f>
        <v>0</v>
      </c>
      <c r="U170" s="845">
        <f t="shared" si="27"/>
        <v>0</v>
      </c>
    </row>
    <row r="171" spans="1:21" s="836" customFormat="1" ht="36.75" customHeight="1">
      <c r="A171" s="832">
        <v>11</v>
      </c>
      <c r="B171" s="827" t="s">
        <v>218</v>
      </c>
      <c r="C171" s="832" t="s">
        <v>281</v>
      </c>
      <c r="D171" s="901" t="s">
        <v>880</v>
      </c>
      <c r="E171" s="912" t="e">
        <f>NC_DKDD!H132</f>
        <v>#VALUE!</v>
      </c>
      <c r="F171" s="391"/>
      <c r="G171" s="391"/>
      <c r="H171" s="913"/>
      <c r="I171" s="913"/>
      <c r="J171" s="914"/>
      <c r="K171" s="914"/>
      <c r="L171" s="916"/>
      <c r="M171" s="899"/>
      <c r="N171" s="899"/>
      <c r="O171" s="899"/>
      <c r="P171" s="898">
        <f t="shared" si="33"/>
        <v>245.92307692307691</v>
      </c>
      <c r="Q171" s="900">
        <f t="shared" si="34"/>
        <v>213.84615384615384</v>
      </c>
      <c r="R171" s="900">
        <f t="shared" si="30"/>
        <v>32.07692307692308</v>
      </c>
      <c r="S171" s="904">
        <f>NC_DKDD!G132</f>
        <v>0.04</v>
      </c>
      <c r="T171" s="845">
        <f>'[1]1,DG-capmoi'!N168</f>
        <v>0</v>
      </c>
      <c r="U171" s="845">
        <f t="shared" si="27"/>
        <v>0</v>
      </c>
    </row>
    <row r="172" spans="1:21" s="836" customFormat="1" ht="42" customHeight="1">
      <c r="A172" s="832">
        <v>12</v>
      </c>
      <c r="B172" s="827" t="s">
        <v>219</v>
      </c>
      <c r="C172" s="832" t="s">
        <v>281</v>
      </c>
      <c r="D172" s="901" t="s">
        <v>880</v>
      </c>
      <c r="E172" s="912" t="e">
        <f>NC_DKDD!H133</f>
        <v>#VALUE!</v>
      </c>
      <c r="F172" s="391"/>
      <c r="G172" s="391"/>
      <c r="H172" s="913"/>
      <c r="I172" s="913"/>
      <c r="J172" s="914"/>
      <c r="K172" s="914"/>
      <c r="L172" s="916"/>
      <c r="M172" s="899"/>
      <c r="N172" s="899"/>
      <c r="O172" s="899"/>
      <c r="P172" s="898">
        <f t="shared" si="33"/>
        <v>122.96153846153845</v>
      </c>
      <c r="Q172" s="900">
        <f t="shared" si="34"/>
        <v>106.92307692307692</v>
      </c>
      <c r="R172" s="900">
        <f t="shared" si="30"/>
        <v>16.03846153846154</v>
      </c>
      <c r="S172" s="904">
        <f>NC_DKDD!G133</f>
        <v>0.02</v>
      </c>
      <c r="T172" s="845">
        <f>'[1]1,DG-capmoi'!N169</f>
        <v>0</v>
      </c>
      <c r="U172" s="845">
        <f t="shared" si="27"/>
        <v>0</v>
      </c>
    </row>
    <row r="173" spans="1:21" s="917" customFormat="1" ht="25.5" customHeight="1">
      <c r="A173" s="832">
        <v>13</v>
      </c>
      <c r="B173" s="827" t="s">
        <v>220</v>
      </c>
      <c r="C173" s="832" t="s">
        <v>523</v>
      </c>
      <c r="D173" s="901" t="s">
        <v>880</v>
      </c>
      <c r="E173" s="912" t="e">
        <f>NC_DKDD!H134</f>
        <v>#VALUE!</v>
      </c>
      <c r="F173" s="913"/>
      <c r="G173" s="391"/>
      <c r="H173" s="913"/>
      <c r="I173" s="913"/>
      <c r="J173" s="914"/>
      <c r="K173" s="914"/>
      <c r="L173" s="914"/>
      <c r="M173" s="914"/>
      <c r="N173" s="914"/>
      <c r="O173" s="914"/>
      <c r="P173" s="898">
        <f t="shared" si="33"/>
        <v>202.88653846153844</v>
      </c>
      <c r="Q173" s="900">
        <f t="shared" si="34"/>
        <v>176.42307692307691</v>
      </c>
      <c r="R173" s="900">
        <f t="shared" si="30"/>
        <v>26.463461538461541</v>
      </c>
      <c r="S173" s="904">
        <f>NC_DKDD!G134</f>
        <v>3.3000000000000002E-2</v>
      </c>
      <c r="T173" s="845">
        <f>'[1]1,DG-capmoi'!N170</f>
        <v>0</v>
      </c>
      <c r="U173" s="845">
        <f t="shared" si="27"/>
        <v>0</v>
      </c>
    </row>
    <row r="174" spans="1:21" s="917" customFormat="1" ht="24.75" customHeight="1">
      <c r="A174" s="832">
        <v>14</v>
      </c>
      <c r="B174" s="827" t="s">
        <v>71</v>
      </c>
      <c r="C174" s="832"/>
      <c r="D174" s="832"/>
      <c r="E174" s="912">
        <f>NC_DKDD!H135</f>
        <v>0</v>
      </c>
      <c r="F174" s="913"/>
      <c r="G174" s="391"/>
      <c r="H174" s="913"/>
      <c r="I174" s="913"/>
      <c r="J174" s="914"/>
      <c r="K174" s="914"/>
      <c r="L174" s="914"/>
      <c r="M174" s="914"/>
      <c r="N174" s="914"/>
      <c r="O174" s="914"/>
      <c r="P174" s="898">
        <f t="shared" si="33"/>
        <v>0</v>
      </c>
      <c r="Q174" s="900">
        <f t="shared" si="34"/>
        <v>0</v>
      </c>
      <c r="R174" s="900">
        <f t="shared" si="30"/>
        <v>0</v>
      </c>
      <c r="S174" s="904">
        <f>NC_DKDD!G135</f>
        <v>0</v>
      </c>
      <c r="T174" s="845">
        <f>'[1]1,DG-capmoi'!N171</f>
        <v>0</v>
      </c>
      <c r="U174" s="845">
        <f t="shared" si="27"/>
        <v>0</v>
      </c>
    </row>
    <row r="175" spans="1:21" s="917" customFormat="1" ht="31.5" customHeight="1">
      <c r="A175" s="832" t="s">
        <v>47</v>
      </c>
      <c r="B175" s="827" t="s">
        <v>931</v>
      </c>
      <c r="C175" s="832"/>
      <c r="D175" s="832"/>
      <c r="E175" s="912">
        <f>NC_DKDD!H136</f>
        <v>0</v>
      </c>
      <c r="F175" s="913"/>
      <c r="G175" s="391"/>
      <c r="H175" s="913"/>
      <c r="I175" s="913"/>
      <c r="J175" s="914"/>
      <c r="K175" s="914"/>
      <c r="L175" s="914"/>
      <c r="M175" s="914"/>
      <c r="N175" s="914"/>
      <c r="O175" s="914"/>
      <c r="P175" s="898">
        <f t="shared" si="33"/>
        <v>0</v>
      </c>
      <c r="Q175" s="900">
        <f t="shared" si="34"/>
        <v>0</v>
      </c>
      <c r="R175" s="900">
        <f t="shared" si="30"/>
        <v>0</v>
      </c>
      <c r="S175" s="904">
        <f>NC_DKDD!G136</f>
        <v>0</v>
      </c>
      <c r="T175" s="845">
        <f>'[1]1,DG-capmoi'!N172</f>
        <v>0</v>
      </c>
      <c r="U175" s="845">
        <f t="shared" si="27"/>
        <v>0</v>
      </c>
    </row>
    <row r="176" spans="1:21" s="917" customFormat="1" ht="24.75" customHeight="1">
      <c r="A176" s="832" t="s">
        <v>932</v>
      </c>
      <c r="B176" s="827" t="s">
        <v>933</v>
      </c>
      <c r="C176" s="832" t="s">
        <v>525</v>
      </c>
      <c r="D176" s="901" t="s">
        <v>880</v>
      </c>
      <c r="E176" s="913" t="e">
        <f>NC_DKDD!H137</f>
        <v>#VALUE!</v>
      </c>
      <c r="F176" s="913"/>
      <c r="G176" s="391"/>
      <c r="H176" s="913"/>
      <c r="I176" s="913"/>
      <c r="J176" s="914"/>
      <c r="K176" s="914"/>
      <c r="L176" s="914"/>
      <c r="M176" s="914"/>
      <c r="N176" s="914"/>
      <c r="O176" s="914"/>
      <c r="P176" s="898">
        <f t="shared" ref="P176:P191" si="35">Q176+R176</f>
        <v>98.369230769230768</v>
      </c>
      <c r="Q176" s="900">
        <f t="shared" ref="Q176:Q191" si="36">S176*$Q$106</f>
        <v>85.538461538461533</v>
      </c>
      <c r="R176" s="900">
        <f t="shared" si="30"/>
        <v>12.830769230769231</v>
      </c>
      <c r="S176" s="904">
        <f>NC_DKDD!G137</f>
        <v>1.6E-2</v>
      </c>
      <c r="T176" s="845">
        <f>'[1]1,DG-capmoi'!N173</f>
        <v>0</v>
      </c>
      <c r="U176" s="845">
        <f t="shared" si="27"/>
        <v>0</v>
      </c>
    </row>
    <row r="177" spans="1:21" s="917" customFormat="1" ht="24.75" customHeight="1">
      <c r="A177" s="832" t="s">
        <v>936</v>
      </c>
      <c r="B177" s="827" t="s">
        <v>937</v>
      </c>
      <c r="C177" s="832" t="s">
        <v>525</v>
      </c>
      <c r="D177" s="901" t="s">
        <v>880</v>
      </c>
      <c r="E177" s="913" t="e">
        <f>NC_DKDD!H138</f>
        <v>#VALUE!</v>
      </c>
      <c r="F177" s="913"/>
      <c r="G177" s="391"/>
      <c r="H177" s="913"/>
      <c r="I177" s="913"/>
      <c r="J177" s="914"/>
      <c r="K177" s="914"/>
      <c r="L177" s="914"/>
      <c r="M177" s="914"/>
      <c r="N177" s="914"/>
      <c r="O177" s="914"/>
      <c r="P177" s="898">
        <f t="shared" si="35"/>
        <v>49.184615384615384</v>
      </c>
      <c r="Q177" s="900">
        <f t="shared" si="36"/>
        <v>42.769230769230766</v>
      </c>
      <c r="R177" s="900">
        <f t="shared" si="30"/>
        <v>6.4153846153846157</v>
      </c>
      <c r="S177" s="904">
        <f>NC_DKDD!G138</f>
        <v>8.0000000000000002E-3</v>
      </c>
      <c r="T177" s="845">
        <f>'[1]1,DG-capmoi'!N174</f>
        <v>0</v>
      </c>
      <c r="U177" s="845">
        <f t="shared" si="27"/>
        <v>0</v>
      </c>
    </row>
    <row r="178" spans="1:21" s="917" customFormat="1" ht="31.5" customHeight="1">
      <c r="A178" s="832" t="s">
        <v>938</v>
      </c>
      <c r="B178" s="827" t="s">
        <v>48</v>
      </c>
      <c r="C178" s="832" t="s">
        <v>525</v>
      </c>
      <c r="D178" s="901" t="s">
        <v>880</v>
      </c>
      <c r="E178" s="913" t="e">
        <f>NC_DKDD!H139</f>
        <v>#VALUE!</v>
      </c>
      <c r="F178" s="913"/>
      <c r="G178" s="391"/>
      <c r="H178" s="913"/>
      <c r="I178" s="913"/>
      <c r="J178" s="914"/>
      <c r="K178" s="914"/>
      <c r="L178" s="914"/>
      <c r="M178" s="914"/>
      <c r="N178" s="914"/>
      <c r="O178" s="914"/>
      <c r="P178" s="898">
        <f t="shared" si="35"/>
        <v>24.592307692307692</v>
      </c>
      <c r="Q178" s="900">
        <f t="shared" si="36"/>
        <v>21.384615384615383</v>
      </c>
      <c r="R178" s="900">
        <f t="shared" si="30"/>
        <v>3.2076923076923078</v>
      </c>
      <c r="S178" s="904">
        <f>NC_DKDD!G139</f>
        <v>4.0000000000000001E-3</v>
      </c>
      <c r="T178" s="845">
        <f>'[1]1,DG-capmoi'!N175</f>
        <v>0</v>
      </c>
      <c r="U178" s="845">
        <f t="shared" si="27"/>
        <v>0</v>
      </c>
    </row>
    <row r="179" spans="1:21" s="917" customFormat="1" ht="30.75" customHeight="1">
      <c r="A179" s="832" t="s">
        <v>49</v>
      </c>
      <c r="B179" s="827" t="s">
        <v>50</v>
      </c>
      <c r="C179" s="832" t="s">
        <v>523</v>
      </c>
      <c r="D179" s="901" t="s">
        <v>880</v>
      </c>
      <c r="E179" s="913" t="e">
        <f>NC_DKDD!H140</f>
        <v>#VALUE!</v>
      </c>
      <c r="F179" s="913"/>
      <c r="G179" s="391"/>
      <c r="H179" s="913"/>
      <c r="I179" s="913"/>
      <c r="J179" s="914"/>
      <c r="K179" s="914"/>
      <c r="L179" s="914"/>
      <c r="M179" s="914"/>
      <c r="N179" s="914"/>
      <c r="O179" s="914"/>
      <c r="P179" s="898">
        <f t="shared" si="35"/>
        <v>61.480769230769226</v>
      </c>
      <c r="Q179" s="900">
        <f t="shared" si="36"/>
        <v>53.46153846153846</v>
      </c>
      <c r="R179" s="900">
        <f t="shared" si="30"/>
        <v>8.0192307692307701</v>
      </c>
      <c r="S179" s="904">
        <f>NC_DKDD!G140</f>
        <v>0.01</v>
      </c>
      <c r="T179" s="845">
        <f>'[1]1,DG-capmoi'!N176</f>
        <v>0</v>
      </c>
      <c r="U179" s="845">
        <f t="shared" si="27"/>
        <v>0</v>
      </c>
    </row>
    <row r="180" spans="1:21" s="917" customFormat="1" ht="44.25" customHeight="1">
      <c r="A180" s="832">
        <v>15</v>
      </c>
      <c r="B180" s="827" t="s">
        <v>273</v>
      </c>
      <c r="C180" s="832" t="s">
        <v>281</v>
      </c>
      <c r="D180" s="901" t="s">
        <v>880</v>
      </c>
      <c r="E180" s="913" t="e">
        <f>NC_DKDD!H141</f>
        <v>#VALUE!</v>
      </c>
      <c r="F180" s="913"/>
      <c r="G180" s="391"/>
      <c r="H180" s="913"/>
      <c r="I180" s="913"/>
      <c r="J180" s="914"/>
      <c r="K180" s="914"/>
      <c r="L180" s="914"/>
      <c r="M180" s="914"/>
      <c r="N180" s="914"/>
      <c r="O180" s="914"/>
      <c r="P180" s="898">
        <f t="shared" si="35"/>
        <v>307.40384615384619</v>
      </c>
      <c r="Q180" s="900">
        <f t="shared" si="36"/>
        <v>267.30769230769232</v>
      </c>
      <c r="R180" s="900">
        <f t="shared" si="30"/>
        <v>40.096153846153847</v>
      </c>
      <c r="S180" s="904">
        <f>NC_DKDD!G141</f>
        <v>0.05</v>
      </c>
      <c r="T180" s="845">
        <f>'[1]1,DG-capmoi'!N177</f>
        <v>0</v>
      </c>
      <c r="U180" s="845">
        <f t="shared" si="27"/>
        <v>0</v>
      </c>
    </row>
    <row r="181" spans="1:21" s="917" customFormat="1" ht="30" customHeight="1">
      <c r="A181" s="832">
        <v>16</v>
      </c>
      <c r="B181" s="827" t="s">
        <v>274</v>
      </c>
      <c r="C181" s="832" t="s">
        <v>281</v>
      </c>
      <c r="D181" s="901" t="s">
        <v>880</v>
      </c>
      <c r="E181" s="913" t="e">
        <f>NC_DKDD!H142/5000</f>
        <v>#VALUE!</v>
      </c>
      <c r="F181" s="913"/>
      <c r="G181" s="391"/>
      <c r="H181" s="913"/>
      <c r="I181" s="913"/>
      <c r="J181" s="914"/>
      <c r="K181" s="914"/>
      <c r="L181" s="914"/>
      <c r="M181" s="914"/>
      <c r="N181" s="914"/>
      <c r="O181" s="914"/>
      <c r="P181" s="898">
        <f t="shared" si="35"/>
        <v>9.8369230769230764</v>
      </c>
      <c r="Q181" s="900">
        <f t="shared" si="36"/>
        <v>8.5538461538461537</v>
      </c>
      <c r="R181" s="900">
        <f t="shared" si="30"/>
        <v>1.283076923076923</v>
      </c>
      <c r="S181" s="918">
        <f>NC_DKDD!G142/5000</f>
        <v>1.6000000000000001E-3</v>
      </c>
      <c r="T181" s="845">
        <f>'[1]1,DG-capmoi'!N178</f>
        <v>0</v>
      </c>
      <c r="U181" s="845">
        <f t="shared" si="27"/>
        <v>0</v>
      </c>
    </row>
    <row r="182" spans="1:21" s="917" customFormat="1" ht="30" customHeight="1">
      <c r="A182" s="869" t="s">
        <v>913</v>
      </c>
      <c r="B182" s="868" t="s">
        <v>1057</v>
      </c>
      <c r="C182" s="832"/>
      <c r="D182" s="901"/>
      <c r="E182" s="913"/>
      <c r="F182" s="913"/>
      <c r="G182" s="391"/>
      <c r="H182" s="913"/>
      <c r="I182" s="913"/>
      <c r="J182" s="914"/>
      <c r="K182" s="914"/>
      <c r="L182" s="914"/>
      <c r="M182" s="914"/>
      <c r="N182" s="914"/>
      <c r="O182" s="914"/>
      <c r="P182" s="898">
        <f t="shared" si="35"/>
        <v>0</v>
      </c>
      <c r="Q182" s="900">
        <f t="shared" si="36"/>
        <v>0</v>
      </c>
      <c r="R182" s="900">
        <f t="shared" si="30"/>
        <v>0</v>
      </c>
      <c r="S182" s="918"/>
      <c r="T182" s="845">
        <f>'[1]1,DG-capmoi'!N179</f>
        <v>0</v>
      </c>
      <c r="U182" s="845">
        <f t="shared" ref="U182:U246" si="37">T182-N182</f>
        <v>0</v>
      </c>
    </row>
    <row r="183" spans="1:21" s="917" customFormat="1" ht="24.75" customHeight="1">
      <c r="A183" s="869" t="s">
        <v>669</v>
      </c>
      <c r="B183" s="868" t="s">
        <v>451</v>
      </c>
      <c r="C183" s="832" t="s">
        <v>281</v>
      </c>
      <c r="D183" s="901" t="s">
        <v>880</v>
      </c>
      <c r="E183" s="919" t="e">
        <f>SUM(E185:E191)</f>
        <v>#VALUE!</v>
      </c>
      <c r="F183" s="913"/>
      <c r="G183" s="391"/>
      <c r="H183" s="911">
        <f>'Dcu-DKDD'!L64/5000</f>
        <v>0.12997079038461537</v>
      </c>
      <c r="I183" s="911">
        <f>'VL-DKDD'!J66/5000</f>
        <v>2.5028999999999999</v>
      </c>
      <c r="J183" s="911">
        <f>'TB-DKDD'!M32/5000</f>
        <v>0.23939199999999997</v>
      </c>
      <c r="K183" s="911">
        <f>'NL-DKDD'!J23/5000</f>
        <v>0.54638639999999994</v>
      </c>
      <c r="L183" s="893" t="e">
        <f>SUM(E183:K183)</f>
        <v>#VALUE!</v>
      </c>
      <c r="M183" s="893" t="e">
        <f>L183*'He so chung'!$D$17/100</f>
        <v>#VALUE!</v>
      </c>
      <c r="N183" s="893" t="e">
        <f>L183+M183</f>
        <v>#VALUE!</v>
      </c>
      <c r="O183" s="914"/>
      <c r="P183" s="919">
        <f>SUM(P185:P191)</f>
        <v>596.36346153846148</v>
      </c>
      <c r="Q183" s="900">
        <f t="shared" si="36"/>
        <v>518.57692307692309</v>
      </c>
      <c r="R183" s="900">
        <f t="shared" si="30"/>
        <v>77.786538461538456</v>
      </c>
      <c r="S183" s="920">
        <f>SUM(S185:S191)</f>
        <v>9.7000000000000003E-2</v>
      </c>
      <c r="T183" s="845">
        <f>'[1]1,DG-capmoi'!N180</f>
        <v>18492.048982065731</v>
      </c>
      <c r="U183" s="845" t="e">
        <f t="shared" si="37"/>
        <v>#VALUE!</v>
      </c>
    </row>
    <row r="184" spans="1:21" s="917" customFormat="1" ht="24.75" customHeight="1">
      <c r="A184" s="869" t="s">
        <v>806</v>
      </c>
      <c r="B184" s="868" t="s">
        <v>452</v>
      </c>
      <c r="C184" s="832" t="s">
        <v>281</v>
      </c>
      <c r="D184" s="901" t="s">
        <v>807</v>
      </c>
      <c r="E184" s="919" t="e">
        <f>SUM(E186:E191)</f>
        <v>#VALUE!</v>
      </c>
      <c r="F184" s="913"/>
      <c r="G184" s="391"/>
      <c r="H184" s="911">
        <f>H183</f>
        <v>0.12997079038461537</v>
      </c>
      <c r="I184" s="911">
        <f>I183</f>
        <v>2.5028999999999999</v>
      </c>
      <c r="J184" s="911">
        <f>J183</f>
        <v>0.23939199999999997</v>
      </c>
      <c r="K184" s="911">
        <f>K183</f>
        <v>0.54638639999999994</v>
      </c>
      <c r="L184" s="893" t="e">
        <f>SUM(E184:K184)</f>
        <v>#VALUE!</v>
      </c>
      <c r="M184" s="893" t="e">
        <f>L184*'He so chung'!$D$17/100</f>
        <v>#VALUE!</v>
      </c>
      <c r="N184" s="893" t="e">
        <f>L184+M184</f>
        <v>#VALUE!</v>
      </c>
      <c r="O184" s="914"/>
      <c r="P184" s="919">
        <f>SUM(P186:P191)</f>
        <v>596.36346153846148</v>
      </c>
      <c r="Q184" s="900">
        <f t="shared" si="36"/>
        <v>518.57692307692309</v>
      </c>
      <c r="R184" s="900">
        <f t="shared" si="30"/>
        <v>77.786538461538456</v>
      </c>
      <c r="S184" s="920">
        <f>SUM(S186:S191)</f>
        <v>9.7000000000000003E-2</v>
      </c>
      <c r="T184" s="845">
        <f>'[1]1,DG-capmoi'!N181</f>
        <v>18492.048982065731</v>
      </c>
      <c r="U184" s="845" t="e">
        <f t="shared" si="37"/>
        <v>#VALUE!</v>
      </c>
    </row>
    <row r="185" spans="1:21" s="917" customFormat="1" ht="24.75" customHeight="1">
      <c r="A185" s="832">
        <v>1</v>
      </c>
      <c r="B185" s="827" t="s">
        <v>279</v>
      </c>
      <c r="C185" s="832"/>
      <c r="D185" s="832"/>
      <c r="E185" s="913"/>
      <c r="F185" s="913"/>
      <c r="G185" s="391"/>
      <c r="H185" s="913"/>
      <c r="I185" s="913"/>
      <c r="J185" s="914"/>
      <c r="K185" s="914"/>
      <c r="L185" s="914"/>
      <c r="M185" s="914"/>
      <c r="N185" s="914"/>
      <c r="O185" s="914"/>
      <c r="P185" s="898"/>
      <c r="Q185" s="900">
        <f t="shared" si="36"/>
        <v>0</v>
      </c>
      <c r="R185" s="900">
        <f t="shared" si="30"/>
        <v>0</v>
      </c>
      <c r="S185" s="904">
        <f>NC_DKDD!G144</f>
        <v>0</v>
      </c>
      <c r="T185" s="845">
        <f>'[1]1,DG-capmoi'!N182</f>
        <v>0</v>
      </c>
      <c r="U185" s="845">
        <f t="shared" si="37"/>
        <v>0</v>
      </c>
    </row>
    <row r="186" spans="1:21" s="917" customFormat="1" ht="36" customHeight="1">
      <c r="A186" s="832" t="s">
        <v>891</v>
      </c>
      <c r="B186" s="827" t="s">
        <v>1058</v>
      </c>
      <c r="C186" s="832" t="s">
        <v>281</v>
      </c>
      <c r="D186" s="901" t="s">
        <v>880</v>
      </c>
      <c r="E186" s="913" t="e">
        <f>NC_DKDD!H145/5000</f>
        <v>#VALUE!</v>
      </c>
      <c r="F186" s="913"/>
      <c r="G186" s="391"/>
      <c r="H186" s="913"/>
      <c r="I186" s="913"/>
      <c r="J186" s="914"/>
      <c r="K186" s="914"/>
      <c r="L186" s="914"/>
      <c r="M186" s="914"/>
      <c r="N186" s="914"/>
      <c r="O186" s="914"/>
      <c r="P186" s="898">
        <f t="shared" si="35"/>
        <v>368.88461538461536</v>
      </c>
      <c r="Q186" s="900">
        <f t="shared" si="36"/>
        <v>320.76923076923072</v>
      </c>
      <c r="R186" s="900">
        <f t="shared" si="30"/>
        <v>48.115384615384613</v>
      </c>
      <c r="S186" s="904">
        <f>NC_DKDD!G145/5000</f>
        <v>0.06</v>
      </c>
      <c r="T186" s="845">
        <f>'[1]1,DG-capmoi'!N183</f>
        <v>0</v>
      </c>
      <c r="U186" s="845">
        <f t="shared" si="37"/>
        <v>0</v>
      </c>
    </row>
    <row r="187" spans="1:21" s="917" customFormat="1" ht="30.75" customHeight="1">
      <c r="A187" s="832" t="s">
        <v>899</v>
      </c>
      <c r="B187" s="827" t="s">
        <v>491</v>
      </c>
      <c r="C187" s="832" t="s">
        <v>523</v>
      </c>
      <c r="D187" s="901" t="s">
        <v>880</v>
      </c>
      <c r="E187" s="913" t="e">
        <f>NC_DKDD!H146</f>
        <v>#VALUE!</v>
      </c>
      <c r="F187" s="913"/>
      <c r="G187" s="391"/>
      <c r="H187" s="913"/>
      <c r="I187" s="913"/>
      <c r="J187" s="914"/>
      <c r="K187" s="914"/>
      <c r="L187" s="914"/>
      <c r="M187" s="914"/>
      <c r="N187" s="914"/>
      <c r="O187" s="914"/>
      <c r="P187" s="898">
        <f t="shared" si="35"/>
        <v>61.480769230769226</v>
      </c>
      <c r="Q187" s="900">
        <f t="shared" si="36"/>
        <v>53.46153846153846</v>
      </c>
      <c r="R187" s="900">
        <f t="shared" si="30"/>
        <v>8.0192307692307701</v>
      </c>
      <c r="S187" s="904">
        <f>NC_DKDD!G146</f>
        <v>0.01</v>
      </c>
      <c r="T187" s="845">
        <f>'[1]1,DG-capmoi'!N184</f>
        <v>0</v>
      </c>
      <c r="U187" s="845">
        <f t="shared" si="37"/>
        <v>0</v>
      </c>
    </row>
    <row r="188" spans="1:21" s="917" customFormat="1" ht="32.25" customHeight="1">
      <c r="A188" s="832">
        <v>2</v>
      </c>
      <c r="B188" s="827" t="s">
        <v>277</v>
      </c>
      <c r="C188" s="832"/>
      <c r="D188" s="832"/>
      <c r="E188" s="913">
        <f>NC_DKDD!H147</f>
        <v>0</v>
      </c>
      <c r="F188" s="913"/>
      <c r="G188" s="391"/>
      <c r="H188" s="913"/>
      <c r="I188" s="913"/>
      <c r="J188" s="914"/>
      <c r="K188" s="914"/>
      <c r="L188" s="914"/>
      <c r="M188" s="914"/>
      <c r="N188" s="914"/>
      <c r="O188" s="914"/>
      <c r="P188" s="898">
        <f t="shared" si="35"/>
        <v>0</v>
      </c>
      <c r="Q188" s="900">
        <f t="shared" si="36"/>
        <v>0</v>
      </c>
      <c r="R188" s="900">
        <f t="shared" si="30"/>
        <v>0</v>
      </c>
      <c r="S188" s="904">
        <f>NC_DKDD!G147</f>
        <v>0</v>
      </c>
      <c r="T188" s="845">
        <f>'[1]1,DG-capmoi'!N185</f>
        <v>0</v>
      </c>
      <c r="U188" s="845">
        <f t="shared" si="37"/>
        <v>0</v>
      </c>
    </row>
    <row r="189" spans="1:21" s="917" customFormat="1" ht="26.25" customHeight="1">
      <c r="A189" s="832" t="s">
        <v>900</v>
      </c>
      <c r="B189" s="827" t="s">
        <v>493</v>
      </c>
      <c r="C189" s="832" t="s">
        <v>55</v>
      </c>
      <c r="D189" s="901" t="s">
        <v>880</v>
      </c>
      <c r="E189" s="913" t="e">
        <f>NC_DKDD!H148/60</f>
        <v>#VALUE!</v>
      </c>
      <c r="F189" s="913"/>
      <c r="G189" s="391"/>
      <c r="H189" s="913"/>
      <c r="I189" s="913"/>
      <c r="J189" s="914"/>
      <c r="K189" s="914"/>
      <c r="L189" s="914"/>
      <c r="M189" s="914"/>
      <c r="N189" s="914"/>
      <c r="O189" s="914"/>
      <c r="P189" s="898">
        <f t="shared" si="35"/>
        <v>153.70192307692309</v>
      </c>
      <c r="Q189" s="900">
        <f t="shared" si="36"/>
        <v>133.65384615384616</v>
      </c>
      <c r="R189" s="900">
        <f t="shared" si="30"/>
        <v>20.048076923076923</v>
      </c>
      <c r="S189" s="904">
        <f>NC_DKDD!G148</f>
        <v>2.5000000000000001E-2</v>
      </c>
      <c r="T189" s="845">
        <f>'[1]1,DG-capmoi'!N186</f>
        <v>0</v>
      </c>
      <c r="U189" s="845">
        <f t="shared" si="37"/>
        <v>0</v>
      </c>
    </row>
    <row r="190" spans="1:21" s="917" customFormat="1" ht="27" customHeight="1">
      <c r="A190" s="832" t="s">
        <v>901</v>
      </c>
      <c r="B190" s="827" t="s">
        <v>494</v>
      </c>
      <c r="C190" s="832" t="s">
        <v>281</v>
      </c>
      <c r="D190" s="901" t="s">
        <v>880</v>
      </c>
      <c r="E190" s="913" t="e">
        <f>NC_DKDD!H149/5000</f>
        <v>#VALUE!</v>
      </c>
      <c r="F190" s="913"/>
      <c r="G190" s="391"/>
      <c r="H190" s="913"/>
      <c r="I190" s="913"/>
      <c r="J190" s="914"/>
      <c r="K190" s="914"/>
      <c r="L190" s="914"/>
      <c r="M190" s="914"/>
      <c r="N190" s="914"/>
      <c r="O190" s="914"/>
      <c r="P190" s="898">
        <f t="shared" si="35"/>
        <v>2.4592307692307691</v>
      </c>
      <c r="Q190" s="900">
        <f t="shared" si="36"/>
        <v>2.1384615384615384</v>
      </c>
      <c r="R190" s="900">
        <f t="shared" si="30"/>
        <v>0.32076923076923075</v>
      </c>
      <c r="S190" s="918">
        <f>NC_DKDD!G149/5000</f>
        <v>4.0000000000000002E-4</v>
      </c>
      <c r="T190" s="845">
        <f>'[1]1,DG-capmoi'!N187</f>
        <v>0</v>
      </c>
      <c r="U190" s="845">
        <f t="shared" si="37"/>
        <v>0</v>
      </c>
    </row>
    <row r="191" spans="1:21" s="917" customFormat="1" ht="28.5">
      <c r="A191" s="832">
        <v>3</v>
      </c>
      <c r="B191" s="827" t="s">
        <v>278</v>
      </c>
      <c r="C191" s="832" t="s">
        <v>281</v>
      </c>
      <c r="D191" s="901" t="s">
        <v>880</v>
      </c>
      <c r="E191" s="913" t="e">
        <f>NC_DKDD!H150/5000</f>
        <v>#VALUE!</v>
      </c>
      <c r="F191" s="913"/>
      <c r="G191" s="391"/>
      <c r="H191" s="913"/>
      <c r="I191" s="913"/>
      <c r="J191" s="914"/>
      <c r="K191" s="914"/>
      <c r="L191" s="914"/>
      <c r="M191" s="914"/>
      <c r="N191" s="914"/>
      <c r="O191" s="914"/>
      <c r="P191" s="898">
        <f t="shared" si="35"/>
        <v>9.8369230769230764</v>
      </c>
      <c r="Q191" s="900">
        <f t="shared" si="36"/>
        <v>8.5538461538461537</v>
      </c>
      <c r="R191" s="900">
        <f>S191*$R$106</f>
        <v>1.283076923076923</v>
      </c>
      <c r="S191" s="918">
        <f>NC_DKDD!G150/5000</f>
        <v>1.6000000000000001E-3</v>
      </c>
      <c r="T191" s="845">
        <f>'[1]1,DG-capmoi'!N188</f>
        <v>0</v>
      </c>
      <c r="U191" s="845">
        <f t="shared" si="37"/>
        <v>0</v>
      </c>
    </row>
    <row r="192" spans="1:21" ht="18" customHeight="1">
      <c r="A192" s="921"/>
      <c r="B192" s="922"/>
      <c r="C192" s="921"/>
      <c r="D192" s="923"/>
      <c r="E192" s="355"/>
      <c r="F192" s="355"/>
      <c r="G192" s="356"/>
      <c r="H192" s="355"/>
      <c r="I192" s="355"/>
      <c r="J192" s="357"/>
      <c r="K192" s="357"/>
      <c r="L192" s="357"/>
      <c r="M192" s="357"/>
      <c r="N192" s="357"/>
      <c r="O192" s="357"/>
      <c r="P192" s="365"/>
      <c r="Q192" s="332"/>
      <c r="R192" s="332"/>
      <c r="T192" s="845">
        <f>'[1]1,DG-capmoi'!N189</f>
        <v>0</v>
      </c>
      <c r="U192" s="845">
        <f t="shared" si="37"/>
        <v>0</v>
      </c>
    </row>
    <row r="193" spans="1:21" ht="21" customHeight="1">
      <c r="A193" s="353"/>
      <c r="B193" s="886" t="s">
        <v>282</v>
      </c>
      <c r="C193" s="354"/>
      <c r="D193" s="353"/>
      <c r="E193" s="355"/>
      <c r="F193" s="355"/>
      <c r="G193" s="356"/>
      <c r="H193" s="355"/>
      <c r="I193" s="355"/>
      <c r="J193" s="357"/>
      <c r="K193" s="357"/>
      <c r="L193" s="357"/>
      <c r="M193" s="340"/>
      <c r="N193" s="340"/>
      <c r="O193" s="340"/>
      <c r="P193" s="365"/>
      <c r="Q193" s="332"/>
      <c r="R193" s="332"/>
      <c r="T193" s="845">
        <f>'[1]1,DG-capmoi'!N190</f>
        <v>0</v>
      </c>
      <c r="U193" s="845">
        <f t="shared" si="37"/>
        <v>0</v>
      </c>
    </row>
    <row r="194" spans="1:21" ht="21.6" customHeight="1">
      <c r="A194" s="358"/>
      <c r="B194" s="1138" t="s">
        <v>20</v>
      </c>
      <c r="C194" s="1138"/>
      <c r="D194" s="1138"/>
      <c r="E194" s="1138"/>
      <c r="F194" s="1138"/>
      <c r="G194" s="1138"/>
      <c r="H194" s="1138"/>
      <c r="I194" s="1138"/>
      <c r="J194" s="1138"/>
      <c r="K194" s="1138"/>
      <c r="L194" s="1138"/>
      <c r="M194" s="1138"/>
      <c r="N194" s="1138"/>
      <c r="O194" s="1138"/>
      <c r="P194" s="1138"/>
      <c r="Q194" s="332"/>
      <c r="R194" s="332"/>
      <c r="T194" s="845">
        <f>'[1]1,DG-capmoi'!N191</f>
        <v>0</v>
      </c>
      <c r="U194" s="845">
        <f t="shared" si="37"/>
        <v>0</v>
      </c>
    </row>
    <row r="195" spans="1:21" ht="30.75" customHeight="1">
      <c r="A195" s="358"/>
      <c r="B195" s="1117" t="s">
        <v>902</v>
      </c>
      <c r="C195" s="1117"/>
      <c r="D195" s="1117"/>
      <c r="E195" s="1117"/>
      <c r="F195" s="1117"/>
      <c r="G195" s="1117"/>
      <c r="H195" s="1117"/>
      <c r="I195" s="1117"/>
      <c r="J195" s="1117"/>
      <c r="K195" s="1117"/>
      <c r="L195" s="1117"/>
      <c r="M195" s="1117"/>
      <c r="N195" s="1117"/>
      <c r="O195" s="1117"/>
      <c r="P195" s="1117"/>
      <c r="Q195" s="332"/>
      <c r="R195" s="332"/>
      <c r="T195" s="845">
        <f>'[1]1,DG-capmoi'!N192</f>
        <v>0</v>
      </c>
      <c r="U195" s="845">
        <f t="shared" si="37"/>
        <v>0</v>
      </c>
    </row>
    <row r="196" spans="1:21" ht="33" customHeight="1">
      <c r="A196" s="358"/>
      <c r="B196" s="1117" t="s">
        <v>259</v>
      </c>
      <c r="C196" s="1117"/>
      <c r="D196" s="1117"/>
      <c r="E196" s="1117"/>
      <c r="F196" s="1117"/>
      <c r="G196" s="1117"/>
      <c r="H196" s="1117"/>
      <c r="I196" s="1117"/>
      <c r="J196" s="1117"/>
      <c r="K196" s="1117"/>
      <c r="L196" s="1117"/>
      <c r="M196" s="1117"/>
      <c r="N196" s="1117"/>
      <c r="O196" s="1117"/>
      <c r="P196" s="1117"/>
      <c r="Q196" s="332"/>
      <c r="R196" s="332"/>
      <c r="T196" s="845">
        <f>'[1]1,DG-capmoi'!N193</f>
        <v>0</v>
      </c>
      <c r="U196" s="845">
        <f t="shared" si="37"/>
        <v>0</v>
      </c>
    </row>
    <row r="197" spans="1:21" ht="41.45" customHeight="1">
      <c r="A197" s="358"/>
      <c r="B197" s="1117" t="s">
        <v>637</v>
      </c>
      <c r="C197" s="1117"/>
      <c r="D197" s="1117"/>
      <c r="E197" s="1117"/>
      <c r="F197" s="1117"/>
      <c r="G197" s="1117"/>
      <c r="H197" s="1117"/>
      <c r="I197" s="1117"/>
      <c r="J197" s="1117"/>
      <c r="K197" s="1117"/>
      <c r="L197" s="1117"/>
      <c r="M197" s="1117"/>
      <c r="N197" s="1117"/>
      <c r="O197" s="1117"/>
      <c r="P197" s="1117"/>
      <c r="Q197" s="332"/>
      <c r="R197" s="332"/>
      <c r="T197" s="845">
        <f>'[1]1,DG-capmoi'!N194</f>
        <v>0</v>
      </c>
      <c r="U197" s="845">
        <f t="shared" si="37"/>
        <v>0</v>
      </c>
    </row>
    <row r="198" spans="1:21" ht="44.45" customHeight="1">
      <c r="A198" s="358"/>
      <c r="B198" s="1117" t="s">
        <v>260</v>
      </c>
      <c r="C198" s="1117"/>
      <c r="D198" s="1117"/>
      <c r="E198" s="1117"/>
      <c r="F198" s="1117"/>
      <c r="G198" s="1117"/>
      <c r="H198" s="1117"/>
      <c r="I198" s="1117"/>
      <c r="J198" s="1117"/>
      <c r="K198" s="1117"/>
      <c r="L198" s="1117"/>
      <c r="M198" s="1117"/>
      <c r="N198" s="1117"/>
      <c r="O198" s="1117"/>
      <c r="P198" s="1117"/>
      <c r="Q198" s="332"/>
      <c r="R198" s="332"/>
      <c r="T198" s="845">
        <f>'[1]1,DG-capmoi'!N195</f>
        <v>0</v>
      </c>
      <c r="U198" s="845">
        <f t="shared" si="37"/>
        <v>0</v>
      </c>
    </row>
    <row r="199" spans="1:21" ht="45" customHeight="1">
      <c r="A199" s="358"/>
      <c r="B199" s="1117" t="s">
        <v>256</v>
      </c>
      <c r="C199" s="1117"/>
      <c r="D199" s="1117"/>
      <c r="E199" s="1117"/>
      <c r="F199" s="1117"/>
      <c r="G199" s="1117"/>
      <c r="H199" s="1117"/>
      <c r="I199" s="1117"/>
      <c r="J199" s="1117"/>
      <c r="K199" s="1117"/>
      <c r="L199" s="1117"/>
      <c r="M199" s="1117"/>
      <c r="N199" s="1117"/>
      <c r="O199" s="1117"/>
      <c r="P199" s="1117"/>
      <c r="Q199" s="332"/>
      <c r="R199" s="332"/>
      <c r="T199" s="845">
        <f>'[1]1,DG-capmoi'!N196</f>
        <v>0</v>
      </c>
      <c r="U199" s="845">
        <f t="shared" si="37"/>
        <v>0</v>
      </c>
    </row>
    <row r="200" spans="1:21" ht="29.45" customHeight="1">
      <c r="A200" s="358"/>
      <c r="B200" s="1117" t="s">
        <v>640</v>
      </c>
      <c r="C200" s="1117"/>
      <c r="D200" s="1117"/>
      <c r="E200" s="1117"/>
      <c r="F200" s="1117"/>
      <c r="G200" s="1117"/>
      <c r="H200" s="1117"/>
      <c r="I200" s="1117"/>
      <c r="J200" s="1117"/>
      <c r="K200" s="1117"/>
      <c r="L200" s="1117"/>
      <c r="M200" s="1117"/>
      <c r="N200" s="1117"/>
      <c r="O200" s="1117"/>
      <c r="P200" s="1117"/>
      <c r="Q200" s="332"/>
      <c r="R200" s="332"/>
      <c r="T200" s="845">
        <f>'[1]1,DG-capmoi'!N197</f>
        <v>0</v>
      </c>
      <c r="U200" s="845">
        <f t="shared" si="37"/>
        <v>0</v>
      </c>
    </row>
    <row r="201" spans="1:21" s="924" customFormat="1" ht="24.75" customHeight="1">
      <c r="A201" s="1114" t="s">
        <v>962</v>
      </c>
      <c r="B201" s="1114"/>
      <c r="C201" s="1114"/>
      <c r="D201" s="1114"/>
      <c r="E201" s="1114"/>
      <c r="F201" s="1114"/>
      <c r="G201" s="1114"/>
      <c r="H201" s="1114"/>
      <c r="I201" s="1114"/>
      <c r="J201" s="1114"/>
      <c r="K201" s="1114"/>
      <c r="L201" s="1114"/>
      <c r="M201" s="1114"/>
      <c r="N201" s="1114"/>
      <c r="O201" s="1114"/>
      <c r="P201" s="1114"/>
      <c r="Q201" s="67"/>
      <c r="R201" s="67"/>
      <c r="S201" s="67"/>
      <c r="T201" s="845">
        <f>'[1]1,DG-capmoi'!N198</f>
        <v>0</v>
      </c>
      <c r="U201" s="845">
        <f t="shared" si="37"/>
        <v>0</v>
      </c>
    </row>
    <row r="202" spans="1:21" s="924" customFormat="1">
      <c r="A202" s="1113" t="s">
        <v>960</v>
      </c>
      <c r="B202" s="1113"/>
      <c r="C202" s="1113"/>
      <c r="D202" s="1113"/>
      <c r="E202" s="1113"/>
      <c r="F202" s="1113"/>
      <c r="G202" s="1113"/>
      <c r="H202" s="1113"/>
      <c r="I202" s="1113"/>
      <c r="J202" s="1113"/>
      <c r="K202" s="1113"/>
      <c r="L202" s="1113"/>
      <c r="M202" s="1113"/>
      <c r="N202" s="1113"/>
      <c r="O202" s="1113"/>
      <c r="P202" s="1113"/>
      <c r="Q202" s="67"/>
      <c r="R202" s="67"/>
      <c r="S202" s="67"/>
      <c r="T202" s="845"/>
      <c r="U202" s="845"/>
    </row>
    <row r="203" spans="1:21" s="345" customFormat="1" ht="18.75" customHeight="1">
      <c r="A203" s="337"/>
      <c r="B203" s="834"/>
      <c r="C203" s="338"/>
      <c r="D203" s="339" t="s">
        <v>576</v>
      </c>
      <c r="E203" s="340"/>
      <c r="F203" s="341"/>
      <c r="G203" s="342"/>
      <c r="H203" s="341"/>
      <c r="I203" s="343"/>
      <c r="J203" s="341"/>
      <c r="K203" s="341"/>
      <c r="M203" s="341"/>
      <c r="N203" s="343"/>
      <c r="O203" s="991" t="s">
        <v>980</v>
      </c>
      <c r="P203" s="340"/>
      <c r="Q203" s="332"/>
      <c r="R203" s="332"/>
      <c r="S203" s="332"/>
      <c r="T203" s="845">
        <f>'[1]1,DG-capmoi'!N199</f>
        <v>0</v>
      </c>
      <c r="U203" s="845">
        <f t="shared" si="37"/>
        <v>0</v>
      </c>
    </row>
    <row r="204" spans="1:21" s="345" customFormat="1" ht="7.5" hidden="1" customHeight="1">
      <c r="A204" s="337"/>
      <c r="B204" s="834"/>
      <c r="C204" s="338"/>
      <c r="D204" s="346"/>
      <c r="E204" s="340"/>
      <c r="F204" s="340"/>
      <c r="G204" s="347"/>
      <c r="H204" s="340"/>
      <c r="I204" s="340"/>
      <c r="J204" s="340"/>
      <c r="K204" s="340"/>
      <c r="L204" s="340"/>
      <c r="M204" s="340"/>
      <c r="N204" s="340"/>
      <c r="O204" s="340"/>
      <c r="P204" s="340"/>
      <c r="Q204" s="332"/>
      <c r="R204" s="332"/>
      <c r="S204" s="332"/>
      <c r="T204" s="845">
        <f>'[1]1,DG-capmoi'!N200</f>
        <v>0</v>
      </c>
      <c r="U204" s="845">
        <f t="shared" si="37"/>
        <v>0</v>
      </c>
    </row>
    <row r="205" spans="1:21" s="992" customFormat="1" ht="27" customHeight="1">
      <c r="A205" s="1115" t="s">
        <v>876</v>
      </c>
      <c r="B205" s="1115" t="s">
        <v>381</v>
      </c>
      <c r="C205" s="1111" t="s">
        <v>981</v>
      </c>
      <c r="D205" s="1111" t="s">
        <v>982</v>
      </c>
      <c r="E205" s="1111" t="s">
        <v>466</v>
      </c>
      <c r="F205" s="1111"/>
      <c r="G205" s="1111"/>
      <c r="H205" s="1111"/>
      <c r="I205" s="1111"/>
      <c r="J205" s="1111"/>
      <c r="K205" s="1111"/>
      <c r="L205" s="1111"/>
      <c r="M205" s="1111" t="s">
        <v>581</v>
      </c>
      <c r="N205" s="1111" t="s">
        <v>467</v>
      </c>
      <c r="O205" s="1111" t="s">
        <v>657</v>
      </c>
      <c r="P205" s="1111" t="s">
        <v>468</v>
      </c>
      <c r="Q205" s="1003"/>
      <c r="R205" s="1003"/>
      <c r="S205" s="982"/>
      <c r="T205" s="1030"/>
      <c r="U205" s="1030"/>
    </row>
    <row r="206" spans="1:21" s="992" customFormat="1" ht="33.75" customHeight="1">
      <c r="A206" s="1115"/>
      <c r="B206" s="1115"/>
      <c r="C206" s="1111"/>
      <c r="D206" s="1111"/>
      <c r="E206" s="825" t="s">
        <v>469</v>
      </c>
      <c r="F206" s="825" t="s">
        <v>470</v>
      </c>
      <c r="G206" s="852" t="s">
        <v>1003</v>
      </c>
      <c r="H206" s="825" t="s">
        <v>59</v>
      </c>
      <c r="I206" s="825" t="s">
        <v>961</v>
      </c>
      <c r="J206" s="825" t="s">
        <v>280</v>
      </c>
      <c r="K206" s="825" t="s">
        <v>472</v>
      </c>
      <c r="L206" s="825" t="s">
        <v>473</v>
      </c>
      <c r="M206" s="1111"/>
      <c r="N206" s="1111"/>
      <c r="O206" s="1111"/>
      <c r="P206" s="1111"/>
      <c r="Q206" s="1003"/>
      <c r="R206" s="1003"/>
      <c r="S206" s="982"/>
      <c r="T206" s="1030">
        <f>'[1]1,DG-capmoi'!N202</f>
        <v>0</v>
      </c>
      <c r="U206" s="1030">
        <f t="shared" si="37"/>
        <v>0</v>
      </c>
    </row>
    <row r="207" spans="1:21" s="836" customFormat="1" ht="64.5" customHeight="1">
      <c r="A207" s="831"/>
      <c r="B207" s="838" t="s">
        <v>475</v>
      </c>
      <c r="C207" s="382"/>
      <c r="D207" s="382"/>
      <c r="E207" s="382"/>
      <c r="F207" s="382"/>
      <c r="G207" s="837"/>
      <c r="H207" s="382"/>
      <c r="I207" s="382"/>
      <c r="J207" s="382"/>
      <c r="K207" s="382"/>
      <c r="L207" s="382"/>
      <c r="M207" s="382"/>
      <c r="N207" s="382"/>
      <c r="O207" s="382"/>
      <c r="P207" s="382"/>
      <c r="Q207" s="835"/>
      <c r="R207" s="835"/>
      <c r="S207" s="367"/>
      <c r="T207" s="845">
        <f>'[1]1,DG-capmoi'!N203</f>
        <v>0</v>
      </c>
      <c r="U207" s="845">
        <f t="shared" si="37"/>
        <v>0</v>
      </c>
    </row>
    <row r="208" spans="1:21" s="836" customFormat="1" ht="22.5" customHeight="1">
      <c r="A208" s="1112"/>
      <c r="B208" s="1125" t="s">
        <v>451</v>
      </c>
      <c r="C208" s="1124" t="s">
        <v>281</v>
      </c>
      <c r="D208" s="382">
        <v>1</v>
      </c>
      <c r="E208" s="383" t="e">
        <f>E220+E252</f>
        <v>#VALUE!</v>
      </c>
      <c r="F208" s="383">
        <f t="shared" ref="F208:P208" si="38">F220+F252</f>
        <v>91700</v>
      </c>
      <c r="G208" s="383">
        <f t="shared" si="38"/>
        <v>0</v>
      </c>
      <c r="H208" s="383">
        <f t="shared" si="38"/>
        <v>5994.8633814102568</v>
      </c>
      <c r="I208" s="383">
        <f t="shared" si="38"/>
        <v>6873.12</v>
      </c>
      <c r="J208" s="383">
        <f t="shared" si="38"/>
        <v>420.32</v>
      </c>
      <c r="K208" s="383">
        <f t="shared" si="38"/>
        <v>860.91600000000005</v>
      </c>
      <c r="L208" s="383" t="e">
        <f t="shared" si="38"/>
        <v>#VALUE!</v>
      </c>
      <c r="M208" s="383" t="e">
        <f t="shared" si="38"/>
        <v>#VALUE!</v>
      </c>
      <c r="N208" s="383" t="e">
        <f t="shared" si="38"/>
        <v>#VALUE!</v>
      </c>
      <c r="O208" s="383">
        <v>12880</v>
      </c>
      <c r="P208" s="383">
        <f t="shared" si="38"/>
        <v>22256.038461538461</v>
      </c>
      <c r="Q208" s="835"/>
      <c r="R208" s="835"/>
      <c r="S208" s="367"/>
      <c r="T208" s="845">
        <f>'[1]1,DG-capmoi'!N204</f>
        <v>888643.39867323707</v>
      </c>
      <c r="U208" s="845" t="e">
        <f t="shared" si="37"/>
        <v>#VALUE!</v>
      </c>
    </row>
    <row r="209" spans="1:21" s="836" customFormat="1" ht="22.5" customHeight="1">
      <c r="A209" s="1112"/>
      <c r="B209" s="1125"/>
      <c r="C209" s="1124"/>
      <c r="D209" s="382">
        <v>2</v>
      </c>
      <c r="E209" s="383" t="e">
        <f>E221+E252</f>
        <v>#VALUE!</v>
      </c>
      <c r="F209" s="383">
        <f t="shared" ref="F209:P209" si="39">F221+F252</f>
        <v>100870</v>
      </c>
      <c r="G209" s="383">
        <f t="shared" si="39"/>
        <v>0</v>
      </c>
      <c r="H209" s="383">
        <f t="shared" si="39"/>
        <v>5994.8633814102568</v>
      </c>
      <c r="I209" s="383">
        <f t="shared" si="39"/>
        <v>6873.12</v>
      </c>
      <c r="J209" s="383">
        <f t="shared" si="39"/>
        <v>420.32</v>
      </c>
      <c r="K209" s="383">
        <f t="shared" si="39"/>
        <v>860.91600000000005</v>
      </c>
      <c r="L209" s="383" t="e">
        <f t="shared" si="39"/>
        <v>#VALUE!</v>
      </c>
      <c r="M209" s="383" t="e">
        <f t="shared" si="39"/>
        <v>#VALUE!</v>
      </c>
      <c r="N209" s="383" t="e">
        <f t="shared" si="39"/>
        <v>#VALUE!</v>
      </c>
      <c r="O209" s="383">
        <v>14168</v>
      </c>
      <c r="P209" s="383">
        <f t="shared" si="39"/>
        <v>23362.692307692305</v>
      </c>
      <c r="Q209" s="835"/>
      <c r="R209" s="835"/>
      <c r="S209" s="367"/>
      <c r="T209" s="845">
        <f>'[1]1,DG-capmoi'!N205</f>
        <v>1015655.4943366986</v>
      </c>
      <c r="U209" s="845" t="e">
        <f t="shared" si="37"/>
        <v>#VALUE!</v>
      </c>
    </row>
    <row r="210" spans="1:21" s="836" customFormat="1" ht="22.5" customHeight="1">
      <c r="A210" s="1112"/>
      <c r="B210" s="1125"/>
      <c r="C210" s="1124"/>
      <c r="D210" s="382">
        <v>3</v>
      </c>
      <c r="E210" s="383" t="e">
        <f>E222+E252</f>
        <v>#VALUE!</v>
      </c>
      <c r="F210" s="383">
        <f t="shared" ref="F210:P210" si="40">F222+F252</f>
        <v>110957</v>
      </c>
      <c r="G210" s="383">
        <f t="shared" si="40"/>
        <v>0</v>
      </c>
      <c r="H210" s="383">
        <f t="shared" si="40"/>
        <v>5994.8633814102568</v>
      </c>
      <c r="I210" s="383">
        <f t="shared" si="40"/>
        <v>6873.12</v>
      </c>
      <c r="J210" s="383">
        <f t="shared" si="40"/>
        <v>420.32</v>
      </c>
      <c r="K210" s="383">
        <f t="shared" si="40"/>
        <v>860.91600000000005</v>
      </c>
      <c r="L210" s="383" t="e">
        <f t="shared" si="40"/>
        <v>#VALUE!</v>
      </c>
      <c r="M210" s="383" t="e">
        <f t="shared" si="40"/>
        <v>#VALUE!</v>
      </c>
      <c r="N210" s="383" t="e">
        <f t="shared" si="40"/>
        <v>#VALUE!</v>
      </c>
      <c r="O210" s="383">
        <v>15584.8</v>
      </c>
      <c r="P210" s="383">
        <f t="shared" si="40"/>
        <v>24580.011538461535</v>
      </c>
      <c r="Q210" s="835"/>
      <c r="R210" s="835"/>
      <c r="S210" s="367"/>
      <c r="T210" s="845">
        <f>'[1]1,DG-capmoi'!N206</f>
        <v>1163336.7625915066</v>
      </c>
      <c r="U210" s="845" t="e">
        <f t="shared" si="37"/>
        <v>#VALUE!</v>
      </c>
    </row>
    <row r="211" spans="1:21" s="836" customFormat="1" ht="22.5" customHeight="1">
      <c r="A211" s="1112"/>
      <c r="B211" s="1125"/>
      <c r="C211" s="1124"/>
      <c r="D211" s="382">
        <v>4</v>
      </c>
      <c r="E211" s="383" t="e">
        <f>E223+E252</f>
        <v>#VALUE!</v>
      </c>
      <c r="F211" s="383">
        <f t="shared" ref="F211:P211" si="41">F223+F252</f>
        <v>122092</v>
      </c>
      <c r="G211" s="383">
        <f t="shared" si="41"/>
        <v>0</v>
      </c>
      <c r="H211" s="383">
        <f t="shared" si="41"/>
        <v>5994.8633814102568</v>
      </c>
      <c r="I211" s="383">
        <f t="shared" si="41"/>
        <v>6873.12</v>
      </c>
      <c r="J211" s="383">
        <f t="shared" si="41"/>
        <v>420.32</v>
      </c>
      <c r="K211" s="383">
        <f t="shared" si="41"/>
        <v>860.91600000000005</v>
      </c>
      <c r="L211" s="383" t="e">
        <f t="shared" si="41"/>
        <v>#VALUE!</v>
      </c>
      <c r="M211" s="383" t="e">
        <f t="shared" si="41"/>
        <v>#VALUE!</v>
      </c>
      <c r="N211" s="383" t="e">
        <f t="shared" si="41"/>
        <v>#VALUE!</v>
      </c>
      <c r="O211" s="383">
        <v>17148.799999999814</v>
      </c>
      <c r="P211" s="383">
        <f t="shared" si="41"/>
        <v>25920.292307692303</v>
      </c>
      <c r="Q211" s="835"/>
      <c r="R211" s="835"/>
      <c r="S211" s="367"/>
      <c r="T211" s="845">
        <f>'[1]1,DG-capmoi'!N207</f>
        <v>1334665.2206366991</v>
      </c>
      <c r="U211" s="845" t="e">
        <f t="shared" si="37"/>
        <v>#VALUE!</v>
      </c>
    </row>
    <row r="212" spans="1:21" s="836" customFormat="1" ht="22.5" customHeight="1">
      <c r="A212" s="1112"/>
      <c r="B212" s="1125"/>
      <c r="C212" s="1124"/>
      <c r="D212" s="382">
        <v>5</v>
      </c>
      <c r="E212" s="383" t="e">
        <f>E224+E252</f>
        <v>#VALUE!</v>
      </c>
      <c r="F212" s="383">
        <f t="shared" ref="F212:P212" si="42">F224+F252</f>
        <v>134275</v>
      </c>
      <c r="G212" s="383">
        <f t="shared" si="42"/>
        <v>0</v>
      </c>
      <c r="H212" s="383">
        <f t="shared" si="42"/>
        <v>5994.8633814102568</v>
      </c>
      <c r="I212" s="383">
        <f t="shared" si="42"/>
        <v>6873.12</v>
      </c>
      <c r="J212" s="383">
        <f t="shared" si="42"/>
        <v>420.32</v>
      </c>
      <c r="K212" s="383">
        <f t="shared" si="42"/>
        <v>860.91600000000005</v>
      </c>
      <c r="L212" s="383" t="e">
        <f t="shared" si="42"/>
        <v>#VALUE!</v>
      </c>
      <c r="M212" s="383" t="e">
        <f t="shared" si="42"/>
        <v>#VALUE!</v>
      </c>
      <c r="N212" s="383" t="e">
        <f t="shared" si="42"/>
        <v>#VALUE!</v>
      </c>
      <c r="O212" s="383">
        <v>18860</v>
      </c>
      <c r="P212" s="383">
        <f t="shared" si="42"/>
        <v>27322.053846153845</v>
      </c>
      <c r="Q212" s="835"/>
      <c r="R212" s="835"/>
      <c r="S212" s="367"/>
      <c r="T212" s="845">
        <f>'[1]1,DG-capmoi'!N208</f>
        <v>1224637.0624770834</v>
      </c>
      <c r="U212" s="845" t="e">
        <f t="shared" si="37"/>
        <v>#VALUE!</v>
      </c>
    </row>
    <row r="213" spans="1:21" s="836" customFormat="1" ht="22.5" customHeight="1">
      <c r="A213" s="1112"/>
      <c r="B213" s="1125" t="s">
        <v>452</v>
      </c>
      <c r="C213" s="1124" t="s">
        <v>281</v>
      </c>
      <c r="D213" s="382">
        <v>1</v>
      </c>
      <c r="E213" s="383" t="e">
        <f>E225+E252</f>
        <v>#VALUE!</v>
      </c>
      <c r="F213" s="383">
        <f t="shared" ref="F213:P213" si="43">F225+F252</f>
        <v>91700</v>
      </c>
      <c r="G213" s="383">
        <f t="shared" si="43"/>
        <v>0</v>
      </c>
      <c r="H213" s="383">
        <f t="shared" si="43"/>
        <v>5994.8633814102568</v>
      </c>
      <c r="I213" s="383">
        <f t="shared" si="43"/>
        <v>6873.12</v>
      </c>
      <c r="J213" s="383">
        <f t="shared" si="43"/>
        <v>420.32</v>
      </c>
      <c r="K213" s="383">
        <f t="shared" si="43"/>
        <v>860.91600000000005</v>
      </c>
      <c r="L213" s="383" t="e">
        <f t="shared" si="43"/>
        <v>#VALUE!</v>
      </c>
      <c r="M213" s="383" t="e">
        <f t="shared" si="43"/>
        <v>#VALUE!</v>
      </c>
      <c r="N213" s="383" t="e">
        <f t="shared" si="43"/>
        <v>#VALUE!</v>
      </c>
      <c r="O213" s="383">
        <v>12880</v>
      </c>
      <c r="P213" s="383">
        <f t="shared" si="43"/>
        <v>21487.528846153844</v>
      </c>
      <c r="Q213" s="835"/>
      <c r="R213" s="835"/>
      <c r="S213" s="367"/>
      <c r="T213" s="845">
        <f>'[1]1,DG-capmoi'!N209</f>
        <v>861115.53795208328</v>
      </c>
      <c r="U213" s="845" t="e">
        <f t="shared" si="37"/>
        <v>#VALUE!</v>
      </c>
    </row>
    <row r="214" spans="1:21" s="836" customFormat="1" ht="22.5" customHeight="1">
      <c r="A214" s="1112"/>
      <c r="B214" s="1125"/>
      <c r="C214" s="1124"/>
      <c r="D214" s="382">
        <v>2</v>
      </c>
      <c r="E214" s="383" t="e">
        <f>E226+E252</f>
        <v>#VALUE!</v>
      </c>
      <c r="F214" s="383">
        <f t="shared" ref="F214:P214" si="44">F226+F252</f>
        <v>100870</v>
      </c>
      <c r="G214" s="383">
        <f t="shared" si="44"/>
        <v>0</v>
      </c>
      <c r="H214" s="383">
        <f t="shared" si="44"/>
        <v>5994.8633814102568</v>
      </c>
      <c r="I214" s="383">
        <f t="shared" si="44"/>
        <v>6873.12</v>
      </c>
      <c r="J214" s="383">
        <f t="shared" si="44"/>
        <v>420.32</v>
      </c>
      <c r="K214" s="383">
        <f t="shared" si="44"/>
        <v>860.91600000000005</v>
      </c>
      <c r="L214" s="383" t="e">
        <f t="shared" si="44"/>
        <v>#VALUE!</v>
      </c>
      <c r="M214" s="383" t="e">
        <f t="shared" si="44"/>
        <v>#VALUE!</v>
      </c>
      <c r="N214" s="383" t="e">
        <f t="shared" si="44"/>
        <v>#VALUE!</v>
      </c>
      <c r="O214" s="383">
        <v>14168</v>
      </c>
      <c r="P214" s="383">
        <f t="shared" si="44"/>
        <v>22594.182692307688</v>
      </c>
      <c r="Q214" s="835"/>
      <c r="R214" s="835"/>
      <c r="S214" s="367"/>
      <c r="T214" s="845">
        <f>'[1]1,DG-capmoi'!N210</f>
        <v>988127.63361554488</v>
      </c>
      <c r="U214" s="845" t="e">
        <f t="shared" si="37"/>
        <v>#VALUE!</v>
      </c>
    </row>
    <row r="215" spans="1:21" s="836" customFormat="1" ht="22.5" customHeight="1">
      <c r="A215" s="1112"/>
      <c r="B215" s="1125"/>
      <c r="C215" s="1124"/>
      <c r="D215" s="382">
        <v>3</v>
      </c>
      <c r="E215" s="383" t="e">
        <f>E227+E252</f>
        <v>#VALUE!</v>
      </c>
      <c r="F215" s="383">
        <f t="shared" ref="F215:N215" si="45">F227+F252</f>
        <v>110957</v>
      </c>
      <c r="G215" s="383">
        <f t="shared" si="45"/>
        <v>0</v>
      </c>
      <c r="H215" s="383">
        <f t="shared" si="45"/>
        <v>5994.8633814102568</v>
      </c>
      <c r="I215" s="383">
        <f t="shared" si="45"/>
        <v>6873.12</v>
      </c>
      <c r="J215" s="383">
        <f t="shared" si="45"/>
        <v>420.32</v>
      </c>
      <c r="K215" s="383">
        <f t="shared" si="45"/>
        <v>860.91600000000005</v>
      </c>
      <c r="L215" s="383" t="e">
        <f t="shared" si="45"/>
        <v>#VALUE!</v>
      </c>
      <c r="M215" s="383" t="e">
        <f t="shared" si="45"/>
        <v>#VALUE!</v>
      </c>
      <c r="N215" s="383" t="e">
        <f t="shared" si="45"/>
        <v>#VALUE!</v>
      </c>
      <c r="O215" s="383">
        <v>15584.8</v>
      </c>
      <c r="P215" s="383">
        <f>P227+P252</f>
        <v>23811.501923076918</v>
      </c>
      <c r="Q215" s="835"/>
      <c r="R215" s="835"/>
      <c r="S215" s="367"/>
      <c r="T215" s="845">
        <f>'[1]1,DG-capmoi'!N211</f>
        <v>1135808.9018703527</v>
      </c>
      <c r="U215" s="845" t="e">
        <f t="shared" si="37"/>
        <v>#VALUE!</v>
      </c>
    </row>
    <row r="216" spans="1:21" s="836" customFormat="1" ht="22.5" customHeight="1">
      <c r="A216" s="1112"/>
      <c r="B216" s="1125"/>
      <c r="C216" s="1124"/>
      <c r="D216" s="382">
        <v>4</v>
      </c>
      <c r="E216" s="383" t="e">
        <f>E228+E252</f>
        <v>#VALUE!</v>
      </c>
      <c r="F216" s="383">
        <f t="shared" ref="F216:P216" si="46">F228+F252</f>
        <v>122092</v>
      </c>
      <c r="G216" s="383">
        <f t="shared" si="46"/>
        <v>0</v>
      </c>
      <c r="H216" s="383">
        <f t="shared" si="46"/>
        <v>5994.8633814102568</v>
      </c>
      <c r="I216" s="383">
        <f t="shared" si="46"/>
        <v>6873.12</v>
      </c>
      <c r="J216" s="383">
        <f t="shared" si="46"/>
        <v>420.32</v>
      </c>
      <c r="K216" s="383">
        <f t="shared" si="46"/>
        <v>860.91600000000005</v>
      </c>
      <c r="L216" s="383" t="e">
        <f t="shared" si="46"/>
        <v>#VALUE!</v>
      </c>
      <c r="M216" s="383" t="e">
        <f t="shared" si="46"/>
        <v>#VALUE!</v>
      </c>
      <c r="N216" s="383" t="e">
        <f t="shared" si="46"/>
        <v>#VALUE!</v>
      </c>
      <c r="O216" s="383">
        <v>17148.799999999814</v>
      </c>
      <c r="P216" s="383">
        <f t="shared" si="46"/>
        <v>25151.782692307686</v>
      </c>
      <c r="Q216" s="835"/>
      <c r="R216" s="835"/>
      <c r="S216" s="367"/>
      <c r="T216" s="845">
        <f>'[1]1,DG-capmoi'!N212</f>
        <v>1307137.359915545</v>
      </c>
      <c r="U216" s="845" t="e">
        <f t="shared" si="37"/>
        <v>#VALUE!</v>
      </c>
    </row>
    <row r="217" spans="1:21" s="836" customFormat="1" ht="22.5" customHeight="1">
      <c r="A217" s="1112"/>
      <c r="B217" s="1125"/>
      <c r="C217" s="1124"/>
      <c r="D217" s="382">
        <v>5</v>
      </c>
      <c r="E217" s="383" t="e">
        <f>E229+E252</f>
        <v>#VALUE!</v>
      </c>
      <c r="F217" s="383">
        <f t="shared" ref="F217:P217" si="47">F229+F252</f>
        <v>134275</v>
      </c>
      <c r="G217" s="383">
        <f t="shared" si="47"/>
        <v>0</v>
      </c>
      <c r="H217" s="383">
        <f t="shared" si="47"/>
        <v>5994.8633814102568</v>
      </c>
      <c r="I217" s="383">
        <f t="shared" si="47"/>
        <v>6873.12</v>
      </c>
      <c r="J217" s="383">
        <f t="shared" si="47"/>
        <v>420.32</v>
      </c>
      <c r="K217" s="383">
        <f t="shared" si="47"/>
        <v>860.91600000000005</v>
      </c>
      <c r="L217" s="383" t="e">
        <f t="shared" si="47"/>
        <v>#VALUE!</v>
      </c>
      <c r="M217" s="383" t="e">
        <f t="shared" si="47"/>
        <v>#VALUE!</v>
      </c>
      <c r="N217" s="383" t="e">
        <f t="shared" si="47"/>
        <v>#VALUE!</v>
      </c>
      <c r="O217" s="383">
        <v>18860</v>
      </c>
      <c r="P217" s="383">
        <f t="shared" si="47"/>
        <v>26553.544230769228</v>
      </c>
      <c r="Q217" s="835"/>
      <c r="R217" s="835"/>
      <c r="S217" s="367"/>
      <c r="T217" s="845">
        <f>'[1]1,DG-capmoi'!N213</f>
        <v>1197109.2017559295</v>
      </c>
      <c r="U217" s="845" t="e">
        <f t="shared" si="37"/>
        <v>#VALUE!</v>
      </c>
    </row>
    <row r="218" spans="1:21" s="836" customFormat="1" ht="19.5" customHeight="1">
      <c r="A218" s="831"/>
      <c r="B218" s="888"/>
      <c r="C218" s="382"/>
      <c r="D218" s="382"/>
      <c r="E218" s="382"/>
      <c r="F218" s="382"/>
      <c r="G218" s="837"/>
      <c r="H218" s="382"/>
      <c r="I218" s="382"/>
      <c r="J218" s="382"/>
      <c r="K218" s="382"/>
      <c r="L218" s="382"/>
      <c r="M218" s="382"/>
      <c r="N218" s="382"/>
      <c r="O218" s="382">
        <v>0</v>
      </c>
      <c r="P218" s="382"/>
      <c r="Q218" s="887">
        <f>'He so chung'!D$22</f>
        <v>5346.1538461538457</v>
      </c>
      <c r="R218" s="887">
        <f>'He so chung'!D$23</f>
        <v>801.92307692307691</v>
      </c>
      <c r="S218" s="891"/>
      <c r="T218" s="845">
        <f>'[1]1,DG-capmoi'!N214</f>
        <v>0</v>
      </c>
      <c r="U218" s="845">
        <f t="shared" si="37"/>
        <v>0</v>
      </c>
    </row>
    <row r="219" spans="1:21" s="836" customFormat="1" ht="30" customHeight="1">
      <c r="A219" s="831" t="s">
        <v>179</v>
      </c>
      <c r="B219" s="888" t="s">
        <v>606</v>
      </c>
      <c r="C219" s="382"/>
      <c r="D219" s="382"/>
      <c r="E219" s="382"/>
      <c r="F219" s="382"/>
      <c r="G219" s="837"/>
      <c r="H219" s="382"/>
      <c r="I219" s="382"/>
      <c r="J219" s="382"/>
      <c r="K219" s="382"/>
      <c r="L219" s="382"/>
      <c r="M219" s="382"/>
      <c r="N219" s="382"/>
      <c r="O219" s="382">
        <v>0</v>
      </c>
      <c r="P219" s="382"/>
      <c r="Q219" s="890"/>
      <c r="R219" s="890"/>
      <c r="S219" s="891"/>
      <c r="T219" s="845">
        <f>'[1]1,DG-capmoi'!N215</f>
        <v>0</v>
      </c>
      <c r="U219" s="845">
        <f t="shared" si="37"/>
        <v>0</v>
      </c>
    </row>
    <row r="220" spans="1:21" s="896" customFormat="1" ht="21" customHeight="1">
      <c r="A220" s="1139" t="s">
        <v>665</v>
      </c>
      <c r="B220" s="1125" t="s">
        <v>1047</v>
      </c>
      <c r="C220" s="1124" t="s">
        <v>281</v>
      </c>
      <c r="D220" s="892">
        <v>1</v>
      </c>
      <c r="E220" s="893" t="e">
        <f>E232+E234+E235+E236+E242+E244+E245+E247+E249+E250+E251</f>
        <v>#VALUE!</v>
      </c>
      <c r="F220" s="893">
        <f>F232+F234+F235+F236+F242+F244+F245+F247+F249+F250+F251</f>
        <v>91700</v>
      </c>
      <c r="G220" s="893"/>
      <c r="H220" s="893">
        <f>'Dcu-DKDD'!H$96</f>
        <v>5994.8633814102568</v>
      </c>
      <c r="I220" s="893">
        <f>'VL-DKDD'!F$96</f>
        <v>6873.12</v>
      </c>
      <c r="J220" s="893">
        <f>'TB-DKDD'!I$50</f>
        <v>420.32</v>
      </c>
      <c r="K220" s="893">
        <f>'NL-DKDD'!F$35</f>
        <v>860.91600000000005</v>
      </c>
      <c r="L220" s="893" t="e">
        <f t="shared" ref="L220:L229" si="48">SUM(E220:K220)</f>
        <v>#VALUE!</v>
      </c>
      <c r="M220" s="893" t="e">
        <f>L220*'He so chung'!$D$17/100</f>
        <v>#VALUE!</v>
      </c>
      <c r="N220" s="893" t="e">
        <f t="shared" ref="N220:N229" si="49">L220+M220</f>
        <v>#VALUE!</v>
      </c>
      <c r="O220" s="893">
        <v>12880</v>
      </c>
      <c r="P220" s="893">
        <f>P232+P234+P235+P236+P242+P244+P245+P247+P249+P250+P251</f>
        <v>21026.423076923078</v>
      </c>
      <c r="Q220" s="895"/>
      <c r="R220" s="895"/>
      <c r="S220" s="891"/>
      <c r="T220" s="845">
        <f>'[1]1,DG-capmoi'!N216</f>
        <v>842594.30251939094</v>
      </c>
      <c r="U220" s="845" t="e">
        <f t="shared" si="37"/>
        <v>#VALUE!</v>
      </c>
    </row>
    <row r="221" spans="1:21" s="896" customFormat="1" ht="21" customHeight="1">
      <c r="A221" s="1139"/>
      <c r="B221" s="1125"/>
      <c r="C221" s="1124"/>
      <c r="D221" s="892">
        <v>2</v>
      </c>
      <c r="E221" s="893" t="e">
        <f>E232+E234+E235+E237+E242+E244+E245+E247+E249+E250+E251</f>
        <v>#VALUE!</v>
      </c>
      <c r="F221" s="893">
        <f>F232+F234+F235+F237+F242+F244+F245+F247+F249+F250+F251</f>
        <v>100870</v>
      </c>
      <c r="G221" s="893"/>
      <c r="H221" s="893">
        <f>'Dcu-DKDD'!H$96</f>
        <v>5994.8633814102568</v>
      </c>
      <c r="I221" s="893">
        <f>'VL-DKDD'!F$96</f>
        <v>6873.12</v>
      </c>
      <c r="J221" s="893">
        <f>'TB-DKDD'!I$50</f>
        <v>420.32</v>
      </c>
      <c r="K221" s="893">
        <f>'NL-DKDD'!F$35</f>
        <v>860.91600000000005</v>
      </c>
      <c r="L221" s="893" t="e">
        <f t="shared" si="48"/>
        <v>#VALUE!</v>
      </c>
      <c r="M221" s="893" t="e">
        <f>L221*'He so chung'!$D$17/100</f>
        <v>#VALUE!</v>
      </c>
      <c r="N221" s="893" t="e">
        <f t="shared" si="49"/>
        <v>#VALUE!</v>
      </c>
      <c r="O221" s="893">
        <v>14168</v>
      </c>
      <c r="P221" s="893">
        <f>P232+P234+P235+P237+P242+P244+P245+P247+P249+P250+P251</f>
        <v>22133.076923076922</v>
      </c>
      <c r="Q221" s="895"/>
      <c r="R221" s="895"/>
      <c r="S221" s="891"/>
      <c r="T221" s="845">
        <f>'[1]1,DG-capmoi'!N217</f>
        <v>969606.39818285243</v>
      </c>
      <c r="U221" s="845" t="e">
        <f t="shared" si="37"/>
        <v>#VALUE!</v>
      </c>
    </row>
    <row r="222" spans="1:21" s="896" customFormat="1" ht="21" customHeight="1">
      <c r="A222" s="1139"/>
      <c r="B222" s="1125"/>
      <c r="C222" s="1124"/>
      <c r="D222" s="892">
        <v>3</v>
      </c>
      <c r="E222" s="893" t="e">
        <f>E232+E234+E235+E238+E242+E244+E245+E247+E249+E250+E251</f>
        <v>#VALUE!</v>
      </c>
      <c r="F222" s="893">
        <f>F232+F234+F235+F238+F242+F244+F245+F247+F249+F250+F251</f>
        <v>110957</v>
      </c>
      <c r="G222" s="893"/>
      <c r="H222" s="893">
        <f>'Dcu-DKDD'!H$96</f>
        <v>5994.8633814102568</v>
      </c>
      <c r="I222" s="893">
        <f>'VL-DKDD'!F$96</f>
        <v>6873.12</v>
      </c>
      <c r="J222" s="893">
        <f>'TB-DKDD'!I$50</f>
        <v>420.32</v>
      </c>
      <c r="K222" s="893">
        <f>'NL-DKDD'!F$35</f>
        <v>860.91600000000005</v>
      </c>
      <c r="L222" s="893" t="e">
        <f t="shared" si="48"/>
        <v>#VALUE!</v>
      </c>
      <c r="M222" s="893" t="e">
        <f>L222*'He so chung'!$D$17/100</f>
        <v>#VALUE!</v>
      </c>
      <c r="N222" s="893" t="e">
        <f t="shared" si="49"/>
        <v>#VALUE!</v>
      </c>
      <c r="O222" s="893">
        <v>15584.8</v>
      </c>
      <c r="P222" s="893">
        <f>P232+P234+P235+P238+P242+P244+P245+P247+P249+P250+P251</f>
        <v>23350.396153846152</v>
      </c>
      <c r="Q222" s="895"/>
      <c r="R222" s="895"/>
      <c r="S222" s="891"/>
      <c r="T222" s="845">
        <f>'[1]1,DG-capmoi'!N218</f>
        <v>1117287.6664376603</v>
      </c>
      <c r="U222" s="845" t="e">
        <f t="shared" si="37"/>
        <v>#VALUE!</v>
      </c>
    </row>
    <row r="223" spans="1:21" s="896" customFormat="1" ht="21" customHeight="1">
      <c r="A223" s="1139"/>
      <c r="B223" s="1125"/>
      <c r="C223" s="1124"/>
      <c r="D223" s="892">
        <v>4</v>
      </c>
      <c r="E223" s="893" t="e">
        <f>E232+E234+E235+E239+E242+E244+E245+E247+E249+E250+E251</f>
        <v>#VALUE!</v>
      </c>
      <c r="F223" s="893">
        <f>F232+F234+F235+F239+F242+F244+F245+F247+F249+F250+F251</f>
        <v>122092</v>
      </c>
      <c r="G223" s="893"/>
      <c r="H223" s="893">
        <f>'Dcu-DKDD'!H$96</f>
        <v>5994.8633814102568</v>
      </c>
      <c r="I223" s="893">
        <f>'VL-DKDD'!F$96</f>
        <v>6873.12</v>
      </c>
      <c r="J223" s="893">
        <f>'TB-DKDD'!I$50</f>
        <v>420.32</v>
      </c>
      <c r="K223" s="893">
        <f>'NL-DKDD'!F$35</f>
        <v>860.91600000000005</v>
      </c>
      <c r="L223" s="893" t="e">
        <f t="shared" si="48"/>
        <v>#VALUE!</v>
      </c>
      <c r="M223" s="893" t="e">
        <f>L223*'He so chung'!$D$17/100</f>
        <v>#VALUE!</v>
      </c>
      <c r="N223" s="893" t="e">
        <f t="shared" si="49"/>
        <v>#VALUE!</v>
      </c>
      <c r="O223" s="893">
        <v>17148.799999999814</v>
      </c>
      <c r="P223" s="893">
        <f>P232+P234+P235+P239+P242+P244+P245+P247+P249+P250+P251</f>
        <v>24690.676923076921</v>
      </c>
      <c r="Q223" s="895"/>
      <c r="R223" s="895"/>
      <c r="S223" s="891"/>
      <c r="T223" s="845">
        <f>'[1]1,DG-capmoi'!N219</f>
        <v>1288616.1244828529</v>
      </c>
      <c r="U223" s="845" t="e">
        <f t="shared" si="37"/>
        <v>#VALUE!</v>
      </c>
    </row>
    <row r="224" spans="1:21" s="896" customFormat="1" ht="21" customHeight="1">
      <c r="A224" s="1139"/>
      <c r="B224" s="1125"/>
      <c r="C224" s="1124"/>
      <c r="D224" s="892">
        <v>5</v>
      </c>
      <c r="E224" s="893" t="e">
        <f>E232+E234+E235+E240+E242+E244+E245+E247+E249+E250+E251</f>
        <v>#VALUE!</v>
      </c>
      <c r="F224" s="893">
        <f>F232+F234+F235+F240+F242+F244+F245+F247+F249+F250+F251</f>
        <v>134275</v>
      </c>
      <c r="G224" s="893"/>
      <c r="H224" s="893">
        <f>'Dcu-DKDD'!H$96</f>
        <v>5994.8633814102568</v>
      </c>
      <c r="I224" s="893">
        <f>'VL-DKDD'!F$96</f>
        <v>6873.12</v>
      </c>
      <c r="J224" s="893">
        <f>'TB-DKDD'!I$50</f>
        <v>420.32</v>
      </c>
      <c r="K224" s="893">
        <f>'NL-DKDD'!F$35</f>
        <v>860.91600000000005</v>
      </c>
      <c r="L224" s="871" t="e">
        <f t="shared" si="48"/>
        <v>#VALUE!</v>
      </c>
      <c r="M224" s="871" t="e">
        <f>L224*'He so chung'!$D$17/100</f>
        <v>#VALUE!</v>
      </c>
      <c r="N224" s="871" t="e">
        <f t="shared" si="49"/>
        <v>#VALUE!</v>
      </c>
      <c r="O224" s="871">
        <v>18860</v>
      </c>
      <c r="P224" s="893">
        <f>P232+P234+P235+P240+P242+P244+P245+P247+P249+P250+P251</f>
        <v>26092.438461538462</v>
      </c>
      <c r="Q224" s="895"/>
      <c r="R224" s="895"/>
      <c r="S224" s="891"/>
      <c r="T224" s="845">
        <f>'[1]1,DG-capmoi'!N220</f>
        <v>1178587.9663232372</v>
      </c>
      <c r="U224" s="845" t="e">
        <f t="shared" si="37"/>
        <v>#VALUE!</v>
      </c>
    </row>
    <row r="225" spans="1:21" s="896" customFormat="1" ht="21" customHeight="1">
      <c r="A225" s="1139" t="s">
        <v>666</v>
      </c>
      <c r="B225" s="1125" t="s">
        <v>1048</v>
      </c>
      <c r="C225" s="1124" t="s">
        <v>281</v>
      </c>
      <c r="D225" s="892">
        <v>1</v>
      </c>
      <c r="E225" s="893" t="e">
        <f>E233+E234+E235+E236+E243+E244+E245+E248+E249+E250+E251</f>
        <v>#VALUE!</v>
      </c>
      <c r="F225" s="893">
        <f>F233+F234+F235+F236+F243+F244+F245+F248+F249+F250+F251</f>
        <v>91700</v>
      </c>
      <c r="G225" s="893"/>
      <c r="H225" s="893">
        <f>'Dcu-DKDD'!H$96</f>
        <v>5994.8633814102568</v>
      </c>
      <c r="I225" s="893">
        <f>'VL-DKDD'!F$96</f>
        <v>6873.12</v>
      </c>
      <c r="J225" s="893">
        <f>'TB-DKDD'!I$50</f>
        <v>420.32</v>
      </c>
      <c r="K225" s="893">
        <f>'NL-DKDD'!F$35</f>
        <v>860.91600000000005</v>
      </c>
      <c r="L225" s="893" t="e">
        <f t="shared" si="48"/>
        <v>#VALUE!</v>
      </c>
      <c r="M225" s="893" t="e">
        <f>L225*'He so chung'!$D$17/100</f>
        <v>#VALUE!</v>
      </c>
      <c r="N225" s="893" t="e">
        <f t="shared" si="49"/>
        <v>#VALUE!</v>
      </c>
      <c r="O225" s="893">
        <v>12880</v>
      </c>
      <c r="P225" s="893">
        <f>P233+P234+P235+P236+P243+P244+P245+P248+P249+P250+P251</f>
        <v>20257.913461538461</v>
      </c>
      <c r="Q225" s="895"/>
      <c r="R225" s="895"/>
      <c r="S225" s="891"/>
      <c r="T225" s="845">
        <f>'[1]1,DG-capmoi'!N221</f>
        <v>815066.44179823715</v>
      </c>
      <c r="U225" s="845" t="e">
        <f t="shared" si="37"/>
        <v>#VALUE!</v>
      </c>
    </row>
    <row r="226" spans="1:21" s="896" customFormat="1" ht="21" customHeight="1">
      <c r="A226" s="1139"/>
      <c r="B226" s="1125"/>
      <c r="C226" s="1124"/>
      <c r="D226" s="892">
        <v>2</v>
      </c>
      <c r="E226" s="893" t="e">
        <f>E233+E234+E235+E237+E243+E244+E245+E248+E249+E250+E251</f>
        <v>#VALUE!</v>
      </c>
      <c r="F226" s="893">
        <f>F233+F234+F235+F237+F242+F243+F244+F245+F248+F249+F250+F251</f>
        <v>100870</v>
      </c>
      <c r="G226" s="893"/>
      <c r="H226" s="893">
        <f>'Dcu-DKDD'!H$96</f>
        <v>5994.8633814102568</v>
      </c>
      <c r="I226" s="893">
        <f>'VL-DKDD'!F$96</f>
        <v>6873.12</v>
      </c>
      <c r="J226" s="893">
        <f>'TB-DKDD'!I$50</f>
        <v>420.32</v>
      </c>
      <c r="K226" s="893">
        <f>'NL-DKDD'!F$35</f>
        <v>860.91600000000005</v>
      </c>
      <c r="L226" s="893" t="e">
        <f t="shared" si="48"/>
        <v>#VALUE!</v>
      </c>
      <c r="M226" s="893" t="e">
        <f>L226*'He so chung'!$D$17/100</f>
        <v>#VALUE!</v>
      </c>
      <c r="N226" s="893" t="e">
        <f t="shared" si="49"/>
        <v>#VALUE!</v>
      </c>
      <c r="O226" s="893">
        <v>14168</v>
      </c>
      <c r="P226" s="893">
        <f>P233+P234+P235+P237+P243+P244+P245+P248+P249+P250+P251</f>
        <v>21364.567307692305</v>
      </c>
      <c r="Q226" s="895"/>
      <c r="R226" s="895"/>
      <c r="S226" s="891"/>
      <c r="T226" s="845">
        <f>'[1]1,DG-capmoi'!N222</f>
        <v>942078.53746169875</v>
      </c>
      <c r="U226" s="845" t="e">
        <f t="shared" si="37"/>
        <v>#VALUE!</v>
      </c>
    </row>
    <row r="227" spans="1:21" s="896" customFormat="1" ht="21" customHeight="1">
      <c r="A227" s="1139"/>
      <c r="B227" s="1125"/>
      <c r="C227" s="1124"/>
      <c r="D227" s="892">
        <v>3</v>
      </c>
      <c r="E227" s="893" t="e">
        <f>E233+E234+E235+E238+E243+E244+E245+E248+E249+E250+E251</f>
        <v>#VALUE!</v>
      </c>
      <c r="F227" s="893">
        <f>F233+F234+F235+F238+F242+F243+F244+F245+F248+F249+F250+F251</f>
        <v>110957</v>
      </c>
      <c r="G227" s="893"/>
      <c r="H227" s="893">
        <f>'Dcu-DKDD'!H$96</f>
        <v>5994.8633814102568</v>
      </c>
      <c r="I227" s="893">
        <f>'VL-DKDD'!F$96</f>
        <v>6873.12</v>
      </c>
      <c r="J227" s="893">
        <f>'TB-DKDD'!I$50</f>
        <v>420.32</v>
      </c>
      <c r="K227" s="893">
        <f>'NL-DKDD'!F$35</f>
        <v>860.91600000000005</v>
      </c>
      <c r="L227" s="893" t="e">
        <f t="shared" si="48"/>
        <v>#VALUE!</v>
      </c>
      <c r="M227" s="893" t="e">
        <f>L227*'He so chung'!$D$17/100</f>
        <v>#VALUE!</v>
      </c>
      <c r="N227" s="893" t="e">
        <f t="shared" si="49"/>
        <v>#VALUE!</v>
      </c>
      <c r="O227" s="893">
        <v>15584.8</v>
      </c>
      <c r="P227" s="893">
        <f>P233+P234+P235+P238+P243+P244+P245+P248+P249+P250+P251</f>
        <v>22581.886538461535</v>
      </c>
      <c r="Q227" s="895"/>
      <c r="R227" s="895"/>
      <c r="S227" s="891"/>
      <c r="T227" s="845">
        <f>'[1]1,DG-capmoi'!N223</f>
        <v>1089759.8057165064</v>
      </c>
      <c r="U227" s="845" t="e">
        <f t="shared" si="37"/>
        <v>#VALUE!</v>
      </c>
    </row>
    <row r="228" spans="1:21" s="896" customFormat="1" ht="21" customHeight="1">
      <c r="A228" s="1139"/>
      <c r="B228" s="1125"/>
      <c r="C228" s="1124"/>
      <c r="D228" s="892">
        <v>4</v>
      </c>
      <c r="E228" s="893" t="e">
        <f>E233+E234+E235+E239+E243+E244+E245+E248+E249+E250+E251</f>
        <v>#VALUE!</v>
      </c>
      <c r="F228" s="893">
        <f>F233+F234+F235+F239+F242+F243+F244+F245+F248+F249+F250+F251</f>
        <v>122092</v>
      </c>
      <c r="G228" s="893"/>
      <c r="H228" s="893">
        <f>'Dcu-DKDD'!H$96</f>
        <v>5994.8633814102568</v>
      </c>
      <c r="I228" s="893">
        <f>'VL-DKDD'!F$96</f>
        <v>6873.12</v>
      </c>
      <c r="J228" s="893">
        <f>'TB-DKDD'!I$50</f>
        <v>420.32</v>
      </c>
      <c r="K228" s="893">
        <f>'NL-DKDD'!F$35</f>
        <v>860.91600000000005</v>
      </c>
      <c r="L228" s="893" t="e">
        <f t="shared" si="48"/>
        <v>#VALUE!</v>
      </c>
      <c r="M228" s="893" t="e">
        <f>L228*'He so chung'!$D$17/100</f>
        <v>#VALUE!</v>
      </c>
      <c r="N228" s="893" t="e">
        <f t="shared" si="49"/>
        <v>#VALUE!</v>
      </c>
      <c r="O228" s="893">
        <v>17148.799999999814</v>
      </c>
      <c r="P228" s="893">
        <f>P233+P234+P235+P239+P243+P244+P245+P248+P249+P250+P251</f>
        <v>23922.167307692303</v>
      </c>
      <c r="Q228" s="895"/>
      <c r="R228" s="895"/>
      <c r="S228" s="891"/>
      <c r="T228" s="845">
        <f>'[1]1,DG-capmoi'!N224</f>
        <v>1261088.2637616987</v>
      </c>
      <c r="U228" s="845" t="e">
        <f t="shared" si="37"/>
        <v>#VALUE!</v>
      </c>
    </row>
    <row r="229" spans="1:21" s="896" customFormat="1" ht="21" customHeight="1">
      <c r="A229" s="1139"/>
      <c r="B229" s="1125"/>
      <c r="C229" s="1124"/>
      <c r="D229" s="892">
        <v>5</v>
      </c>
      <c r="E229" s="893" t="e">
        <f>E233+E234+E235+E240+E243+E244+E245+E248+E249+E250+E251</f>
        <v>#VALUE!</v>
      </c>
      <c r="F229" s="893">
        <f>F233+F234+F235+F240+F242+F243+F244+F245+F248+F249+F250+F251</f>
        <v>134275</v>
      </c>
      <c r="G229" s="893"/>
      <c r="H229" s="893">
        <f>'Dcu-DKDD'!H$96</f>
        <v>5994.8633814102568</v>
      </c>
      <c r="I229" s="893">
        <f>'VL-DKDD'!F$96</f>
        <v>6873.12</v>
      </c>
      <c r="J229" s="893">
        <f>'TB-DKDD'!I$50</f>
        <v>420.32</v>
      </c>
      <c r="K229" s="893">
        <f>'NL-DKDD'!F$35</f>
        <v>860.91600000000005</v>
      </c>
      <c r="L229" s="871" t="e">
        <f t="shared" si="48"/>
        <v>#VALUE!</v>
      </c>
      <c r="M229" s="871" t="e">
        <f>L229*'He so chung'!$D$17/100</f>
        <v>#VALUE!</v>
      </c>
      <c r="N229" s="871" t="e">
        <f t="shared" si="49"/>
        <v>#VALUE!</v>
      </c>
      <c r="O229" s="871">
        <v>18860</v>
      </c>
      <c r="P229" s="893">
        <f>P233+P234+P235+P240+P243+P244+P245+P248+P249+P250+P251</f>
        <v>25323.928846153845</v>
      </c>
      <c r="Q229" s="895"/>
      <c r="R229" s="895"/>
      <c r="S229" s="891"/>
      <c r="T229" s="845">
        <f>'[1]1,DG-capmoi'!N225</f>
        <v>1151060.1056020833</v>
      </c>
      <c r="U229" s="845" t="e">
        <f t="shared" si="37"/>
        <v>#VALUE!</v>
      </c>
    </row>
    <row r="230" spans="1:21" s="896" customFormat="1" ht="18.75" hidden="1" customHeight="1">
      <c r="A230" s="443"/>
      <c r="B230" s="822"/>
      <c r="C230" s="443"/>
      <c r="D230" s="892"/>
      <c r="E230" s="893"/>
      <c r="F230" s="893"/>
      <c r="G230" s="893"/>
      <c r="H230" s="893"/>
      <c r="I230" s="893"/>
      <c r="J230" s="893"/>
      <c r="K230" s="893"/>
      <c r="L230" s="871"/>
      <c r="M230" s="871"/>
      <c r="N230" s="871"/>
      <c r="O230" s="871"/>
      <c r="P230" s="893"/>
      <c r="Q230" s="895"/>
      <c r="R230" s="895"/>
      <c r="S230" s="891"/>
      <c r="T230" s="845">
        <f>'[1]1,DG-capmoi'!N226</f>
        <v>0</v>
      </c>
      <c r="U230" s="845">
        <f t="shared" si="37"/>
        <v>0</v>
      </c>
    </row>
    <row r="231" spans="1:21" s="896" customFormat="1" ht="22.5" customHeight="1">
      <c r="A231" s="832">
        <v>1</v>
      </c>
      <c r="B231" s="827" t="s">
        <v>31</v>
      </c>
      <c r="C231" s="832"/>
      <c r="D231" s="897"/>
      <c r="E231" s="925"/>
      <c r="F231" s="925"/>
      <c r="G231" s="893"/>
      <c r="H231" s="893"/>
      <c r="I231" s="893"/>
      <c r="J231" s="893"/>
      <c r="K231" s="893"/>
      <c r="L231" s="871"/>
      <c r="M231" s="871"/>
      <c r="N231" s="871"/>
      <c r="O231" s="871"/>
      <c r="P231" s="893"/>
      <c r="Q231" s="895"/>
      <c r="R231" s="895"/>
      <c r="S231" s="891"/>
      <c r="T231" s="845">
        <f>'[1]1,DG-capmoi'!N227</f>
        <v>0</v>
      </c>
      <c r="U231" s="845">
        <f t="shared" si="37"/>
        <v>0</v>
      </c>
    </row>
    <row r="232" spans="1:21" s="896" customFormat="1" ht="23.25" customHeight="1">
      <c r="A232" s="832" t="s">
        <v>891</v>
      </c>
      <c r="B232" s="827" t="s">
        <v>33</v>
      </c>
      <c r="C232" s="832" t="s">
        <v>281</v>
      </c>
      <c r="D232" s="926" t="s">
        <v>881</v>
      </c>
      <c r="E232" s="925" t="e">
        <f>NC_DKDD!H158</f>
        <v>#VALUE!</v>
      </c>
      <c r="F232" s="925"/>
      <c r="G232" s="893"/>
      <c r="H232" s="893"/>
      <c r="I232" s="893"/>
      <c r="J232" s="893"/>
      <c r="K232" s="893"/>
      <c r="L232" s="871"/>
      <c r="M232" s="871"/>
      <c r="N232" s="871"/>
      <c r="O232" s="871"/>
      <c r="P232" s="925">
        <f>Q232+R232</f>
        <v>1229.6153846153848</v>
      </c>
      <c r="Q232" s="900">
        <f>S232*$Q$218</f>
        <v>1069.2307692307693</v>
      </c>
      <c r="R232" s="900">
        <f>S232*$R$218</f>
        <v>160.38461538461539</v>
      </c>
      <c r="S232" s="927">
        <f>NC_DKDD!G158</f>
        <v>0.2</v>
      </c>
      <c r="T232" s="845">
        <f>'[1]1,DG-capmoi'!N228</f>
        <v>0</v>
      </c>
      <c r="U232" s="845">
        <f t="shared" si="37"/>
        <v>0</v>
      </c>
    </row>
    <row r="233" spans="1:21" s="896" customFormat="1" ht="23.25" customHeight="1">
      <c r="A233" s="832" t="s">
        <v>899</v>
      </c>
      <c r="B233" s="827" t="s">
        <v>36</v>
      </c>
      <c r="C233" s="832" t="s">
        <v>281</v>
      </c>
      <c r="D233" s="926" t="s">
        <v>881</v>
      </c>
      <c r="E233" s="925" t="e">
        <f>NC_DKDD!H159</f>
        <v>#VALUE!</v>
      </c>
      <c r="F233" s="925"/>
      <c r="G233" s="893"/>
      <c r="H233" s="893"/>
      <c r="I233" s="893"/>
      <c r="J233" s="893"/>
      <c r="K233" s="893"/>
      <c r="L233" s="871"/>
      <c r="M233" s="871"/>
      <c r="N233" s="871"/>
      <c r="O233" s="871"/>
      <c r="P233" s="925">
        <f t="shared" ref="P233:P253" si="50">Q233+R233</f>
        <v>922.21153846153834</v>
      </c>
      <c r="Q233" s="900">
        <f>S233*$Q$218</f>
        <v>801.92307692307679</v>
      </c>
      <c r="R233" s="900">
        <f>S233*$R$218</f>
        <v>120.28846153846153</v>
      </c>
      <c r="S233" s="927">
        <f>NC_DKDD!G159</f>
        <v>0.15</v>
      </c>
      <c r="T233" s="845">
        <f>'[1]1,DG-capmoi'!N229</f>
        <v>0</v>
      </c>
      <c r="U233" s="845">
        <f t="shared" si="37"/>
        <v>0</v>
      </c>
    </row>
    <row r="234" spans="1:21" s="896" customFormat="1" ht="43.5" customHeight="1">
      <c r="A234" s="832">
        <v>2</v>
      </c>
      <c r="B234" s="827" t="s">
        <v>37</v>
      </c>
      <c r="C234" s="832" t="s">
        <v>281</v>
      </c>
      <c r="D234" s="926" t="s">
        <v>881</v>
      </c>
      <c r="E234" s="925" t="e">
        <f>NC_DKDD!H160</f>
        <v>#VALUE!</v>
      </c>
      <c r="F234" s="925"/>
      <c r="G234" s="893"/>
      <c r="H234" s="893"/>
      <c r="I234" s="893"/>
      <c r="J234" s="893"/>
      <c r="K234" s="893"/>
      <c r="L234" s="871"/>
      <c r="M234" s="871"/>
      <c r="N234" s="871"/>
      <c r="O234" s="871"/>
      <c r="P234" s="925">
        <f t="shared" si="50"/>
        <v>614.80769230769238</v>
      </c>
      <c r="Q234" s="900">
        <f t="shared" ref="Q234:Q252" si="51">S234*$Q$218</f>
        <v>534.61538461538464</v>
      </c>
      <c r="R234" s="900">
        <f t="shared" ref="R234:R252" si="52">S234*$R$218</f>
        <v>80.192307692307693</v>
      </c>
      <c r="S234" s="927">
        <f>NC_DKDD!G160</f>
        <v>0.1</v>
      </c>
      <c r="T234" s="845">
        <f>'[1]1,DG-capmoi'!N230</f>
        <v>0</v>
      </c>
      <c r="U234" s="845">
        <f t="shared" si="37"/>
        <v>0</v>
      </c>
    </row>
    <row r="235" spans="1:21" s="896" customFormat="1" ht="33.75" customHeight="1">
      <c r="A235" s="832">
        <v>3</v>
      </c>
      <c r="B235" s="827" t="s">
        <v>38</v>
      </c>
      <c r="C235" s="832" t="s">
        <v>523</v>
      </c>
      <c r="D235" s="926" t="s">
        <v>881</v>
      </c>
      <c r="E235" s="925" t="e">
        <f>NC_DKDD!H161</f>
        <v>#VALUE!</v>
      </c>
      <c r="F235" s="925"/>
      <c r="G235" s="893"/>
      <c r="H235" s="893"/>
      <c r="I235" s="893"/>
      <c r="J235" s="893"/>
      <c r="K235" s="893"/>
      <c r="L235" s="871"/>
      <c r="M235" s="871"/>
      <c r="N235" s="871"/>
      <c r="O235" s="871"/>
      <c r="P235" s="925">
        <f t="shared" si="50"/>
        <v>657.84423076923065</v>
      </c>
      <c r="Q235" s="900">
        <f t="shared" si="51"/>
        <v>572.03846153846143</v>
      </c>
      <c r="R235" s="900">
        <f t="shared" si="52"/>
        <v>85.805769230769229</v>
      </c>
      <c r="S235" s="927">
        <f>NC_DKDD!G161</f>
        <v>0.107</v>
      </c>
      <c r="T235" s="845">
        <f>'[1]1,DG-capmoi'!N231</f>
        <v>0</v>
      </c>
      <c r="U235" s="845">
        <f t="shared" si="37"/>
        <v>0</v>
      </c>
    </row>
    <row r="236" spans="1:21" s="896" customFormat="1" ht="21.75" customHeight="1">
      <c r="A236" s="1116">
        <v>4</v>
      </c>
      <c r="B236" s="1137" t="s">
        <v>39</v>
      </c>
      <c r="C236" s="1116" t="s">
        <v>281</v>
      </c>
      <c r="D236" s="928">
        <v>1</v>
      </c>
      <c r="E236" s="925" t="e">
        <f>NC_DKDD!H162</f>
        <v>#VALUE!</v>
      </c>
      <c r="F236" s="925">
        <f>NC_DKDD!H163</f>
        <v>91700</v>
      </c>
      <c r="G236" s="893"/>
      <c r="H236" s="893"/>
      <c r="I236" s="893"/>
      <c r="J236" s="893"/>
      <c r="K236" s="893"/>
      <c r="L236" s="871"/>
      <c r="M236" s="871"/>
      <c r="N236" s="871"/>
      <c r="O236" s="871"/>
      <c r="P236" s="925">
        <f t="shared" si="50"/>
        <v>11066.538461538461</v>
      </c>
      <c r="Q236" s="900">
        <f t="shared" si="51"/>
        <v>9623.076923076922</v>
      </c>
      <c r="R236" s="900">
        <f t="shared" si="52"/>
        <v>1443.4615384615386</v>
      </c>
      <c r="S236" s="927">
        <f>NC_DKDD!G162</f>
        <v>1.8</v>
      </c>
      <c r="T236" s="845">
        <f>'[1]1,DG-capmoi'!N232</f>
        <v>0</v>
      </c>
      <c r="U236" s="845">
        <f t="shared" si="37"/>
        <v>0</v>
      </c>
    </row>
    <row r="237" spans="1:21" s="896" customFormat="1" ht="21.75" customHeight="1">
      <c r="A237" s="1116"/>
      <c r="B237" s="1137"/>
      <c r="C237" s="1116"/>
      <c r="D237" s="928">
        <v>2</v>
      </c>
      <c r="E237" s="925" t="e">
        <f>NC_DKDD!H164</f>
        <v>#VALUE!</v>
      </c>
      <c r="F237" s="925">
        <f>NC_DKDD!H165</f>
        <v>100870</v>
      </c>
      <c r="G237" s="893"/>
      <c r="H237" s="893"/>
      <c r="I237" s="893"/>
      <c r="J237" s="893"/>
      <c r="K237" s="893"/>
      <c r="L237" s="871"/>
      <c r="M237" s="871"/>
      <c r="N237" s="871"/>
      <c r="O237" s="871"/>
      <c r="P237" s="925">
        <f t="shared" si="50"/>
        <v>12173.192307692307</v>
      </c>
      <c r="Q237" s="900">
        <f t="shared" si="51"/>
        <v>10585.384615384615</v>
      </c>
      <c r="R237" s="900">
        <f t="shared" si="52"/>
        <v>1587.8076923076922</v>
      </c>
      <c r="S237" s="927">
        <f>NC_DKDD!G164</f>
        <v>1.98</v>
      </c>
      <c r="T237" s="845">
        <f>'[1]1,DG-capmoi'!N233</f>
        <v>0</v>
      </c>
      <c r="U237" s="845">
        <f t="shared" si="37"/>
        <v>0</v>
      </c>
    </row>
    <row r="238" spans="1:21" s="896" customFormat="1" ht="21.75" customHeight="1">
      <c r="A238" s="1116"/>
      <c r="B238" s="1137"/>
      <c r="C238" s="1116"/>
      <c r="D238" s="928">
        <v>3</v>
      </c>
      <c r="E238" s="925" t="e">
        <f>NC_DKDD!H166</f>
        <v>#VALUE!</v>
      </c>
      <c r="F238" s="925">
        <f>NC_DKDD!H167</f>
        <v>110957</v>
      </c>
      <c r="G238" s="893"/>
      <c r="H238" s="893"/>
      <c r="I238" s="893"/>
      <c r="J238" s="893"/>
      <c r="K238" s="893"/>
      <c r="L238" s="871"/>
      <c r="M238" s="871"/>
      <c r="N238" s="871"/>
      <c r="O238" s="871"/>
      <c r="P238" s="925">
        <f t="shared" si="50"/>
        <v>13390.511538461538</v>
      </c>
      <c r="Q238" s="900">
        <f t="shared" si="51"/>
        <v>11643.923076923076</v>
      </c>
      <c r="R238" s="900">
        <f t="shared" si="52"/>
        <v>1746.5884615384614</v>
      </c>
      <c r="S238" s="927">
        <f>NC_DKDD!G166</f>
        <v>2.1779999999999999</v>
      </c>
      <c r="T238" s="845">
        <f>'[1]1,DG-capmoi'!N234</f>
        <v>0</v>
      </c>
      <c r="U238" s="845">
        <f t="shared" si="37"/>
        <v>0</v>
      </c>
    </row>
    <row r="239" spans="1:21" s="896" customFormat="1" ht="21.75" customHeight="1">
      <c r="A239" s="1116"/>
      <c r="B239" s="1137"/>
      <c r="C239" s="1116"/>
      <c r="D239" s="928">
        <v>4</v>
      </c>
      <c r="E239" s="925" t="e">
        <f>NC_DKDD!H168</f>
        <v>#VALUE!</v>
      </c>
      <c r="F239" s="925">
        <f>NC_DKDD!H169</f>
        <v>122092</v>
      </c>
      <c r="G239" s="893"/>
      <c r="H239" s="893"/>
      <c r="I239" s="893"/>
      <c r="J239" s="893"/>
      <c r="K239" s="893"/>
      <c r="L239" s="871"/>
      <c r="M239" s="871"/>
      <c r="N239" s="871"/>
      <c r="O239" s="871"/>
      <c r="P239" s="925">
        <f t="shared" si="50"/>
        <v>14730.792307692305</v>
      </c>
      <c r="Q239" s="900">
        <f t="shared" si="51"/>
        <v>12809.384615384613</v>
      </c>
      <c r="R239" s="900">
        <f t="shared" si="52"/>
        <v>1921.4076923076923</v>
      </c>
      <c r="S239" s="927">
        <f>NC_DKDD!G168</f>
        <v>2.3959999999999999</v>
      </c>
      <c r="T239" s="845">
        <f>'[1]1,DG-capmoi'!N235</f>
        <v>0</v>
      </c>
      <c r="U239" s="845">
        <f t="shared" si="37"/>
        <v>0</v>
      </c>
    </row>
    <row r="240" spans="1:21" s="896" customFormat="1" ht="21.75" customHeight="1">
      <c r="A240" s="1116"/>
      <c r="B240" s="1137"/>
      <c r="C240" s="1116"/>
      <c r="D240" s="928">
        <v>5</v>
      </c>
      <c r="E240" s="925" t="e">
        <f>NC_DKDD!H170</f>
        <v>#VALUE!</v>
      </c>
      <c r="F240" s="925">
        <f>NC_DKDD!H171</f>
        <v>134275</v>
      </c>
      <c r="G240" s="893"/>
      <c r="H240" s="893"/>
      <c r="I240" s="893"/>
      <c r="J240" s="893"/>
      <c r="K240" s="893"/>
      <c r="L240" s="871"/>
      <c r="M240" s="871"/>
      <c r="N240" s="871"/>
      <c r="O240" s="871"/>
      <c r="P240" s="925">
        <f t="shared" si="50"/>
        <v>16132.553846153845</v>
      </c>
      <c r="Q240" s="900">
        <f t="shared" si="51"/>
        <v>14028.307692307691</v>
      </c>
      <c r="R240" s="900">
        <f t="shared" si="52"/>
        <v>2104.2461538461539</v>
      </c>
      <c r="S240" s="927">
        <f>NC_DKDD!G170</f>
        <v>2.6240000000000001</v>
      </c>
      <c r="T240" s="845">
        <f>'[1]1,DG-capmoi'!N236</f>
        <v>0</v>
      </c>
      <c r="U240" s="845">
        <f t="shared" si="37"/>
        <v>0</v>
      </c>
    </row>
    <row r="241" spans="1:21" s="896" customFormat="1" ht="32.25" customHeight="1">
      <c r="A241" s="832">
        <v>5</v>
      </c>
      <c r="B241" s="827" t="s">
        <v>340</v>
      </c>
      <c r="C241" s="832"/>
      <c r="D241" s="928"/>
      <c r="E241" s="925"/>
      <c r="F241" s="925"/>
      <c r="G241" s="893"/>
      <c r="H241" s="893"/>
      <c r="I241" s="893"/>
      <c r="J241" s="893"/>
      <c r="K241" s="893"/>
      <c r="L241" s="871"/>
      <c r="M241" s="871"/>
      <c r="N241" s="871"/>
      <c r="O241" s="871"/>
      <c r="P241" s="925">
        <f t="shared" si="50"/>
        <v>0</v>
      </c>
      <c r="Q241" s="900">
        <f t="shared" si="51"/>
        <v>0</v>
      </c>
      <c r="R241" s="900">
        <f t="shared" si="52"/>
        <v>0</v>
      </c>
      <c r="S241" s="927"/>
      <c r="T241" s="845">
        <f>'[1]1,DG-capmoi'!N237</f>
        <v>0</v>
      </c>
      <c r="U241" s="845">
        <f t="shared" si="37"/>
        <v>0</v>
      </c>
    </row>
    <row r="242" spans="1:21" s="896" customFormat="1" ht="22.9" customHeight="1">
      <c r="A242" s="832" t="s">
        <v>607</v>
      </c>
      <c r="B242" s="827" t="s">
        <v>33</v>
      </c>
      <c r="C242" s="832" t="s">
        <v>281</v>
      </c>
      <c r="D242" s="926" t="s">
        <v>881</v>
      </c>
      <c r="E242" s="925" t="e">
        <f>NC_DKDD!H173</f>
        <v>#VALUE!</v>
      </c>
      <c r="F242" s="925"/>
      <c r="G242" s="893"/>
      <c r="H242" s="893"/>
      <c r="I242" s="893"/>
      <c r="J242" s="893"/>
      <c r="K242" s="893"/>
      <c r="L242" s="871"/>
      <c r="M242" s="871"/>
      <c r="N242" s="871"/>
      <c r="O242" s="871"/>
      <c r="P242" s="925">
        <f t="shared" si="50"/>
        <v>307.40384615384619</v>
      </c>
      <c r="Q242" s="900">
        <f t="shared" si="51"/>
        <v>267.30769230769232</v>
      </c>
      <c r="R242" s="900">
        <f t="shared" si="52"/>
        <v>40.096153846153847</v>
      </c>
      <c r="S242" s="927">
        <f>NC_DKDD!G173</f>
        <v>0.05</v>
      </c>
      <c r="T242" s="845">
        <f>'[1]1,DG-capmoi'!N238</f>
        <v>0</v>
      </c>
      <c r="U242" s="845">
        <f t="shared" si="37"/>
        <v>0</v>
      </c>
    </row>
    <row r="243" spans="1:21" s="896" customFormat="1" ht="22.9" customHeight="1">
      <c r="A243" s="832" t="s">
        <v>608</v>
      </c>
      <c r="B243" s="827" t="s">
        <v>36</v>
      </c>
      <c r="C243" s="832" t="s">
        <v>281</v>
      </c>
      <c r="D243" s="926" t="s">
        <v>881</v>
      </c>
      <c r="E243" s="925" t="e">
        <f>NC_DKDD!H174</f>
        <v>#VALUE!</v>
      </c>
      <c r="F243" s="925"/>
      <c r="G243" s="893"/>
      <c r="H243" s="893"/>
      <c r="I243" s="893"/>
      <c r="J243" s="893"/>
      <c r="K243" s="893"/>
      <c r="L243" s="871"/>
      <c r="M243" s="871"/>
      <c r="N243" s="871"/>
      <c r="O243" s="871"/>
      <c r="P243" s="925">
        <f t="shared" si="50"/>
        <v>153.70192307692309</v>
      </c>
      <c r="Q243" s="900">
        <f t="shared" si="51"/>
        <v>133.65384615384616</v>
      </c>
      <c r="R243" s="900">
        <f t="shared" si="52"/>
        <v>20.048076923076923</v>
      </c>
      <c r="S243" s="449">
        <f>NC_DKDD!G174</f>
        <v>2.5000000000000001E-2</v>
      </c>
      <c r="T243" s="845">
        <f>'[1]1,DG-capmoi'!N239</f>
        <v>0</v>
      </c>
      <c r="U243" s="845">
        <f t="shared" si="37"/>
        <v>0</v>
      </c>
    </row>
    <row r="244" spans="1:21" s="896" customFormat="1" ht="32.25" customHeight="1">
      <c r="A244" s="832">
        <v>6</v>
      </c>
      <c r="B244" s="827" t="s">
        <v>949</v>
      </c>
      <c r="C244" s="832" t="s">
        <v>523</v>
      </c>
      <c r="D244" s="926" t="s">
        <v>881</v>
      </c>
      <c r="E244" s="925" t="e">
        <f>NC_DKDD!H175</f>
        <v>#VALUE!</v>
      </c>
      <c r="F244" s="925"/>
      <c r="G244" s="893"/>
      <c r="H244" s="893"/>
      <c r="I244" s="893"/>
      <c r="J244" s="893"/>
      <c r="K244" s="893"/>
      <c r="L244" s="871"/>
      <c r="M244" s="871"/>
      <c r="N244" s="871"/>
      <c r="O244" s="871"/>
      <c r="P244" s="925">
        <f t="shared" si="50"/>
        <v>18.444230769230767</v>
      </c>
      <c r="Q244" s="900">
        <f t="shared" si="51"/>
        <v>16.038461538461537</v>
      </c>
      <c r="R244" s="900">
        <f t="shared" si="52"/>
        <v>2.4057692307692307</v>
      </c>
      <c r="S244" s="449">
        <f>NC_DKDD!G175</f>
        <v>3.0000000000000001E-3</v>
      </c>
      <c r="T244" s="845">
        <f>'[1]1,DG-capmoi'!N240</f>
        <v>0</v>
      </c>
      <c r="U244" s="845">
        <f t="shared" si="37"/>
        <v>0</v>
      </c>
    </row>
    <row r="245" spans="1:21" s="896" customFormat="1" ht="32.25" customHeight="1">
      <c r="A245" s="832">
        <v>7</v>
      </c>
      <c r="B245" s="827" t="s">
        <v>855</v>
      </c>
      <c r="C245" s="832" t="s">
        <v>281</v>
      </c>
      <c r="D245" s="926" t="s">
        <v>881</v>
      </c>
      <c r="E245" s="925" t="e">
        <f>NC_DKDD!H176</f>
        <v>#VALUE!</v>
      </c>
      <c r="F245" s="925"/>
      <c r="G245" s="893"/>
      <c r="H245" s="893"/>
      <c r="I245" s="893"/>
      <c r="J245" s="893"/>
      <c r="K245" s="893"/>
      <c r="L245" s="871"/>
      <c r="M245" s="871"/>
      <c r="N245" s="871"/>
      <c r="O245" s="871"/>
      <c r="P245" s="925">
        <f t="shared" si="50"/>
        <v>368.88461538461536</v>
      </c>
      <c r="Q245" s="900">
        <f t="shared" si="51"/>
        <v>320.76923076923072</v>
      </c>
      <c r="R245" s="900">
        <f t="shared" si="52"/>
        <v>48.115384615384613</v>
      </c>
      <c r="S245" s="449">
        <f>NC_DKDD!G176</f>
        <v>0.06</v>
      </c>
      <c r="T245" s="845">
        <f>'[1]1,DG-capmoi'!N241</f>
        <v>0</v>
      </c>
      <c r="U245" s="845">
        <f t="shared" si="37"/>
        <v>0</v>
      </c>
    </row>
    <row r="246" spans="1:21" s="896" customFormat="1" ht="32.25" customHeight="1">
      <c r="A246" s="832">
        <v>8</v>
      </c>
      <c r="B246" s="827" t="s">
        <v>348</v>
      </c>
      <c r="C246" s="832"/>
      <c r="D246" s="928"/>
      <c r="E246" s="925">
        <f>NC_DKDD!H177</f>
        <v>0</v>
      </c>
      <c r="F246" s="925"/>
      <c r="G246" s="893"/>
      <c r="H246" s="893"/>
      <c r="I246" s="893"/>
      <c r="J246" s="893"/>
      <c r="K246" s="893"/>
      <c r="L246" s="871"/>
      <c r="M246" s="871"/>
      <c r="N246" s="871"/>
      <c r="O246" s="871"/>
      <c r="P246" s="925">
        <f t="shared" si="50"/>
        <v>0</v>
      </c>
      <c r="Q246" s="900">
        <f t="shared" si="51"/>
        <v>0</v>
      </c>
      <c r="R246" s="900">
        <f t="shared" si="52"/>
        <v>0</v>
      </c>
      <c r="S246" s="449">
        <f>NC_DKDD!G177</f>
        <v>0</v>
      </c>
      <c r="T246" s="845">
        <f>'[1]1,DG-capmoi'!N242</f>
        <v>0</v>
      </c>
      <c r="U246" s="845">
        <f t="shared" si="37"/>
        <v>0</v>
      </c>
    </row>
    <row r="247" spans="1:21" s="896" customFormat="1" ht="22.5" customHeight="1">
      <c r="A247" s="832" t="s">
        <v>374</v>
      </c>
      <c r="B247" s="827" t="s">
        <v>33</v>
      </c>
      <c r="C247" s="832" t="s">
        <v>281</v>
      </c>
      <c r="D247" s="926" t="s">
        <v>881</v>
      </c>
      <c r="E247" s="925" t="e">
        <f>NC_DKDD!H178</f>
        <v>#VALUE!</v>
      </c>
      <c r="F247" s="925"/>
      <c r="G247" s="893"/>
      <c r="H247" s="893"/>
      <c r="I247" s="893"/>
      <c r="J247" s="893"/>
      <c r="K247" s="893"/>
      <c r="L247" s="871"/>
      <c r="M247" s="871"/>
      <c r="N247" s="871"/>
      <c r="O247" s="871"/>
      <c r="P247" s="925">
        <f t="shared" si="50"/>
        <v>1229.6153846153848</v>
      </c>
      <c r="Q247" s="900">
        <f t="shared" si="51"/>
        <v>1069.2307692307693</v>
      </c>
      <c r="R247" s="900">
        <f t="shared" si="52"/>
        <v>160.38461538461539</v>
      </c>
      <c r="S247" s="449">
        <f>NC_DKDD!G178</f>
        <v>0.2</v>
      </c>
      <c r="T247" s="845">
        <f>'[1]1,DG-capmoi'!N243</f>
        <v>0</v>
      </c>
      <c r="U247" s="845">
        <f t="shared" ref="U247:U310" si="53">T247-N247</f>
        <v>0</v>
      </c>
    </row>
    <row r="248" spans="1:21" s="896" customFormat="1" ht="22.9" customHeight="1">
      <c r="A248" s="832" t="s">
        <v>375</v>
      </c>
      <c r="B248" s="827" t="s">
        <v>36</v>
      </c>
      <c r="C248" s="832" t="s">
        <v>281</v>
      </c>
      <c r="D248" s="926" t="s">
        <v>881</v>
      </c>
      <c r="E248" s="925" t="e">
        <f>NC_DKDD!H179</f>
        <v>#VALUE!</v>
      </c>
      <c r="F248" s="925"/>
      <c r="G248" s="893"/>
      <c r="H248" s="893"/>
      <c r="I248" s="893"/>
      <c r="J248" s="893"/>
      <c r="K248" s="893"/>
      <c r="L248" s="871"/>
      <c r="M248" s="871"/>
      <c r="N248" s="871"/>
      <c r="O248" s="871"/>
      <c r="P248" s="925">
        <f t="shared" si="50"/>
        <v>922.21153846153834</v>
      </c>
      <c r="Q248" s="900">
        <f t="shared" si="51"/>
        <v>801.92307692307679</v>
      </c>
      <c r="R248" s="900">
        <f t="shared" si="52"/>
        <v>120.28846153846153</v>
      </c>
      <c r="S248" s="449">
        <f>NC_DKDD!G179</f>
        <v>0.15</v>
      </c>
      <c r="T248" s="845">
        <f>'[1]1,DG-capmoi'!N244</f>
        <v>0</v>
      </c>
      <c r="U248" s="845">
        <f t="shared" si="53"/>
        <v>0</v>
      </c>
    </row>
    <row r="249" spans="1:21" s="896" customFormat="1" ht="25.5" customHeight="1">
      <c r="A249" s="832">
        <v>9</v>
      </c>
      <c r="B249" s="827" t="s">
        <v>856</v>
      </c>
      <c r="C249" s="832" t="s">
        <v>281</v>
      </c>
      <c r="D249" s="926" t="s">
        <v>881</v>
      </c>
      <c r="E249" s="925" t="e">
        <f>NC_DKDD!H180</f>
        <v>#VALUE!</v>
      </c>
      <c r="F249" s="925"/>
      <c r="G249" s="893"/>
      <c r="H249" s="893"/>
      <c r="I249" s="893"/>
      <c r="J249" s="893"/>
      <c r="K249" s="893"/>
      <c r="L249" s="871"/>
      <c r="M249" s="871"/>
      <c r="N249" s="871"/>
      <c r="O249" s="871"/>
      <c r="P249" s="925">
        <f t="shared" si="50"/>
        <v>3074.0384615384614</v>
      </c>
      <c r="Q249" s="900">
        <f t="shared" si="51"/>
        <v>2673.0769230769229</v>
      </c>
      <c r="R249" s="900">
        <f t="shared" si="52"/>
        <v>400.96153846153845</v>
      </c>
      <c r="S249" s="449">
        <f>NC_DKDD!G180</f>
        <v>0.5</v>
      </c>
      <c r="T249" s="845">
        <f>'[1]1,DG-capmoi'!N245</f>
        <v>0</v>
      </c>
      <c r="U249" s="845">
        <f t="shared" si="53"/>
        <v>0</v>
      </c>
    </row>
    <row r="250" spans="1:21" s="896" customFormat="1" ht="57">
      <c r="A250" s="832">
        <v>10</v>
      </c>
      <c r="B250" s="827" t="s">
        <v>950</v>
      </c>
      <c r="C250" s="832" t="s">
        <v>281</v>
      </c>
      <c r="D250" s="926" t="s">
        <v>881</v>
      </c>
      <c r="E250" s="925" t="e">
        <f>NC_DKDD!H181</f>
        <v>#VALUE!</v>
      </c>
      <c r="F250" s="925"/>
      <c r="G250" s="893"/>
      <c r="H250" s="893"/>
      <c r="I250" s="893"/>
      <c r="J250" s="893"/>
      <c r="K250" s="893"/>
      <c r="L250" s="871"/>
      <c r="M250" s="871"/>
      <c r="N250" s="871"/>
      <c r="O250" s="871"/>
      <c r="P250" s="925">
        <f t="shared" si="50"/>
        <v>1229.6153846153848</v>
      </c>
      <c r="Q250" s="900">
        <f t="shared" si="51"/>
        <v>1069.2307692307693</v>
      </c>
      <c r="R250" s="900">
        <f t="shared" si="52"/>
        <v>160.38461538461539</v>
      </c>
      <c r="S250" s="449">
        <f>NC_DKDD!G181</f>
        <v>0.2</v>
      </c>
      <c r="T250" s="845">
        <f>'[1]1,DG-capmoi'!N246</f>
        <v>0</v>
      </c>
      <c r="U250" s="845">
        <f t="shared" si="53"/>
        <v>0</v>
      </c>
    </row>
    <row r="251" spans="1:21" s="896" customFormat="1" ht="46.5" customHeight="1">
      <c r="A251" s="832">
        <v>11</v>
      </c>
      <c r="B251" s="827" t="s">
        <v>951</v>
      </c>
      <c r="C251" s="832" t="s">
        <v>281</v>
      </c>
      <c r="D251" s="926" t="s">
        <v>881</v>
      </c>
      <c r="E251" s="925" t="e">
        <f>NC_DKDD!H182</f>
        <v>#VALUE!</v>
      </c>
      <c r="F251" s="925"/>
      <c r="G251" s="893"/>
      <c r="H251" s="893"/>
      <c r="I251" s="893"/>
      <c r="J251" s="893"/>
      <c r="K251" s="893"/>
      <c r="L251" s="871"/>
      <c r="M251" s="871"/>
      <c r="N251" s="871"/>
      <c r="O251" s="871"/>
      <c r="P251" s="925">
        <f t="shared" si="50"/>
        <v>1229.6153846153848</v>
      </c>
      <c r="Q251" s="900">
        <f t="shared" si="51"/>
        <v>1069.2307692307693</v>
      </c>
      <c r="R251" s="900">
        <f t="shared" si="52"/>
        <v>160.38461538461539</v>
      </c>
      <c r="S251" s="402">
        <f>NC_DKDD!G182</f>
        <v>0.2</v>
      </c>
      <c r="T251" s="845">
        <f>'[1]1,DG-capmoi'!N247</f>
        <v>0</v>
      </c>
      <c r="U251" s="845">
        <f t="shared" si="53"/>
        <v>0</v>
      </c>
    </row>
    <row r="252" spans="1:21" s="896" customFormat="1" ht="28.5" customHeight="1">
      <c r="A252" s="829" t="s">
        <v>913</v>
      </c>
      <c r="B252" s="929" t="s">
        <v>1057</v>
      </c>
      <c r="C252" s="833"/>
      <c r="D252" s="930"/>
      <c r="E252" s="931" t="e">
        <f>E253</f>
        <v>#VALUE!</v>
      </c>
      <c r="F252" s="931"/>
      <c r="G252" s="931"/>
      <c r="H252" s="893"/>
      <c r="I252" s="893"/>
      <c r="J252" s="893"/>
      <c r="K252" s="893"/>
      <c r="L252" s="893" t="e">
        <f>SUM(E252:K252)</f>
        <v>#VALUE!</v>
      </c>
      <c r="M252" s="893" t="e">
        <f>L252*'He so chung'!$D$17/100</f>
        <v>#VALUE!</v>
      </c>
      <c r="N252" s="893" t="e">
        <f>L252+M252</f>
        <v>#VALUE!</v>
      </c>
      <c r="O252" s="871"/>
      <c r="P252" s="931">
        <f>P253</f>
        <v>1229.6153846153848</v>
      </c>
      <c r="Q252" s="900">
        <f t="shared" si="51"/>
        <v>1069.2307692307693</v>
      </c>
      <c r="R252" s="900">
        <f t="shared" si="52"/>
        <v>160.38461538461539</v>
      </c>
      <c r="S252" s="932">
        <f>S253</f>
        <v>0.2</v>
      </c>
      <c r="T252" s="845">
        <f>'[1]1,DG-capmoi'!N248</f>
        <v>46049.096153846156</v>
      </c>
      <c r="U252" s="845" t="e">
        <f t="shared" si="53"/>
        <v>#VALUE!</v>
      </c>
    </row>
    <row r="253" spans="1:21" s="896" customFormat="1" ht="35.25" customHeight="1">
      <c r="A253" s="832">
        <v>1</v>
      </c>
      <c r="B253" s="827" t="s">
        <v>1076</v>
      </c>
      <c r="C253" s="832" t="s">
        <v>281</v>
      </c>
      <c r="D253" s="933" t="s">
        <v>881</v>
      </c>
      <c r="E253" s="925" t="e">
        <f>NC_DKDD!H227</f>
        <v>#VALUE!</v>
      </c>
      <c r="F253" s="893"/>
      <c r="G253" s="893"/>
      <c r="H253" s="893"/>
      <c r="I253" s="893"/>
      <c r="J253" s="893"/>
      <c r="K253" s="893"/>
      <c r="L253" s="871"/>
      <c r="M253" s="871"/>
      <c r="N253" s="871"/>
      <c r="O253" s="871"/>
      <c r="P253" s="925">
        <f t="shared" si="50"/>
        <v>1229.6153846153848</v>
      </c>
      <c r="Q253" s="900">
        <f>S253*$Q$218</f>
        <v>1069.2307692307693</v>
      </c>
      <c r="R253" s="900">
        <f>S253*$R$218</f>
        <v>160.38461538461539</v>
      </c>
      <c r="S253" s="934">
        <f>NC_DKDD!G227</f>
        <v>0.2</v>
      </c>
      <c r="T253" s="845">
        <f>'[1]1,DG-capmoi'!N249</f>
        <v>0</v>
      </c>
      <c r="U253" s="845">
        <f t="shared" si="53"/>
        <v>0</v>
      </c>
    </row>
    <row r="254" spans="1:21" ht="21" customHeight="1">
      <c r="A254" s="353"/>
      <c r="B254" s="886" t="s">
        <v>282</v>
      </c>
      <c r="C254" s="354"/>
      <c r="D254" s="353"/>
      <c r="E254" s="355"/>
      <c r="F254" s="355"/>
      <c r="G254" s="356"/>
      <c r="H254" s="355"/>
      <c r="I254" s="355"/>
      <c r="J254" s="357"/>
      <c r="K254" s="357"/>
      <c r="L254" s="357"/>
      <c r="M254" s="340"/>
      <c r="N254" s="340"/>
      <c r="O254" s="340"/>
      <c r="P254" s="935"/>
      <c r="Q254" s="332"/>
      <c r="R254" s="332"/>
      <c r="T254" s="845">
        <f>'[1]1,DG-capmoi'!N250</f>
        <v>0</v>
      </c>
      <c r="U254" s="845">
        <f t="shared" si="53"/>
        <v>0</v>
      </c>
    </row>
    <row r="255" spans="1:21" ht="18.75" customHeight="1">
      <c r="A255" s="358"/>
      <c r="B255" s="1129" t="s">
        <v>20</v>
      </c>
      <c r="C255" s="1129"/>
      <c r="D255" s="1129"/>
      <c r="E255" s="1129"/>
      <c r="F255" s="1129"/>
      <c r="G255" s="1129"/>
      <c r="H255" s="1129"/>
      <c r="I255" s="1129"/>
      <c r="J255" s="1129"/>
      <c r="K255" s="1129"/>
      <c r="L255" s="1129"/>
      <c r="M255" s="1129"/>
      <c r="N255" s="1129"/>
      <c r="O255" s="1129"/>
      <c r="P255" s="1129"/>
      <c r="Q255" s="332"/>
      <c r="R255" s="332"/>
      <c r="T255" s="845">
        <f>'[1]1,DG-capmoi'!N251</f>
        <v>0</v>
      </c>
      <c r="U255" s="845">
        <f t="shared" si="53"/>
        <v>0</v>
      </c>
    </row>
    <row r="256" spans="1:21" ht="24" customHeight="1">
      <c r="A256" s="358"/>
      <c r="B256" s="1117" t="s">
        <v>902</v>
      </c>
      <c r="C256" s="1117"/>
      <c r="D256" s="1117"/>
      <c r="E256" s="1117"/>
      <c r="F256" s="1117"/>
      <c r="G256" s="1117"/>
      <c r="H256" s="1117"/>
      <c r="I256" s="1117"/>
      <c r="J256" s="1117"/>
      <c r="K256" s="1117"/>
      <c r="L256" s="1117"/>
      <c r="M256" s="1117"/>
      <c r="N256" s="1117"/>
      <c r="O256" s="1117"/>
      <c r="P256" s="1117"/>
      <c r="Q256" s="332"/>
      <c r="R256" s="332"/>
      <c r="T256" s="845">
        <f>'[1]1,DG-capmoi'!N252</f>
        <v>0</v>
      </c>
      <c r="U256" s="845">
        <f t="shared" si="53"/>
        <v>0</v>
      </c>
    </row>
    <row r="257" spans="1:21" ht="39.6" customHeight="1">
      <c r="A257" s="358"/>
      <c r="B257" s="1118" t="s">
        <v>1062</v>
      </c>
      <c r="C257" s="1118"/>
      <c r="D257" s="1118"/>
      <c r="E257" s="1118"/>
      <c r="F257" s="1118"/>
      <c r="G257" s="1118"/>
      <c r="H257" s="1118"/>
      <c r="I257" s="1118"/>
      <c r="J257" s="1118"/>
      <c r="K257" s="1118"/>
      <c r="L257" s="1118"/>
      <c r="M257" s="1118"/>
      <c r="N257" s="1118"/>
      <c r="O257" s="1118"/>
      <c r="P257" s="1118"/>
      <c r="Q257" s="332"/>
      <c r="R257" s="332"/>
      <c r="T257" s="845">
        <f>'[1]1,DG-capmoi'!N253</f>
        <v>0</v>
      </c>
      <c r="U257" s="845">
        <f t="shared" si="53"/>
        <v>0</v>
      </c>
    </row>
    <row r="258" spans="1:21" ht="39" customHeight="1">
      <c r="A258" s="358"/>
      <c r="B258" s="1118" t="s">
        <v>1063</v>
      </c>
      <c r="C258" s="1118"/>
      <c r="D258" s="1118"/>
      <c r="E258" s="1118"/>
      <c r="F258" s="1118"/>
      <c r="G258" s="1118"/>
      <c r="H258" s="1118"/>
      <c r="I258" s="1118"/>
      <c r="J258" s="1118"/>
      <c r="K258" s="1118"/>
      <c r="L258" s="1118"/>
      <c r="M258" s="1118"/>
      <c r="N258" s="1118"/>
      <c r="O258" s="1118"/>
      <c r="P258" s="1118"/>
      <c r="Q258" s="332"/>
      <c r="R258" s="332"/>
      <c r="T258" s="845">
        <f>'[1]1,DG-capmoi'!N254</f>
        <v>0</v>
      </c>
      <c r="U258" s="845">
        <f t="shared" si="53"/>
        <v>0</v>
      </c>
    </row>
    <row r="259" spans="1:21" ht="27" customHeight="1">
      <c r="A259" s="358"/>
      <c r="B259" s="821"/>
      <c r="C259" s="821"/>
      <c r="D259" s="821"/>
      <c r="E259" s="821"/>
      <c r="F259" s="821"/>
      <c r="G259" s="821"/>
      <c r="H259" s="821"/>
      <c r="I259" s="821"/>
      <c r="J259" s="821"/>
      <c r="K259" s="821"/>
      <c r="L259" s="821"/>
      <c r="M259" s="821"/>
      <c r="N259" s="821"/>
      <c r="O259" s="821"/>
      <c r="P259" s="821"/>
      <c r="Q259" s="332"/>
      <c r="R259" s="332"/>
      <c r="T259" s="845">
        <f>'[1]1,DG-capmoi'!N255</f>
        <v>0</v>
      </c>
      <c r="U259" s="845">
        <f t="shared" si="53"/>
        <v>0</v>
      </c>
    </row>
    <row r="260" spans="1:21" ht="22.5" customHeight="1">
      <c r="A260" s="1114" t="s">
        <v>474</v>
      </c>
      <c r="B260" s="1114"/>
      <c r="C260" s="1114"/>
      <c r="D260" s="1114"/>
      <c r="E260" s="1114"/>
      <c r="F260" s="1114"/>
      <c r="G260" s="1114"/>
      <c r="H260" s="1114"/>
      <c r="I260" s="1114"/>
      <c r="J260" s="1114"/>
      <c r="K260" s="1114"/>
      <c r="L260" s="1114"/>
      <c r="M260" s="1114"/>
      <c r="N260" s="1114"/>
      <c r="O260" s="1114"/>
      <c r="P260" s="1114"/>
      <c r="T260" s="845">
        <f>'[1]1,DG-capmoi'!N256</f>
        <v>0</v>
      </c>
      <c r="U260" s="845">
        <f t="shared" si="53"/>
        <v>0</v>
      </c>
    </row>
    <row r="261" spans="1:21" ht="15" customHeight="1">
      <c r="A261" s="1113" t="s">
        <v>960</v>
      </c>
      <c r="B261" s="1113"/>
      <c r="C261" s="1113"/>
      <c r="D261" s="1113"/>
      <c r="E261" s="1113"/>
      <c r="F261" s="1113"/>
      <c r="G261" s="1113"/>
      <c r="H261" s="1113"/>
      <c r="I261" s="1113"/>
      <c r="J261" s="1113"/>
      <c r="K261" s="1113"/>
      <c r="L261" s="1113"/>
      <c r="M261" s="1113"/>
      <c r="N261" s="1113"/>
      <c r="O261" s="1113"/>
      <c r="P261" s="1113"/>
      <c r="Q261" s="332"/>
      <c r="R261" s="332"/>
      <c r="S261" s="332"/>
      <c r="T261" s="845">
        <f>'[1]1,DG-capmoi'!N257</f>
        <v>0</v>
      </c>
      <c r="U261" s="845">
        <f t="shared" si="53"/>
        <v>0</v>
      </c>
    </row>
    <row r="262" spans="1:21" ht="27" customHeight="1">
      <c r="A262" s="337"/>
      <c r="B262" s="834"/>
      <c r="C262" s="338"/>
      <c r="D262" s="346"/>
      <c r="E262" s="340"/>
      <c r="F262" s="340"/>
      <c r="G262" s="347"/>
      <c r="H262" s="340"/>
      <c r="I262" s="340"/>
      <c r="J262" s="340"/>
      <c r="K262" s="340"/>
      <c r="L262" s="340"/>
      <c r="M262" s="340"/>
      <c r="N262" s="975" t="s">
        <v>980</v>
      </c>
      <c r="O262" s="975"/>
      <c r="P262" s="340"/>
      <c r="Q262" s="332"/>
      <c r="R262" s="332"/>
      <c r="S262" s="332"/>
      <c r="T262" s="845">
        <f>'[1]1,DG-capmoi'!N258</f>
        <v>0</v>
      </c>
      <c r="U262" s="845" t="e">
        <f t="shared" si="53"/>
        <v>#VALUE!</v>
      </c>
    </row>
    <row r="263" spans="1:21" s="917" customFormat="1" ht="27" customHeight="1">
      <c r="A263" s="1115" t="s">
        <v>876</v>
      </c>
      <c r="B263" s="1115" t="s">
        <v>381</v>
      </c>
      <c r="C263" s="1111" t="s">
        <v>981</v>
      </c>
      <c r="D263" s="1111" t="s">
        <v>982</v>
      </c>
      <c r="E263" s="1111" t="s">
        <v>466</v>
      </c>
      <c r="F263" s="1111"/>
      <c r="G263" s="1111"/>
      <c r="H263" s="1111"/>
      <c r="I263" s="1111"/>
      <c r="J263" s="1111"/>
      <c r="K263" s="1111"/>
      <c r="L263" s="1111"/>
      <c r="M263" s="1111" t="s">
        <v>581</v>
      </c>
      <c r="N263" s="1111" t="s">
        <v>467</v>
      </c>
      <c r="O263" s="1111" t="s">
        <v>657</v>
      </c>
      <c r="P263" s="1111" t="s">
        <v>468</v>
      </c>
      <c r="Q263" s="835"/>
      <c r="R263" s="835"/>
      <c r="S263" s="367"/>
      <c r="T263" s="845"/>
      <c r="U263" s="845"/>
    </row>
    <row r="264" spans="1:21" s="917" customFormat="1" ht="36.75" customHeight="1">
      <c r="A264" s="1115"/>
      <c r="B264" s="1115"/>
      <c r="C264" s="1111"/>
      <c r="D264" s="1111"/>
      <c r="E264" s="825" t="s">
        <v>469</v>
      </c>
      <c r="F264" s="825" t="s">
        <v>470</v>
      </c>
      <c r="G264" s="852" t="s">
        <v>1003</v>
      </c>
      <c r="H264" s="825" t="s">
        <v>59</v>
      </c>
      <c r="I264" s="825" t="s">
        <v>471</v>
      </c>
      <c r="J264" s="825" t="s">
        <v>280</v>
      </c>
      <c r="K264" s="825" t="s">
        <v>472</v>
      </c>
      <c r="L264" s="825" t="s">
        <v>473</v>
      </c>
      <c r="M264" s="1111"/>
      <c r="N264" s="1111"/>
      <c r="O264" s="1111"/>
      <c r="P264" s="1111"/>
      <c r="Q264" s="835"/>
      <c r="R264" s="835"/>
      <c r="S264" s="367"/>
      <c r="T264" s="845">
        <f>'[1]1,DG-capmoi'!N260</f>
        <v>0</v>
      </c>
      <c r="U264" s="845">
        <f t="shared" si="53"/>
        <v>0</v>
      </c>
    </row>
    <row r="265" spans="1:21" s="917" customFormat="1" ht="60" customHeight="1">
      <c r="A265" s="831"/>
      <c r="B265" s="838" t="s">
        <v>476</v>
      </c>
      <c r="C265" s="382"/>
      <c r="D265" s="382"/>
      <c r="E265" s="382"/>
      <c r="F265" s="382"/>
      <c r="G265" s="837"/>
      <c r="H265" s="382"/>
      <c r="I265" s="382"/>
      <c r="J265" s="382"/>
      <c r="K265" s="382"/>
      <c r="L265" s="382"/>
      <c r="M265" s="382"/>
      <c r="N265" s="382"/>
      <c r="O265" s="382"/>
      <c r="P265" s="382"/>
      <c r="Q265" s="835"/>
      <c r="R265" s="835"/>
      <c r="S265" s="367"/>
      <c r="T265" s="845">
        <f>'[1]1,DG-capmoi'!N261</f>
        <v>0</v>
      </c>
      <c r="U265" s="845">
        <f t="shared" si="53"/>
        <v>0</v>
      </c>
    </row>
    <row r="266" spans="1:21" s="917" customFormat="1" ht="27" customHeight="1">
      <c r="A266" s="831"/>
      <c r="B266" s="830" t="s">
        <v>451</v>
      </c>
      <c r="C266" s="382" t="s">
        <v>281</v>
      </c>
      <c r="D266" s="936" t="s">
        <v>881</v>
      </c>
      <c r="E266" s="383" t="e">
        <f>E270+E314</f>
        <v>#VALUE!</v>
      </c>
      <c r="F266" s="383">
        <f t="shared" ref="F266:P266" si="54">F270+F314</f>
        <v>0</v>
      </c>
      <c r="G266" s="383">
        <f t="shared" si="54"/>
        <v>0</v>
      </c>
      <c r="H266" s="383">
        <f t="shared" si="54"/>
        <v>8283.8763717948714</v>
      </c>
      <c r="I266" s="383">
        <f t="shared" si="54"/>
        <v>32414.58</v>
      </c>
      <c r="J266" s="383">
        <f t="shared" si="54"/>
        <v>4567.2199999999993</v>
      </c>
      <c r="K266" s="383">
        <f t="shared" si="54"/>
        <v>8957.2560000000012</v>
      </c>
      <c r="L266" s="383" t="e">
        <f t="shared" si="54"/>
        <v>#VALUE!</v>
      </c>
      <c r="M266" s="383" t="e">
        <f t="shared" si="54"/>
        <v>#VALUE!</v>
      </c>
      <c r="N266" s="383" t="e">
        <f t="shared" si="54"/>
        <v>#VALUE!</v>
      </c>
      <c r="O266" s="383">
        <f t="shared" si="54"/>
        <v>0</v>
      </c>
      <c r="P266" s="383">
        <f t="shared" si="54"/>
        <v>18917.632692307692</v>
      </c>
      <c r="Q266" s="835"/>
      <c r="R266" s="835"/>
      <c r="S266" s="383"/>
      <c r="T266" s="845">
        <f>'[1]1,DG-capmoi'!N262</f>
        <v>717050.49437948701</v>
      </c>
      <c r="U266" s="845" t="e">
        <f t="shared" si="53"/>
        <v>#VALUE!</v>
      </c>
    </row>
    <row r="267" spans="1:21" s="917" customFormat="1" ht="27" customHeight="1">
      <c r="A267" s="831"/>
      <c r="B267" s="830" t="s">
        <v>452</v>
      </c>
      <c r="C267" s="382" t="s">
        <v>281</v>
      </c>
      <c r="D267" s="936" t="s">
        <v>881</v>
      </c>
      <c r="E267" s="383" t="e">
        <f>E271+E314</f>
        <v>#VALUE!</v>
      </c>
      <c r="F267" s="383">
        <f t="shared" ref="F267:P267" si="55">F271+F314</f>
        <v>0</v>
      </c>
      <c r="G267" s="383">
        <f t="shared" si="55"/>
        <v>0</v>
      </c>
      <c r="H267" s="383">
        <f t="shared" si="55"/>
        <v>8283.8763717948714</v>
      </c>
      <c r="I267" s="383">
        <f t="shared" si="55"/>
        <v>32414.58</v>
      </c>
      <c r="J267" s="383">
        <f t="shared" si="55"/>
        <v>4567.2199999999993</v>
      </c>
      <c r="K267" s="383">
        <f t="shared" si="55"/>
        <v>8957.2560000000012</v>
      </c>
      <c r="L267" s="383" t="e">
        <f t="shared" si="55"/>
        <v>#VALUE!</v>
      </c>
      <c r="M267" s="383" t="e">
        <f t="shared" si="55"/>
        <v>#VALUE!</v>
      </c>
      <c r="N267" s="383" t="e">
        <f t="shared" si="55"/>
        <v>#VALUE!</v>
      </c>
      <c r="O267" s="383">
        <f t="shared" si="55"/>
        <v>0</v>
      </c>
      <c r="P267" s="383">
        <f t="shared" si="55"/>
        <v>15536.190384615382</v>
      </c>
      <c r="Q267" s="835"/>
      <c r="R267" s="835"/>
      <c r="S267" s="383"/>
      <c r="T267" s="845">
        <f>'[1]1,DG-capmoi'!N263</f>
        <v>601690.89933141007</v>
      </c>
      <c r="U267" s="845" t="e">
        <f t="shared" si="53"/>
        <v>#VALUE!</v>
      </c>
    </row>
    <row r="268" spans="1:21" s="917" customFormat="1" ht="27" customHeight="1">
      <c r="A268" s="831"/>
      <c r="B268" s="888"/>
      <c r="C268" s="382"/>
      <c r="D268" s="382"/>
      <c r="E268" s="382"/>
      <c r="F268" s="382"/>
      <c r="G268" s="837"/>
      <c r="H268" s="382"/>
      <c r="I268" s="382"/>
      <c r="J268" s="382"/>
      <c r="K268" s="382"/>
      <c r="L268" s="382"/>
      <c r="M268" s="382"/>
      <c r="N268" s="382"/>
      <c r="O268" s="382"/>
      <c r="P268" s="382"/>
      <c r="Q268" s="887">
        <f>'He so chung'!D$22</f>
        <v>5346.1538461538457</v>
      </c>
      <c r="R268" s="887">
        <f>'He so chung'!D$23</f>
        <v>801.92307692307691</v>
      </c>
      <c r="S268" s="891"/>
      <c r="T268" s="845">
        <f>'[1]1,DG-capmoi'!N264</f>
        <v>0</v>
      </c>
      <c r="U268" s="845">
        <f t="shared" si="53"/>
        <v>0</v>
      </c>
    </row>
    <row r="269" spans="1:21" s="917" customFormat="1" ht="27" customHeight="1">
      <c r="A269" s="869" t="s">
        <v>184</v>
      </c>
      <c r="B269" s="868" t="s">
        <v>765</v>
      </c>
      <c r="C269" s="832"/>
      <c r="D269" s="926"/>
      <c r="E269" s="925"/>
      <c r="F269" s="925"/>
      <c r="G269" s="893"/>
      <c r="H269" s="893"/>
      <c r="I269" s="893"/>
      <c r="J269" s="893"/>
      <c r="K269" s="893"/>
      <c r="L269" s="871"/>
      <c r="M269" s="871"/>
      <c r="N269" s="871"/>
      <c r="O269" s="871"/>
      <c r="P269" s="925"/>
      <c r="Q269" s="900">
        <f t="shared" ref="Q269:Q314" si="56">S269*$Q$218</f>
        <v>0</v>
      </c>
      <c r="R269" s="900">
        <f t="shared" ref="R269:R314" si="57">S269*$R$218</f>
        <v>0</v>
      </c>
      <c r="S269" s="402"/>
      <c r="T269" s="845">
        <f>'[1]1,DG-capmoi'!N265</f>
        <v>0</v>
      </c>
      <c r="U269" s="845">
        <f t="shared" si="53"/>
        <v>0</v>
      </c>
    </row>
    <row r="270" spans="1:21" s="917" customFormat="1" ht="27" customHeight="1">
      <c r="A270" s="869" t="s">
        <v>484</v>
      </c>
      <c r="B270" s="868" t="s">
        <v>451</v>
      </c>
      <c r="C270" s="832"/>
      <c r="D270" s="897"/>
      <c r="E270" s="893" t="e">
        <f>E273+E275+E278+E280+E281+E282+E284+E288++E291+E294+E296+E299+E301+E302+E303+E306+E307+E308+E309+E310+E312+E313</f>
        <v>#VALUE!</v>
      </c>
      <c r="F270" s="893"/>
      <c r="G270" s="893"/>
      <c r="H270" s="893">
        <f>'Dcu-DKDD'!$J$122</f>
        <v>8283.8763717948714</v>
      </c>
      <c r="I270" s="893">
        <f>'VL-DKDD'!$H$125</f>
        <v>32414.58</v>
      </c>
      <c r="J270" s="893">
        <f>'TB-DKDD'!$K$67</f>
        <v>4567.2199999999993</v>
      </c>
      <c r="K270" s="893">
        <f>'NL-DKDD'!$H$47</f>
        <v>8957.2560000000012</v>
      </c>
      <c r="L270" s="893" t="e">
        <f>SUM(E270:K270)</f>
        <v>#VALUE!</v>
      </c>
      <c r="M270" s="893" t="e">
        <f>L270*'He so chung'!$D$17/100</f>
        <v>#VALUE!</v>
      </c>
      <c r="N270" s="893" t="e">
        <f>L270+M270</f>
        <v>#VALUE!</v>
      </c>
      <c r="O270" s="871"/>
      <c r="P270" s="893">
        <f>P273+P275+P278+P280+P281+P282+P284+P288++P291+P294+P296+P299+P301+P302+P303+P306+P307+P308+P309+P310+P312+P313</f>
        <v>17688.017307692306</v>
      </c>
      <c r="Q270" s="900">
        <f t="shared" si="56"/>
        <v>15380.884615384613</v>
      </c>
      <c r="R270" s="900">
        <f t="shared" si="57"/>
        <v>2307.1326923076922</v>
      </c>
      <c r="S270" s="927">
        <f>S273+S275+S278+S280+S281+S282+S284+S288++S291+S294+S296+S299+S301+S302+S303+S306+S307+S308+S309+S310+S312+S313</f>
        <v>2.8769999999999998</v>
      </c>
      <c r="T270" s="845">
        <f>'[1]1,DG-capmoi'!N266</f>
        <v>671001.39822564088</v>
      </c>
      <c r="U270" s="845" t="e">
        <f t="shared" si="53"/>
        <v>#VALUE!</v>
      </c>
    </row>
    <row r="271" spans="1:21" s="917" customFormat="1" ht="27" customHeight="1">
      <c r="A271" s="869" t="s">
        <v>668</v>
      </c>
      <c r="B271" s="868" t="s">
        <v>452</v>
      </c>
      <c r="C271" s="832"/>
      <c r="D271" s="897"/>
      <c r="E271" s="893" t="e">
        <f>E273+E276+E279+E280+E281+E282+E284+E287+E292+E295+E296+E299+E301+E302+E303+E306+E307+E308+E309+E310+E312+E313</f>
        <v>#VALUE!</v>
      </c>
      <c r="F271" s="893"/>
      <c r="G271" s="893"/>
      <c r="H271" s="893">
        <f>'Dcu-DKDD'!$J$122</f>
        <v>8283.8763717948714</v>
      </c>
      <c r="I271" s="893">
        <f>'VL-DKDD'!$H$125</f>
        <v>32414.58</v>
      </c>
      <c r="J271" s="893">
        <f>'TB-DKDD'!$K$67</f>
        <v>4567.2199999999993</v>
      </c>
      <c r="K271" s="893">
        <f>'NL-DKDD'!$H$47</f>
        <v>8957.2560000000012</v>
      </c>
      <c r="L271" s="893" t="e">
        <f>SUM(E271:K271)</f>
        <v>#VALUE!</v>
      </c>
      <c r="M271" s="893" t="e">
        <f>L271*'He so chung'!$D$17/100</f>
        <v>#VALUE!</v>
      </c>
      <c r="N271" s="893" t="e">
        <f>L271+M271</f>
        <v>#VALUE!</v>
      </c>
      <c r="O271" s="871"/>
      <c r="P271" s="893">
        <f>P273+P276+P279+P280+P281+P282+P284+P287+P292+P295+P296+P299+P301+P302+P303+P306+P307+P308+P309+P310+P312+P313</f>
        <v>14306.574999999997</v>
      </c>
      <c r="Q271" s="900">
        <f t="shared" si="56"/>
        <v>12440.500000000002</v>
      </c>
      <c r="R271" s="900">
        <f t="shared" si="57"/>
        <v>1866.0750000000003</v>
      </c>
      <c r="S271" s="927">
        <f>S273+S276+S279+S280+S281+S282+S284+S287+S292+S295+S296+S299+S301+S302+S303+S306+S307+S308+S309+S310+S312+S313</f>
        <v>2.3270000000000004</v>
      </c>
      <c r="T271" s="845">
        <f>'[1]1,DG-capmoi'!N267</f>
        <v>555641.80317756394</v>
      </c>
      <c r="U271" s="845" t="e">
        <f t="shared" si="53"/>
        <v>#VALUE!</v>
      </c>
    </row>
    <row r="272" spans="1:21" s="917" customFormat="1" ht="28.5">
      <c r="A272" s="832">
        <v>1</v>
      </c>
      <c r="B272" s="827" t="s">
        <v>952</v>
      </c>
      <c r="C272" s="832"/>
      <c r="D272" s="897"/>
      <c r="E272" s="925"/>
      <c r="F272" s="925"/>
      <c r="G272" s="893"/>
      <c r="H272" s="893"/>
      <c r="I272" s="893"/>
      <c r="J272" s="893"/>
      <c r="K272" s="893"/>
      <c r="L272" s="871"/>
      <c r="M272" s="871"/>
      <c r="N272" s="871"/>
      <c r="O272" s="871"/>
      <c r="P272" s="893">
        <f t="shared" ref="P272:P313" si="58">Q272+R272</f>
        <v>0</v>
      </c>
      <c r="Q272" s="900">
        <f t="shared" si="56"/>
        <v>0</v>
      </c>
      <c r="R272" s="900">
        <f t="shared" si="57"/>
        <v>0</v>
      </c>
      <c r="S272" s="402"/>
      <c r="T272" s="845">
        <f>'[1]1,DG-capmoi'!N268</f>
        <v>0</v>
      </c>
      <c r="U272" s="845">
        <f t="shared" si="53"/>
        <v>0</v>
      </c>
    </row>
    <row r="273" spans="1:21" s="917" customFormat="1" ht="48" customHeight="1">
      <c r="A273" s="832" t="s">
        <v>891</v>
      </c>
      <c r="B273" s="827" t="s">
        <v>953</v>
      </c>
      <c r="C273" s="832" t="s">
        <v>281</v>
      </c>
      <c r="D273" s="926" t="s">
        <v>881</v>
      </c>
      <c r="E273" s="925" t="e">
        <f>NC_DKDD!H185</f>
        <v>#VALUE!</v>
      </c>
      <c r="F273" s="925"/>
      <c r="G273" s="893"/>
      <c r="H273" s="893"/>
      <c r="I273" s="893"/>
      <c r="J273" s="893"/>
      <c r="K273" s="893"/>
      <c r="L273" s="871"/>
      <c r="M273" s="871"/>
      <c r="N273" s="871"/>
      <c r="O273" s="871"/>
      <c r="P273" s="925">
        <f t="shared" si="58"/>
        <v>614.80769230769238</v>
      </c>
      <c r="Q273" s="900">
        <f t="shared" si="56"/>
        <v>534.61538461538464</v>
      </c>
      <c r="R273" s="900">
        <f t="shared" si="57"/>
        <v>80.192307692307693</v>
      </c>
      <c r="S273" s="937">
        <f>NC_DKDD!G185</f>
        <v>0.1</v>
      </c>
      <c r="T273" s="845">
        <f>'[1]1,DG-capmoi'!N269</f>
        <v>0</v>
      </c>
      <c r="U273" s="845">
        <f t="shared" si="53"/>
        <v>0</v>
      </c>
    </row>
    <row r="274" spans="1:21" s="917" customFormat="1" ht="36.75" customHeight="1">
      <c r="A274" s="832" t="s">
        <v>899</v>
      </c>
      <c r="B274" s="827" t="s">
        <v>954</v>
      </c>
      <c r="C274" s="832"/>
      <c r="D274" s="897"/>
      <c r="E274" s="925">
        <f>NC_DKDD!H186</f>
        <v>0</v>
      </c>
      <c r="F274" s="925"/>
      <c r="G274" s="893"/>
      <c r="H274" s="893"/>
      <c r="I274" s="893"/>
      <c r="J274" s="893"/>
      <c r="K274" s="893"/>
      <c r="L274" s="871"/>
      <c r="M274" s="871"/>
      <c r="N274" s="871"/>
      <c r="O274" s="871"/>
      <c r="P274" s="925">
        <f t="shared" si="58"/>
        <v>0</v>
      </c>
      <c r="Q274" s="900">
        <f t="shared" si="56"/>
        <v>0</v>
      </c>
      <c r="R274" s="900">
        <f t="shared" si="57"/>
        <v>0</v>
      </c>
      <c r="S274" s="937">
        <f>NC_DKDD!G186</f>
        <v>0</v>
      </c>
      <c r="T274" s="845">
        <f>'[1]1,DG-capmoi'!N270</f>
        <v>0</v>
      </c>
      <c r="U274" s="845">
        <f t="shared" si="53"/>
        <v>0</v>
      </c>
    </row>
    <row r="275" spans="1:21" s="917" customFormat="1" ht="27" customHeight="1">
      <c r="A275" s="832" t="s">
        <v>955</v>
      </c>
      <c r="B275" s="827" t="s">
        <v>33</v>
      </c>
      <c r="C275" s="832" t="s">
        <v>281</v>
      </c>
      <c r="D275" s="926" t="s">
        <v>881</v>
      </c>
      <c r="E275" s="925" t="e">
        <f>NC_DKDD!H187</f>
        <v>#VALUE!</v>
      </c>
      <c r="F275" s="925"/>
      <c r="G275" s="893"/>
      <c r="H275" s="893"/>
      <c r="I275" s="893"/>
      <c r="J275" s="893"/>
      <c r="K275" s="893"/>
      <c r="L275" s="871"/>
      <c r="M275" s="871"/>
      <c r="N275" s="871"/>
      <c r="O275" s="871"/>
      <c r="P275" s="925">
        <f t="shared" si="58"/>
        <v>3074.0384615384614</v>
      </c>
      <c r="Q275" s="900">
        <f t="shared" si="56"/>
        <v>2673.0769230769229</v>
      </c>
      <c r="R275" s="900">
        <f t="shared" si="57"/>
        <v>400.96153846153845</v>
      </c>
      <c r="S275" s="937">
        <f>NC_DKDD!G187</f>
        <v>0.5</v>
      </c>
      <c r="T275" s="845">
        <f>'[1]1,DG-capmoi'!N271</f>
        <v>0</v>
      </c>
      <c r="U275" s="845">
        <f t="shared" si="53"/>
        <v>0</v>
      </c>
    </row>
    <row r="276" spans="1:21" s="917" customFormat="1" ht="27" customHeight="1">
      <c r="A276" s="832" t="s">
        <v>956</v>
      </c>
      <c r="B276" s="827" t="s">
        <v>36</v>
      </c>
      <c r="C276" s="832" t="s">
        <v>281</v>
      </c>
      <c r="D276" s="926" t="s">
        <v>881</v>
      </c>
      <c r="E276" s="925" t="e">
        <f>NC_DKDD!H188</f>
        <v>#VALUE!</v>
      </c>
      <c r="F276" s="925"/>
      <c r="G276" s="893"/>
      <c r="H276" s="893"/>
      <c r="I276" s="893"/>
      <c r="J276" s="893"/>
      <c r="K276" s="893"/>
      <c r="L276" s="871"/>
      <c r="M276" s="871"/>
      <c r="N276" s="871"/>
      <c r="O276" s="871"/>
      <c r="P276" s="925">
        <f t="shared" si="58"/>
        <v>1537.0192307692307</v>
      </c>
      <c r="Q276" s="900">
        <f t="shared" si="56"/>
        <v>1336.5384615384614</v>
      </c>
      <c r="R276" s="900">
        <f t="shared" si="57"/>
        <v>200.48076923076923</v>
      </c>
      <c r="S276" s="937">
        <f>NC_DKDD!G188</f>
        <v>0.25</v>
      </c>
      <c r="T276" s="845">
        <f>'[1]1,DG-capmoi'!N272</f>
        <v>0</v>
      </c>
      <c r="U276" s="845">
        <f t="shared" si="53"/>
        <v>0</v>
      </c>
    </row>
    <row r="277" spans="1:21" s="917" customFormat="1" ht="28.5">
      <c r="A277" s="832">
        <v>2</v>
      </c>
      <c r="B277" s="827" t="s">
        <v>957</v>
      </c>
      <c r="C277" s="832"/>
      <c r="D277" s="897"/>
      <c r="E277" s="925">
        <f>NC_DKDD!H189</f>
        <v>0</v>
      </c>
      <c r="F277" s="925"/>
      <c r="G277" s="893"/>
      <c r="H277" s="893"/>
      <c r="I277" s="893"/>
      <c r="J277" s="893"/>
      <c r="K277" s="893"/>
      <c r="L277" s="871"/>
      <c r="M277" s="871"/>
      <c r="N277" s="871"/>
      <c r="O277" s="871"/>
      <c r="P277" s="925">
        <f t="shared" si="58"/>
        <v>0</v>
      </c>
      <c r="Q277" s="900">
        <f t="shared" si="56"/>
        <v>0</v>
      </c>
      <c r="R277" s="900">
        <f t="shared" si="57"/>
        <v>0</v>
      </c>
      <c r="S277" s="937">
        <f>NC_DKDD!G189</f>
        <v>0</v>
      </c>
      <c r="T277" s="845">
        <f>'[1]1,DG-capmoi'!N273</f>
        <v>0</v>
      </c>
      <c r="U277" s="845">
        <f t="shared" si="53"/>
        <v>0</v>
      </c>
    </row>
    <row r="278" spans="1:21" s="917" customFormat="1" ht="29.25" customHeight="1">
      <c r="A278" s="832" t="s">
        <v>900</v>
      </c>
      <c r="B278" s="827" t="s">
        <v>33</v>
      </c>
      <c r="C278" s="832" t="s">
        <v>281</v>
      </c>
      <c r="D278" s="926" t="s">
        <v>881</v>
      </c>
      <c r="E278" s="925" t="e">
        <f>NC_DKDD!H190</f>
        <v>#VALUE!</v>
      </c>
      <c r="F278" s="925"/>
      <c r="G278" s="893"/>
      <c r="H278" s="893"/>
      <c r="I278" s="893"/>
      <c r="J278" s="893"/>
      <c r="K278" s="893"/>
      <c r="L278" s="871"/>
      <c r="M278" s="871"/>
      <c r="N278" s="871"/>
      <c r="O278" s="871"/>
      <c r="P278" s="925">
        <f t="shared" si="58"/>
        <v>307.40384615384619</v>
      </c>
      <c r="Q278" s="900">
        <f t="shared" si="56"/>
        <v>267.30769230769232</v>
      </c>
      <c r="R278" s="900">
        <f t="shared" si="57"/>
        <v>40.096153846153847</v>
      </c>
      <c r="S278" s="937">
        <f>NC_DKDD!G190</f>
        <v>0.05</v>
      </c>
      <c r="T278" s="845">
        <f>'[1]1,DG-capmoi'!N274</f>
        <v>0</v>
      </c>
      <c r="U278" s="845">
        <f t="shared" si="53"/>
        <v>0</v>
      </c>
    </row>
    <row r="279" spans="1:21" s="917" customFormat="1" ht="29.25" customHeight="1">
      <c r="A279" s="832" t="s">
        <v>901</v>
      </c>
      <c r="B279" s="827" t="s">
        <v>36</v>
      </c>
      <c r="C279" s="832" t="s">
        <v>281</v>
      </c>
      <c r="D279" s="926" t="s">
        <v>881</v>
      </c>
      <c r="E279" s="925" t="e">
        <f>NC_DKDD!H191</f>
        <v>#VALUE!</v>
      </c>
      <c r="F279" s="925"/>
      <c r="G279" s="893"/>
      <c r="H279" s="893"/>
      <c r="I279" s="893"/>
      <c r="J279" s="893"/>
      <c r="K279" s="893"/>
      <c r="L279" s="871"/>
      <c r="M279" s="871"/>
      <c r="N279" s="871"/>
      <c r="O279" s="871"/>
      <c r="P279" s="925">
        <f t="shared" si="58"/>
        <v>307.40384615384619</v>
      </c>
      <c r="Q279" s="900">
        <f t="shared" si="56"/>
        <v>267.30769230769232</v>
      </c>
      <c r="R279" s="900">
        <f t="shared" si="57"/>
        <v>40.096153846153847</v>
      </c>
      <c r="S279" s="937">
        <f>NC_DKDD!G191</f>
        <v>0.05</v>
      </c>
      <c r="T279" s="845">
        <f>'[1]1,DG-capmoi'!N275</f>
        <v>0</v>
      </c>
      <c r="U279" s="845">
        <f t="shared" si="53"/>
        <v>0</v>
      </c>
    </row>
    <row r="280" spans="1:21" s="917" customFormat="1" ht="32.25" customHeight="1">
      <c r="A280" s="832">
        <v>3</v>
      </c>
      <c r="B280" s="827" t="s">
        <v>767</v>
      </c>
      <c r="C280" s="832" t="s">
        <v>281</v>
      </c>
      <c r="D280" s="926" t="s">
        <v>881</v>
      </c>
      <c r="E280" s="925" t="e">
        <f>NC_DKDD!H192</f>
        <v>#VALUE!</v>
      </c>
      <c r="F280" s="925"/>
      <c r="G280" s="893"/>
      <c r="H280" s="893"/>
      <c r="I280" s="893"/>
      <c r="J280" s="893"/>
      <c r="K280" s="893"/>
      <c r="L280" s="871"/>
      <c r="M280" s="871"/>
      <c r="N280" s="871"/>
      <c r="O280" s="871"/>
      <c r="P280" s="925">
        <f t="shared" si="58"/>
        <v>0</v>
      </c>
      <c r="Q280" s="900">
        <f t="shared" si="56"/>
        <v>0</v>
      </c>
      <c r="R280" s="900">
        <f t="shared" si="57"/>
        <v>0</v>
      </c>
      <c r="S280" s="937">
        <f>NC_DKDD!G192</f>
        <v>0</v>
      </c>
      <c r="T280" s="845">
        <f>'[1]1,DG-capmoi'!N276</f>
        <v>0</v>
      </c>
      <c r="U280" s="845">
        <f t="shared" si="53"/>
        <v>0</v>
      </c>
    </row>
    <row r="281" spans="1:21" s="917" customFormat="1" ht="33" customHeight="1">
      <c r="A281" s="832">
        <v>4</v>
      </c>
      <c r="B281" s="827" t="s">
        <v>768</v>
      </c>
      <c r="C281" s="832" t="s">
        <v>281</v>
      </c>
      <c r="D281" s="926" t="s">
        <v>881</v>
      </c>
      <c r="E281" s="925" t="e">
        <f>NC_DKDD!H193</f>
        <v>#VALUE!</v>
      </c>
      <c r="F281" s="925"/>
      <c r="G281" s="893"/>
      <c r="H281" s="893"/>
      <c r="I281" s="893"/>
      <c r="J281" s="893"/>
      <c r="K281" s="893"/>
      <c r="L281" s="871"/>
      <c r="M281" s="871"/>
      <c r="N281" s="871"/>
      <c r="O281" s="871"/>
      <c r="P281" s="925">
        <f t="shared" si="58"/>
        <v>3074.0384615384614</v>
      </c>
      <c r="Q281" s="900">
        <f t="shared" si="56"/>
        <v>2673.0769230769229</v>
      </c>
      <c r="R281" s="900">
        <f t="shared" si="57"/>
        <v>400.96153846153845</v>
      </c>
      <c r="S281" s="937">
        <f>NC_DKDD!G193</f>
        <v>0.5</v>
      </c>
      <c r="T281" s="845">
        <f>'[1]1,DG-capmoi'!N277</f>
        <v>0</v>
      </c>
      <c r="U281" s="845">
        <f t="shared" si="53"/>
        <v>0</v>
      </c>
    </row>
    <row r="282" spans="1:21" s="917" customFormat="1" ht="33" customHeight="1">
      <c r="A282" s="832">
        <v>5</v>
      </c>
      <c r="B282" s="827" t="s">
        <v>69</v>
      </c>
      <c r="C282" s="832" t="s">
        <v>523</v>
      </c>
      <c r="D282" s="926" t="s">
        <v>881</v>
      </c>
      <c r="E282" s="925" t="e">
        <f>NC_DKDD!H194</f>
        <v>#VALUE!</v>
      </c>
      <c r="F282" s="925"/>
      <c r="G282" s="893"/>
      <c r="H282" s="893"/>
      <c r="I282" s="893"/>
      <c r="J282" s="893"/>
      <c r="K282" s="893"/>
      <c r="L282" s="871"/>
      <c r="M282" s="871"/>
      <c r="N282" s="871"/>
      <c r="O282" s="871"/>
      <c r="P282" s="925">
        <f t="shared" si="58"/>
        <v>36.888461538461534</v>
      </c>
      <c r="Q282" s="900">
        <f t="shared" si="56"/>
        <v>32.076923076923073</v>
      </c>
      <c r="R282" s="900">
        <f t="shared" si="57"/>
        <v>4.8115384615384613</v>
      </c>
      <c r="S282" s="937">
        <f>NC_DKDD!G194</f>
        <v>6.0000000000000001E-3</v>
      </c>
      <c r="T282" s="845">
        <f>'[1]1,DG-capmoi'!N278</f>
        <v>0</v>
      </c>
      <c r="U282" s="845">
        <f t="shared" si="53"/>
        <v>0</v>
      </c>
    </row>
    <row r="283" spans="1:21" s="917" customFormat="1" ht="57">
      <c r="A283" s="832">
        <v>6</v>
      </c>
      <c r="B283" s="827" t="s">
        <v>958</v>
      </c>
      <c r="C283" s="832"/>
      <c r="D283" s="897"/>
      <c r="E283" s="925">
        <f>NC_DKDD!H195</f>
        <v>0</v>
      </c>
      <c r="F283" s="925"/>
      <c r="G283" s="893"/>
      <c r="H283" s="893"/>
      <c r="I283" s="893"/>
      <c r="J283" s="893"/>
      <c r="K283" s="893"/>
      <c r="L283" s="871"/>
      <c r="M283" s="871"/>
      <c r="N283" s="871"/>
      <c r="O283" s="871"/>
      <c r="P283" s="925">
        <f t="shared" si="58"/>
        <v>0</v>
      </c>
      <c r="Q283" s="900">
        <f t="shared" si="56"/>
        <v>0</v>
      </c>
      <c r="R283" s="900">
        <f t="shared" si="57"/>
        <v>0</v>
      </c>
      <c r="S283" s="937">
        <f>NC_DKDD!G195</f>
        <v>0</v>
      </c>
      <c r="T283" s="845">
        <f>'[1]1,DG-capmoi'!N279</f>
        <v>0</v>
      </c>
      <c r="U283" s="845">
        <f t="shared" si="53"/>
        <v>0</v>
      </c>
    </row>
    <row r="284" spans="1:21" s="917" customFormat="1" ht="27" customHeight="1">
      <c r="A284" s="832" t="s">
        <v>444</v>
      </c>
      <c r="B284" s="827" t="s">
        <v>770</v>
      </c>
      <c r="C284" s="832" t="s">
        <v>523</v>
      </c>
      <c r="D284" s="926" t="s">
        <v>881</v>
      </c>
      <c r="E284" s="925" t="e">
        <f>NC_DKDD!H196</f>
        <v>#VALUE!</v>
      </c>
      <c r="F284" s="925"/>
      <c r="G284" s="893"/>
      <c r="H284" s="893"/>
      <c r="I284" s="893"/>
      <c r="J284" s="893"/>
      <c r="K284" s="893"/>
      <c r="L284" s="871"/>
      <c r="M284" s="871"/>
      <c r="N284" s="871"/>
      <c r="O284" s="871"/>
      <c r="P284" s="925">
        <f t="shared" si="58"/>
        <v>307.40384615384619</v>
      </c>
      <c r="Q284" s="900">
        <f t="shared" si="56"/>
        <v>267.30769230769232</v>
      </c>
      <c r="R284" s="900">
        <f t="shared" si="57"/>
        <v>40.096153846153847</v>
      </c>
      <c r="S284" s="937">
        <f>NC_DKDD!G196</f>
        <v>0.05</v>
      </c>
      <c r="T284" s="845">
        <f>'[1]1,DG-capmoi'!N280</f>
        <v>0</v>
      </c>
      <c r="U284" s="845">
        <f t="shared" si="53"/>
        <v>0</v>
      </c>
    </row>
    <row r="285" spans="1:21" s="917" customFormat="1" ht="27" customHeight="1">
      <c r="A285" s="832" t="s">
        <v>445</v>
      </c>
      <c r="B285" s="827" t="s">
        <v>771</v>
      </c>
      <c r="C285" s="832" t="s">
        <v>523</v>
      </c>
      <c r="D285" s="926" t="s">
        <v>881</v>
      </c>
      <c r="E285" s="925" t="e">
        <f>NC_DKDD!H197</f>
        <v>#VALUE!</v>
      </c>
      <c r="F285" s="925"/>
      <c r="G285" s="893"/>
      <c r="H285" s="893"/>
      <c r="I285" s="893"/>
      <c r="J285" s="893"/>
      <c r="K285" s="893"/>
      <c r="L285" s="871"/>
      <c r="M285" s="871"/>
      <c r="N285" s="871"/>
      <c r="O285" s="871"/>
      <c r="P285" s="925">
        <f t="shared" si="58"/>
        <v>614.80769230769238</v>
      </c>
      <c r="Q285" s="900">
        <f t="shared" si="56"/>
        <v>534.61538461538464</v>
      </c>
      <c r="R285" s="900">
        <f t="shared" si="57"/>
        <v>80.192307692307693</v>
      </c>
      <c r="S285" s="937">
        <f>NC_DKDD!G197</f>
        <v>0.1</v>
      </c>
      <c r="T285" s="845">
        <f>'[1]1,DG-capmoi'!N281</f>
        <v>0</v>
      </c>
      <c r="U285" s="845">
        <f t="shared" si="53"/>
        <v>0</v>
      </c>
    </row>
    <row r="286" spans="1:21" s="917" customFormat="1" ht="48" customHeight="1">
      <c r="A286" s="832">
        <v>7</v>
      </c>
      <c r="B286" s="827" t="s">
        <v>772</v>
      </c>
      <c r="C286" s="832"/>
      <c r="D286" s="897"/>
      <c r="E286" s="925">
        <f>NC_DKDD!H198</f>
        <v>0</v>
      </c>
      <c r="F286" s="925"/>
      <c r="G286" s="893"/>
      <c r="H286" s="893"/>
      <c r="I286" s="893"/>
      <c r="J286" s="893"/>
      <c r="K286" s="893"/>
      <c r="L286" s="871"/>
      <c r="M286" s="871"/>
      <c r="N286" s="871"/>
      <c r="O286" s="871"/>
      <c r="P286" s="925">
        <f t="shared" si="58"/>
        <v>0</v>
      </c>
      <c r="Q286" s="900">
        <f t="shared" si="56"/>
        <v>0</v>
      </c>
      <c r="R286" s="900">
        <f t="shared" si="57"/>
        <v>0</v>
      </c>
      <c r="S286" s="937">
        <f>NC_DKDD!G198</f>
        <v>0</v>
      </c>
      <c r="T286" s="845">
        <f>'[1]1,DG-capmoi'!N282</f>
        <v>0</v>
      </c>
      <c r="U286" s="845">
        <f t="shared" si="53"/>
        <v>0</v>
      </c>
    </row>
    <row r="287" spans="1:21" s="917" customFormat="1" ht="29.25" customHeight="1">
      <c r="A287" s="832" t="s">
        <v>872</v>
      </c>
      <c r="B287" s="827" t="s">
        <v>773</v>
      </c>
      <c r="C287" s="832" t="s">
        <v>281</v>
      </c>
      <c r="D287" s="926" t="s">
        <v>881</v>
      </c>
      <c r="E287" s="925" t="e">
        <f>NC_DKDD!H199</f>
        <v>#VALUE!</v>
      </c>
      <c r="F287" s="925"/>
      <c r="G287" s="893"/>
      <c r="H287" s="893"/>
      <c r="I287" s="893"/>
      <c r="J287" s="893"/>
      <c r="K287" s="893"/>
      <c r="L287" s="871"/>
      <c r="M287" s="871"/>
      <c r="N287" s="871"/>
      <c r="O287" s="871"/>
      <c r="P287" s="925">
        <f t="shared" si="58"/>
        <v>614.80769230769238</v>
      </c>
      <c r="Q287" s="900">
        <f t="shared" si="56"/>
        <v>534.61538461538464</v>
      </c>
      <c r="R287" s="900">
        <f t="shared" si="57"/>
        <v>80.192307692307693</v>
      </c>
      <c r="S287" s="937">
        <f>NC_DKDD!G199</f>
        <v>0.1</v>
      </c>
      <c r="T287" s="845">
        <f>'[1]1,DG-capmoi'!N283</f>
        <v>0</v>
      </c>
      <c r="U287" s="845">
        <f t="shared" si="53"/>
        <v>0</v>
      </c>
    </row>
    <row r="288" spans="1:21" s="917" customFormat="1" ht="29.25" customHeight="1">
      <c r="A288" s="832" t="s">
        <v>873</v>
      </c>
      <c r="B288" s="827" t="s">
        <v>774</v>
      </c>
      <c r="C288" s="832" t="s">
        <v>281</v>
      </c>
      <c r="D288" s="926" t="s">
        <v>881</v>
      </c>
      <c r="E288" s="925" t="e">
        <f>NC_DKDD!H200</f>
        <v>#VALUE!</v>
      </c>
      <c r="F288" s="925"/>
      <c r="G288" s="893"/>
      <c r="H288" s="893"/>
      <c r="I288" s="893"/>
      <c r="J288" s="893"/>
      <c r="K288" s="893"/>
      <c r="L288" s="871"/>
      <c r="M288" s="871"/>
      <c r="N288" s="871"/>
      <c r="O288" s="871"/>
      <c r="P288" s="925">
        <f t="shared" si="58"/>
        <v>1229.6153846153848</v>
      </c>
      <c r="Q288" s="900">
        <f t="shared" si="56"/>
        <v>1069.2307692307693</v>
      </c>
      <c r="R288" s="900">
        <f t="shared" si="57"/>
        <v>160.38461538461539</v>
      </c>
      <c r="S288" s="937">
        <f>NC_DKDD!G200</f>
        <v>0.2</v>
      </c>
      <c r="T288" s="845">
        <f>'[1]1,DG-capmoi'!N284</f>
        <v>0</v>
      </c>
      <c r="U288" s="845">
        <f t="shared" si="53"/>
        <v>0</v>
      </c>
    </row>
    <row r="289" spans="1:21" s="917" customFormat="1" ht="29.25" customHeight="1">
      <c r="A289" s="832">
        <v>8</v>
      </c>
      <c r="B289" s="827" t="s">
        <v>959</v>
      </c>
      <c r="C289" s="832"/>
      <c r="D289" s="938"/>
      <c r="E289" s="925">
        <f>NC_DKDD!H201</f>
        <v>0</v>
      </c>
      <c r="F289" s="925"/>
      <c r="G289" s="893"/>
      <c r="H289" s="893"/>
      <c r="I289" s="893"/>
      <c r="J289" s="893"/>
      <c r="K289" s="893"/>
      <c r="L289" s="871"/>
      <c r="M289" s="871"/>
      <c r="N289" s="871"/>
      <c r="O289" s="871"/>
      <c r="P289" s="925">
        <f t="shared" si="58"/>
        <v>0</v>
      </c>
      <c r="Q289" s="900">
        <f t="shared" si="56"/>
        <v>0</v>
      </c>
      <c r="R289" s="900">
        <f t="shared" si="57"/>
        <v>0</v>
      </c>
      <c r="S289" s="937">
        <f>NC_DKDD!G201</f>
        <v>0</v>
      </c>
      <c r="T289" s="845">
        <f>'[1]1,DG-capmoi'!N285</f>
        <v>0</v>
      </c>
      <c r="U289" s="845">
        <f t="shared" si="53"/>
        <v>0</v>
      </c>
    </row>
    <row r="290" spans="1:21" s="917" customFormat="1" ht="57">
      <c r="A290" s="832" t="s">
        <v>374</v>
      </c>
      <c r="B290" s="827" t="s">
        <v>543</v>
      </c>
      <c r="C290" s="832"/>
      <c r="D290" s="938"/>
      <c r="E290" s="925">
        <f>NC_DKDD!H202</f>
        <v>0</v>
      </c>
      <c r="F290" s="925"/>
      <c r="G290" s="893"/>
      <c r="H290" s="893"/>
      <c r="I290" s="893"/>
      <c r="J290" s="893"/>
      <c r="K290" s="893"/>
      <c r="L290" s="871"/>
      <c r="M290" s="871"/>
      <c r="N290" s="871"/>
      <c r="O290" s="871"/>
      <c r="P290" s="925">
        <f t="shared" si="58"/>
        <v>0</v>
      </c>
      <c r="Q290" s="900">
        <f t="shared" si="56"/>
        <v>0</v>
      </c>
      <c r="R290" s="900">
        <f t="shared" si="57"/>
        <v>0</v>
      </c>
      <c r="S290" s="937">
        <f>NC_DKDD!G202</f>
        <v>0</v>
      </c>
      <c r="T290" s="845">
        <f>'[1]1,DG-capmoi'!N286</f>
        <v>0</v>
      </c>
      <c r="U290" s="845">
        <f t="shared" si="53"/>
        <v>0</v>
      </c>
    </row>
    <row r="291" spans="1:21" s="917" customFormat="1" ht="27" customHeight="1">
      <c r="A291" s="832" t="s">
        <v>544</v>
      </c>
      <c r="B291" s="827" t="s">
        <v>33</v>
      </c>
      <c r="C291" s="832" t="s">
        <v>281</v>
      </c>
      <c r="D291" s="933" t="s">
        <v>881</v>
      </c>
      <c r="E291" s="925" t="e">
        <f>NC_DKDD!H203</f>
        <v>#VALUE!</v>
      </c>
      <c r="F291" s="925"/>
      <c r="G291" s="893"/>
      <c r="H291" s="893"/>
      <c r="I291" s="893"/>
      <c r="J291" s="893"/>
      <c r="K291" s="893"/>
      <c r="L291" s="871"/>
      <c r="M291" s="871"/>
      <c r="N291" s="871"/>
      <c r="O291" s="871"/>
      <c r="P291" s="925">
        <f t="shared" si="58"/>
        <v>1229.6153846153848</v>
      </c>
      <c r="Q291" s="900">
        <f t="shared" si="56"/>
        <v>1069.2307692307693</v>
      </c>
      <c r="R291" s="900">
        <f t="shared" si="57"/>
        <v>160.38461538461539</v>
      </c>
      <c r="S291" s="937">
        <f>NC_DKDD!G203</f>
        <v>0.2</v>
      </c>
      <c r="T291" s="845">
        <f>'[1]1,DG-capmoi'!N287</f>
        <v>0</v>
      </c>
      <c r="U291" s="845">
        <f t="shared" si="53"/>
        <v>0</v>
      </c>
    </row>
    <row r="292" spans="1:21" s="917" customFormat="1" ht="27" customHeight="1">
      <c r="A292" s="832" t="s">
        <v>545</v>
      </c>
      <c r="B292" s="827" t="s">
        <v>36</v>
      </c>
      <c r="C292" s="832" t="s">
        <v>281</v>
      </c>
      <c r="D292" s="933" t="s">
        <v>881</v>
      </c>
      <c r="E292" s="925" t="e">
        <f>NC_DKDD!H204</f>
        <v>#VALUE!</v>
      </c>
      <c r="F292" s="925"/>
      <c r="G292" s="893"/>
      <c r="H292" s="893"/>
      <c r="I292" s="893"/>
      <c r="J292" s="893"/>
      <c r="K292" s="893"/>
      <c r="L292" s="871"/>
      <c r="M292" s="871"/>
      <c r="N292" s="871"/>
      <c r="O292" s="871"/>
      <c r="P292" s="925">
        <f t="shared" si="58"/>
        <v>614.80769230769238</v>
      </c>
      <c r="Q292" s="900">
        <f t="shared" si="56"/>
        <v>534.61538461538464</v>
      </c>
      <c r="R292" s="900">
        <f t="shared" si="57"/>
        <v>80.192307692307693</v>
      </c>
      <c r="S292" s="937">
        <f>NC_DKDD!G204</f>
        <v>0.1</v>
      </c>
      <c r="T292" s="845">
        <f>'[1]1,DG-capmoi'!N288</f>
        <v>0</v>
      </c>
      <c r="U292" s="845">
        <f t="shared" si="53"/>
        <v>0</v>
      </c>
    </row>
    <row r="293" spans="1:21" s="917" customFormat="1" ht="57">
      <c r="A293" s="832" t="s">
        <v>375</v>
      </c>
      <c r="B293" s="827" t="s">
        <v>1064</v>
      </c>
      <c r="C293" s="832"/>
      <c r="D293" s="832"/>
      <c r="E293" s="925">
        <f>NC_DKDD!H205</f>
        <v>0</v>
      </c>
      <c r="F293" s="925"/>
      <c r="G293" s="893"/>
      <c r="H293" s="893"/>
      <c r="I293" s="893"/>
      <c r="J293" s="893"/>
      <c r="K293" s="893"/>
      <c r="L293" s="871"/>
      <c r="M293" s="871"/>
      <c r="N293" s="871"/>
      <c r="O293" s="871"/>
      <c r="P293" s="925">
        <f t="shared" si="58"/>
        <v>0</v>
      </c>
      <c r="Q293" s="900">
        <f t="shared" si="56"/>
        <v>0</v>
      </c>
      <c r="R293" s="900">
        <f t="shared" si="57"/>
        <v>0</v>
      </c>
      <c r="S293" s="937">
        <f>NC_DKDD!G205</f>
        <v>0</v>
      </c>
      <c r="T293" s="845">
        <f>'[1]1,DG-capmoi'!N289</f>
        <v>0</v>
      </c>
      <c r="U293" s="845">
        <f t="shared" si="53"/>
        <v>0</v>
      </c>
    </row>
    <row r="294" spans="1:21" s="917" customFormat="1" ht="27" customHeight="1">
      <c r="A294" s="832" t="s">
        <v>442</v>
      </c>
      <c r="B294" s="827" t="s">
        <v>33</v>
      </c>
      <c r="C294" s="832" t="s">
        <v>281</v>
      </c>
      <c r="D294" s="933" t="s">
        <v>881</v>
      </c>
      <c r="E294" s="925" t="e">
        <f>NC_DKDD!H206</f>
        <v>#VALUE!</v>
      </c>
      <c r="F294" s="925"/>
      <c r="G294" s="893"/>
      <c r="H294" s="893"/>
      <c r="I294" s="893"/>
      <c r="J294" s="893"/>
      <c r="K294" s="893"/>
      <c r="L294" s="871"/>
      <c r="M294" s="871"/>
      <c r="N294" s="871"/>
      <c r="O294" s="871"/>
      <c r="P294" s="925">
        <f t="shared" si="58"/>
        <v>1229.6153846153848</v>
      </c>
      <c r="Q294" s="900">
        <f t="shared" si="56"/>
        <v>1069.2307692307693</v>
      </c>
      <c r="R294" s="900">
        <f t="shared" si="57"/>
        <v>160.38461538461539</v>
      </c>
      <c r="S294" s="937">
        <f>NC_DKDD!G206</f>
        <v>0.2</v>
      </c>
      <c r="T294" s="845">
        <f>'[1]1,DG-capmoi'!N290</f>
        <v>0</v>
      </c>
      <c r="U294" s="845">
        <f t="shared" si="53"/>
        <v>0</v>
      </c>
    </row>
    <row r="295" spans="1:21" s="917" customFormat="1" ht="27" customHeight="1">
      <c r="A295" s="832" t="s">
        <v>443</v>
      </c>
      <c r="B295" s="827" t="s">
        <v>36</v>
      </c>
      <c r="C295" s="832" t="s">
        <v>281</v>
      </c>
      <c r="D295" s="933" t="s">
        <v>881</v>
      </c>
      <c r="E295" s="925" t="e">
        <f>NC_DKDD!H207</f>
        <v>#VALUE!</v>
      </c>
      <c r="F295" s="925"/>
      <c r="G295" s="893"/>
      <c r="H295" s="893"/>
      <c r="I295" s="893"/>
      <c r="J295" s="893"/>
      <c r="K295" s="893"/>
      <c r="L295" s="871"/>
      <c r="M295" s="871"/>
      <c r="N295" s="871"/>
      <c r="O295" s="871"/>
      <c r="P295" s="925">
        <f t="shared" si="58"/>
        <v>614.80769230769238</v>
      </c>
      <c r="Q295" s="900">
        <f t="shared" si="56"/>
        <v>534.61538461538464</v>
      </c>
      <c r="R295" s="900">
        <f t="shared" si="57"/>
        <v>80.192307692307693</v>
      </c>
      <c r="S295" s="937">
        <f>NC_DKDD!G207</f>
        <v>0.1</v>
      </c>
      <c r="T295" s="845">
        <f>'[1]1,DG-capmoi'!N291</f>
        <v>0</v>
      </c>
      <c r="U295" s="845">
        <f t="shared" si="53"/>
        <v>0</v>
      </c>
    </row>
    <row r="296" spans="1:21" s="917" customFormat="1" ht="36" customHeight="1">
      <c r="A296" s="832">
        <v>9</v>
      </c>
      <c r="B296" s="827" t="s">
        <v>211</v>
      </c>
      <c r="C296" s="832" t="s">
        <v>523</v>
      </c>
      <c r="D296" s="933" t="s">
        <v>881</v>
      </c>
      <c r="E296" s="925" t="e">
        <f>NC_DKDD!H208</f>
        <v>#VALUE!</v>
      </c>
      <c r="F296" s="925"/>
      <c r="G296" s="893"/>
      <c r="H296" s="893"/>
      <c r="I296" s="893"/>
      <c r="J296" s="893"/>
      <c r="K296" s="893"/>
      <c r="L296" s="871"/>
      <c r="M296" s="871"/>
      <c r="N296" s="871"/>
      <c r="O296" s="871"/>
      <c r="P296" s="925">
        <f t="shared" si="58"/>
        <v>184.44230769230768</v>
      </c>
      <c r="Q296" s="900">
        <f t="shared" si="56"/>
        <v>160.38461538461536</v>
      </c>
      <c r="R296" s="900">
        <f t="shared" si="57"/>
        <v>24.057692307692307</v>
      </c>
      <c r="S296" s="937">
        <f>NC_DKDD!G208</f>
        <v>0.03</v>
      </c>
      <c r="T296" s="845">
        <f>'[1]1,DG-capmoi'!N292</f>
        <v>0</v>
      </c>
      <c r="U296" s="845">
        <f t="shared" si="53"/>
        <v>0</v>
      </c>
    </row>
    <row r="297" spans="1:21" s="917" customFormat="1" ht="27" customHeight="1">
      <c r="A297" s="832">
        <v>10</v>
      </c>
      <c r="B297" s="827" t="s">
        <v>978</v>
      </c>
      <c r="C297" s="832" t="s">
        <v>524</v>
      </c>
      <c r="D297" s="933" t="s">
        <v>881</v>
      </c>
      <c r="E297" s="925" t="e">
        <f>NC_DKDD!H209</f>
        <v>#VALUE!</v>
      </c>
      <c r="F297" s="925"/>
      <c r="G297" s="893"/>
      <c r="H297" s="893"/>
      <c r="I297" s="893"/>
      <c r="J297" s="893"/>
      <c r="K297" s="893"/>
      <c r="L297" s="871"/>
      <c r="M297" s="871"/>
      <c r="N297" s="871"/>
      <c r="O297" s="871"/>
      <c r="P297" s="925">
        <f t="shared" si="58"/>
        <v>1229.6153846153848</v>
      </c>
      <c r="Q297" s="900">
        <f t="shared" si="56"/>
        <v>1069.2307692307693</v>
      </c>
      <c r="R297" s="900">
        <f t="shared" si="57"/>
        <v>160.38461538461539</v>
      </c>
      <c r="S297" s="937">
        <f>NC_DKDD!G209</f>
        <v>0.2</v>
      </c>
      <c r="T297" s="845">
        <f>'[1]1,DG-capmoi'!N293</f>
        <v>0</v>
      </c>
      <c r="U297" s="845">
        <f t="shared" si="53"/>
        <v>0</v>
      </c>
    </row>
    <row r="298" spans="1:21" s="917" customFormat="1" ht="27" customHeight="1">
      <c r="A298" s="832">
        <v>11</v>
      </c>
      <c r="B298" s="827" t="s">
        <v>213</v>
      </c>
      <c r="C298" s="832"/>
      <c r="D298" s="832"/>
      <c r="E298" s="925">
        <f>NC_DKDD!H210</f>
        <v>0</v>
      </c>
      <c r="F298" s="925"/>
      <c r="G298" s="893"/>
      <c r="H298" s="893"/>
      <c r="I298" s="893"/>
      <c r="J298" s="893"/>
      <c r="K298" s="893"/>
      <c r="L298" s="871"/>
      <c r="M298" s="871"/>
      <c r="N298" s="871"/>
      <c r="O298" s="871"/>
      <c r="P298" s="925">
        <f t="shared" si="58"/>
        <v>0</v>
      </c>
      <c r="Q298" s="900">
        <f t="shared" si="56"/>
        <v>0</v>
      </c>
      <c r="R298" s="900">
        <f t="shared" si="57"/>
        <v>0</v>
      </c>
      <c r="S298" s="937">
        <f>NC_DKDD!G210</f>
        <v>0</v>
      </c>
      <c r="T298" s="845">
        <f>'[1]1,DG-capmoi'!N294</f>
        <v>0</v>
      </c>
      <c r="U298" s="845">
        <f t="shared" si="53"/>
        <v>0</v>
      </c>
    </row>
    <row r="299" spans="1:21" s="917" customFormat="1" ht="27" customHeight="1">
      <c r="A299" s="832" t="s">
        <v>877</v>
      </c>
      <c r="B299" s="827" t="s">
        <v>215</v>
      </c>
      <c r="C299" s="832" t="s">
        <v>320</v>
      </c>
      <c r="D299" s="933" t="s">
        <v>881</v>
      </c>
      <c r="E299" s="925" t="e">
        <f>NC_DKDD!H211</f>
        <v>#VALUE!</v>
      </c>
      <c r="F299" s="925"/>
      <c r="G299" s="893"/>
      <c r="H299" s="893"/>
      <c r="I299" s="893"/>
      <c r="J299" s="893"/>
      <c r="K299" s="893"/>
      <c r="L299" s="871"/>
      <c r="M299" s="871"/>
      <c r="N299" s="871"/>
      <c r="O299" s="871"/>
      <c r="P299" s="925">
        <f t="shared" si="58"/>
        <v>614.80769230769238</v>
      </c>
      <c r="Q299" s="900">
        <f t="shared" si="56"/>
        <v>534.61538461538464</v>
      </c>
      <c r="R299" s="900">
        <f t="shared" si="57"/>
        <v>80.192307692307693</v>
      </c>
      <c r="S299" s="937">
        <f>NC_DKDD!G211</f>
        <v>0.1</v>
      </c>
      <c r="T299" s="845">
        <f>'[1]1,DG-capmoi'!N295</f>
        <v>0</v>
      </c>
      <c r="U299" s="845">
        <f t="shared" si="53"/>
        <v>0</v>
      </c>
    </row>
    <row r="300" spans="1:21" s="917" customFormat="1" ht="27" customHeight="1">
      <c r="A300" s="832" t="s">
        <v>878</v>
      </c>
      <c r="B300" s="827" t="s">
        <v>217</v>
      </c>
      <c r="C300" s="832" t="s">
        <v>320</v>
      </c>
      <c r="D300" s="933" t="s">
        <v>881</v>
      </c>
      <c r="E300" s="925" t="e">
        <f>NC_DKDD!H212</f>
        <v>#VALUE!</v>
      </c>
      <c r="F300" s="925"/>
      <c r="G300" s="893"/>
      <c r="H300" s="893"/>
      <c r="I300" s="893"/>
      <c r="J300" s="893"/>
      <c r="K300" s="893"/>
      <c r="L300" s="871"/>
      <c r="M300" s="871"/>
      <c r="N300" s="871"/>
      <c r="O300" s="871"/>
      <c r="P300" s="925">
        <f t="shared" si="58"/>
        <v>922.21153846153834</v>
      </c>
      <c r="Q300" s="900">
        <f t="shared" si="56"/>
        <v>801.92307692307679</v>
      </c>
      <c r="R300" s="900">
        <f t="shared" si="57"/>
        <v>120.28846153846153</v>
      </c>
      <c r="S300" s="937">
        <f>NC_DKDD!G212</f>
        <v>0.15</v>
      </c>
      <c r="T300" s="845">
        <f>'[1]1,DG-capmoi'!N296</f>
        <v>0</v>
      </c>
      <c r="U300" s="845">
        <f t="shared" si="53"/>
        <v>0</v>
      </c>
    </row>
    <row r="301" spans="1:21" s="917" customFormat="1" ht="30.75" customHeight="1">
      <c r="A301" s="832">
        <v>12</v>
      </c>
      <c r="B301" s="827" t="s">
        <v>218</v>
      </c>
      <c r="C301" s="832" t="s">
        <v>281</v>
      </c>
      <c r="D301" s="933" t="s">
        <v>881</v>
      </c>
      <c r="E301" s="925" t="e">
        <f>NC_DKDD!H213</f>
        <v>#VALUE!</v>
      </c>
      <c r="F301" s="925"/>
      <c r="G301" s="893"/>
      <c r="H301" s="893"/>
      <c r="I301" s="893"/>
      <c r="J301" s="893"/>
      <c r="K301" s="893"/>
      <c r="L301" s="871"/>
      <c r="M301" s="871"/>
      <c r="N301" s="871"/>
      <c r="O301" s="871"/>
      <c r="P301" s="925">
        <f t="shared" si="58"/>
        <v>1844.4230769230767</v>
      </c>
      <c r="Q301" s="900">
        <f t="shared" si="56"/>
        <v>1603.8461538461536</v>
      </c>
      <c r="R301" s="900">
        <f t="shared" si="57"/>
        <v>240.57692307692307</v>
      </c>
      <c r="S301" s="937">
        <f>NC_DKDD!G213</f>
        <v>0.3</v>
      </c>
      <c r="T301" s="845">
        <f>'[1]1,DG-capmoi'!N297</f>
        <v>0</v>
      </c>
      <c r="U301" s="845">
        <f t="shared" si="53"/>
        <v>0</v>
      </c>
    </row>
    <row r="302" spans="1:21" s="917" customFormat="1" ht="30.75" customHeight="1">
      <c r="A302" s="832">
        <v>13</v>
      </c>
      <c r="B302" s="827" t="s">
        <v>1065</v>
      </c>
      <c r="C302" s="832" t="s">
        <v>281</v>
      </c>
      <c r="D302" s="933" t="s">
        <v>881</v>
      </c>
      <c r="E302" s="925" t="e">
        <f>NC_DKDD!H214</f>
        <v>#VALUE!</v>
      </c>
      <c r="F302" s="925"/>
      <c r="G302" s="893"/>
      <c r="H302" s="893"/>
      <c r="I302" s="893"/>
      <c r="J302" s="893"/>
      <c r="K302" s="893"/>
      <c r="L302" s="871"/>
      <c r="M302" s="871"/>
      <c r="N302" s="871"/>
      <c r="O302" s="871"/>
      <c r="P302" s="925">
        <f t="shared" si="58"/>
        <v>1045.1730769230769</v>
      </c>
      <c r="Q302" s="900">
        <f t="shared" si="56"/>
        <v>908.84615384615381</v>
      </c>
      <c r="R302" s="900">
        <f t="shared" si="57"/>
        <v>136.32692307692309</v>
      </c>
      <c r="S302" s="937">
        <f>NC_DKDD!G214</f>
        <v>0.17</v>
      </c>
      <c r="T302" s="845">
        <f>'[1]1,DG-capmoi'!N298</f>
        <v>0</v>
      </c>
      <c r="U302" s="845">
        <f t="shared" si="53"/>
        <v>0</v>
      </c>
    </row>
    <row r="303" spans="1:21" s="917" customFormat="1" ht="27" customHeight="1">
      <c r="A303" s="832">
        <v>14</v>
      </c>
      <c r="B303" s="827" t="s">
        <v>220</v>
      </c>
      <c r="C303" s="832" t="s">
        <v>523</v>
      </c>
      <c r="D303" s="933" t="s">
        <v>881</v>
      </c>
      <c r="E303" s="925" t="e">
        <f>NC_DKDD!H215</f>
        <v>#VALUE!</v>
      </c>
      <c r="F303" s="925"/>
      <c r="G303" s="893"/>
      <c r="H303" s="893"/>
      <c r="I303" s="893"/>
      <c r="J303" s="893"/>
      <c r="K303" s="893"/>
      <c r="L303" s="871"/>
      <c r="M303" s="871"/>
      <c r="N303" s="871"/>
      <c r="O303" s="871"/>
      <c r="P303" s="925">
        <f t="shared" si="58"/>
        <v>202.88653846153844</v>
      </c>
      <c r="Q303" s="900">
        <f t="shared" si="56"/>
        <v>176.42307692307691</v>
      </c>
      <c r="R303" s="900">
        <f t="shared" si="57"/>
        <v>26.463461538461541</v>
      </c>
      <c r="S303" s="937">
        <f>NC_DKDD!G215</f>
        <v>3.3000000000000002E-2</v>
      </c>
      <c r="T303" s="845">
        <f>'[1]1,DG-capmoi'!N299</f>
        <v>0</v>
      </c>
      <c r="U303" s="845">
        <f t="shared" si="53"/>
        <v>0</v>
      </c>
    </row>
    <row r="304" spans="1:21" s="917" customFormat="1" ht="27" customHeight="1">
      <c r="A304" s="832">
        <v>15</v>
      </c>
      <c r="B304" s="827" t="s">
        <v>221</v>
      </c>
      <c r="C304" s="832"/>
      <c r="D304" s="832"/>
      <c r="E304" s="925">
        <f>NC_DKDD!H216</f>
        <v>0</v>
      </c>
      <c r="F304" s="925"/>
      <c r="G304" s="893"/>
      <c r="H304" s="893"/>
      <c r="I304" s="893"/>
      <c r="J304" s="893"/>
      <c r="K304" s="893"/>
      <c r="L304" s="871"/>
      <c r="M304" s="871"/>
      <c r="N304" s="871"/>
      <c r="O304" s="871"/>
      <c r="P304" s="925">
        <f t="shared" si="58"/>
        <v>0</v>
      </c>
      <c r="Q304" s="900">
        <f t="shared" si="56"/>
        <v>0</v>
      </c>
      <c r="R304" s="900">
        <f t="shared" si="57"/>
        <v>0</v>
      </c>
      <c r="S304" s="937">
        <f>NC_DKDD!G216</f>
        <v>0</v>
      </c>
      <c r="T304" s="845">
        <f>'[1]1,DG-capmoi'!N300</f>
        <v>0</v>
      </c>
      <c r="U304" s="845">
        <f t="shared" si="53"/>
        <v>0</v>
      </c>
    </row>
    <row r="305" spans="1:21" s="917" customFormat="1" ht="33.75" customHeight="1">
      <c r="A305" s="832" t="s">
        <v>1066</v>
      </c>
      <c r="B305" s="827" t="s">
        <v>931</v>
      </c>
      <c r="C305" s="832"/>
      <c r="D305" s="832"/>
      <c r="E305" s="925">
        <f>NC_DKDD!H217</f>
        <v>0</v>
      </c>
      <c r="F305" s="925"/>
      <c r="G305" s="893"/>
      <c r="H305" s="893"/>
      <c r="I305" s="893"/>
      <c r="J305" s="893"/>
      <c r="K305" s="893"/>
      <c r="L305" s="871"/>
      <c r="M305" s="871"/>
      <c r="N305" s="871"/>
      <c r="O305" s="871"/>
      <c r="P305" s="925">
        <f t="shared" si="58"/>
        <v>0</v>
      </c>
      <c r="Q305" s="900">
        <f t="shared" si="56"/>
        <v>0</v>
      </c>
      <c r="R305" s="900">
        <f t="shared" si="57"/>
        <v>0</v>
      </c>
      <c r="S305" s="937">
        <f>NC_DKDD!G217</f>
        <v>0</v>
      </c>
      <c r="T305" s="845">
        <f>'[1]1,DG-capmoi'!N301</f>
        <v>0</v>
      </c>
      <c r="U305" s="845">
        <f t="shared" si="53"/>
        <v>0</v>
      </c>
    </row>
    <row r="306" spans="1:21" s="917" customFormat="1" ht="27" customHeight="1">
      <c r="A306" s="832" t="s">
        <v>1067</v>
      </c>
      <c r="B306" s="827" t="s">
        <v>933</v>
      </c>
      <c r="C306" s="832" t="s">
        <v>525</v>
      </c>
      <c r="D306" s="933" t="s">
        <v>881</v>
      </c>
      <c r="E306" s="925" t="e">
        <f>NC_DKDD!H218</f>
        <v>#VALUE!</v>
      </c>
      <c r="F306" s="925"/>
      <c r="G306" s="893"/>
      <c r="H306" s="893"/>
      <c r="I306" s="893"/>
      <c r="J306" s="893"/>
      <c r="K306" s="893"/>
      <c r="L306" s="871"/>
      <c r="M306" s="871"/>
      <c r="N306" s="871"/>
      <c r="O306" s="871"/>
      <c r="P306" s="925">
        <f t="shared" si="58"/>
        <v>98.369230769230768</v>
      </c>
      <c r="Q306" s="900">
        <f t="shared" si="56"/>
        <v>85.538461538461533</v>
      </c>
      <c r="R306" s="900">
        <f t="shared" si="57"/>
        <v>12.830769230769231</v>
      </c>
      <c r="S306" s="937">
        <f>NC_DKDD!G218</f>
        <v>1.6E-2</v>
      </c>
      <c r="T306" s="845">
        <f>'[1]1,DG-capmoi'!N302</f>
        <v>0</v>
      </c>
      <c r="U306" s="845">
        <f t="shared" si="53"/>
        <v>0</v>
      </c>
    </row>
    <row r="307" spans="1:21" s="917" customFormat="1" ht="27" customHeight="1">
      <c r="A307" s="832" t="s">
        <v>1068</v>
      </c>
      <c r="B307" s="827" t="s">
        <v>937</v>
      </c>
      <c r="C307" s="832" t="s">
        <v>525</v>
      </c>
      <c r="D307" s="933" t="s">
        <v>881</v>
      </c>
      <c r="E307" s="925" t="e">
        <f>NC_DKDD!H219</f>
        <v>#VALUE!</v>
      </c>
      <c r="F307" s="925"/>
      <c r="G307" s="893"/>
      <c r="H307" s="893"/>
      <c r="I307" s="893"/>
      <c r="J307" s="893"/>
      <c r="K307" s="893"/>
      <c r="L307" s="871"/>
      <c r="M307" s="871"/>
      <c r="N307" s="871"/>
      <c r="O307" s="871"/>
      <c r="P307" s="925">
        <f t="shared" si="58"/>
        <v>49.184615384615384</v>
      </c>
      <c r="Q307" s="900">
        <f t="shared" si="56"/>
        <v>42.769230769230766</v>
      </c>
      <c r="R307" s="900">
        <f t="shared" si="57"/>
        <v>6.4153846153846157</v>
      </c>
      <c r="S307" s="937">
        <f>NC_DKDD!G219</f>
        <v>8.0000000000000002E-3</v>
      </c>
      <c r="T307" s="845">
        <f>'[1]1,DG-capmoi'!N303</f>
        <v>0</v>
      </c>
      <c r="U307" s="845">
        <f t="shared" si="53"/>
        <v>0</v>
      </c>
    </row>
    <row r="308" spans="1:21" s="917" customFormat="1" ht="29.25" customHeight="1">
      <c r="A308" s="832" t="s">
        <v>1069</v>
      </c>
      <c r="B308" s="827" t="s">
        <v>48</v>
      </c>
      <c r="C308" s="832" t="s">
        <v>525</v>
      </c>
      <c r="D308" s="933" t="s">
        <v>881</v>
      </c>
      <c r="E308" s="925" t="e">
        <f>NC_DKDD!H220</f>
        <v>#VALUE!</v>
      </c>
      <c r="F308" s="925"/>
      <c r="G308" s="893"/>
      <c r="H308" s="893"/>
      <c r="I308" s="893"/>
      <c r="J308" s="893"/>
      <c r="K308" s="893"/>
      <c r="L308" s="871"/>
      <c r="M308" s="871"/>
      <c r="N308" s="871"/>
      <c r="O308" s="871"/>
      <c r="P308" s="925">
        <f t="shared" si="58"/>
        <v>24.592307692307692</v>
      </c>
      <c r="Q308" s="900">
        <f t="shared" si="56"/>
        <v>21.384615384615383</v>
      </c>
      <c r="R308" s="900">
        <f t="shared" si="57"/>
        <v>3.2076923076923078</v>
      </c>
      <c r="S308" s="937">
        <f>NC_DKDD!G220</f>
        <v>4.0000000000000001E-3</v>
      </c>
      <c r="T308" s="845">
        <f>'[1]1,DG-capmoi'!N304</f>
        <v>0</v>
      </c>
      <c r="U308" s="845">
        <f t="shared" si="53"/>
        <v>0</v>
      </c>
    </row>
    <row r="309" spans="1:21" s="917" customFormat="1" ht="33" customHeight="1">
      <c r="A309" s="832" t="s">
        <v>1070</v>
      </c>
      <c r="B309" s="827" t="s">
        <v>50</v>
      </c>
      <c r="C309" s="832" t="s">
        <v>523</v>
      </c>
      <c r="D309" s="933" t="s">
        <v>881</v>
      </c>
      <c r="E309" s="925" t="e">
        <f>NC_DKDD!H221</f>
        <v>#VALUE!</v>
      </c>
      <c r="F309" s="925"/>
      <c r="G309" s="893"/>
      <c r="H309" s="893"/>
      <c r="I309" s="893"/>
      <c r="J309" s="893"/>
      <c r="K309" s="893"/>
      <c r="L309" s="871"/>
      <c r="M309" s="871"/>
      <c r="N309" s="871"/>
      <c r="O309" s="871"/>
      <c r="P309" s="925">
        <f t="shared" si="58"/>
        <v>61.480769230769226</v>
      </c>
      <c r="Q309" s="900">
        <f t="shared" si="56"/>
        <v>53.46153846153846</v>
      </c>
      <c r="R309" s="900">
        <f t="shared" si="57"/>
        <v>8.0192307692307701</v>
      </c>
      <c r="S309" s="937">
        <f>NC_DKDD!G221</f>
        <v>0.01</v>
      </c>
      <c r="T309" s="845">
        <f>'[1]1,DG-capmoi'!N305</f>
        <v>0</v>
      </c>
      <c r="U309" s="845">
        <f t="shared" si="53"/>
        <v>0</v>
      </c>
    </row>
    <row r="310" spans="1:21" s="917" customFormat="1" ht="42.75">
      <c r="A310" s="832">
        <v>16</v>
      </c>
      <c r="B310" s="827" t="s">
        <v>1071</v>
      </c>
      <c r="C310" s="832" t="s">
        <v>281</v>
      </c>
      <c r="D310" s="933" t="s">
        <v>881</v>
      </c>
      <c r="E310" s="925" t="e">
        <f>NC_DKDD!H222</f>
        <v>#VALUE!</v>
      </c>
      <c r="F310" s="925"/>
      <c r="G310" s="893"/>
      <c r="H310" s="893"/>
      <c r="I310" s="893"/>
      <c r="J310" s="893"/>
      <c r="K310" s="893"/>
      <c r="L310" s="871"/>
      <c r="M310" s="871"/>
      <c r="N310" s="871"/>
      <c r="O310" s="871"/>
      <c r="P310" s="925">
        <f t="shared" si="58"/>
        <v>1229.6153846153848</v>
      </c>
      <c r="Q310" s="900">
        <f t="shared" si="56"/>
        <v>1069.2307692307693</v>
      </c>
      <c r="R310" s="900">
        <f t="shared" si="57"/>
        <v>160.38461538461539</v>
      </c>
      <c r="S310" s="937">
        <f>NC_DKDD!G222</f>
        <v>0.2</v>
      </c>
      <c r="T310" s="845">
        <f>'[1]1,DG-capmoi'!N306</f>
        <v>0</v>
      </c>
      <c r="U310" s="845">
        <f t="shared" si="53"/>
        <v>0</v>
      </c>
    </row>
    <row r="311" spans="1:21" s="917" customFormat="1" ht="38.25" customHeight="1">
      <c r="A311" s="832">
        <v>17</v>
      </c>
      <c r="B311" s="827" t="s">
        <v>1072</v>
      </c>
      <c r="C311" s="832"/>
      <c r="D311" s="832"/>
      <c r="E311" s="925">
        <f>NC_DKDD!H223</f>
        <v>0</v>
      </c>
      <c r="F311" s="925"/>
      <c r="G311" s="893"/>
      <c r="H311" s="893"/>
      <c r="I311" s="893"/>
      <c r="J311" s="893"/>
      <c r="K311" s="893"/>
      <c r="L311" s="871"/>
      <c r="M311" s="871"/>
      <c r="N311" s="871"/>
      <c r="O311" s="871"/>
      <c r="P311" s="925">
        <f t="shared" si="58"/>
        <v>0</v>
      </c>
      <c r="Q311" s="900">
        <f t="shared" si="56"/>
        <v>0</v>
      </c>
      <c r="R311" s="900">
        <f t="shared" si="57"/>
        <v>0</v>
      </c>
      <c r="S311" s="937">
        <f>NC_DKDD!G223</f>
        <v>0</v>
      </c>
      <c r="T311" s="845">
        <f>'[1]1,DG-capmoi'!N307</f>
        <v>0</v>
      </c>
      <c r="U311" s="845">
        <f t="shared" ref="U311:U375" si="59">T311-N311</f>
        <v>0</v>
      </c>
    </row>
    <row r="312" spans="1:21" s="917" customFormat="1" ht="33.75" customHeight="1">
      <c r="A312" s="832" t="s">
        <v>1073</v>
      </c>
      <c r="B312" s="827" t="s">
        <v>1072</v>
      </c>
      <c r="C312" s="832" t="s">
        <v>281</v>
      </c>
      <c r="D312" s="933" t="s">
        <v>881</v>
      </c>
      <c r="E312" s="925" t="e">
        <f>NC_DKDD!H224</f>
        <v>#VALUE!</v>
      </c>
      <c r="F312" s="925"/>
      <c r="G312" s="893"/>
      <c r="H312" s="893"/>
      <c r="I312" s="893"/>
      <c r="J312" s="893"/>
      <c r="K312" s="893"/>
      <c r="L312" s="871"/>
      <c r="M312" s="871"/>
      <c r="N312" s="871"/>
      <c r="O312" s="871"/>
      <c r="P312" s="925">
        <f t="shared" si="58"/>
        <v>614.80769230769238</v>
      </c>
      <c r="Q312" s="900">
        <f t="shared" si="56"/>
        <v>534.61538461538464</v>
      </c>
      <c r="R312" s="900">
        <f t="shared" si="57"/>
        <v>80.192307692307693</v>
      </c>
      <c r="S312" s="937">
        <f>NC_DKDD!G224</f>
        <v>0.1</v>
      </c>
      <c r="T312" s="845">
        <f>'[1]1,DG-capmoi'!N308</f>
        <v>0</v>
      </c>
      <c r="U312" s="845">
        <f t="shared" si="59"/>
        <v>0</v>
      </c>
    </row>
    <row r="313" spans="1:21" s="917" customFormat="1" ht="54" customHeight="1">
      <c r="A313" s="832" t="s">
        <v>1074</v>
      </c>
      <c r="B313" s="827" t="s">
        <v>1075</v>
      </c>
      <c r="C313" s="832" t="s">
        <v>281</v>
      </c>
      <c r="D313" s="933" t="s">
        <v>881</v>
      </c>
      <c r="E313" s="925" t="e">
        <f>NC_DKDD!H225</f>
        <v>#VALUE!</v>
      </c>
      <c r="F313" s="925"/>
      <c r="G313" s="893"/>
      <c r="H313" s="893"/>
      <c r="I313" s="893"/>
      <c r="J313" s="893"/>
      <c r="K313" s="893"/>
      <c r="L313" s="871"/>
      <c r="M313" s="871"/>
      <c r="N313" s="871"/>
      <c r="O313" s="871"/>
      <c r="P313" s="925">
        <f t="shared" si="58"/>
        <v>614.80769230769238</v>
      </c>
      <c r="Q313" s="900">
        <f t="shared" si="56"/>
        <v>534.61538461538464</v>
      </c>
      <c r="R313" s="900">
        <f t="shared" si="57"/>
        <v>80.192307692307693</v>
      </c>
      <c r="S313" s="937">
        <f>NC_DKDD!G225</f>
        <v>0.1</v>
      </c>
      <c r="T313" s="845">
        <f>'[1]1,DG-capmoi'!N309</f>
        <v>0</v>
      </c>
      <c r="U313" s="845">
        <f t="shared" si="59"/>
        <v>0</v>
      </c>
    </row>
    <row r="314" spans="1:21" s="917" customFormat="1" ht="27" customHeight="1">
      <c r="A314" s="829" t="s">
        <v>913</v>
      </c>
      <c r="B314" s="929" t="s">
        <v>1057</v>
      </c>
      <c r="C314" s="833"/>
      <c r="D314" s="930"/>
      <c r="E314" s="893" t="e">
        <f>E315</f>
        <v>#VALUE!</v>
      </c>
      <c r="F314" s="931"/>
      <c r="G314" s="931"/>
      <c r="H314" s="893"/>
      <c r="I314" s="893"/>
      <c r="J314" s="893"/>
      <c r="K314" s="893"/>
      <c r="L314" s="893" t="e">
        <f>SUM(E314:K314)</f>
        <v>#VALUE!</v>
      </c>
      <c r="M314" s="893" t="e">
        <f>L314*'He so chung'!$D$17/100</f>
        <v>#VALUE!</v>
      </c>
      <c r="N314" s="893" t="e">
        <f>L314+M314</f>
        <v>#VALUE!</v>
      </c>
      <c r="O314" s="871"/>
      <c r="P314" s="893">
        <f>P315</f>
        <v>1229.6153846153848</v>
      </c>
      <c r="Q314" s="900">
        <f t="shared" si="56"/>
        <v>1069.2307692307693</v>
      </c>
      <c r="R314" s="900">
        <f t="shared" si="57"/>
        <v>160.38461538461539</v>
      </c>
      <c r="S314" s="387">
        <f>S315</f>
        <v>0.2</v>
      </c>
      <c r="T314" s="845">
        <f>'[1]1,DG-capmoi'!N310</f>
        <v>46049.096153846156</v>
      </c>
      <c r="U314" s="845" t="e">
        <f t="shared" si="59"/>
        <v>#VALUE!</v>
      </c>
    </row>
    <row r="315" spans="1:21" s="917" customFormat="1" ht="37.5" customHeight="1">
      <c r="A315" s="832">
        <v>1</v>
      </c>
      <c r="B315" s="827" t="s">
        <v>1076</v>
      </c>
      <c r="C315" s="832" t="s">
        <v>281</v>
      </c>
      <c r="D315" s="933" t="s">
        <v>881</v>
      </c>
      <c r="E315" s="925" t="e">
        <f>NC_DKDD!H227</f>
        <v>#VALUE!</v>
      </c>
      <c r="F315" s="893"/>
      <c r="G315" s="893"/>
      <c r="H315" s="893"/>
      <c r="I315" s="893"/>
      <c r="J315" s="893"/>
      <c r="K315" s="893"/>
      <c r="L315" s="871"/>
      <c r="M315" s="871"/>
      <c r="N315" s="871"/>
      <c r="O315" s="871"/>
      <c r="P315" s="925">
        <f>Q315+R315</f>
        <v>1229.6153846153848</v>
      </c>
      <c r="Q315" s="900">
        <f>S315*$Q$218</f>
        <v>1069.2307692307693</v>
      </c>
      <c r="R315" s="900">
        <f>S315*$R$218</f>
        <v>160.38461538461539</v>
      </c>
      <c r="S315" s="937">
        <f>NC_DKDD!G227</f>
        <v>0.2</v>
      </c>
      <c r="T315" s="845">
        <f>'[1]1,DG-capmoi'!N311</f>
        <v>0</v>
      </c>
      <c r="U315" s="845">
        <f t="shared" si="59"/>
        <v>0</v>
      </c>
    </row>
    <row r="316" spans="1:21" ht="27" customHeight="1">
      <c r="A316" s="353"/>
      <c r="B316" s="886" t="s">
        <v>282</v>
      </c>
      <c r="C316" s="354"/>
      <c r="D316" s="353"/>
      <c r="E316" s="355"/>
      <c r="F316" s="355"/>
      <c r="G316" s="356"/>
      <c r="H316" s="355"/>
      <c r="I316" s="355"/>
      <c r="J316" s="357"/>
      <c r="K316" s="357"/>
      <c r="L316" s="357"/>
      <c r="M316" s="340"/>
      <c r="N316" s="340"/>
      <c r="O316" s="340"/>
      <c r="P316" s="935"/>
      <c r="Q316" s="332"/>
      <c r="R316" s="332"/>
      <c r="T316" s="845">
        <f>'[1]1,DG-capmoi'!N312</f>
        <v>0</v>
      </c>
      <c r="U316" s="845">
        <f t="shared" si="59"/>
        <v>0</v>
      </c>
    </row>
    <row r="317" spans="1:21" ht="27" customHeight="1">
      <c r="A317" s="358"/>
      <c r="B317" s="1129" t="s">
        <v>20</v>
      </c>
      <c r="C317" s="1129"/>
      <c r="D317" s="1129"/>
      <c r="E317" s="1129"/>
      <c r="F317" s="1129"/>
      <c r="G317" s="1129"/>
      <c r="H317" s="1129"/>
      <c r="I317" s="1129"/>
      <c r="J317" s="1129"/>
      <c r="K317" s="1129"/>
      <c r="L317" s="1129"/>
      <c r="M317" s="1129"/>
      <c r="N317" s="1129"/>
      <c r="O317" s="1129"/>
      <c r="P317" s="1129"/>
      <c r="Q317" s="332"/>
      <c r="R317" s="332"/>
      <c r="T317" s="845">
        <f>'[1]1,DG-capmoi'!N313</f>
        <v>0</v>
      </c>
      <c r="U317" s="845">
        <f t="shared" si="59"/>
        <v>0</v>
      </c>
    </row>
    <row r="318" spans="1:21" ht="27" customHeight="1">
      <c r="A318" s="358"/>
      <c r="B318" s="1117" t="s">
        <v>902</v>
      </c>
      <c r="C318" s="1117"/>
      <c r="D318" s="1117"/>
      <c r="E318" s="1117"/>
      <c r="F318" s="1117"/>
      <c r="G318" s="1117"/>
      <c r="H318" s="1117"/>
      <c r="I318" s="1117"/>
      <c r="J318" s="1117"/>
      <c r="K318" s="1117"/>
      <c r="L318" s="1117"/>
      <c r="M318" s="1117"/>
      <c r="N318" s="1117"/>
      <c r="O318" s="1117"/>
      <c r="P318" s="1117"/>
      <c r="Q318" s="332"/>
      <c r="R318" s="332"/>
      <c r="T318" s="845">
        <f>'[1]1,DG-capmoi'!N314</f>
        <v>0</v>
      </c>
      <c r="U318" s="845">
        <f t="shared" si="59"/>
        <v>0</v>
      </c>
    </row>
    <row r="319" spans="1:21" ht="30.75" customHeight="1">
      <c r="A319" s="358"/>
      <c r="B319" s="1118" t="s">
        <v>1062</v>
      </c>
      <c r="C319" s="1118"/>
      <c r="D319" s="1118"/>
      <c r="E319" s="1118"/>
      <c r="F319" s="1118"/>
      <c r="G319" s="1118"/>
      <c r="H319" s="1118"/>
      <c r="I319" s="1118"/>
      <c r="J319" s="1118"/>
      <c r="K319" s="1118"/>
      <c r="L319" s="1118"/>
      <c r="M319" s="1118"/>
      <c r="N319" s="1118"/>
      <c r="O319" s="1118"/>
      <c r="P319" s="1118"/>
      <c r="Q319" s="332"/>
      <c r="R319" s="332"/>
      <c r="T319" s="845">
        <f>'[1]1,DG-capmoi'!N315</f>
        <v>0</v>
      </c>
      <c r="U319" s="845">
        <f t="shared" si="59"/>
        <v>0</v>
      </c>
    </row>
    <row r="320" spans="1:21" ht="32.25" customHeight="1">
      <c r="A320" s="358"/>
      <c r="B320" s="1118" t="s">
        <v>1063</v>
      </c>
      <c r="C320" s="1118"/>
      <c r="D320" s="1118"/>
      <c r="E320" s="1118"/>
      <c r="F320" s="1118"/>
      <c r="G320" s="1118"/>
      <c r="H320" s="1118"/>
      <c r="I320" s="1118"/>
      <c r="J320" s="1118"/>
      <c r="K320" s="1118"/>
      <c r="L320" s="1118"/>
      <c r="M320" s="1118"/>
      <c r="N320" s="1118"/>
      <c r="O320" s="1118"/>
      <c r="P320" s="1118"/>
      <c r="Q320" s="332"/>
      <c r="R320" s="332"/>
      <c r="T320" s="845">
        <f>'[1]1,DG-capmoi'!N316</f>
        <v>0</v>
      </c>
      <c r="U320" s="845">
        <f t="shared" si="59"/>
        <v>0</v>
      </c>
    </row>
    <row r="321" spans="1:21" ht="27" customHeight="1">
      <c r="A321" s="358"/>
      <c r="B321" s="821"/>
      <c r="C321" s="821"/>
      <c r="D321" s="821"/>
      <c r="E321" s="821"/>
      <c r="F321" s="821"/>
      <c r="G321" s="821"/>
      <c r="H321" s="821"/>
      <c r="I321" s="821"/>
      <c r="J321" s="821"/>
      <c r="K321" s="821"/>
      <c r="L321" s="821"/>
      <c r="M321" s="821"/>
      <c r="N321" s="821"/>
      <c r="O321" s="821"/>
      <c r="P321" s="821"/>
      <c r="Q321" s="332"/>
      <c r="R321" s="332"/>
      <c r="T321" s="845">
        <f>'[1]1,DG-capmoi'!N317</f>
        <v>0</v>
      </c>
      <c r="U321" s="845">
        <f t="shared" si="59"/>
        <v>0</v>
      </c>
    </row>
    <row r="322" spans="1:21" ht="25.5" customHeight="1">
      <c r="A322" s="1114" t="s">
        <v>1049</v>
      </c>
      <c r="B322" s="1114"/>
      <c r="C322" s="1114"/>
      <c r="D322" s="1114"/>
      <c r="E322" s="1114"/>
      <c r="F322" s="1114"/>
      <c r="G322" s="1114"/>
      <c r="H322" s="1114"/>
      <c r="I322" s="1114"/>
      <c r="J322" s="1114"/>
      <c r="K322" s="1114"/>
      <c r="L322" s="1114"/>
      <c r="M322" s="1114"/>
      <c r="N322" s="1114"/>
      <c r="O322" s="1114"/>
      <c r="P322" s="1114"/>
      <c r="Q322" s="332"/>
      <c r="R322" s="332"/>
      <c r="T322" s="845">
        <f>'[1]1,DG-capmoi'!N318</f>
        <v>0</v>
      </c>
      <c r="U322" s="845">
        <f t="shared" si="59"/>
        <v>0</v>
      </c>
    </row>
    <row r="323" spans="1:21" ht="18.75" customHeight="1">
      <c r="A323" s="1113" t="s">
        <v>960</v>
      </c>
      <c r="B323" s="1113"/>
      <c r="C323" s="1113"/>
      <c r="D323" s="1113"/>
      <c r="E323" s="1113"/>
      <c r="F323" s="1113"/>
      <c r="G323" s="1113"/>
      <c r="H323" s="1113"/>
      <c r="I323" s="1113"/>
      <c r="J323" s="1113"/>
      <c r="K323" s="1113"/>
      <c r="L323" s="1113"/>
      <c r="M323" s="1113"/>
      <c r="N323" s="1113"/>
      <c r="O323" s="1113"/>
      <c r="P323" s="1113"/>
      <c r="Q323" s="332"/>
      <c r="R323" s="332"/>
      <c r="T323" s="845"/>
      <c r="U323" s="845"/>
    </row>
    <row r="324" spans="1:21" ht="18.75" customHeight="1">
      <c r="A324" s="337"/>
      <c r="B324" s="834"/>
      <c r="C324" s="338"/>
      <c r="D324" s="339" t="s">
        <v>576</v>
      </c>
      <c r="E324" s="340"/>
      <c r="F324" s="341"/>
      <c r="G324" s="342"/>
      <c r="H324" s="341"/>
      <c r="I324" s="343"/>
      <c r="J324" s="341"/>
      <c r="K324" s="341"/>
      <c r="M324" s="341"/>
      <c r="N324" s="991" t="s">
        <v>980</v>
      </c>
      <c r="O324" s="343"/>
      <c r="P324" s="340"/>
      <c r="Q324" s="332"/>
      <c r="R324" s="332"/>
      <c r="T324" s="845">
        <f>'[1]1,DG-capmoi'!N319</f>
        <v>0</v>
      </c>
      <c r="U324" s="845" t="e">
        <f>T324-#REF!</f>
        <v>#REF!</v>
      </c>
    </row>
    <row r="325" spans="1:21" s="345" customFormat="1" ht="7.5" hidden="1" customHeight="1">
      <c r="A325" s="337"/>
      <c r="B325" s="834"/>
      <c r="C325" s="338"/>
      <c r="D325" s="346"/>
      <c r="E325" s="340"/>
      <c r="F325" s="340"/>
      <c r="G325" s="347"/>
      <c r="H325" s="340"/>
      <c r="I325" s="340"/>
      <c r="J325" s="340"/>
      <c r="K325" s="340"/>
      <c r="L325" s="340"/>
      <c r="M325" s="340"/>
      <c r="N325" s="340"/>
      <c r="O325" s="340"/>
      <c r="P325" s="340"/>
      <c r="Q325" s="332"/>
      <c r="R325" s="332"/>
      <c r="S325" s="332"/>
      <c r="T325" s="845">
        <f>'[1]1,DG-capmoi'!N320</f>
        <v>0</v>
      </c>
      <c r="U325" s="845">
        <f t="shared" si="59"/>
        <v>0</v>
      </c>
    </row>
    <row r="326" spans="1:21" s="992" customFormat="1" ht="21.75" customHeight="1">
      <c r="A326" s="1115" t="s">
        <v>876</v>
      </c>
      <c r="B326" s="1115" t="s">
        <v>381</v>
      </c>
      <c r="C326" s="1111" t="s">
        <v>981</v>
      </c>
      <c r="D326" s="1111" t="s">
        <v>982</v>
      </c>
      <c r="E326" s="1111" t="s">
        <v>466</v>
      </c>
      <c r="F326" s="1111"/>
      <c r="G326" s="1111"/>
      <c r="H326" s="1111"/>
      <c r="I326" s="1111"/>
      <c r="J326" s="1111"/>
      <c r="K326" s="1111"/>
      <c r="L326" s="1111"/>
      <c r="M326" s="1111" t="s">
        <v>581</v>
      </c>
      <c r="N326" s="1111" t="s">
        <v>467</v>
      </c>
      <c r="O326" s="1111" t="s">
        <v>657</v>
      </c>
      <c r="P326" s="1111" t="s">
        <v>468</v>
      </c>
      <c r="Q326" s="1003"/>
      <c r="R326" s="1003"/>
      <c r="S326" s="982"/>
      <c r="T326" s="1030"/>
      <c r="U326" s="1030"/>
    </row>
    <row r="327" spans="1:21" s="992" customFormat="1" ht="43.5" customHeight="1">
      <c r="A327" s="1115"/>
      <c r="B327" s="1115"/>
      <c r="C327" s="1111"/>
      <c r="D327" s="1111"/>
      <c r="E327" s="825" t="s">
        <v>469</v>
      </c>
      <c r="F327" s="825" t="s">
        <v>470</v>
      </c>
      <c r="G327" s="852" t="s">
        <v>1003</v>
      </c>
      <c r="H327" s="825" t="s">
        <v>59</v>
      </c>
      <c r="I327" s="825" t="s">
        <v>471</v>
      </c>
      <c r="J327" s="825" t="s">
        <v>280</v>
      </c>
      <c r="K327" s="825" t="s">
        <v>472</v>
      </c>
      <c r="L327" s="825" t="s">
        <v>473</v>
      </c>
      <c r="M327" s="1111"/>
      <c r="N327" s="1111"/>
      <c r="O327" s="1111"/>
      <c r="P327" s="1111"/>
      <c r="Q327" s="1003"/>
      <c r="R327" s="1003"/>
      <c r="S327" s="982"/>
      <c r="T327" s="1030">
        <f>'[1]1,DG-capmoi'!N322</f>
        <v>0</v>
      </c>
      <c r="U327" s="1030">
        <f t="shared" si="59"/>
        <v>0</v>
      </c>
    </row>
    <row r="328" spans="1:21" s="836" customFormat="1" ht="58.5" customHeight="1">
      <c r="A328" s="831"/>
      <c r="B328" s="838" t="s">
        <v>477</v>
      </c>
      <c r="C328" s="382"/>
      <c r="D328" s="382"/>
      <c r="E328" s="382"/>
      <c r="F328" s="382"/>
      <c r="G328" s="837"/>
      <c r="H328" s="382"/>
      <c r="I328" s="382"/>
      <c r="J328" s="382"/>
      <c r="K328" s="382"/>
      <c r="L328" s="382"/>
      <c r="M328" s="382"/>
      <c r="N328" s="382"/>
      <c r="O328" s="382"/>
      <c r="P328" s="382"/>
      <c r="Q328" s="835"/>
      <c r="R328" s="835"/>
      <c r="S328" s="367"/>
      <c r="T328" s="845">
        <f>'[1]1,DG-capmoi'!N323</f>
        <v>0</v>
      </c>
      <c r="U328" s="845">
        <f t="shared" si="59"/>
        <v>0</v>
      </c>
    </row>
    <row r="329" spans="1:21" s="836" customFormat="1" ht="24" customHeight="1">
      <c r="A329" s="1112"/>
      <c r="B329" s="1125" t="s">
        <v>451</v>
      </c>
      <c r="C329" s="1124" t="s">
        <v>281</v>
      </c>
      <c r="D329" s="382">
        <v>1</v>
      </c>
      <c r="E329" s="383" t="e">
        <f>E341+E373</f>
        <v>#VALUE!</v>
      </c>
      <c r="F329" s="383">
        <f t="shared" ref="F329:P329" si="60">F341+F373</f>
        <v>91700</v>
      </c>
      <c r="G329" s="383">
        <f t="shared" si="60"/>
        <v>0</v>
      </c>
      <c r="H329" s="383">
        <f t="shared" si="60"/>
        <v>5994.8633814102568</v>
      </c>
      <c r="I329" s="383">
        <f t="shared" si="60"/>
        <v>6873.12</v>
      </c>
      <c r="J329" s="383">
        <f t="shared" si="60"/>
        <v>420.32</v>
      </c>
      <c r="K329" s="383">
        <f t="shared" si="60"/>
        <v>860.91600000000005</v>
      </c>
      <c r="L329" s="383" t="e">
        <f t="shared" si="60"/>
        <v>#VALUE!</v>
      </c>
      <c r="M329" s="383" t="e">
        <f t="shared" si="60"/>
        <v>#VALUE!</v>
      </c>
      <c r="N329" s="383" t="e">
        <f t="shared" si="60"/>
        <v>#VALUE!</v>
      </c>
      <c r="O329" s="383">
        <v>12880</v>
      </c>
      <c r="P329" s="383">
        <f t="shared" si="60"/>
        <v>21801.080769230764</v>
      </c>
      <c r="Q329" s="835"/>
      <c r="R329" s="835"/>
      <c r="S329" s="367"/>
      <c r="T329" s="845">
        <f>'[1]1,DG-capmoi'!N324</f>
        <v>871605.23309631401</v>
      </c>
      <c r="U329" s="845" t="e">
        <f t="shared" si="59"/>
        <v>#VALUE!</v>
      </c>
    </row>
    <row r="330" spans="1:21" s="836" customFormat="1" ht="24" customHeight="1">
      <c r="A330" s="1112"/>
      <c r="B330" s="1125"/>
      <c r="C330" s="1124"/>
      <c r="D330" s="382">
        <v>2</v>
      </c>
      <c r="E330" s="383" t="e">
        <f>E342+E373</f>
        <v>#VALUE!</v>
      </c>
      <c r="F330" s="383">
        <f t="shared" ref="F330:P330" si="61">F342+F373</f>
        <v>100870</v>
      </c>
      <c r="G330" s="383">
        <f t="shared" si="61"/>
        <v>0</v>
      </c>
      <c r="H330" s="383">
        <f t="shared" si="61"/>
        <v>5994.8633814102568</v>
      </c>
      <c r="I330" s="383">
        <f t="shared" si="61"/>
        <v>6873.12</v>
      </c>
      <c r="J330" s="383">
        <f t="shared" si="61"/>
        <v>420.32</v>
      </c>
      <c r="K330" s="383">
        <f t="shared" si="61"/>
        <v>860.91600000000005</v>
      </c>
      <c r="L330" s="383" t="e">
        <f t="shared" si="61"/>
        <v>#VALUE!</v>
      </c>
      <c r="M330" s="383" t="e">
        <f t="shared" si="61"/>
        <v>#VALUE!</v>
      </c>
      <c r="N330" s="383" t="e">
        <f t="shared" si="61"/>
        <v>#VALUE!</v>
      </c>
      <c r="O330" s="383">
        <v>14168</v>
      </c>
      <c r="P330" s="383">
        <f t="shared" si="61"/>
        <v>22907.734615384616</v>
      </c>
      <c r="Q330" s="835"/>
      <c r="R330" s="835"/>
      <c r="S330" s="367"/>
      <c r="T330" s="845">
        <f>'[1]1,DG-capmoi'!N325</f>
        <v>998617.32875977561</v>
      </c>
      <c r="U330" s="845" t="e">
        <f t="shared" si="59"/>
        <v>#VALUE!</v>
      </c>
    </row>
    <row r="331" spans="1:21" s="836" customFormat="1" ht="24" customHeight="1">
      <c r="A331" s="1112"/>
      <c r="B331" s="1125"/>
      <c r="C331" s="1124"/>
      <c r="D331" s="382">
        <v>3</v>
      </c>
      <c r="E331" s="383" t="e">
        <f>E343+E373</f>
        <v>#VALUE!</v>
      </c>
      <c r="F331" s="383">
        <f t="shared" ref="F331:P331" si="62">F343+F373</f>
        <v>110957</v>
      </c>
      <c r="G331" s="383">
        <f t="shared" si="62"/>
        <v>0</v>
      </c>
      <c r="H331" s="383">
        <f t="shared" si="62"/>
        <v>5994.8633814102568</v>
      </c>
      <c r="I331" s="383">
        <f t="shared" si="62"/>
        <v>6873.12</v>
      </c>
      <c r="J331" s="383">
        <f t="shared" si="62"/>
        <v>420.32</v>
      </c>
      <c r="K331" s="383">
        <f t="shared" si="62"/>
        <v>860.91600000000005</v>
      </c>
      <c r="L331" s="383" t="e">
        <f t="shared" si="62"/>
        <v>#VALUE!</v>
      </c>
      <c r="M331" s="383" t="e">
        <f t="shared" si="62"/>
        <v>#VALUE!</v>
      </c>
      <c r="N331" s="383" t="e">
        <f t="shared" si="62"/>
        <v>#VALUE!</v>
      </c>
      <c r="O331" s="383">
        <v>15584.8</v>
      </c>
      <c r="P331" s="383">
        <f t="shared" si="62"/>
        <v>24125.053846153845</v>
      </c>
      <c r="Q331" s="939"/>
      <c r="R331" s="835"/>
      <c r="S331" s="367"/>
      <c r="T331" s="845">
        <f>'[1]1,DG-capmoi'!N326</f>
        <v>1146298.5970145834</v>
      </c>
      <c r="U331" s="845" t="e">
        <f t="shared" si="59"/>
        <v>#VALUE!</v>
      </c>
    </row>
    <row r="332" spans="1:21" s="836" customFormat="1" ht="24" customHeight="1">
      <c r="A332" s="1112"/>
      <c r="B332" s="1125"/>
      <c r="C332" s="1124"/>
      <c r="D332" s="382">
        <v>4</v>
      </c>
      <c r="E332" s="383" t="e">
        <f>E344+E373</f>
        <v>#VALUE!</v>
      </c>
      <c r="F332" s="383">
        <f t="shared" ref="F332:P332" si="63">F344+F373</f>
        <v>122092</v>
      </c>
      <c r="G332" s="383">
        <f t="shared" si="63"/>
        <v>0</v>
      </c>
      <c r="H332" s="383">
        <f t="shared" si="63"/>
        <v>5994.8633814102568</v>
      </c>
      <c r="I332" s="383">
        <f t="shared" si="63"/>
        <v>6873.12</v>
      </c>
      <c r="J332" s="383">
        <f t="shared" si="63"/>
        <v>420.32</v>
      </c>
      <c r="K332" s="383">
        <f t="shared" si="63"/>
        <v>860.91600000000005</v>
      </c>
      <c r="L332" s="383" t="e">
        <f t="shared" si="63"/>
        <v>#VALUE!</v>
      </c>
      <c r="M332" s="383" t="e">
        <f t="shared" si="63"/>
        <v>#VALUE!</v>
      </c>
      <c r="N332" s="383" t="e">
        <f t="shared" si="63"/>
        <v>#VALUE!</v>
      </c>
      <c r="O332" s="383">
        <v>17148.799999999814</v>
      </c>
      <c r="P332" s="383">
        <f t="shared" si="63"/>
        <v>25465.334615384607</v>
      </c>
      <c r="Q332" s="939"/>
      <c r="R332" s="835"/>
      <c r="S332" s="367"/>
      <c r="T332" s="845">
        <f>'[1]1,DG-capmoi'!N327</f>
        <v>1317627.0550597759</v>
      </c>
      <c r="U332" s="845" t="e">
        <f t="shared" si="59"/>
        <v>#VALUE!</v>
      </c>
    </row>
    <row r="333" spans="1:21" s="836" customFormat="1" ht="24" customHeight="1">
      <c r="A333" s="1112"/>
      <c r="B333" s="1125"/>
      <c r="C333" s="1124"/>
      <c r="D333" s="382">
        <v>5</v>
      </c>
      <c r="E333" s="383" t="e">
        <f>E345+E373</f>
        <v>#VALUE!</v>
      </c>
      <c r="F333" s="383">
        <f t="shared" ref="F333:P333" si="64">F345+F373</f>
        <v>134275</v>
      </c>
      <c r="G333" s="383">
        <f t="shared" si="64"/>
        <v>0</v>
      </c>
      <c r="H333" s="383">
        <f t="shared" si="64"/>
        <v>5994.8633814102568</v>
      </c>
      <c r="I333" s="383">
        <f t="shared" si="64"/>
        <v>6873.12</v>
      </c>
      <c r="J333" s="383">
        <f t="shared" si="64"/>
        <v>420.32</v>
      </c>
      <c r="K333" s="383">
        <f t="shared" si="64"/>
        <v>860.91600000000005</v>
      </c>
      <c r="L333" s="383" t="e">
        <f t="shared" si="64"/>
        <v>#VALUE!</v>
      </c>
      <c r="M333" s="383" t="e">
        <f t="shared" si="64"/>
        <v>#VALUE!</v>
      </c>
      <c r="N333" s="383" t="e">
        <f t="shared" si="64"/>
        <v>#VALUE!</v>
      </c>
      <c r="O333" s="383">
        <v>18860</v>
      </c>
      <c r="P333" s="383">
        <f t="shared" si="64"/>
        <v>26867.096153846149</v>
      </c>
      <c r="Q333" s="939"/>
      <c r="R333" s="835"/>
      <c r="S333" s="367"/>
      <c r="T333" s="845">
        <f>'[1]1,DG-capmoi'!N328</f>
        <v>1207598.8969001602</v>
      </c>
      <c r="U333" s="845" t="e">
        <f t="shared" si="59"/>
        <v>#VALUE!</v>
      </c>
    </row>
    <row r="334" spans="1:21" s="836" customFormat="1" ht="24" customHeight="1">
      <c r="A334" s="1112"/>
      <c r="B334" s="1125" t="s">
        <v>452</v>
      </c>
      <c r="C334" s="1124" t="s">
        <v>281</v>
      </c>
      <c r="D334" s="382">
        <v>1</v>
      </c>
      <c r="E334" s="383" t="e">
        <f>E346+E373</f>
        <v>#VALUE!</v>
      </c>
      <c r="F334" s="383">
        <f t="shared" ref="F334:P334" si="65">F346+F373</f>
        <v>91700</v>
      </c>
      <c r="G334" s="383">
        <f t="shared" si="65"/>
        <v>0</v>
      </c>
      <c r="H334" s="383">
        <f t="shared" si="65"/>
        <v>5994.8633814102568</v>
      </c>
      <c r="I334" s="383">
        <f t="shared" si="65"/>
        <v>6873.12</v>
      </c>
      <c r="J334" s="383">
        <f t="shared" si="65"/>
        <v>420.32</v>
      </c>
      <c r="K334" s="383">
        <f t="shared" si="65"/>
        <v>860.91600000000005</v>
      </c>
      <c r="L334" s="383" t="e">
        <f t="shared" si="65"/>
        <v>#VALUE!</v>
      </c>
      <c r="M334" s="383" t="e">
        <f t="shared" si="65"/>
        <v>#VALUE!</v>
      </c>
      <c r="N334" s="383" t="e">
        <f t="shared" si="65"/>
        <v>#VALUE!</v>
      </c>
      <c r="O334" s="383">
        <v>12880</v>
      </c>
      <c r="P334" s="383">
        <f t="shared" si="65"/>
        <v>21032.571153846155</v>
      </c>
      <c r="Q334" s="835"/>
      <c r="R334" s="835"/>
      <c r="S334" s="367"/>
      <c r="T334" s="845">
        <f>'[1]1,DG-capmoi'!N329</f>
        <v>844077.37237516011</v>
      </c>
      <c r="U334" s="845" t="e">
        <f t="shared" si="59"/>
        <v>#VALUE!</v>
      </c>
    </row>
    <row r="335" spans="1:21" s="836" customFormat="1" ht="24" customHeight="1">
      <c r="A335" s="1112"/>
      <c r="B335" s="1125"/>
      <c r="C335" s="1124"/>
      <c r="D335" s="382">
        <v>2</v>
      </c>
      <c r="E335" s="383" t="e">
        <f>E347+E373</f>
        <v>#VALUE!</v>
      </c>
      <c r="F335" s="383">
        <f t="shared" ref="F335:P335" si="66">F347+F373</f>
        <v>100870</v>
      </c>
      <c r="G335" s="383">
        <f t="shared" si="66"/>
        <v>0</v>
      </c>
      <c r="H335" s="383">
        <f t="shared" si="66"/>
        <v>5994.8633814102568</v>
      </c>
      <c r="I335" s="383">
        <f t="shared" si="66"/>
        <v>6873.12</v>
      </c>
      <c r="J335" s="383">
        <f t="shared" si="66"/>
        <v>420.32</v>
      </c>
      <c r="K335" s="383">
        <f t="shared" si="66"/>
        <v>860.91600000000005</v>
      </c>
      <c r="L335" s="383" t="e">
        <f t="shared" si="66"/>
        <v>#VALUE!</v>
      </c>
      <c r="M335" s="383" t="e">
        <f t="shared" si="66"/>
        <v>#VALUE!</v>
      </c>
      <c r="N335" s="383" t="e">
        <f t="shared" si="66"/>
        <v>#VALUE!</v>
      </c>
      <c r="O335" s="383">
        <v>14168</v>
      </c>
      <c r="P335" s="383">
        <f t="shared" si="66"/>
        <v>22139.224999999999</v>
      </c>
      <c r="Q335" s="835"/>
      <c r="R335" s="835"/>
      <c r="S335" s="367"/>
      <c r="T335" s="845">
        <f>'[1]1,DG-capmoi'!N330</f>
        <v>971089.46803862171</v>
      </c>
      <c r="U335" s="845" t="e">
        <f t="shared" si="59"/>
        <v>#VALUE!</v>
      </c>
    </row>
    <row r="336" spans="1:21" s="836" customFormat="1" ht="24" customHeight="1">
      <c r="A336" s="1112"/>
      <c r="B336" s="1125"/>
      <c r="C336" s="1124"/>
      <c r="D336" s="382">
        <v>3</v>
      </c>
      <c r="E336" s="383" t="e">
        <f>E348+E373</f>
        <v>#VALUE!</v>
      </c>
      <c r="F336" s="383">
        <f t="shared" ref="F336:P336" si="67">F348+F373</f>
        <v>110957</v>
      </c>
      <c r="G336" s="383">
        <f t="shared" si="67"/>
        <v>0</v>
      </c>
      <c r="H336" s="383">
        <f t="shared" si="67"/>
        <v>5994.8633814102568</v>
      </c>
      <c r="I336" s="383">
        <f t="shared" si="67"/>
        <v>6873.12</v>
      </c>
      <c r="J336" s="383">
        <f t="shared" si="67"/>
        <v>420.32</v>
      </c>
      <c r="K336" s="383">
        <f t="shared" si="67"/>
        <v>860.91600000000005</v>
      </c>
      <c r="L336" s="383" t="e">
        <f t="shared" si="67"/>
        <v>#VALUE!</v>
      </c>
      <c r="M336" s="383" t="e">
        <f t="shared" si="67"/>
        <v>#VALUE!</v>
      </c>
      <c r="N336" s="383" t="e">
        <f t="shared" si="67"/>
        <v>#VALUE!</v>
      </c>
      <c r="O336" s="383">
        <v>15584.8</v>
      </c>
      <c r="P336" s="383">
        <f t="shared" si="67"/>
        <v>23356.544230769228</v>
      </c>
      <c r="Q336" s="835"/>
      <c r="R336" s="835"/>
      <c r="S336" s="367"/>
      <c r="T336" s="845">
        <f>'[1]1,DG-capmoi'!N331</f>
        <v>1118770.7362934295</v>
      </c>
      <c r="U336" s="845" t="e">
        <f t="shared" si="59"/>
        <v>#VALUE!</v>
      </c>
    </row>
    <row r="337" spans="1:21" s="836" customFormat="1" ht="24" customHeight="1">
      <c r="A337" s="1112"/>
      <c r="B337" s="1125"/>
      <c r="C337" s="1124"/>
      <c r="D337" s="382">
        <v>4</v>
      </c>
      <c r="E337" s="383" t="e">
        <f>E349+E373</f>
        <v>#VALUE!</v>
      </c>
      <c r="F337" s="383">
        <f t="shared" ref="F337:P337" si="68">F349+F373</f>
        <v>122092</v>
      </c>
      <c r="G337" s="383">
        <f t="shared" si="68"/>
        <v>0</v>
      </c>
      <c r="H337" s="383">
        <f t="shared" si="68"/>
        <v>5994.8633814102568</v>
      </c>
      <c r="I337" s="383">
        <f t="shared" si="68"/>
        <v>6873.12</v>
      </c>
      <c r="J337" s="383">
        <f t="shared" si="68"/>
        <v>420.32</v>
      </c>
      <c r="K337" s="383">
        <f t="shared" si="68"/>
        <v>860.91600000000005</v>
      </c>
      <c r="L337" s="383" t="e">
        <f t="shared" si="68"/>
        <v>#VALUE!</v>
      </c>
      <c r="M337" s="383" t="e">
        <f t="shared" si="68"/>
        <v>#VALUE!</v>
      </c>
      <c r="N337" s="383" t="e">
        <f t="shared" si="68"/>
        <v>#VALUE!</v>
      </c>
      <c r="O337" s="383">
        <v>17148.8</v>
      </c>
      <c r="P337" s="383">
        <f t="shared" si="68"/>
        <v>24696.824999999997</v>
      </c>
      <c r="Q337" s="835"/>
      <c r="R337" s="835"/>
      <c r="S337" s="367"/>
      <c r="T337" s="845">
        <f>'[1]1,DG-capmoi'!N332</f>
        <v>1290099.1943386223</v>
      </c>
      <c r="U337" s="845" t="e">
        <f t="shared" si="59"/>
        <v>#VALUE!</v>
      </c>
    </row>
    <row r="338" spans="1:21" s="836" customFormat="1" ht="24" customHeight="1">
      <c r="A338" s="1112"/>
      <c r="B338" s="1125"/>
      <c r="C338" s="1124"/>
      <c r="D338" s="382">
        <v>5</v>
      </c>
      <c r="E338" s="383" t="e">
        <f>E350+E373</f>
        <v>#VALUE!</v>
      </c>
      <c r="F338" s="383">
        <f t="shared" ref="F338:P338" si="69">F350+F373</f>
        <v>134275</v>
      </c>
      <c r="G338" s="383">
        <f t="shared" si="69"/>
        <v>0</v>
      </c>
      <c r="H338" s="383">
        <f t="shared" si="69"/>
        <v>5994.8633814102568</v>
      </c>
      <c r="I338" s="383">
        <f t="shared" si="69"/>
        <v>6873.12</v>
      </c>
      <c r="J338" s="383">
        <f t="shared" si="69"/>
        <v>420.32</v>
      </c>
      <c r="K338" s="383">
        <f t="shared" si="69"/>
        <v>860.91600000000005</v>
      </c>
      <c r="L338" s="383" t="e">
        <f t="shared" si="69"/>
        <v>#VALUE!</v>
      </c>
      <c r="M338" s="383" t="e">
        <f t="shared" si="69"/>
        <v>#VALUE!</v>
      </c>
      <c r="N338" s="383" t="e">
        <f t="shared" si="69"/>
        <v>#VALUE!</v>
      </c>
      <c r="O338" s="383">
        <v>18860</v>
      </c>
      <c r="P338" s="383">
        <f t="shared" si="69"/>
        <v>26098.586538461532</v>
      </c>
      <c r="Q338" s="835"/>
      <c r="R338" s="835"/>
      <c r="S338" s="367"/>
      <c r="T338" s="845">
        <f>'[1]1,DG-capmoi'!N333</f>
        <v>1180071.0361790063</v>
      </c>
      <c r="U338" s="845" t="e">
        <f t="shared" si="59"/>
        <v>#VALUE!</v>
      </c>
    </row>
    <row r="339" spans="1:21" s="836" customFormat="1" ht="16.5" hidden="1" customHeight="1">
      <c r="A339" s="831"/>
      <c r="B339" s="888"/>
      <c r="C339" s="382"/>
      <c r="D339" s="382"/>
      <c r="E339" s="382"/>
      <c r="F339" s="382"/>
      <c r="G339" s="837"/>
      <c r="H339" s="382"/>
      <c r="I339" s="382"/>
      <c r="J339" s="382"/>
      <c r="K339" s="382"/>
      <c r="L339" s="382"/>
      <c r="M339" s="382"/>
      <c r="N339" s="382"/>
      <c r="O339" s="382">
        <v>0</v>
      </c>
      <c r="P339" s="382"/>
      <c r="Q339" s="887">
        <f>'He so chung'!D$22</f>
        <v>5346.1538461538457</v>
      </c>
      <c r="R339" s="887">
        <f>'He so chung'!D$23</f>
        <v>801.92307692307691</v>
      </c>
      <c r="S339" s="891"/>
      <c r="T339" s="845">
        <f>'[1]1,DG-capmoi'!N334</f>
        <v>0</v>
      </c>
      <c r="U339" s="845">
        <f t="shared" si="59"/>
        <v>0</v>
      </c>
    </row>
    <row r="340" spans="1:21" s="836" customFormat="1" ht="29.25" customHeight="1">
      <c r="A340" s="831" t="s">
        <v>179</v>
      </c>
      <c r="B340" s="888" t="s">
        <v>606</v>
      </c>
      <c r="C340" s="382"/>
      <c r="D340" s="382"/>
      <c r="E340" s="382"/>
      <c r="F340" s="382"/>
      <c r="G340" s="837"/>
      <c r="H340" s="382"/>
      <c r="I340" s="382"/>
      <c r="J340" s="382"/>
      <c r="K340" s="382"/>
      <c r="L340" s="382"/>
      <c r="M340" s="382"/>
      <c r="N340" s="382"/>
      <c r="O340" s="382">
        <v>0</v>
      </c>
      <c r="P340" s="382"/>
      <c r="Q340" s="890"/>
      <c r="R340" s="890"/>
      <c r="S340" s="891"/>
      <c r="T340" s="845">
        <f>'[1]1,DG-capmoi'!N335</f>
        <v>0</v>
      </c>
      <c r="U340" s="845">
        <f t="shared" si="59"/>
        <v>0</v>
      </c>
    </row>
    <row r="341" spans="1:21" s="896" customFormat="1" ht="20.25" customHeight="1">
      <c r="A341" s="1139" t="s">
        <v>665</v>
      </c>
      <c r="B341" s="1125" t="s">
        <v>451</v>
      </c>
      <c r="C341" s="1124" t="s">
        <v>281</v>
      </c>
      <c r="D341" s="892">
        <v>1</v>
      </c>
      <c r="E341" s="893" t="e">
        <f>E353+E355+E356+E357+E363+E365+E366+E368+E370+E371+E372</f>
        <v>#VALUE!</v>
      </c>
      <c r="F341" s="893">
        <f>F353+F355+F356+F357+F363+F365+F366+F368+F370+F371+F372</f>
        <v>91700</v>
      </c>
      <c r="G341" s="893"/>
      <c r="H341" s="893">
        <f>'Dcu-DKDD'!H$96</f>
        <v>5994.8633814102568</v>
      </c>
      <c r="I341" s="893">
        <f>'VL-DKDD'!F$96</f>
        <v>6873.12</v>
      </c>
      <c r="J341" s="893">
        <f>'TB-DKDD'!I$50</f>
        <v>420.32</v>
      </c>
      <c r="K341" s="893">
        <f>'NL-DKDD'!F$35</f>
        <v>860.91600000000005</v>
      </c>
      <c r="L341" s="893" t="e">
        <f t="shared" ref="L341:L350" si="70">SUM(E341:K341)</f>
        <v>#VALUE!</v>
      </c>
      <c r="M341" s="893" t="e">
        <f>L341*'He so chung'!$D$17/100</f>
        <v>#VALUE!</v>
      </c>
      <c r="N341" s="893" t="e">
        <f t="shared" ref="N341:N350" si="71">L341+M341</f>
        <v>#VALUE!</v>
      </c>
      <c r="O341" s="893">
        <v>12880</v>
      </c>
      <c r="P341" s="893">
        <f>P353+P355+P356+P357+P363+P365+P366+P368+P370+P371+P372</f>
        <v>20571.465384615381</v>
      </c>
      <c r="Q341" s="895"/>
      <c r="R341" s="895"/>
      <c r="S341" s="891"/>
      <c r="T341" s="845">
        <f>'[1]1,DG-capmoi'!N336</f>
        <v>825556.13694246789</v>
      </c>
      <c r="U341" s="845" t="e">
        <f t="shared" si="59"/>
        <v>#VALUE!</v>
      </c>
    </row>
    <row r="342" spans="1:21" s="896" customFormat="1" ht="20.25" customHeight="1">
      <c r="A342" s="1139"/>
      <c r="B342" s="1125"/>
      <c r="C342" s="1124"/>
      <c r="D342" s="892">
        <v>2</v>
      </c>
      <c r="E342" s="893" t="e">
        <f>E353+E355+E356+E358+E363+E365+E366+E368+E370+E371+E372</f>
        <v>#VALUE!</v>
      </c>
      <c r="F342" s="893">
        <f>F353+F355+F356+F358+F363+F365+F366+F368+F370+F371+F372</f>
        <v>100870</v>
      </c>
      <c r="G342" s="893"/>
      <c r="H342" s="893">
        <f>'Dcu-DKDD'!H$96</f>
        <v>5994.8633814102568</v>
      </c>
      <c r="I342" s="893">
        <f>'VL-DKDD'!F$96</f>
        <v>6873.12</v>
      </c>
      <c r="J342" s="893">
        <f>'TB-DKDD'!I$50</f>
        <v>420.32</v>
      </c>
      <c r="K342" s="893">
        <f>'NL-DKDD'!F$35</f>
        <v>860.91600000000005</v>
      </c>
      <c r="L342" s="893" t="e">
        <f t="shared" si="70"/>
        <v>#VALUE!</v>
      </c>
      <c r="M342" s="893" t="e">
        <f>L342*'He so chung'!$D$17/100</f>
        <v>#VALUE!</v>
      </c>
      <c r="N342" s="893" t="e">
        <f t="shared" si="71"/>
        <v>#VALUE!</v>
      </c>
      <c r="O342" s="893">
        <v>14168</v>
      </c>
      <c r="P342" s="893">
        <f>P353+P355+P356+P358+P363+P365+P366+P368+P370+P371+P372</f>
        <v>21678.119230769233</v>
      </c>
      <c r="Q342" s="895"/>
      <c r="R342" s="895"/>
      <c r="S342" s="891"/>
      <c r="T342" s="845">
        <f>'[1]1,DG-capmoi'!N337</f>
        <v>952568.23260592949</v>
      </c>
      <c r="U342" s="845" t="e">
        <f t="shared" si="59"/>
        <v>#VALUE!</v>
      </c>
    </row>
    <row r="343" spans="1:21" s="896" customFormat="1" ht="20.25" customHeight="1">
      <c r="A343" s="1139"/>
      <c r="B343" s="1125"/>
      <c r="C343" s="1124"/>
      <c r="D343" s="892">
        <v>3</v>
      </c>
      <c r="E343" s="893" t="e">
        <f>E353+E355+E356+E359+E363+E365+E366+E368+E370+E371+E372</f>
        <v>#VALUE!</v>
      </c>
      <c r="F343" s="893">
        <f>F353+F355+F356+F359+F363+F365+F366+F368+F370+F371+F372</f>
        <v>110957</v>
      </c>
      <c r="G343" s="893"/>
      <c r="H343" s="893">
        <f>'Dcu-DKDD'!H$96</f>
        <v>5994.8633814102568</v>
      </c>
      <c r="I343" s="893">
        <f>'VL-DKDD'!F$96</f>
        <v>6873.12</v>
      </c>
      <c r="J343" s="893">
        <f>'TB-DKDD'!I$50</f>
        <v>420.32</v>
      </c>
      <c r="K343" s="893">
        <f>'NL-DKDD'!F$35</f>
        <v>860.91600000000005</v>
      </c>
      <c r="L343" s="893" t="e">
        <f t="shared" si="70"/>
        <v>#VALUE!</v>
      </c>
      <c r="M343" s="893" t="e">
        <f>L343*'He so chung'!$D$17/100</f>
        <v>#VALUE!</v>
      </c>
      <c r="N343" s="893" t="e">
        <f t="shared" si="71"/>
        <v>#VALUE!</v>
      </c>
      <c r="O343" s="893">
        <v>15584.8</v>
      </c>
      <c r="P343" s="893">
        <f>P353+P355+P356+P359+P363+P365+P366+P368+P370+P371+P372</f>
        <v>22895.438461538462</v>
      </c>
      <c r="Q343" s="895"/>
      <c r="R343" s="895"/>
      <c r="S343" s="891"/>
      <c r="T343" s="845">
        <f>'[1]1,DG-capmoi'!N338</f>
        <v>1100249.5008607372</v>
      </c>
      <c r="U343" s="845" t="e">
        <f t="shared" si="59"/>
        <v>#VALUE!</v>
      </c>
    </row>
    <row r="344" spans="1:21" s="896" customFormat="1" ht="20.25" customHeight="1">
      <c r="A344" s="1139"/>
      <c r="B344" s="1125"/>
      <c r="C344" s="1124"/>
      <c r="D344" s="892">
        <v>4</v>
      </c>
      <c r="E344" s="893" t="e">
        <f>E353+E355+E356+E360+E363+E365+E366+E368+E370+E371+E372</f>
        <v>#VALUE!</v>
      </c>
      <c r="F344" s="893">
        <f>F353+F355+F356+F360+F363+F365+F366+F368+F370+F371+F372</f>
        <v>122092</v>
      </c>
      <c r="G344" s="893"/>
      <c r="H344" s="893">
        <f>'Dcu-DKDD'!H$96</f>
        <v>5994.8633814102568</v>
      </c>
      <c r="I344" s="893">
        <f>'VL-DKDD'!F$96</f>
        <v>6873.12</v>
      </c>
      <c r="J344" s="893">
        <f>'TB-DKDD'!I$50</f>
        <v>420.32</v>
      </c>
      <c r="K344" s="893">
        <f>'NL-DKDD'!F$35</f>
        <v>860.91600000000005</v>
      </c>
      <c r="L344" s="893" t="e">
        <f t="shared" si="70"/>
        <v>#VALUE!</v>
      </c>
      <c r="M344" s="893" t="e">
        <f>L344*'He so chung'!$D$17/100</f>
        <v>#VALUE!</v>
      </c>
      <c r="N344" s="893" t="e">
        <f t="shared" si="71"/>
        <v>#VALUE!</v>
      </c>
      <c r="O344" s="893">
        <v>17148.799999999814</v>
      </c>
      <c r="P344" s="893">
        <f>P353+P355+P356+P360+P363+P365+P366+P368+P370+P371+P372</f>
        <v>24235.719230769224</v>
      </c>
      <c r="Q344" s="895"/>
      <c r="R344" s="895"/>
      <c r="S344" s="891"/>
      <c r="T344" s="845">
        <f>'[1]1,DG-capmoi'!N339</f>
        <v>1271577.9589059297</v>
      </c>
      <c r="U344" s="845" t="e">
        <f t="shared" si="59"/>
        <v>#VALUE!</v>
      </c>
    </row>
    <row r="345" spans="1:21" s="896" customFormat="1" ht="20.25" customHeight="1">
      <c r="A345" s="1139"/>
      <c r="B345" s="1125"/>
      <c r="C345" s="1124"/>
      <c r="D345" s="892">
        <v>5</v>
      </c>
      <c r="E345" s="893" t="e">
        <f>E353+E355+E356+E361+E363+E365+E366+E368+E370+E371+E372</f>
        <v>#VALUE!</v>
      </c>
      <c r="F345" s="893">
        <f>F353+F355+F356+F361+F363+F365+F366+F368+F370+F371+F372</f>
        <v>134275</v>
      </c>
      <c r="G345" s="893"/>
      <c r="H345" s="893">
        <f>'Dcu-DKDD'!H$96</f>
        <v>5994.8633814102568</v>
      </c>
      <c r="I345" s="893">
        <f>'VL-DKDD'!F$96</f>
        <v>6873.12</v>
      </c>
      <c r="J345" s="893">
        <f>'TB-DKDD'!I$50</f>
        <v>420.32</v>
      </c>
      <c r="K345" s="893">
        <f>'NL-DKDD'!F$35</f>
        <v>860.91600000000005</v>
      </c>
      <c r="L345" s="871" t="e">
        <f t="shared" si="70"/>
        <v>#VALUE!</v>
      </c>
      <c r="M345" s="871" t="e">
        <f>L345*'He so chung'!$D$17/100</f>
        <v>#VALUE!</v>
      </c>
      <c r="N345" s="871" t="e">
        <f t="shared" si="71"/>
        <v>#VALUE!</v>
      </c>
      <c r="O345" s="871">
        <v>18860</v>
      </c>
      <c r="P345" s="893">
        <f>P353+P355+P356+P361+P363+P365+P366+P368+P370+P371+P372</f>
        <v>25637.480769230766</v>
      </c>
      <c r="Q345" s="895"/>
      <c r="R345" s="895"/>
      <c r="S345" s="891"/>
      <c r="T345" s="845">
        <f>'[1]1,DG-capmoi'!N340</f>
        <v>1161549.800746314</v>
      </c>
      <c r="U345" s="845" t="e">
        <f t="shared" si="59"/>
        <v>#VALUE!</v>
      </c>
    </row>
    <row r="346" spans="1:21" s="896" customFormat="1" ht="20.25" customHeight="1">
      <c r="A346" s="1139" t="s">
        <v>666</v>
      </c>
      <c r="B346" s="1125" t="s">
        <v>452</v>
      </c>
      <c r="C346" s="1124" t="s">
        <v>281</v>
      </c>
      <c r="D346" s="892">
        <v>1</v>
      </c>
      <c r="E346" s="893" t="e">
        <f>E354+E355+E356+E357+E364+E365+E366+E369+E370+E371+E372</f>
        <v>#VALUE!</v>
      </c>
      <c r="F346" s="893">
        <f>F354+F355+F356+F357+F364+F365+F366+F369+F370+F371+F372</f>
        <v>91700</v>
      </c>
      <c r="G346" s="893"/>
      <c r="H346" s="893">
        <f>'Dcu-DKDD'!H$96</f>
        <v>5994.8633814102568</v>
      </c>
      <c r="I346" s="893">
        <f>'VL-DKDD'!F$96</f>
        <v>6873.12</v>
      </c>
      <c r="J346" s="893">
        <f>'TB-DKDD'!I$50</f>
        <v>420.32</v>
      </c>
      <c r="K346" s="893">
        <f>'NL-DKDD'!F$35</f>
        <v>860.91600000000005</v>
      </c>
      <c r="L346" s="893" t="e">
        <f t="shared" si="70"/>
        <v>#VALUE!</v>
      </c>
      <c r="M346" s="893" t="e">
        <f>L346*'He so chung'!$D$17/100</f>
        <v>#VALUE!</v>
      </c>
      <c r="N346" s="893" t="e">
        <f t="shared" si="71"/>
        <v>#VALUE!</v>
      </c>
      <c r="O346" s="893">
        <v>12880</v>
      </c>
      <c r="P346" s="893">
        <f>P354+P355+P356+P357+P364+P365+P366+P369+P370+P371+P372</f>
        <v>19802.955769230772</v>
      </c>
      <c r="Q346" s="895"/>
      <c r="R346" s="895"/>
      <c r="S346" s="891"/>
      <c r="T346" s="845">
        <f>'[1]1,DG-capmoi'!N341</f>
        <v>798028.27622131398</v>
      </c>
      <c r="U346" s="845" t="e">
        <f t="shared" si="59"/>
        <v>#VALUE!</v>
      </c>
    </row>
    <row r="347" spans="1:21" s="896" customFormat="1" ht="20.25" customHeight="1">
      <c r="A347" s="1139"/>
      <c r="B347" s="1125"/>
      <c r="C347" s="1124"/>
      <c r="D347" s="892">
        <v>2</v>
      </c>
      <c r="E347" s="893" t="e">
        <f>E354+E355+E356+E358+E364+E365+E366+E369+E370+E371+E372</f>
        <v>#VALUE!</v>
      </c>
      <c r="F347" s="893">
        <f>F354+F355+F356+F358+F363+F364+F365+F366+F369+F370+F371+F372</f>
        <v>100870</v>
      </c>
      <c r="G347" s="893"/>
      <c r="H347" s="893">
        <f>'Dcu-DKDD'!H$96</f>
        <v>5994.8633814102568</v>
      </c>
      <c r="I347" s="893">
        <f>'VL-DKDD'!F$96</f>
        <v>6873.12</v>
      </c>
      <c r="J347" s="893">
        <f>'TB-DKDD'!I$50</f>
        <v>420.32</v>
      </c>
      <c r="K347" s="893">
        <f>'NL-DKDD'!F$35</f>
        <v>860.91600000000005</v>
      </c>
      <c r="L347" s="893" t="e">
        <f t="shared" si="70"/>
        <v>#VALUE!</v>
      </c>
      <c r="M347" s="893" t="e">
        <f>L347*'He so chung'!$D$17/100</f>
        <v>#VALUE!</v>
      </c>
      <c r="N347" s="893" t="e">
        <f t="shared" si="71"/>
        <v>#VALUE!</v>
      </c>
      <c r="O347" s="893">
        <v>14168</v>
      </c>
      <c r="P347" s="893">
        <f>P354+P355+P356+P358+P364+P365+P366+P369+P370+P371+P372</f>
        <v>20909.609615384616</v>
      </c>
      <c r="Q347" s="895"/>
      <c r="R347" s="895"/>
      <c r="S347" s="891"/>
      <c r="T347" s="845">
        <f>'[1]1,DG-capmoi'!N342</f>
        <v>925040.37188477558</v>
      </c>
      <c r="U347" s="845" t="e">
        <f t="shared" si="59"/>
        <v>#VALUE!</v>
      </c>
    </row>
    <row r="348" spans="1:21" s="896" customFormat="1" ht="20.25" customHeight="1">
      <c r="A348" s="1139"/>
      <c r="B348" s="1125"/>
      <c r="C348" s="1124"/>
      <c r="D348" s="892">
        <v>3</v>
      </c>
      <c r="E348" s="893" t="e">
        <f>E354+E355+E356+E359+E364+E365+E366+E369+E370+E371+E372</f>
        <v>#VALUE!</v>
      </c>
      <c r="F348" s="893">
        <f>F354+F355+F356+F359+F363+F364+F365+F366+F369+F370+F371+F372</f>
        <v>110957</v>
      </c>
      <c r="G348" s="893"/>
      <c r="H348" s="893">
        <f>'Dcu-DKDD'!H$96</f>
        <v>5994.8633814102568</v>
      </c>
      <c r="I348" s="893">
        <f>'VL-DKDD'!F$96</f>
        <v>6873.12</v>
      </c>
      <c r="J348" s="893">
        <f>'TB-DKDD'!I$50</f>
        <v>420.32</v>
      </c>
      <c r="K348" s="893">
        <f>'NL-DKDD'!F$35</f>
        <v>860.91600000000005</v>
      </c>
      <c r="L348" s="893" t="e">
        <f t="shared" si="70"/>
        <v>#VALUE!</v>
      </c>
      <c r="M348" s="893" t="e">
        <f>L348*'He so chung'!$D$17/100</f>
        <v>#VALUE!</v>
      </c>
      <c r="N348" s="893" t="e">
        <f t="shared" si="71"/>
        <v>#VALUE!</v>
      </c>
      <c r="O348" s="893">
        <v>15584.8</v>
      </c>
      <c r="P348" s="893">
        <f>P354+P355+P356+P359+P364+P365+P366+P369+P370+P371+P372</f>
        <v>22126.928846153845</v>
      </c>
      <c r="Q348" s="895"/>
      <c r="R348" s="895"/>
      <c r="S348" s="891"/>
      <c r="T348" s="845">
        <f>'[1]1,DG-capmoi'!N343</f>
        <v>1072721.6401395833</v>
      </c>
      <c r="U348" s="845" t="e">
        <f t="shared" si="59"/>
        <v>#VALUE!</v>
      </c>
    </row>
    <row r="349" spans="1:21" s="896" customFormat="1" ht="20.25" customHeight="1">
      <c r="A349" s="1139"/>
      <c r="B349" s="1125"/>
      <c r="C349" s="1124"/>
      <c r="D349" s="892">
        <v>4</v>
      </c>
      <c r="E349" s="893" t="e">
        <f>E354+E355+E356+E360+E364+E365+E366+E369+E370+E371+E372</f>
        <v>#VALUE!</v>
      </c>
      <c r="F349" s="893">
        <f>F354+F355+F356+F360+F363+F364+F365+F366+F369+F370+F371+F372</f>
        <v>122092</v>
      </c>
      <c r="G349" s="893"/>
      <c r="H349" s="893">
        <f>'Dcu-DKDD'!H$96</f>
        <v>5994.8633814102568</v>
      </c>
      <c r="I349" s="893">
        <f>'VL-DKDD'!F$96</f>
        <v>6873.12</v>
      </c>
      <c r="J349" s="893">
        <f>'TB-DKDD'!I$50</f>
        <v>420.32</v>
      </c>
      <c r="K349" s="893">
        <f>'NL-DKDD'!F$35</f>
        <v>860.91600000000005</v>
      </c>
      <c r="L349" s="893" t="e">
        <f t="shared" si="70"/>
        <v>#VALUE!</v>
      </c>
      <c r="M349" s="893" t="e">
        <f>L349*'He so chung'!$D$17/100</f>
        <v>#VALUE!</v>
      </c>
      <c r="N349" s="893" t="e">
        <f t="shared" si="71"/>
        <v>#VALUE!</v>
      </c>
      <c r="O349" s="893">
        <v>17148.8</v>
      </c>
      <c r="P349" s="893">
        <f>P354+P355+P356+P360+P364+P365+P366+P369+P370+P371+P372</f>
        <v>23467.209615384614</v>
      </c>
      <c r="Q349" s="895"/>
      <c r="R349" s="895"/>
      <c r="S349" s="891"/>
      <c r="T349" s="845">
        <f>'[1]1,DG-capmoi'!N344</f>
        <v>1244050.098184776</v>
      </c>
      <c r="U349" s="845" t="e">
        <f t="shared" si="59"/>
        <v>#VALUE!</v>
      </c>
    </row>
    <row r="350" spans="1:21" s="896" customFormat="1" ht="20.25" customHeight="1">
      <c r="A350" s="1139"/>
      <c r="B350" s="1125"/>
      <c r="C350" s="1124"/>
      <c r="D350" s="892">
        <v>5</v>
      </c>
      <c r="E350" s="893" t="e">
        <f>E354+E355+E356+E361+E364+E365+E366+E369+E370+E371+E372</f>
        <v>#VALUE!</v>
      </c>
      <c r="F350" s="893">
        <f>F354+F355+F356+F361+F363+F364+F365+F366+F369+F370+F371+F372</f>
        <v>134275</v>
      </c>
      <c r="G350" s="893"/>
      <c r="H350" s="893">
        <f>'Dcu-DKDD'!H$96</f>
        <v>5994.8633814102568</v>
      </c>
      <c r="I350" s="893">
        <f>'VL-DKDD'!F$96</f>
        <v>6873.12</v>
      </c>
      <c r="J350" s="893">
        <f>'TB-DKDD'!I$50</f>
        <v>420.32</v>
      </c>
      <c r="K350" s="893">
        <f>'NL-DKDD'!F$35</f>
        <v>860.91600000000005</v>
      </c>
      <c r="L350" s="871" t="e">
        <f t="shared" si="70"/>
        <v>#VALUE!</v>
      </c>
      <c r="M350" s="871" t="e">
        <f>L350*'He so chung'!$D$17/100</f>
        <v>#VALUE!</v>
      </c>
      <c r="N350" s="871" t="e">
        <f t="shared" si="71"/>
        <v>#VALUE!</v>
      </c>
      <c r="O350" s="871">
        <v>18860</v>
      </c>
      <c r="P350" s="893">
        <f>P354+P355+P356+P361+P364+P365+P366+P369+P370+P371+P372</f>
        <v>24868.971153846149</v>
      </c>
      <c r="Q350" s="895"/>
      <c r="R350" s="895"/>
      <c r="S350" s="891"/>
      <c r="T350" s="845">
        <f>'[1]1,DG-capmoi'!N345</f>
        <v>1134021.9400251601</v>
      </c>
      <c r="U350" s="845" t="e">
        <f t="shared" si="59"/>
        <v>#VALUE!</v>
      </c>
    </row>
    <row r="351" spans="1:21" s="896" customFormat="1" ht="22.9" hidden="1" customHeight="1">
      <c r="A351" s="443"/>
      <c r="B351" s="822"/>
      <c r="C351" s="443"/>
      <c r="D351" s="892"/>
      <c r="E351" s="893"/>
      <c r="F351" s="893"/>
      <c r="G351" s="893"/>
      <c r="H351" s="893"/>
      <c r="I351" s="893"/>
      <c r="J351" s="893"/>
      <c r="K351" s="893"/>
      <c r="L351" s="871"/>
      <c r="M351" s="871"/>
      <c r="N351" s="871"/>
      <c r="O351" s="871"/>
      <c r="P351" s="893"/>
      <c r="Q351" s="895"/>
      <c r="R351" s="895"/>
      <c r="S351" s="891"/>
      <c r="T351" s="845">
        <f>'[1]1,DG-capmoi'!N346</f>
        <v>0</v>
      </c>
      <c r="U351" s="845">
        <f t="shared" si="59"/>
        <v>0</v>
      </c>
    </row>
    <row r="352" spans="1:21" s="896" customFormat="1" ht="22.9" customHeight="1">
      <c r="A352" s="832">
        <v>1</v>
      </c>
      <c r="B352" s="827" t="s">
        <v>31</v>
      </c>
      <c r="C352" s="832"/>
      <c r="D352" s="897"/>
      <c r="E352" s="925"/>
      <c r="F352" s="925"/>
      <c r="G352" s="925"/>
      <c r="H352" s="925"/>
      <c r="I352" s="893"/>
      <c r="J352" s="893"/>
      <c r="K352" s="893"/>
      <c r="L352" s="871"/>
      <c r="M352" s="871"/>
      <c r="N352" s="871"/>
      <c r="O352" s="871"/>
      <c r="P352" s="893"/>
      <c r="Q352" s="895"/>
      <c r="R352" s="895"/>
      <c r="S352" s="891"/>
      <c r="T352" s="845">
        <f>'[1]1,DG-capmoi'!N347</f>
        <v>0</v>
      </c>
      <c r="U352" s="845">
        <f t="shared" si="59"/>
        <v>0</v>
      </c>
    </row>
    <row r="353" spans="1:21" s="896" customFormat="1" ht="24.75" customHeight="1">
      <c r="A353" s="832" t="s">
        <v>891</v>
      </c>
      <c r="B353" s="827" t="s">
        <v>33</v>
      </c>
      <c r="C353" s="832" t="s">
        <v>281</v>
      </c>
      <c r="D353" s="926" t="s">
        <v>881</v>
      </c>
      <c r="E353" s="925" t="e">
        <f>NC_DKDD!H234</f>
        <v>#VALUE!</v>
      </c>
      <c r="F353" s="925"/>
      <c r="G353" s="925"/>
      <c r="H353" s="925"/>
      <c r="I353" s="893"/>
      <c r="J353" s="893"/>
      <c r="K353" s="893"/>
      <c r="L353" s="871"/>
      <c r="M353" s="871"/>
      <c r="N353" s="871"/>
      <c r="O353" s="871"/>
      <c r="P353" s="925">
        <f>Q353+R353</f>
        <v>1229.6153846153848</v>
      </c>
      <c r="Q353" s="900">
        <f>S353*$Q$339</f>
        <v>1069.2307692307693</v>
      </c>
      <c r="R353" s="900">
        <f>S353*$R$339</f>
        <v>160.38461538461539</v>
      </c>
      <c r="S353" s="402">
        <f>NC_DKDD!G234</f>
        <v>0.2</v>
      </c>
      <c r="T353" s="845">
        <f>'[1]1,DG-capmoi'!N348</f>
        <v>0</v>
      </c>
      <c r="U353" s="845">
        <f t="shared" si="59"/>
        <v>0</v>
      </c>
    </row>
    <row r="354" spans="1:21" s="896" customFormat="1" ht="24.75" customHeight="1">
      <c r="A354" s="832" t="s">
        <v>899</v>
      </c>
      <c r="B354" s="827" t="s">
        <v>36</v>
      </c>
      <c r="C354" s="832" t="s">
        <v>281</v>
      </c>
      <c r="D354" s="926" t="s">
        <v>881</v>
      </c>
      <c r="E354" s="925" t="e">
        <f>NC_DKDD!H235</f>
        <v>#VALUE!</v>
      </c>
      <c r="F354" s="925"/>
      <c r="G354" s="925"/>
      <c r="H354" s="925"/>
      <c r="I354" s="893"/>
      <c r="J354" s="893"/>
      <c r="K354" s="893"/>
      <c r="L354" s="871"/>
      <c r="M354" s="871"/>
      <c r="N354" s="871"/>
      <c r="O354" s="871"/>
      <c r="P354" s="925">
        <f t="shared" ref="P354:P374" si="72">Q354+R354</f>
        <v>922.21153846153834</v>
      </c>
      <c r="Q354" s="900">
        <f t="shared" ref="Q354:Q372" si="73">S354*$Q$339</f>
        <v>801.92307692307679</v>
      </c>
      <c r="R354" s="900">
        <f t="shared" ref="R354:R372" si="74">S354*$R$339</f>
        <v>120.28846153846153</v>
      </c>
      <c r="S354" s="402">
        <f>NC_DKDD!G235</f>
        <v>0.15</v>
      </c>
      <c r="T354" s="845">
        <f>'[1]1,DG-capmoi'!N349</f>
        <v>0</v>
      </c>
      <c r="U354" s="845">
        <f t="shared" si="59"/>
        <v>0</v>
      </c>
    </row>
    <row r="355" spans="1:21" s="896" customFormat="1" ht="47.25" customHeight="1">
      <c r="A355" s="832">
        <v>2</v>
      </c>
      <c r="B355" s="827" t="s">
        <v>37</v>
      </c>
      <c r="C355" s="832" t="s">
        <v>281</v>
      </c>
      <c r="D355" s="926" t="s">
        <v>881</v>
      </c>
      <c r="E355" s="925" t="e">
        <f>NC_DKDD!H236</f>
        <v>#VALUE!</v>
      </c>
      <c r="F355" s="925"/>
      <c r="G355" s="925"/>
      <c r="H355" s="925"/>
      <c r="I355" s="893"/>
      <c r="J355" s="893"/>
      <c r="K355" s="893"/>
      <c r="L355" s="871"/>
      <c r="M355" s="871"/>
      <c r="N355" s="871"/>
      <c r="O355" s="871"/>
      <c r="P355" s="925">
        <f t="shared" si="72"/>
        <v>614.80769230769238</v>
      </c>
      <c r="Q355" s="900">
        <f t="shared" si="73"/>
        <v>534.61538461538464</v>
      </c>
      <c r="R355" s="900">
        <f t="shared" si="74"/>
        <v>80.192307692307693</v>
      </c>
      <c r="S355" s="402">
        <f>NC_DKDD!G236</f>
        <v>0.1</v>
      </c>
      <c r="T355" s="845">
        <f>'[1]1,DG-capmoi'!N350</f>
        <v>0</v>
      </c>
      <c r="U355" s="845">
        <f t="shared" si="59"/>
        <v>0</v>
      </c>
    </row>
    <row r="356" spans="1:21" s="896" customFormat="1" ht="33.75" customHeight="1">
      <c r="A356" s="832">
        <v>3</v>
      </c>
      <c r="B356" s="827" t="s">
        <v>38</v>
      </c>
      <c r="C356" s="832" t="s">
        <v>523</v>
      </c>
      <c r="D356" s="926" t="s">
        <v>881</v>
      </c>
      <c r="E356" s="925" t="e">
        <f>NC_DKDD!H237</f>
        <v>#VALUE!</v>
      </c>
      <c r="F356" s="925"/>
      <c r="G356" s="925"/>
      <c r="H356" s="925"/>
      <c r="I356" s="893"/>
      <c r="J356" s="893"/>
      <c r="K356" s="893"/>
      <c r="L356" s="871"/>
      <c r="M356" s="871"/>
      <c r="N356" s="871"/>
      <c r="O356" s="871"/>
      <c r="P356" s="925">
        <f t="shared" si="72"/>
        <v>202.88653846153844</v>
      </c>
      <c r="Q356" s="900">
        <f t="shared" si="73"/>
        <v>176.42307692307691</v>
      </c>
      <c r="R356" s="900">
        <f t="shared" si="74"/>
        <v>26.463461538461541</v>
      </c>
      <c r="S356" s="402">
        <f>NC_DKDD!G237</f>
        <v>3.3000000000000002E-2</v>
      </c>
      <c r="T356" s="845">
        <f>'[1]1,DG-capmoi'!N351</f>
        <v>0</v>
      </c>
      <c r="U356" s="845">
        <f t="shared" si="59"/>
        <v>0</v>
      </c>
    </row>
    <row r="357" spans="1:21" s="896" customFormat="1" ht="19.5" customHeight="1">
      <c r="A357" s="1116">
        <v>4</v>
      </c>
      <c r="B357" s="1148" t="s">
        <v>39</v>
      </c>
      <c r="C357" s="1133" t="s">
        <v>281</v>
      </c>
      <c r="D357" s="928">
        <v>1</v>
      </c>
      <c r="E357" s="925" t="e">
        <f>NC_DKDD!H238</f>
        <v>#VALUE!</v>
      </c>
      <c r="F357" s="925">
        <f>NC_DKDD!H239</f>
        <v>91700</v>
      </c>
      <c r="G357" s="925"/>
      <c r="H357" s="925"/>
      <c r="I357" s="893"/>
      <c r="J357" s="893"/>
      <c r="K357" s="893"/>
      <c r="L357" s="871"/>
      <c r="M357" s="871"/>
      <c r="N357" s="871"/>
      <c r="O357" s="871"/>
      <c r="P357" s="925">
        <f t="shared" si="72"/>
        <v>11066.538461538461</v>
      </c>
      <c r="Q357" s="900">
        <f t="shared" si="73"/>
        <v>9623.076923076922</v>
      </c>
      <c r="R357" s="900">
        <f t="shared" si="74"/>
        <v>1443.4615384615386</v>
      </c>
      <c r="S357" s="402">
        <f>NC_DKDD!G238</f>
        <v>1.8</v>
      </c>
      <c r="T357" s="845">
        <f>'[1]1,DG-capmoi'!N352</f>
        <v>0</v>
      </c>
      <c r="U357" s="845">
        <f t="shared" si="59"/>
        <v>0</v>
      </c>
    </row>
    <row r="358" spans="1:21" s="896" customFormat="1" ht="19.5" customHeight="1">
      <c r="A358" s="1116"/>
      <c r="B358" s="1149"/>
      <c r="C358" s="1134"/>
      <c r="D358" s="928">
        <v>2</v>
      </c>
      <c r="E358" s="925" t="e">
        <f>NC_DKDD!H240</f>
        <v>#VALUE!</v>
      </c>
      <c r="F358" s="925">
        <f>NC_DKDD!H241</f>
        <v>100870</v>
      </c>
      <c r="G358" s="925"/>
      <c r="H358" s="925"/>
      <c r="I358" s="893"/>
      <c r="J358" s="893"/>
      <c r="K358" s="893"/>
      <c r="L358" s="871"/>
      <c r="M358" s="871"/>
      <c r="N358" s="871"/>
      <c r="O358" s="871"/>
      <c r="P358" s="925">
        <f t="shared" si="72"/>
        <v>12173.192307692307</v>
      </c>
      <c r="Q358" s="900">
        <f t="shared" si="73"/>
        <v>10585.384615384615</v>
      </c>
      <c r="R358" s="900">
        <f t="shared" si="74"/>
        <v>1587.8076923076922</v>
      </c>
      <c r="S358" s="402">
        <f>NC_DKDD!G240</f>
        <v>1.98</v>
      </c>
      <c r="T358" s="845">
        <f>'[1]1,DG-capmoi'!N353</f>
        <v>0</v>
      </c>
      <c r="U358" s="845">
        <f t="shared" si="59"/>
        <v>0</v>
      </c>
    </row>
    <row r="359" spans="1:21" s="896" customFormat="1" ht="19.5" customHeight="1">
      <c r="A359" s="1116"/>
      <c r="B359" s="1149"/>
      <c r="C359" s="1134"/>
      <c r="D359" s="928">
        <v>3</v>
      </c>
      <c r="E359" s="925" t="e">
        <f>NC_DKDD!H242</f>
        <v>#VALUE!</v>
      </c>
      <c r="F359" s="925">
        <f>NC_DKDD!H243</f>
        <v>110957</v>
      </c>
      <c r="G359" s="925"/>
      <c r="H359" s="925"/>
      <c r="I359" s="893"/>
      <c r="J359" s="893"/>
      <c r="K359" s="893"/>
      <c r="L359" s="871"/>
      <c r="M359" s="871"/>
      <c r="N359" s="871"/>
      <c r="O359" s="871"/>
      <c r="P359" s="925">
        <f t="shared" si="72"/>
        <v>13390.511538461538</v>
      </c>
      <c r="Q359" s="900">
        <f t="shared" si="73"/>
        <v>11643.923076923076</v>
      </c>
      <c r="R359" s="900">
        <f t="shared" si="74"/>
        <v>1746.5884615384614</v>
      </c>
      <c r="S359" s="402">
        <f>NC_DKDD!G242</f>
        <v>2.1779999999999999</v>
      </c>
      <c r="T359" s="845">
        <f>'[1]1,DG-capmoi'!N354</f>
        <v>0</v>
      </c>
      <c r="U359" s="845">
        <f t="shared" si="59"/>
        <v>0</v>
      </c>
    </row>
    <row r="360" spans="1:21" s="896" customFormat="1" ht="19.5" customHeight="1">
      <c r="A360" s="1116"/>
      <c r="B360" s="1149"/>
      <c r="C360" s="1134"/>
      <c r="D360" s="928">
        <v>4</v>
      </c>
      <c r="E360" s="925" t="e">
        <f>NC_DKDD!H244</f>
        <v>#VALUE!</v>
      </c>
      <c r="F360" s="925">
        <f>NC_DKDD!H245</f>
        <v>122092</v>
      </c>
      <c r="G360" s="925"/>
      <c r="H360" s="925"/>
      <c r="I360" s="893"/>
      <c r="J360" s="893"/>
      <c r="K360" s="893"/>
      <c r="L360" s="871"/>
      <c r="M360" s="871"/>
      <c r="N360" s="871"/>
      <c r="O360" s="871"/>
      <c r="P360" s="925">
        <f t="shared" si="72"/>
        <v>14730.792307692305</v>
      </c>
      <c r="Q360" s="900">
        <f t="shared" si="73"/>
        <v>12809.384615384613</v>
      </c>
      <c r="R360" s="900">
        <f t="shared" si="74"/>
        <v>1921.4076923076923</v>
      </c>
      <c r="S360" s="402">
        <f>NC_DKDD!G244</f>
        <v>2.3959999999999999</v>
      </c>
      <c r="T360" s="845">
        <f>'[1]1,DG-capmoi'!N355</f>
        <v>0</v>
      </c>
      <c r="U360" s="845">
        <f t="shared" si="59"/>
        <v>0</v>
      </c>
    </row>
    <row r="361" spans="1:21" s="896" customFormat="1" ht="19.5" customHeight="1">
      <c r="A361" s="1116"/>
      <c r="B361" s="1150"/>
      <c r="C361" s="1135"/>
      <c r="D361" s="928">
        <v>5</v>
      </c>
      <c r="E361" s="925" t="e">
        <f>NC_DKDD!H246</f>
        <v>#VALUE!</v>
      </c>
      <c r="F361" s="925">
        <f>NC_DKDD!H247</f>
        <v>134275</v>
      </c>
      <c r="G361" s="925"/>
      <c r="H361" s="925"/>
      <c r="I361" s="893"/>
      <c r="J361" s="893"/>
      <c r="K361" s="893"/>
      <c r="L361" s="871"/>
      <c r="M361" s="871"/>
      <c r="N361" s="871"/>
      <c r="O361" s="871"/>
      <c r="P361" s="925">
        <f t="shared" si="72"/>
        <v>16132.553846153845</v>
      </c>
      <c r="Q361" s="900">
        <f t="shared" si="73"/>
        <v>14028.307692307691</v>
      </c>
      <c r="R361" s="900">
        <f t="shared" si="74"/>
        <v>2104.2461538461539</v>
      </c>
      <c r="S361" s="402">
        <f>NC_DKDD!G246</f>
        <v>2.6240000000000001</v>
      </c>
      <c r="T361" s="845">
        <f>'[1]1,DG-capmoi'!N356</f>
        <v>0</v>
      </c>
      <c r="U361" s="845">
        <f t="shared" si="59"/>
        <v>0</v>
      </c>
    </row>
    <row r="362" spans="1:21" s="896" customFormat="1" ht="29.25" customHeight="1">
      <c r="A362" s="832">
        <v>5</v>
      </c>
      <c r="B362" s="827" t="s">
        <v>340</v>
      </c>
      <c r="C362" s="832"/>
      <c r="D362" s="928"/>
      <c r="E362" s="925"/>
      <c r="F362" s="925"/>
      <c r="G362" s="925"/>
      <c r="H362" s="925"/>
      <c r="I362" s="893"/>
      <c r="J362" s="893"/>
      <c r="K362" s="893"/>
      <c r="L362" s="871"/>
      <c r="M362" s="871"/>
      <c r="N362" s="871"/>
      <c r="O362" s="871"/>
      <c r="P362" s="925">
        <f t="shared" si="72"/>
        <v>0</v>
      </c>
      <c r="Q362" s="900">
        <f t="shared" si="73"/>
        <v>0</v>
      </c>
      <c r="R362" s="900">
        <f t="shared" si="74"/>
        <v>0</v>
      </c>
      <c r="S362" s="402"/>
      <c r="T362" s="845">
        <f>'[1]1,DG-capmoi'!N357</f>
        <v>0</v>
      </c>
      <c r="U362" s="845">
        <f t="shared" si="59"/>
        <v>0</v>
      </c>
    </row>
    <row r="363" spans="1:21" s="896" customFormat="1" ht="22.5" customHeight="1">
      <c r="A363" s="832" t="s">
        <v>607</v>
      </c>
      <c r="B363" s="827" t="s">
        <v>33</v>
      </c>
      <c r="C363" s="832" t="s">
        <v>281</v>
      </c>
      <c r="D363" s="926" t="s">
        <v>881</v>
      </c>
      <c r="E363" s="925" t="e">
        <f>NC_DKDD!H249</f>
        <v>#VALUE!</v>
      </c>
      <c r="F363" s="925"/>
      <c r="G363" s="925"/>
      <c r="H363" s="925"/>
      <c r="I363" s="893"/>
      <c r="J363" s="893"/>
      <c r="K363" s="893"/>
      <c r="L363" s="871"/>
      <c r="M363" s="871"/>
      <c r="N363" s="871"/>
      <c r="O363" s="871"/>
      <c r="P363" s="925">
        <f t="shared" si="72"/>
        <v>307.40384615384619</v>
      </c>
      <c r="Q363" s="900">
        <f t="shared" si="73"/>
        <v>267.30769230769232</v>
      </c>
      <c r="R363" s="900">
        <f t="shared" si="74"/>
        <v>40.096153846153847</v>
      </c>
      <c r="S363" s="449">
        <f>NC_DKDD!G249</f>
        <v>0.05</v>
      </c>
      <c r="T363" s="845">
        <f>'[1]1,DG-capmoi'!N358</f>
        <v>0</v>
      </c>
      <c r="U363" s="845">
        <f t="shared" si="59"/>
        <v>0</v>
      </c>
    </row>
    <row r="364" spans="1:21" s="896" customFormat="1" ht="22.5" customHeight="1">
      <c r="A364" s="832" t="s">
        <v>608</v>
      </c>
      <c r="B364" s="827" t="s">
        <v>36</v>
      </c>
      <c r="C364" s="832" t="s">
        <v>281</v>
      </c>
      <c r="D364" s="926" t="s">
        <v>881</v>
      </c>
      <c r="E364" s="925" t="e">
        <f>NC_DKDD!H250</f>
        <v>#VALUE!</v>
      </c>
      <c r="F364" s="925"/>
      <c r="G364" s="925"/>
      <c r="H364" s="925"/>
      <c r="I364" s="893"/>
      <c r="J364" s="893"/>
      <c r="K364" s="893"/>
      <c r="L364" s="871"/>
      <c r="M364" s="871"/>
      <c r="N364" s="871"/>
      <c r="O364" s="871"/>
      <c r="P364" s="925">
        <f t="shared" si="72"/>
        <v>153.70192307692309</v>
      </c>
      <c r="Q364" s="900">
        <f t="shared" si="73"/>
        <v>133.65384615384616</v>
      </c>
      <c r="R364" s="900">
        <f t="shared" si="74"/>
        <v>20.048076923076923</v>
      </c>
      <c r="S364" s="449">
        <f>NC_DKDD!G250</f>
        <v>2.5000000000000001E-2</v>
      </c>
      <c r="T364" s="845">
        <f>'[1]1,DG-capmoi'!N359</f>
        <v>0</v>
      </c>
      <c r="U364" s="845">
        <f t="shared" si="59"/>
        <v>0</v>
      </c>
    </row>
    <row r="365" spans="1:21" s="896" customFormat="1" ht="31.5" customHeight="1">
      <c r="A365" s="832">
        <v>6</v>
      </c>
      <c r="B365" s="827" t="s">
        <v>949</v>
      </c>
      <c r="C365" s="832" t="s">
        <v>523</v>
      </c>
      <c r="D365" s="926" t="s">
        <v>881</v>
      </c>
      <c r="E365" s="925" t="e">
        <f>NC_DKDD!H251</f>
        <v>#VALUE!</v>
      </c>
      <c r="F365" s="925"/>
      <c r="G365" s="925"/>
      <c r="H365" s="925"/>
      <c r="I365" s="893"/>
      <c r="J365" s="893"/>
      <c r="K365" s="893"/>
      <c r="L365" s="871"/>
      <c r="M365" s="871"/>
      <c r="N365" s="871"/>
      <c r="O365" s="871"/>
      <c r="P365" s="925">
        <f t="shared" si="72"/>
        <v>18.444230769230767</v>
      </c>
      <c r="Q365" s="900">
        <f t="shared" si="73"/>
        <v>16.038461538461537</v>
      </c>
      <c r="R365" s="900">
        <f t="shared" si="74"/>
        <v>2.4057692307692307</v>
      </c>
      <c r="S365" s="449">
        <f>NC_DKDD!G251</f>
        <v>3.0000000000000001E-3</v>
      </c>
      <c r="T365" s="845">
        <f>'[1]1,DG-capmoi'!N360</f>
        <v>0</v>
      </c>
      <c r="U365" s="845">
        <f t="shared" si="59"/>
        <v>0</v>
      </c>
    </row>
    <row r="366" spans="1:21" s="896" customFormat="1" ht="35.25" customHeight="1">
      <c r="A366" s="832">
        <v>7</v>
      </c>
      <c r="B366" s="827" t="s">
        <v>855</v>
      </c>
      <c r="C366" s="832" t="s">
        <v>281</v>
      </c>
      <c r="D366" s="926" t="s">
        <v>881</v>
      </c>
      <c r="E366" s="925" t="e">
        <f>NC_DKDD!H252</f>
        <v>#VALUE!</v>
      </c>
      <c r="F366" s="925"/>
      <c r="G366" s="925"/>
      <c r="H366" s="925"/>
      <c r="I366" s="893"/>
      <c r="J366" s="893"/>
      <c r="K366" s="893"/>
      <c r="L366" s="871"/>
      <c r="M366" s="871"/>
      <c r="N366" s="871"/>
      <c r="O366" s="871"/>
      <c r="P366" s="925">
        <f t="shared" si="72"/>
        <v>368.88461538461536</v>
      </c>
      <c r="Q366" s="900">
        <f t="shared" si="73"/>
        <v>320.76923076923072</v>
      </c>
      <c r="R366" s="900">
        <f t="shared" si="74"/>
        <v>48.115384615384613</v>
      </c>
      <c r="S366" s="449">
        <f>NC_DKDD!G252</f>
        <v>0.06</v>
      </c>
      <c r="T366" s="845">
        <f>'[1]1,DG-capmoi'!N361</f>
        <v>0</v>
      </c>
      <c r="U366" s="845">
        <f t="shared" si="59"/>
        <v>0</v>
      </c>
    </row>
    <row r="367" spans="1:21" s="896" customFormat="1" ht="31.5" customHeight="1">
      <c r="A367" s="832">
        <v>8</v>
      </c>
      <c r="B367" s="827" t="s">
        <v>348</v>
      </c>
      <c r="C367" s="832"/>
      <c r="D367" s="928"/>
      <c r="E367" s="925">
        <f>NC_DKDD!H253</f>
        <v>0</v>
      </c>
      <c r="F367" s="925"/>
      <c r="G367" s="925"/>
      <c r="H367" s="925"/>
      <c r="I367" s="893"/>
      <c r="J367" s="893"/>
      <c r="K367" s="893"/>
      <c r="L367" s="871"/>
      <c r="M367" s="871"/>
      <c r="N367" s="871"/>
      <c r="O367" s="871"/>
      <c r="P367" s="925">
        <f t="shared" si="72"/>
        <v>0</v>
      </c>
      <c r="Q367" s="900">
        <f t="shared" si="73"/>
        <v>0</v>
      </c>
      <c r="R367" s="900">
        <f t="shared" si="74"/>
        <v>0</v>
      </c>
      <c r="S367" s="449">
        <f>NC_DKDD!G253</f>
        <v>0</v>
      </c>
      <c r="T367" s="845">
        <f>'[1]1,DG-capmoi'!N362</f>
        <v>0</v>
      </c>
      <c r="U367" s="845">
        <f t="shared" si="59"/>
        <v>0</v>
      </c>
    </row>
    <row r="368" spans="1:21" s="896" customFormat="1" ht="22.9" customHeight="1">
      <c r="A368" s="832" t="s">
        <v>374</v>
      </c>
      <c r="B368" s="827" t="s">
        <v>33</v>
      </c>
      <c r="C368" s="832" t="s">
        <v>281</v>
      </c>
      <c r="D368" s="926" t="s">
        <v>881</v>
      </c>
      <c r="E368" s="925" t="e">
        <f>NC_DKDD!H254</f>
        <v>#VALUE!</v>
      </c>
      <c r="F368" s="925"/>
      <c r="G368" s="925"/>
      <c r="H368" s="925"/>
      <c r="I368" s="893"/>
      <c r="J368" s="893"/>
      <c r="K368" s="893"/>
      <c r="L368" s="871"/>
      <c r="M368" s="871"/>
      <c r="N368" s="871"/>
      <c r="O368" s="871"/>
      <c r="P368" s="925">
        <f t="shared" si="72"/>
        <v>1229.6153846153848</v>
      </c>
      <c r="Q368" s="900">
        <f t="shared" si="73"/>
        <v>1069.2307692307693</v>
      </c>
      <c r="R368" s="900">
        <f t="shared" si="74"/>
        <v>160.38461538461539</v>
      </c>
      <c r="S368" s="449">
        <f>NC_DKDD!G254</f>
        <v>0.2</v>
      </c>
      <c r="T368" s="845">
        <f>'[1]1,DG-capmoi'!N363</f>
        <v>0</v>
      </c>
      <c r="U368" s="845">
        <f t="shared" si="59"/>
        <v>0</v>
      </c>
    </row>
    <row r="369" spans="1:21" s="896" customFormat="1" ht="22.9" customHeight="1">
      <c r="A369" s="832" t="s">
        <v>375</v>
      </c>
      <c r="B369" s="827" t="s">
        <v>36</v>
      </c>
      <c r="C369" s="832" t="s">
        <v>281</v>
      </c>
      <c r="D369" s="926" t="s">
        <v>881</v>
      </c>
      <c r="E369" s="925" t="e">
        <f>NC_DKDD!H255</f>
        <v>#VALUE!</v>
      </c>
      <c r="F369" s="925"/>
      <c r="G369" s="925"/>
      <c r="H369" s="925"/>
      <c r="I369" s="893"/>
      <c r="J369" s="893"/>
      <c r="K369" s="893"/>
      <c r="L369" s="871"/>
      <c r="M369" s="871"/>
      <c r="N369" s="871"/>
      <c r="O369" s="871"/>
      <c r="P369" s="925">
        <f t="shared" si="72"/>
        <v>922.21153846153834</v>
      </c>
      <c r="Q369" s="900">
        <f t="shared" si="73"/>
        <v>801.92307692307679</v>
      </c>
      <c r="R369" s="900">
        <f t="shared" si="74"/>
        <v>120.28846153846153</v>
      </c>
      <c r="S369" s="449">
        <f>NC_DKDD!G255</f>
        <v>0.15</v>
      </c>
      <c r="T369" s="845">
        <f>'[1]1,DG-capmoi'!N364</f>
        <v>0</v>
      </c>
      <c r="U369" s="845">
        <f t="shared" si="59"/>
        <v>0</v>
      </c>
    </row>
    <row r="370" spans="1:21" s="896" customFormat="1" ht="28.5" customHeight="1">
      <c r="A370" s="832">
        <v>9</v>
      </c>
      <c r="B370" s="827" t="s">
        <v>856</v>
      </c>
      <c r="C370" s="832" t="s">
        <v>281</v>
      </c>
      <c r="D370" s="926" t="s">
        <v>881</v>
      </c>
      <c r="E370" s="925" t="e">
        <f>NC_DKDD!H256</f>
        <v>#VALUE!</v>
      </c>
      <c r="F370" s="925"/>
      <c r="G370" s="925"/>
      <c r="H370" s="925"/>
      <c r="I370" s="893"/>
      <c r="J370" s="893"/>
      <c r="K370" s="893"/>
      <c r="L370" s="871"/>
      <c r="M370" s="871"/>
      <c r="N370" s="871"/>
      <c r="O370" s="871"/>
      <c r="P370" s="925">
        <f t="shared" si="72"/>
        <v>3074.0384615384614</v>
      </c>
      <c r="Q370" s="900">
        <f t="shared" si="73"/>
        <v>2673.0769230769229</v>
      </c>
      <c r="R370" s="900">
        <f t="shared" si="74"/>
        <v>400.96153846153845</v>
      </c>
      <c r="S370" s="449">
        <f>NC_DKDD!G256</f>
        <v>0.5</v>
      </c>
      <c r="T370" s="845">
        <f>'[1]1,DG-capmoi'!N365</f>
        <v>0</v>
      </c>
      <c r="U370" s="845">
        <f t="shared" si="59"/>
        <v>0</v>
      </c>
    </row>
    <row r="371" spans="1:21" s="896" customFormat="1" ht="57">
      <c r="A371" s="832">
        <v>10</v>
      </c>
      <c r="B371" s="827" t="s">
        <v>950</v>
      </c>
      <c r="C371" s="832" t="s">
        <v>281</v>
      </c>
      <c r="D371" s="926" t="s">
        <v>881</v>
      </c>
      <c r="E371" s="925" t="e">
        <f>NC_DKDD!H257</f>
        <v>#VALUE!</v>
      </c>
      <c r="F371" s="925"/>
      <c r="G371" s="925"/>
      <c r="H371" s="925"/>
      <c r="I371" s="893"/>
      <c r="J371" s="893"/>
      <c r="K371" s="893"/>
      <c r="L371" s="871"/>
      <c r="M371" s="871"/>
      <c r="N371" s="871"/>
      <c r="O371" s="871"/>
      <c r="P371" s="925">
        <f t="shared" si="72"/>
        <v>1229.6153846153848</v>
      </c>
      <c r="Q371" s="900">
        <f t="shared" si="73"/>
        <v>1069.2307692307693</v>
      </c>
      <c r="R371" s="900">
        <f t="shared" si="74"/>
        <v>160.38461538461539</v>
      </c>
      <c r="S371" s="449">
        <f>NC_DKDD!G257</f>
        <v>0.2</v>
      </c>
      <c r="T371" s="845">
        <f>'[1]1,DG-capmoi'!N366</f>
        <v>0</v>
      </c>
      <c r="U371" s="845">
        <f t="shared" si="59"/>
        <v>0</v>
      </c>
    </row>
    <row r="372" spans="1:21" s="896" customFormat="1" ht="46.5" customHeight="1">
      <c r="A372" s="832">
        <v>11</v>
      </c>
      <c r="B372" s="827" t="s">
        <v>951</v>
      </c>
      <c r="C372" s="832" t="s">
        <v>281</v>
      </c>
      <c r="D372" s="926" t="s">
        <v>881</v>
      </c>
      <c r="E372" s="925" t="e">
        <f>NC_DKDD!H258</f>
        <v>#VALUE!</v>
      </c>
      <c r="F372" s="925"/>
      <c r="G372" s="925"/>
      <c r="H372" s="925"/>
      <c r="I372" s="893"/>
      <c r="J372" s="893"/>
      <c r="K372" s="893"/>
      <c r="L372" s="871"/>
      <c r="M372" s="871"/>
      <c r="N372" s="871"/>
      <c r="O372" s="871"/>
      <c r="P372" s="925">
        <f t="shared" si="72"/>
        <v>1229.6153846153848</v>
      </c>
      <c r="Q372" s="900">
        <f t="shared" si="73"/>
        <v>1069.2307692307693</v>
      </c>
      <c r="R372" s="900">
        <f t="shared" si="74"/>
        <v>160.38461538461539</v>
      </c>
      <c r="S372" s="449">
        <f>NC_DKDD!G258</f>
        <v>0.2</v>
      </c>
      <c r="T372" s="845">
        <f>'[1]1,DG-capmoi'!N367</f>
        <v>0</v>
      </c>
      <c r="U372" s="845">
        <f t="shared" si="59"/>
        <v>0</v>
      </c>
    </row>
    <row r="373" spans="1:21" s="896" customFormat="1" ht="27.75" customHeight="1">
      <c r="A373" s="829" t="s">
        <v>913</v>
      </c>
      <c r="B373" s="929" t="s">
        <v>1057</v>
      </c>
      <c r="C373" s="833"/>
      <c r="D373" s="930"/>
      <c r="E373" s="931" t="e">
        <f>E374</f>
        <v>#VALUE!</v>
      </c>
      <c r="F373" s="931"/>
      <c r="G373" s="931"/>
      <c r="H373" s="893"/>
      <c r="I373" s="893"/>
      <c r="J373" s="893"/>
      <c r="K373" s="893"/>
      <c r="L373" s="893" t="e">
        <f>SUM(E373:K373)</f>
        <v>#VALUE!</v>
      </c>
      <c r="M373" s="893" t="e">
        <f>L373*'He so chung'!$D$17/100</f>
        <v>#VALUE!</v>
      </c>
      <c r="N373" s="893" t="e">
        <f>L373+M373</f>
        <v>#VALUE!</v>
      </c>
      <c r="O373" s="871"/>
      <c r="P373" s="931">
        <f>P374</f>
        <v>1229.6153846153848</v>
      </c>
      <c r="Q373" s="900">
        <f>S373*$Q$339</f>
        <v>1069.2307692307693</v>
      </c>
      <c r="R373" s="900">
        <f>S373*$R$339</f>
        <v>160.38461538461539</v>
      </c>
      <c r="S373" s="940">
        <f>S374</f>
        <v>0.2</v>
      </c>
      <c r="T373" s="845">
        <f>'[1]1,DG-capmoi'!N368</f>
        <v>46049.096153846156</v>
      </c>
      <c r="U373" s="845" t="e">
        <f t="shared" si="59"/>
        <v>#VALUE!</v>
      </c>
    </row>
    <row r="374" spans="1:21" s="896" customFormat="1" ht="34.5" customHeight="1">
      <c r="A374" s="832">
        <v>1</v>
      </c>
      <c r="B374" s="827" t="s">
        <v>1076</v>
      </c>
      <c r="C374" s="832" t="s">
        <v>281</v>
      </c>
      <c r="D374" s="933" t="s">
        <v>881</v>
      </c>
      <c r="E374" s="925" t="e">
        <f>NC_DKDD!H303</f>
        <v>#VALUE!</v>
      </c>
      <c r="F374" s="893"/>
      <c r="G374" s="893"/>
      <c r="H374" s="893"/>
      <c r="I374" s="893"/>
      <c r="J374" s="893"/>
      <c r="K374" s="893"/>
      <c r="L374" s="871"/>
      <c r="M374" s="871"/>
      <c r="N374" s="871"/>
      <c r="O374" s="871"/>
      <c r="P374" s="925">
        <f t="shared" si="72"/>
        <v>1229.6153846153848</v>
      </c>
      <c r="Q374" s="900">
        <f>S374*$Q$339</f>
        <v>1069.2307692307693</v>
      </c>
      <c r="R374" s="900">
        <f>S374*$R$339</f>
        <v>160.38461538461539</v>
      </c>
      <c r="S374" s="449">
        <f>NC_DKDD!G303</f>
        <v>0.2</v>
      </c>
      <c r="T374" s="845">
        <f>'[1]1,DG-capmoi'!N369</f>
        <v>0</v>
      </c>
      <c r="U374" s="845">
        <f t="shared" si="59"/>
        <v>0</v>
      </c>
    </row>
    <row r="375" spans="1:21" ht="18.75" customHeight="1">
      <c r="A375" s="353"/>
      <c r="B375" s="886" t="s">
        <v>282</v>
      </c>
      <c r="C375" s="354"/>
      <c r="D375" s="353"/>
      <c r="E375" s="355"/>
      <c r="F375" s="355"/>
      <c r="G375" s="356"/>
      <c r="H375" s="355"/>
      <c r="I375" s="355"/>
      <c r="J375" s="357"/>
      <c r="K375" s="357"/>
      <c r="L375" s="357"/>
      <c r="M375" s="340"/>
      <c r="N375" s="340"/>
      <c r="O375" s="340"/>
      <c r="P375" s="935"/>
      <c r="Q375" s="332"/>
      <c r="R375" s="332"/>
      <c r="S375" s="941"/>
      <c r="T375" s="845">
        <f>'[1]1,DG-capmoi'!N370</f>
        <v>0</v>
      </c>
      <c r="U375" s="845">
        <f t="shared" si="59"/>
        <v>0</v>
      </c>
    </row>
    <row r="376" spans="1:21" ht="20.25" customHeight="1">
      <c r="A376" s="358"/>
      <c r="B376" s="1129" t="s">
        <v>20</v>
      </c>
      <c r="C376" s="1129"/>
      <c r="D376" s="1129"/>
      <c r="E376" s="1129"/>
      <c r="F376" s="1129"/>
      <c r="G376" s="1129"/>
      <c r="H376" s="1129"/>
      <c r="I376" s="1129"/>
      <c r="J376" s="1129"/>
      <c r="K376" s="1129"/>
      <c r="L376" s="1129"/>
      <c r="M376" s="1129"/>
      <c r="N376" s="1129"/>
      <c r="O376" s="1129"/>
      <c r="P376" s="1129"/>
      <c r="Q376" s="332"/>
      <c r="R376" s="332"/>
      <c r="T376" s="845">
        <f>'[1]1,DG-capmoi'!N371</f>
        <v>0</v>
      </c>
      <c r="U376" s="845">
        <f t="shared" ref="U376:U440" si="75">T376-N376</f>
        <v>0</v>
      </c>
    </row>
    <row r="377" spans="1:21" ht="23.25" customHeight="1">
      <c r="A377" s="358"/>
      <c r="B377" s="1117" t="s">
        <v>902</v>
      </c>
      <c r="C377" s="1117"/>
      <c r="D377" s="1117"/>
      <c r="E377" s="1117"/>
      <c r="F377" s="1117"/>
      <c r="G377" s="1117"/>
      <c r="H377" s="1117"/>
      <c r="I377" s="1117"/>
      <c r="J377" s="1117"/>
      <c r="K377" s="1117"/>
      <c r="L377" s="1117"/>
      <c r="M377" s="1117"/>
      <c r="N377" s="1117"/>
      <c r="O377" s="1117"/>
      <c r="P377" s="1117"/>
      <c r="Q377" s="332"/>
      <c r="R377" s="332"/>
      <c r="T377" s="845">
        <f>'[1]1,DG-capmoi'!N372</f>
        <v>0</v>
      </c>
      <c r="U377" s="845">
        <f t="shared" si="75"/>
        <v>0</v>
      </c>
    </row>
    <row r="378" spans="1:21" ht="35.25" customHeight="1">
      <c r="A378" s="358"/>
      <c r="B378" s="1118" t="s">
        <v>1062</v>
      </c>
      <c r="C378" s="1118"/>
      <c r="D378" s="1118"/>
      <c r="E378" s="1118"/>
      <c r="F378" s="1118"/>
      <c r="G378" s="1118"/>
      <c r="H378" s="1118"/>
      <c r="I378" s="1118"/>
      <c r="J378" s="1118"/>
      <c r="K378" s="1118"/>
      <c r="L378" s="1118"/>
      <c r="M378" s="1118"/>
      <c r="N378" s="1118"/>
      <c r="O378" s="1118"/>
      <c r="P378" s="1118"/>
      <c r="Q378" s="332"/>
      <c r="R378" s="332"/>
      <c r="T378" s="845">
        <f>'[1]1,DG-capmoi'!N373</f>
        <v>0</v>
      </c>
      <c r="U378" s="845">
        <f t="shared" si="75"/>
        <v>0</v>
      </c>
    </row>
    <row r="379" spans="1:21" ht="30.75" customHeight="1">
      <c r="A379" s="358"/>
      <c r="B379" s="1118" t="s">
        <v>1063</v>
      </c>
      <c r="C379" s="1118"/>
      <c r="D379" s="1118"/>
      <c r="E379" s="1118"/>
      <c r="F379" s="1118"/>
      <c r="G379" s="1118"/>
      <c r="H379" s="1118"/>
      <c r="I379" s="1118"/>
      <c r="J379" s="1118"/>
      <c r="K379" s="1118"/>
      <c r="L379" s="1118"/>
      <c r="M379" s="1118"/>
      <c r="N379" s="1118"/>
      <c r="O379" s="1118"/>
      <c r="P379" s="1118"/>
      <c r="Q379" s="332"/>
      <c r="R379" s="332"/>
      <c r="T379" s="845">
        <f>'[1]1,DG-capmoi'!N374</f>
        <v>0</v>
      </c>
      <c r="U379" s="845">
        <f t="shared" si="75"/>
        <v>0</v>
      </c>
    </row>
    <row r="380" spans="1:21" ht="25.5" customHeight="1">
      <c r="A380" s="1114" t="s">
        <v>846</v>
      </c>
      <c r="B380" s="1114"/>
      <c r="C380" s="1114"/>
      <c r="D380" s="1114"/>
      <c r="E380" s="1114"/>
      <c r="F380" s="1114"/>
      <c r="G380" s="1114"/>
      <c r="H380" s="1114"/>
      <c r="I380" s="1114"/>
      <c r="J380" s="1114"/>
      <c r="K380" s="1114"/>
      <c r="L380" s="1114"/>
      <c r="M380" s="1114"/>
      <c r="N380" s="1114"/>
      <c r="O380" s="1114"/>
      <c r="P380" s="1114"/>
      <c r="Q380" s="332"/>
      <c r="R380" s="332"/>
      <c r="T380" s="845">
        <f>'[1]1,DG-capmoi'!N375</f>
        <v>0</v>
      </c>
      <c r="U380" s="845">
        <f t="shared" si="75"/>
        <v>0</v>
      </c>
    </row>
    <row r="381" spans="1:21" ht="18" customHeight="1">
      <c r="A381" s="1113" t="s">
        <v>960</v>
      </c>
      <c r="B381" s="1113"/>
      <c r="C381" s="1113"/>
      <c r="D381" s="1113"/>
      <c r="E381" s="1113"/>
      <c r="F381" s="1113"/>
      <c r="G381" s="1113"/>
      <c r="H381" s="1113"/>
      <c r="I381" s="1113"/>
      <c r="J381" s="1113"/>
      <c r="K381" s="1113"/>
      <c r="L381" s="1113"/>
      <c r="M381" s="1113"/>
      <c r="N381" s="1113"/>
      <c r="O381" s="1113"/>
      <c r="P381" s="1113"/>
      <c r="Q381" s="332"/>
      <c r="R381" s="332"/>
      <c r="T381" s="845"/>
      <c r="U381" s="845"/>
    </row>
    <row r="382" spans="1:21" ht="18.75" customHeight="1">
      <c r="A382" s="337"/>
      <c r="B382" s="834"/>
      <c r="C382" s="338"/>
      <c r="D382" s="339" t="s">
        <v>576</v>
      </c>
      <c r="E382" s="340"/>
      <c r="F382" s="341"/>
      <c r="G382" s="342"/>
      <c r="H382" s="341"/>
      <c r="I382" s="343"/>
      <c r="J382" s="341"/>
      <c r="K382" s="341"/>
      <c r="M382" s="341"/>
      <c r="N382" s="991" t="s">
        <v>980</v>
      </c>
      <c r="O382" s="990"/>
      <c r="P382" s="340"/>
      <c r="Q382" s="332"/>
      <c r="R382" s="332"/>
      <c r="T382" s="845">
        <f>'[1]1,DG-capmoi'!N376</f>
        <v>0</v>
      </c>
      <c r="U382" s="845" t="e">
        <f>T382-#REF!</f>
        <v>#REF!</v>
      </c>
    </row>
    <row r="383" spans="1:21" s="345" customFormat="1" ht="7.5" customHeight="1">
      <c r="A383" s="337"/>
      <c r="B383" s="834"/>
      <c r="C383" s="338"/>
      <c r="D383" s="346"/>
      <c r="E383" s="340"/>
      <c r="F383" s="340"/>
      <c r="G383" s="347"/>
      <c r="H383" s="340"/>
      <c r="I383" s="340"/>
      <c r="J383" s="340"/>
      <c r="K383" s="340"/>
      <c r="L383" s="340"/>
      <c r="M383" s="340"/>
      <c r="N383" s="340"/>
      <c r="O383" s="340"/>
      <c r="P383" s="340"/>
      <c r="Q383" s="332"/>
      <c r="R383" s="332"/>
      <c r="S383" s="332"/>
      <c r="T383" s="845">
        <f>'[1]1,DG-capmoi'!N377</f>
        <v>0</v>
      </c>
      <c r="U383" s="845">
        <f t="shared" si="75"/>
        <v>0</v>
      </c>
    </row>
    <row r="384" spans="1:21" s="978" customFormat="1" ht="30" customHeight="1">
      <c r="A384" s="1115" t="s">
        <v>876</v>
      </c>
      <c r="B384" s="1115" t="s">
        <v>381</v>
      </c>
      <c r="C384" s="1111" t="s">
        <v>981</v>
      </c>
      <c r="D384" s="1111" t="s">
        <v>982</v>
      </c>
      <c r="E384" s="1111" t="s">
        <v>466</v>
      </c>
      <c r="F384" s="1111"/>
      <c r="G384" s="1111"/>
      <c r="H384" s="1111"/>
      <c r="I384" s="1111"/>
      <c r="J384" s="1111"/>
      <c r="K384" s="1111"/>
      <c r="L384" s="1111"/>
      <c r="M384" s="1111" t="s">
        <v>581</v>
      </c>
      <c r="N384" s="1111" t="s">
        <v>467</v>
      </c>
      <c r="O384" s="1111" t="s">
        <v>657</v>
      </c>
      <c r="P384" s="1111" t="s">
        <v>468</v>
      </c>
      <c r="Q384" s="976"/>
      <c r="R384" s="976"/>
      <c r="S384" s="977"/>
      <c r="T384" s="1030"/>
      <c r="U384" s="1030"/>
    </row>
    <row r="385" spans="1:21" s="978" customFormat="1" ht="36" customHeight="1">
      <c r="A385" s="1115"/>
      <c r="B385" s="1115"/>
      <c r="C385" s="1111"/>
      <c r="D385" s="1111"/>
      <c r="E385" s="825" t="s">
        <v>469</v>
      </c>
      <c r="F385" s="825" t="s">
        <v>470</v>
      </c>
      <c r="G385" s="852" t="s">
        <v>1003</v>
      </c>
      <c r="H385" s="825" t="s">
        <v>59</v>
      </c>
      <c r="I385" s="825" t="s">
        <v>471</v>
      </c>
      <c r="J385" s="825" t="s">
        <v>280</v>
      </c>
      <c r="K385" s="825" t="s">
        <v>472</v>
      </c>
      <c r="L385" s="825" t="s">
        <v>473</v>
      </c>
      <c r="M385" s="1111"/>
      <c r="N385" s="1111"/>
      <c r="O385" s="1111"/>
      <c r="P385" s="1111"/>
      <c r="Q385" s="976"/>
      <c r="R385" s="976"/>
      <c r="S385" s="977"/>
      <c r="T385" s="1030">
        <f>'[1]1,DG-capmoi'!N379</f>
        <v>0</v>
      </c>
      <c r="U385" s="1030">
        <f t="shared" si="75"/>
        <v>0</v>
      </c>
    </row>
    <row r="386" spans="1:21" s="841" customFormat="1" ht="69" customHeight="1">
      <c r="A386" s="831"/>
      <c r="B386" s="838" t="s">
        <v>478</v>
      </c>
      <c r="C386" s="382"/>
      <c r="D386" s="382"/>
      <c r="E386" s="382"/>
      <c r="F386" s="382"/>
      <c r="G386" s="837"/>
      <c r="H386" s="382"/>
      <c r="I386" s="382"/>
      <c r="J386" s="382"/>
      <c r="K386" s="382"/>
      <c r="L386" s="382"/>
      <c r="M386" s="382"/>
      <c r="N386" s="382"/>
      <c r="O386" s="382"/>
      <c r="P386" s="382"/>
      <c r="Q386" s="839"/>
      <c r="R386" s="839"/>
      <c r="S386" s="840"/>
      <c r="T386" s="845">
        <f>'[1]1,DG-capmoi'!N380</f>
        <v>0</v>
      </c>
      <c r="U386" s="845">
        <f t="shared" si="75"/>
        <v>0</v>
      </c>
    </row>
    <row r="387" spans="1:21" s="841" customFormat="1" ht="26.45" customHeight="1">
      <c r="A387" s="831"/>
      <c r="B387" s="830" t="s">
        <v>451</v>
      </c>
      <c r="C387" s="382" t="s">
        <v>281</v>
      </c>
      <c r="D387" s="936" t="s">
        <v>881</v>
      </c>
      <c r="E387" s="383" t="e">
        <f>E391+E435</f>
        <v>#VALUE!</v>
      </c>
      <c r="F387" s="383">
        <f t="shared" ref="F387:P387" si="76">F391+F435</f>
        <v>0</v>
      </c>
      <c r="G387" s="383">
        <f t="shared" si="76"/>
        <v>0</v>
      </c>
      <c r="H387" s="383">
        <f t="shared" si="76"/>
        <v>8283.8763717948714</v>
      </c>
      <c r="I387" s="383">
        <f t="shared" si="76"/>
        <v>32414.58</v>
      </c>
      <c r="J387" s="383">
        <f t="shared" si="76"/>
        <v>4567.2199999999993</v>
      </c>
      <c r="K387" s="383">
        <f t="shared" si="76"/>
        <v>8957.2560000000012</v>
      </c>
      <c r="L387" s="383" t="e">
        <f t="shared" si="76"/>
        <v>#VALUE!</v>
      </c>
      <c r="M387" s="383" t="e">
        <f t="shared" si="76"/>
        <v>#VALUE!</v>
      </c>
      <c r="N387" s="383" t="e">
        <f t="shared" si="76"/>
        <v>#VALUE!</v>
      </c>
      <c r="O387" s="383">
        <f t="shared" si="76"/>
        <v>0</v>
      </c>
      <c r="P387" s="383">
        <f t="shared" si="76"/>
        <v>21069.459615384607</v>
      </c>
      <c r="Q387" s="839"/>
      <c r="R387" s="839"/>
      <c r="S387" s="840"/>
      <c r="T387" s="845">
        <f>'[1]1,DG-capmoi'!N381</f>
        <v>798889.23702371796</v>
      </c>
      <c r="U387" s="845" t="e">
        <f t="shared" si="75"/>
        <v>#VALUE!</v>
      </c>
    </row>
    <row r="388" spans="1:21" s="841" customFormat="1" ht="26.45" customHeight="1">
      <c r="A388" s="831"/>
      <c r="B388" s="830" t="s">
        <v>452</v>
      </c>
      <c r="C388" s="382" t="s">
        <v>281</v>
      </c>
      <c r="D388" s="936" t="s">
        <v>881</v>
      </c>
      <c r="E388" s="383" t="e">
        <f>E392+E435</f>
        <v>#VALUE!</v>
      </c>
      <c r="F388" s="383">
        <f t="shared" ref="F388:P388" si="77">F392+F435</f>
        <v>0</v>
      </c>
      <c r="G388" s="383">
        <f t="shared" si="77"/>
        <v>0</v>
      </c>
      <c r="H388" s="383">
        <f t="shared" si="77"/>
        <v>8283.8763717948714</v>
      </c>
      <c r="I388" s="383">
        <f t="shared" si="77"/>
        <v>32414.58</v>
      </c>
      <c r="J388" s="383">
        <f t="shared" si="77"/>
        <v>4567.2199999999993</v>
      </c>
      <c r="K388" s="383">
        <f t="shared" si="77"/>
        <v>8957.2560000000012</v>
      </c>
      <c r="L388" s="383" t="e">
        <f t="shared" si="77"/>
        <v>#VALUE!</v>
      </c>
      <c r="M388" s="383" t="e">
        <f t="shared" si="77"/>
        <v>#VALUE!</v>
      </c>
      <c r="N388" s="383" t="e">
        <f t="shared" si="77"/>
        <v>#VALUE!</v>
      </c>
      <c r="O388" s="383">
        <f t="shared" si="77"/>
        <v>0</v>
      </c>
      <c r="P388" s="383">
        <f t="shared" si="77"/>
        <v>17688.017307692302</v>
      </c>
      <c r="Q388" s="839"/>
      <c r="R388" s="839"/>
      <c r="S388" s="840"/>
      <c r="T388" s="845">
        <f>'[1]1,DG-capmoi'!N382</f>
        <v>683529.64197564102</v>
      </c>
      <c r="U388" s="845" t="e">
        <f t="shared" si="75"/>
        <v>#VALUE!</v>
      </c>
    </row>
    <row r="389" spans="1:21" s="841" customFormat="1" ht="16.5" customHeight="1">
      <c r="A389" s="831"/>
      <c r="B389" s="888"/>
      <c r="C389" s="382"/>
      <c r="D389" s="382"/>
      <c r="E389" s="382"/>
      <c r="F389" s="382"/>
      <c r="G389" s="837"/>
      <c r="H389" s="382"/>
      <c r="I389" s="382"/>
      <c r="J389" s="382"/>
      <c r="K389" s="382"/>
      <c r="L389" s="382"/>
      <c r="M389" s="382"/>
      <c r="N389" s="382"/>
      <c r="O389" s="382"/>
      <c r="P389" s="382"/>
      <c r="Q389" s="847">
        <f>'He so chung'!D$22</f>
        <v>5346.1538461538457</v>
      </c>
      <c r="R389" s="847">
        <f>'He so chung'!D$23</f>
        <v>801.92307692307691</v>
      </c>
      <c r="S389" s="848"/>
      <c r="T389" s="845">
        <f>'[1]1,DG-capmoi'!N383</f>
        <v>0</v>
      </c>
      <c r="U389" s="845">
        <f t="shared" si="75"/>
        <v>0</v>
      </c>
    </row>
    <row r="390" spans="1:21" s="855" customFormat="1" ht="42" customHeight="1">
      <c r="A390" s="832" t="s">
        <v>184</v>
      </c>
      <c r="B390" s="868" t="s">
        <v>765</v>
      </c>
      <c r="C390" s="832"/>
      <c r="D390" s="926"/>
      <c r="E390" s="893">
        <f>NC_DKDD!H259</f>
        <v>0</v>
      </c>
      <c r="F390" s="893"/>
      <c r="G390" s="893"/>
      <c r="H390" s="893"/>
      <c r="I390" s="893"/>
      <c r="J390" s="893"/>
      <c r="K390" s="893"/>
      <c r="L390" s="871"/>
      <c r="M390" s="871"/>
      <c r="N390" s="871"/>
      <c r="O390" s="871"/>
      <c r="P390" s="925"/>
      <c r="Q390" s="856">
        <f t="shared" ref="Q390:Q434" si="78">S390*$Q$339</f>
        <v>0</v>
      </c>
      <c r="R390" s="856">
        <f t="shared" ref="R390:R434" si="79">S390*$R$339</f>
        <v>0</v>
      </c>
      <c r="S390" s="942">
        <f>NC_DKDD!G259</f>
        <v>0</v>
      </c>
      <c r="T390" s="845">
        <f>'[1]1,DG-capmoi'!N384</f>
        <v>0</v>
      </c>
      <c r="U390" s="845">
        <f t="shared" si="75"/>
        <v>0</v>
      </c>
    </row>
    <row r="391" spans="1:21" s="855" customFormat="1" ht="22.9" customHeight="1">
      <c r="A391" s="869" t="s">
        <v>484</v>
      </c>
      <c r="B391" s="868" t="s">
        <v>451</v>
      </c>
      <c r="C391" s="832"/>
      <c r="D391" s="897"/>
      <c r="E391" s="893" t="e">
        <f>E394+E396+E399+E401+E402+E403+E409+E412+E415+E417+E420+E422+E423+E424+E427+E428+E429+E430+E431+E433+E434</f>
        <v>#VALUE!</v>
      </c>
      <c r="F391" s="893">
        <f>F394+F396+F399+F401+F402+F403+F405+F409+F412+F415+F417+F420+F422+F423+F424+F427+F428+F429+F430+F431+F433+F434</f>
        <v>0</v>
      </c>
      <c r="G391" s="893"/>
      <c r="H391" s="893">
        <f>'Dcu-DKDD'!$J$122</f>
        <v>8283.8763717948714</v>
      </c>
      <c r="I391" s="893">
        <f>'VL-DKDD'!$H$125</f>
        <v>32414.58</v>
      </c>
      <c r="J391" s="893">
        <f>'TB-DKDD'!$K$67</f>
        <v>4567.2199999999993</v>
      </c>
      <c r="K391" s="893">
        <f>'NL-DKDD'!$H$47</f>
        <v>8957.2560000000012</v>
      </c>
      <c r="L391" s="893" t="e">
        <f>SUM(E391:K391)</f>
        <v>#VALUE!</v>
      </c>
      <c r="M391" s="893" t="e">
        <f>L391*'He so chung'!$D$17/100</f>
        <v>#VALUE!</v>
      </c>
      <c r="N391" s="893" t="e">
        <f>L391+M391</f>
        <v>#VALUE!</v>
      </c>
      <c r="O391" s="871"/>
      <c r="P391" s="893">
        <f>P394+P396+P399+P401+P402+P403+P409+P412+P415+P417+P420+P422+P423+P424+P427+P428+P429+P430+P431+P433+P434</f>
        <v>19839.844230769224</v>
      </c>
      <c r="Q391" s="856">
        <f t="shared" si="78"/>
        <v>17252.038461538461</v>
      </c>
      <c r="R391" s="856">
        <f t="shared" si="79"/>
        <v>2587.8057692307689</v>
      </c>
      <c r="S391" s="894">
        <f>S394+S396+S399+S401+S402+S403+S409+S412+S415+S417+S420+S422+S423+S424+S427+S428+S429+S430+S431+S433+S434</f>
        <v>3.2269999999999999</v>
      </c>
      <c r="T391" s="845">
        <f>'[1]1,DG-capmoi'!N385</f>
        <v>752840.14086987183</v>
      </c>
      <c r="U391" s="845" t="e">
        <f t="shared" si="75"/>
        <v>#VALUE!</v>
      </c>
    </row>
    <row r="392" spans="1:21" s="855" customFormat="1" ht="26.25" customHeight="1">
      <c r="A392" s="869" t="s">
        <v>668</v>
      </c>
      <c r="B392" s="868" t="s">
        <v>452</v>
      </c>
      <c r="C392" s="832"/>
      <c r="D392" s="897"/>
      <c r="E392" s="893" t="e">
        <f>E394+E397+E400+E401+E402+E403+E408+E413+E416+E417+E420+E422+E423+E424+E427+E428+E429+E430+E431+E433+E434</f>
        <v>#VALUE!</v>
      </c>
      <c r="F392" s="893">
        <f>F395+F397+F400+F402+F403+F404+F406+F410+F413+F416+F418+F421+F423+F424+F425+F428+F429+F430+F431+F432+F434+F435</f>
        <v>0</v>
      </c>
      <c r="G392" s="893"/>
      <c r="H392" s="893">
        <f>'Dcu-DKDD'!$J$122</f>
        <v>8283.8763717948714</v>
      </c>
      <c r="I392" s="893">
        <f>'VL-DKDD'!$H$125</f>
        <v>32414.58</v>
      </c>
      <c r="J392" s="893">
        <f>'TB-DKDD'!$K$67</f>
        <v>4567.2199999999993</v>
      </c>
      <c r="K392" s="893">
        <f>'NL-DKDD'!$H$47</f>
        <v>8957.2560000000012</v>
      </c>
      <c r="L392" s="893" t="e">
        <f>SUM(E392:K392)</f>
        <v>#VALUE!</v>
      </c>
      <c r="M392" s="893" t="e">
        <f>L392*'He so chung'!$D$17/100</f>
        <v>#VALUE!</v>
      </c>
      <c r="N392" s="893" t="e">
        <f>L392+M392</f>
        <v>#VALUE!</v>
      </c>
      <c r="O392" s="871"/>
      <c r="P392" s="893">
        <f>P394+P397+P400+P401+P402+P403+P408+P413+P416+P417+P420+P422+P423+P424+P427+P428+P429+P430+P431+P433+P434</f>
        <v>16458.401923076919</v>
      </c>
      <c r="Q392" s="856">
        <f t="shared" si="78"/>
        <v>14311.653846153848</v>
      </c>
      <c r="R392" s="856">
        <f t="shared" si="79"/>
        <v>2146.7480769230774</v>
      </c>
      <c r="S392" s="894">
        <f>S394+S397+S400+S401+S402+S403+S408+S413+S416+S417+S420+S422+S423+S424+S427+S428+S429+S430+S431+S433+S434</f>
        <v>2.6770000000000005</v>
      </c>
      <c r="T392" s="845">
        <f>'[1]1,DG-capmoi'!N386</f>
        <v>637480.54582179489</v>
      </c>
      <c r="U392" s="845" t="e">
        <f t="shared" si="75"/>
        <v>#VALUE!</v>
      </c>
    </row>
    <row r="393" spans="1:21" s="855" customFormat="1" ht="31.5" customHeight="1">
      <c r="A393" s="832">
        <v>1</v>
      </c>
      <c r="B393" s="827" t="s">
        <v>952</v>
      </c>
      <c r="C393" s="832"/>
      <c r="D393" s="897"/>
      <c r="E393" s="925">
        <f>NC_DKDD!H260</f>
        <v>0</v>
      </c>
      <c r="F393" s="925"/>
      <c r="G393" s="893"/>
      <c r="H393" s="893"/>
      <c r="I393" s="893"/>
      <c r="J393" s="893"/>
      <c r="K393" s="893"/>
      <c r="L393" s="871"/>
      <c r="M393" s="871"/>
      <c r="N393" s="871"/>
      <c r="O393" s="871"/>
      <c r="P393" s="925">
        <f t="shared" ref="P393:P434" si="80">Q393+R393</f>
        <v>0</v>
      </c>
      <c r="Q393" s="856">
        <f t="shared" si="78"/>
        <v>0</v>
      </c>
      <c r="R393" s="856">
        <f t="shared" si="79"/>
        <v>0</v>
      </c>
      <c r="S393" s="893">
        <f>NC_DKDD!G260</f>
        <v>0</v>
      </c>
      <c r="T393" s="845">
        <f>'[1]1,DG-capmoi'!N387</f>
        <v>0</v>
      </c>
      <c r="U393" s="845">
        <f t="shared" si="75"/>
        <v>0</v>
      </c>
    </row>
    <row r="394" spans="1:21" s="855" customFormat="1" ht="42.75">
      <c r="A394" s="832" t="s">
        <v>891</v>
      </c>
      <c r="B394" s="827" t="s">
        <v>953</v>
      </c>
      <c r="C394" s="832" t="s">
        <v>281</v>
      </c>
      <c r="D394" s="926" t="s">
        <v>881</v>
      </c>
      <c r="E394" s="925" t="e">
        <f>NC_DKDD!H261</f>
        <v>#VALUE!</v>
      </c>
      <c r="F394" s="925"/>
      <c r="G394" s="893"/>
      <c r="H394" s="893"/>
      <c r="I394" s="893"/>
      <c r="J394" s="893"/>
      <c r="K394" s="893"/>
      <c r="L394" s="871"/>
      <c r="M394" s="871"/>
      <c r="N394" s="871"/>
      <c r="O394" s="871"/>
      <c r="P394" s="925">
        <f t="shared" si="80"/>
        <v>614.80769230769238</v>
      </c>
      <c r="Q394" s="856">
        <f t="shared" si="78"/>
        <v>534.61538461538464</v>
      </c>
      <c r="R394" s="856">
        <f t="shared" si="79"/>
        <v>80.192307692307693</v>
      </c>
      <c r="S394" s="893">
        <f>NC_DKDD!G261</f>
        <v>0.1</v>
      </c>
      <c r="T394" s="845">
        <f>'[1]1,DG-capmoi'!N388</f>
        <v>0</v>
      </c>
      <c r="U394" s="845">
        <f t="shared" si="75"/>
        <v>0</v>
      </c>
    </row>
    <row r="395" spans="1:21" s="855" customFormat="1" ht="36.75" customHeight="1">
      <c r="A395" s="832" t="s">
        <v>899</v>
      </c>
      <c r="B395" s="827" t="s">
        <v>954</v>
      </c>
      <c r="C395" s="832"/>
      <c r="D395" s="897"/>
      <c r="E395" s="925">
        <f>NC_DKDD!H262</f>
        <v>0</v>
      </c>
      <c r="F395" s="925"/>
      <c r="G395" s="893"/>
      <c r="H395" s="893"/>
      <c r="I395" s="893"/>
      <c r="J395" s="893"/>
      <c r="K395" s="893"/>
      <c r="L395" s="871"/>
      <c r="M395" s="871"/>
      <c r="N395" s="871"/>
      <c r="O395" s="871"/>
      <c r="P395" s="925">
        <f t="shared" si="80"/>
        <v>0</v>
      </c>
      <c r="Q395" s="856">
        <f t="shared" si="78"/>
        <v>0</v>
      </c>
      <c r="R395" s="856">
        <f t="shared" si="79"/>
        <v>0</v>
      </c>
      <c r="S395" s="893">
        <f>NC_DKDD!G262</f>
        <v>0</v>
      </c>
      <c r="T395" s="845">
        <f>'[1]1,DG-capmoi'!N389</f>
        <v>0</v>
      </c>
      <c r="U395" s="845">
        <f t="shared" si="75"/>
        <v>0</v>
      </c>
    </row>
    <row r="396" spans="1:21" s="855" customFormat="1" ht="22.9" customHeight="1">
      <c r="A396" s="832" t="s">
        <v>955</v>
      </c>
      <c r="B396" s="827" t="s">
        <v>33</v>
      </c>
      <c r="C396" s="832" t="s">
        <v>281</v>
      </c>
      <c r="D396" s="926" t="s">
        <v>881</v>
      </c>
      <c r="E396" s="925" t="e">
        <f>NC_DKDD!H263</f>
        <v>#VALUE!</v>
      </c>
      <c r="F396" s="925"/>
      <c r="G396" s="893"/>
      <c r="H396" s="893"/>
      <c r="I396" s="893"/>
      <c r="J396" s="893"/>
      <c r="K396" s="893"/>
      <c r="L396" s="871"/>
      <c r="M396" s="871"/>
      <c r="N396" s="871"/>
      <c r="O396" s="871"/>
      <c r="P396" s="925">
        <f t="shared" si="80"/>
        <v>3074.0384615384614</v>
      </c>
      <c r="Q396" s="856">
        <f t="shared" si="78"/>
        <v>2673.0769230769229</v>
      </c>
      <c r="R396" s="856">
        <f t="shared" si="79"/>
        <v>400.96153846153845</v>
      </c>
      <c r="S396" s="893">
        <f>NC_DKDD!G263</f>
        <v>0.5</v>
      </c>
      <c r="T396" s="845">
        <f>'[1]1,DG-capmoi'!N390</f>
        <v>0</v>
      </c>
      <c r="U396" s="845">
        <f t="shared" si="75"/>
        <v>0</v>
      </c>
    </row>
    <row r="397" spans="1:21" s="855" customFormat="1" ht="22.9" customHeight="1">
      <c r="A397" s="832" t="s">
        <v>956</v>
      </c>
      <c r="B397" s="827" t="s">
        <v>36</v>
      </c>
      <c r="C397" s="832" t="s">
        <v>281</v>
      </c>
      <c r="D397" s="926" t="s">
        <v>881</v>
      </c>
      <c r="E397" s="925" t="e">
        <f>NC_DKDD!H264</f>
        <v>#VALUE!</v>
      </c>
      <c r="F397" s="925"/>
      <c r="G397" s="893"/>
      <c r="H397" s="893"/>
      <c r="I397" s="893"/>
      <c r="J397" s="893"/>
      <c r="K397" s="893"/>
      <c r="L397" s="871"/>
      <c r="M397" s="871"/>
      <c r="N397" s="871"/>
      <c r="O397" s="871"/>
      <c r="P397" s="925">
        <f t="shared" si="80"/>
        <v>1537.0192307692307</v>
      </c>
      <c r="Q397" s="856">
        <f t="shared" si="78"/>
        <v>1336.5384615384614</v>
      </c>
      <c r="R397" s="856">
        <f t="shared" si="79"/>
        <v>200.48076923076923</v>
      </c>
      <c r="S397" s="893">
        <f>NC_DKDD!G264</f>
        <v>0.25</v>
      </c>
      <c r="T397" s="845">
        <f>'[1]1,DG-capmoi'!N391</f>
        <v>0</v>
      </c>
      <c r="U397" s="845">
        <f t="shared" si="75"/>
        <v>0</v>
      </c>
    </row>
    <row r="398" spans="1:21" s="855" customFormat="1" ht="38.25" customHeight="1">
      <c r="A398" s="832">
        <v>2</v>
      </c>
      <c r="B398" s="827" t="s">
        <v>957</v>
      </c>
      <c r="C398" s="832"/>
      <c r="D398" s="897"/>
      <c r="E398" s="925">
        <f>NC_DKDD!H265</f>
        <v>0</v>
      </c>
      <c r="F398" s="925"/>
      <c r="G398" s="893"/>
      <c r="H398" s="893"/>
      <c r="I398" s="893"/>
      <c r="J398" s="893"/>
      <c r="K398" s="893"/>
      <c r="L398" s="871"/>
      <c r="M398" s="871"/>
      <c r="N398" s="871"/>
      <c r="O398" s="871"/>
      <c r="P398" s="925">
        <f t="shared" si="80"/>
        <v>0</v>
      </c>
      <c r="Q398" s="856">
        <f t="shared" si="78"/>
        <v>0</v>
      </c>
      <c r="R398" s="856">
        <f t="shared" si="79"/>
        <v>0</v>
      </c>
      <c r="S398" s="893">
        <f>NC_DKDD!G265</f>
        <v>0</v>
      </c>
      <c r="T398" s="845">
        <f>'[1]1,DG-capmoi'!N392</f>
        <v>0</v>
      </c>
      <c r="U398" s="845">
        <f t="shared" si="75"/>
        <v>0</v>
      </c>
    </row>
    <row r="399" spans="1:21" s="855" customFormat="1" ht="22.9" customHeight="1">
      <c r="A399" s="832" t="s">
        <v>900</v>
      </c>
      <c r="B399" s="827" t="s">
        <v>33</v>
      </c>
      <c r="C399" s="832" t="s">
        <v>281</v>
      </c>
      <c r="D399" s="926" t="s">
        <v>881</v>
      </c>
      <c r="E399" s="925" t="e">
        <f>NC_DKDD!H266</f>
        <v>#VALUE!</v>
      </c>
      <c r="F399" s="925"/>
      <c r="G399" s="893"/>
      <c r="H399" s="893"/>
      <c r="I399" s="893"/>
      <c r="J399" s="893"/>
      <c r="K399" s="893"/>
      <c r="L399" s="871"/>
      <c r="M399" s="871"/>
      <c r="N399" s="871"/>
      <c r="O399" s="871"/>
      <c r="P399" s="925">
        <f t="shared" si="80"/>
        <v>307.40384615384619</v>
      </c>
      <c r="Q399" s="856">
        <f t="shared" si="78"/>
        <v>267.30769230769232</v>
      </c>
      <c r="R399" s="856">
        <f t="shared" si="79"/>
        <v>40.096153846153847</v>
      </c>
      <c r="S399" s="893">
        <f>NC_DKDD!G266</f>
        <v>0.05</v>
      </c>
      <c r="T399" s="845">
        <f>'[1]1,DG-capmoi'!N393</f>
        <v>0</v>
      </c>
      <c r="U399" s="845">
        <f t="shared" si="75"/>
        <v>0</v>
      </c>
    </row>
    <row r="400" spans="1:21" s="855" customFormat="1" ht="22.9" customHeight="1">
      <c r="A400" s="832" t="s">
        <v>901</v>
      </c>
      <c r="B400" s="827" t="s">
        <v>36</v>
      </c>
      <c r="C400" s="832" t="s">
        <v>281</v>
      </c>
      <c r="D400" s="926" t="s">
        <v>881</v>
      </c>
      <c r="E400" s="925" t="e">
        <f>NC_DKDD!H267</f>
        <v>#VALUE!</v>
      </c>
      <c r="F400" s="925"/>
      <c r="G400" s="893"/>
      <c r="H400" s="893"/>
      <c r="I400" s="893"/>
      <c r="J400" s="893"/>
      <c r="K400" s="893"/>
      <c r="L400" s="871"/>
      <c r="M400" s="871"/>
      <c r="N400" s="871"/>
      <c r="O400" s="871"/>
      <c r="P400" s="925">
        <f t="shared" si="80"/>
        <v>307.40384615384619</v>
      </c>
      <c r="Q400" s="856">
        <f t="shared" si="78"/>
        <v>267.30769230769232</v>
      </c>
      <c r="R400" s="856">
        <f t="shared" si="79"/>
        <v>40.096153846153847</v>
      </c>
      <c r="S400" s="893">
        <f>NC_DKDD!G267</f>
        <v>0.05</v>
      </c>
      <c r="T400" s="845">
        <f>'[1]1,DG-capmoi'!N394</f>
        <v>0</v>
      </c>
      <c r="U400" s="845">
        <f t="shared" si="75"/>
        <v>0</v>
      </c>
    </row>
    <row r="401" spans="1:21" s="855" customFormat="1" ht="34.5" customHeight="1">
      <c r="A401" s="832">
        <v>3</v>
      </c>
      <c r="B401" s="827" t="s">
        <v>767</v>
      </c>
      <c r="C401" s="832" t="s">
        <v>281</v>
      </c>
      <c r="D401" s="926" t="s">
        <v>881</v>
      </c>
      <c r="E401" s="925" t="e">
        <f>NC_DKDD!H268</f>
        <v>#VALUE!</v>
      </c>
      <c r="F401" s="925"/>
      <c r="G401" s="893"/>
      <c r="H401" s="893"/>
      <c r="I401" s="893"/>
      <c r="J401" s="893"/>
      <c r="K401" s="893"/>
      <c r="L401" s="871"/>
      <c r="M401" s="871"/>
      <c r="N401" s="871"/>
      <c r="O401" s="871"/>
      <c r="P401" s="925">
        <f t="shared" si="80"/>
        <v>2459.2307692307695</v>
      </c>
      <c r="Q401" s="856">
        <f t="shared" si="78"/>
        <v>2138.4615384615386</v>
      </c>
      <c r="R401" s="856">
        <f t="shared" si="79"/>
        <v>320.76923076923077</v>
      </c>
      <c r="S401" s="893">
        <f>NC_DKDD!G268</f>
        <v>0.4</v>
      </c>
      <c r="T401" s="845">
        <f>'[1]1,DG-capmoi'!N395</f>
        <v>0</v>
      </c>
      <c r="U401" s="845">
        <f t="shared" si="75"/>
        <v>0</v>
      </c>
    </row>
    <row r="402" spans="1:21" s="855" customFormat="1" ht="30.75" customHeight="1">
      <c r="A402" s="832">
        <v>4</v>
      </c>
      <c r="B402" s="827" t="s">
        <v>768</v>
      </c>
      <c r="C402" s="832" t="s">
        <v>281</v>
      </c>
      <c r="D402" s="926" t="s">
        <v>881</v>
      </c>
      <c r="E402" s="925" t="e">
        <f>NC_DKDD!H269</f>
        <v>#VALUE!</v>
      </c>
      <c r="F402" s="925"/>
      <c r="G402" s="893"/>
      <c r="H402" s="893"/>
      <c r="I402" s="893"/>
      <c r="J402" s="893"/>
      <c r="K402" s="893"/>
      <c r="L402" s="871"/>
      <c r="M402" s="871"/>
      <c r="N402" s="871"/>
      <c r="O402" s="871"/>
      <c r="P402" s="925">
        <f t="shared" si="80"/>
        <v>3074.0384615384614</v>
      </c>
      <c r="Q402" s="856">
        <f t="shared" si="78"/>
        <v>2673.0769230769229</v>
      </c>
      <c r="R402" s="856">
        <f t="shared" si="79"/>
        <v>400.96153846153845</v>
      </c>
      <c r="S402" s="893">
        <f>NC_DKDD!G269</f>
        <v>0.5</v>
      </c>
      <c r="T402" s="845">
        <f>'[1]1,DG-capmoi'!N396</f>
        <v>0</v>
      </c>
      <c r="U402" s="845">
        <f t="shared" si="75"/>
        <v>0</v>
      </c>
    </row>
    <row r="403" spans="1:21" s="855" customFormat="1" ht="37.5" customHeight="1">
      <c r="A403" s="832">
        <v>5</v>
      </c>
      <c r="B403" s="827" t="s">
        <v>69</v>
      </c>
      <c r="C403" s="832" t="s">
        <v>523</v>
      </c>
      <c r="D403" s="926" t="s">
        <v>881</v>
      </c>
      <c r="E403" s="925" t="e">
        <f>NC_DKDD!H270</f>
        <v>#VALUE!</v>
      </c>
      <c r="F403" s="925"/>
      <c r="G403" s="893"/>
      <c r="H403" s="893"/>
      <c r="I403" s="893"/>
      <c r="J403" s="893"/>
      <c r="K403" s="893"/>
      <c r="L403" s="871"/>
      <c r="M403" s="871"/>
      <c r="N403" s="871"/>
      <c r="O403" s="871"/>
      <c r="P403" s="925">
        <f t="shared" si="80"/>
        <v>36.888461538461534</v>
      </c>
      <c r="Q403" s="856">
        <f t="shared" si="78"/>
        <v>32.076923076923073</v>
      </c>
      <c r="R403" s="856">
        <f t="shared" si="79"/>
        <v>4.8115384615384613</v>
      </c>
      <c r="S403" s="893">
        <f>NC_DKDD!G270</f>
        <v>6.0000000000000001E-3</v>
      </c>
      <c r="T403" s="845">
        <f>'[1]1,DG-capmoi'!N397</f>
        <v>0</v>
      </c>
      <c r="U403" s="845">
        <f t="shared" si="75"/>
        <v>0</v>
      </c>
    </row>
    <row r="404" spans="1:21" s="855" customFormat="1" ht="57">
      <c r="A404" s="832">
        <v>6</v>
      </c>
      <c r="B404" s="827" t="s">
        <v>958</v>
      </c>
      <c r="C404" s="832"/>
      <c r="D404" s="897"/>
      <c r="E404" s="925">
        <f>NC_DKDD!H271</f>
        <v>0</v>
      </c>
      <c r="F404" s="925"/>
      <c r="G404" s="893"/>
      <c r="H404" s="893"/>
      <c r="I404" s="893"/>
      <c r="J404" s="893"/>
      <c r="K404" s="893"/>
      <c r="L404" s="871"/>
      <c r="M404" s="871"/>
      <c r="N404" s="871"/>
      <c r="O404" s="871"/>
      <c r="P404" s="925">
        <f t="shared" si="80"/>
        <v>0</v>
      </c>
      <c r="Q404" s="856">
        <f t="shared" si="78"/>
        <v>0</v>
      </c>
      <c r="R404" s="856">
        <f t="shared" si="79"/>
        <v>0</v>
      </c>
      <c r="S404" s="893">
        <f>NC_DKDD!G271</f>
        <v>0</v>
      </c>
      <c r="T404" s="845">
        <f>'[1]1,DG-capmoi'!N398</f>
        <v>0</v>
      </c>
      <c r="U404" s="845">
        <f t="shared" si="75"/>
        <v>0</v>
      </c>
    </row>
    <row r="405" spans="1:21" s="855" customFormat="1" ht="22.5" customHeight="1">
      <c r="A405" s="832" t="s">
        <v>444</v>
      </c>
      <c r="B405" s="827" t="s">
        <v>770</v>
      </c>
      <c r="C405" s="832" t="s">
        <v>523</v>
      </c>
      <c r="D405" s="926" t="s">
        <v>881</v>
      </c>
      <c r="E405" s="925" t="e">
        <f>NC_DKDD!H272</f>
        <v>#VALUE!</v>
      </c>
      <c r="F405" s="925"/>
      <c r="G405" s="893"/>
      <c r="H405" s="893"/>
      <c r="I405" s="893"/>
      <c r="J405" s="893"/>
      <c r="K405" s="893"/>
      <c r="L405" s="871"/>
      <c r="M405" s="871"/>
      <c r="N405" s="871"/>
      <c r="O405" s="871"/>
      <c r="P405" s="925">
        <f t="shared" si="80"/>
        <v>0</v>
      </c>
      <c r="Q405" s="856">
        <f t="shared" si="78"/>
        <v>0</v>
      </c>
      <c r="R405" s="856">
        <f t="shared" si="79"/>
        <v>0</v>
      </c>
      <c r="S405" s="893">
        <f>NC_DKDD!G272</f>
        <v>0</v>
      </c>
      <c r="T405" s="845">
        <f>'[1]1,DG-capmoi'!N399</f>
        <v>0</v>
      </c>
      <c r="U405" s="845">
        <f t="shared" si="75"/>
        <v>0</v>
      </c>
    </row>
    <row r="406" spans="1:21" s="855" customFormat="1" ht="22.5" customHeight="1">
      <c r="A406" s="832" t="s">
        <v>445</v>
      </c>
      <c r="B406" s="827" t="s">
        <v>771</v>
      </c>
      <c r="C406" s="832" t="s">
        <v>523</v>
      </c>
      <c r="D406" s="926" t="s">
        <v>881</v>
      </c>
      <c r="E406" s="925" t="e">
        <f>NC_DKDD!H273</f>
        <v>#VALUE!</v>
      </c>
      <c r="F406" s="925"/>
      <c r="G406" s="893"/>
      <c r="H406" s="893"/>
      <c r="I406" s="893"/>
      <c r="J406" s="893"/>
      <c r="K406" s="893"/>
      <c r="L406" s="871"/>
      <c r="M406" s="871"/>
      <c r="N406" s="871"/>
      <c r="O406" s="871"/>
      <c r="P406" s="925">
        <f t="shared" si="80"/>
        <v>0</v>
      </c>
      <c r="Q406" s="856">
        <f t="shared" si="78"/>
        <v>0</v>
      </c>
      <c r="R406" s="856">
        <f t="shared" si="79"/>
        <v>0</v>
      </c>
      <c r="S406" s="893">
        <f>NC_DKDD!G273</f>
        <v>0</v>
      </c>
      <c r="T406" s="845">
        <f>'[1]1,DG-capmoi'!N400</f>
        <v>0</v>
      </c>
      <c r="U406" s="845">
        <f t="shared" si="75"/>
        <v>0</v>
      </c>
    </row>
    <row r="407" spans="1:21" s="855" customFormat="1" ht="42.75">
      <c r="A407" s="832">
        <v>7</v>
      </c>
      <c r="B407" s="827" t="s">
        <v>772</v>
      </c>
      <c r="C407" s="832"/>
      <c r="D407" s="897"/>
      <c r="E407" s="925">
        <f>NC_DKDD!H274</f>
        <v>0</v>
      </c>
      <c r="F407" s="925"/>
      <c r="G407" s="893"/>
      <c r="H407" s="893"/>
      <c r="I407" s="893"/>
      <c r="J407" s="893"/>
      <c r="K407" s="893"/>
      <c r="L407" s="871"/>
      <c r="M407" s="871"/>
      <c r="N407" s="871"/>
      <c r="O407" s="871"/>
      <c r="P407" s="925">
        <f t="shared" si="80"/>
        <v>0</v>
      </c>
      <c r="Q407" s="856">
        <f t="shared" si="78"/>
        <v>0</v>
      </c>
      <c r="R407" s="856">
        <f t="shared" si="79"/>
        <v>0</v>
      </c>
      <c r="S407" s="893">
        <f>NC_DKDD!G274</f>
        <v>0</v>
      </c>
      <c r="T407" s="845">
        <f>'[1]1,DG-capmoi'!N401</f>
        <v>0</v>
      </c>
      <c r="U407" s="845">
        <f t="shared" si="75"/>
        <v>0</v>
      </c>
    </row>
    <row r="408" spans="1:21" s="855" customFormat="1" ht="22.9" customHeight="1">
      <c r="A408" s="832" t="s">
        <v>872</v>
      </c>
      <c r="B408" s="827" t="s">
        <v>773</v>
      </c>
      <c r="C408" s="832" t="s">
        <v>281</v>
      </c>
      <c r="D408" s="926" t="s">
        <v>881</v>
      </c>
      <c r="E408" s="925" t="e">
        <f>NC_DKDD!H275</f>
        <v>#VALUE!</v>
      </c>
      <c r="F408" s="925"/>
      <c r="G408" s="893"/>
      <c r="H408" s="893"/>
      <c r="I408" s="893"/>
      <c r="J408" s="893"/>
      <c r="K408" s="893"/>
      <c r="L408" s="871"/>
      <c r="M408" s="871"/>
      <c r="N408" s="871"/>
      <c r="O408" s="871"/>
      <c r="P408" s="925">
        <f t="shared" si="80"/>
        <v>614.80769230769238</v>
      </c>
      <c r="Q408" s="856">
        <f t="shared" si="78"/>
        <v>534.61538461538464</v>
      </c>
      <c r="R408" s="856">
        <f t="shared" si="79"/>
        <v>80.192307692307693</v>
      </c>
      <c r="S408" s="893">
        <f>NC_DKDD!G275</f>
        <v>0.1</v>
      </c>
      <c r="T408" s="845">
        <f>'[1]1,DG-capmoi'!N402</f>
        <v>0</v>
      </c>
      <c r="U408" s="845">
        <f t="shared" si="75"/>
        <v>0</v>
      </c>
    </row>
    <row r="409" spans="1:21" s="855" customFormat="1" ht="22.9" customHeight="1">
      <c r="A409" s="832" t="s">
        <v>873</v>
      </c>
      <c r="B409" s="827" t="s">
        <v>774</v>
      </c>
      <c r="C409" s="832" t="s">
        <v>281</v>
      </c>
      <c r="D409" s="926" t="s">
        <v>881</v>
      </c>
      <c r="E409" s="925" t="e">
        <f>NC_DKDD!H276</f>
        <v>#VALUE!</v>
      </c>
      <c r="F409" s="925"/>
      <c r="G409" s="893"/>
      <c r="H409" s="893"/>
      <c r="I409" s="893"/>
      <c r="J409" s="893"/>
      <c r="K409" s="893"/>
      <c r="L409" s="871"/>
      <c r="M409" s="871"/>
      <c r="N409" s="871"/>
      <c r="O409" s="871"/>
      <c r="P409" s="925">
        <f t="shared" si="80"/>
        <v>1229.6153846153848</v>
      </c>
      <c r="Q409" s="856">
        <f t="shared" si="78"/>
        <v>1069.2307692307693</v>
      </c>
      <c r="R409" s="856">
        <f t="shared" si="79"/>
        <v>160.38461538461539</v>
      </c>
      <c r="S409" s="893">
        <f>NC_DKDD!G276</f>
        <v>0.2</v>
      </c>
      <c r="T409" s="845">
        <f>'[1]1,DG-capmoi'!N403</f>
        <v>0</v>
      </c>
      <c r="U409" s="845">
        <f t="shared" si="75"/>
        <v>0</v>
      </c>
    </row>
    <row r="410" spans="1:21" s="855" customFormat="1" ht="22.9" customHeight="1">
      <c r="A410" s="832">
        <v>8</v>
      </c>
      <c r="B410" s="827" t="s">
        <v>959</v>
      </c>
      <c r="C410" s="832"/>
      <c r="D410" s="938"/>
      <c r="E410" s="925">
        <f>NC_DKDD!H277</f>
        <v>0</v>
      </c>
      <c r="F410" s="925"/>
      <c r="G410" s="893"/>
      <c r="H410" s="893"/>
      <c r="I410" s="893"/>
      <c r="J410" s="893"/>
      <c r="K410" s="893"/>
      <c r="L410" s="871"/>
      <c r="M410" s="871"/>
      <c r="N410" s="871"/>
      <c r="O410" s="871"/>
      <c r="P410" s="925">
        <f t="shared" si="80"/>
        <v>0</v>
      </c>
      <c r="Q410" s="856">
        <f t="shared" si="78"/>
        <v>0</v>
      </c>
      <c r="R410" s="856">
        <f t="shared" si="79"/>
        <v>0</v>
      </c>
      <c r="S410" s="893">
        <f>NC_DKDD!G277</f>
        <v>0</v>
      </c>
      <c r="T410" s="845">
        <f>'[1]1,DG-capmoi'!N404</f>
        <v>0</v>
      </c>
      <c r="U410" s="845">
        <f t="shared" si="75"/>
        <v>0</v>
      </c>
    </row>
    <row r="411" spans="1:21" s="855" customFormat="1" ht="57">
      <c r="A411" s="832" t="s">
        <v>374</v>
      </c>
      <c r="B411" s="827" t="s">
        <v>543</v>
      </c>
      <c r="C411" s="832"/>
      <c r="D411" s="938"/>
      <c r="E411" s="925">
        <f>NC_DKDD!H278</f>
        <v>0</v>
      </c>
      <c r="F411" s="925"/>
      <c r="G411" s="893"/>
      <c r="H411" s="893"/>
      <c r="I411" s="893"/>
      <c r="J411" s="893"/>
      <c r="K411" s="893"/>
      <c r="L411" s="871"/>
      <c r="M411" s="871"/>
      <c r="N411" s="871"/>
      <c r="O411" s="871"/>
      <c r="P411" s="925">
        <f t="shared" si="80"/>
        <v>0</v>
      </c>
      <c r="Q411" s="856">
        <f t="shared" si="78"/>
        <v>0</v>
      </c>
      <c r="R411" s="856">
        <f t="shared" si="79"/>
        <v>0</v>
      </c>
      <c r="S411" s="893">
        <f>NC_DKDD!G278</f>
        <v>0</v>
      </c>
      <c r="T411" s="845">
        <f>'[1]1,DG-capmoi'!N405</f>
        <v>0</v>
      </c>
      <c r="U411" s="845">
        <f t="shared" si="75"/>
        <v>0</v>
      </c>
    </row>
    <row r="412" spans="1:21" s="855" customFormat="1" ht="22.9" customHeight="1">
      <c r="A412" s="832" t="s">
        <v>544</v>
      </c>
      <c r="B412" s="827" t="s">
        <v>33</v>
      </c>
      <c r="C412" s="832" t="s">
        <v>281</v>
      </c>
      <c r="D412" s="933" t="s">
        <v>881</v>
      </c>
      <c r="E412" s="925" t="e">
        <f>NC_DKDD!H279</f>
        <v>#VALUE!</v>
      </c>
      <c r="F412" s="925"/>
      <c r="G412" s="893"/>
      <c r="H412" s="893"/>
      <c r="I412" s="893"/>
      <c r="J412" s="893"/>
      <c r="K412" s="893"/>
      <c r="L412" s="871"/>
      <c r="M412" s="871"/>
      <c r="N412" s="871"/>
      <c r="O412" s="871"/>
      <c r="P412" s="925">
        <f t="shared" si="80"/>
        <v>1229.6153846153848</v>
      </c>
      <c r="Q412" s="856">
        <f t="shared" si="78"/>
        <v>1069.2307692307693</v>
      </c>
      <c r="R412" s="856">
        <f t="shared" si="79"/>
        <v>160.38461538461539</v>
      </c>
      <c r="S412" s="893">
        <f>NC_DKDD!G279</f>
        <v>0.2</v>
      </c>
      <c r="T412" s="845">
        <f>'[1]1,DG-capmoi'!N406</f>
        <v>0</v>
      </c>
      <c r="U412" s="845">
        <f t="shared" si="75"/>
        <v>0</v>
      </c>
    </row>
    <row r="413" spans="1:21" s="855" customFormat="1" ht="22.9" customHeight="1">
      <c r="A413" s="832" t="s">
        <v>545</v>
      </c>
      <c r="B413" s="827" t="s">
        <v>36</v>
      </c>
      <c r="C413" s="832" t="s">
        <v>281</v>
      </c>
      <c r="D413" s="933" t="s">
        <v>881</v>
      </c>
      <c r="E413" s="925" t="e">
        <f>NC_DKDD!H280</f>
        <v>#VALUE!</v>
      </c>
      <c r="F413" s="925"/>
      <c r="G413" s="893"/>
      <c r="H413" s="893"/>
      <c r="I413" s="893"/>
      <c r="J413" s="893"/>
      <c r="K413" s="893"/>
      <c r="L413" s="871"/>
      <c r="M413" s="871"/>
      <c r="N413" s="871"/>
      <c r="O413" s="871"/>
      <c r="P413" s="925">
        <f t="shared" si="80"/>
        <v>614.80769230769238</v>
      </c>
      <c r="Q413" s="856">
        <f t="shared" si="78"/>
        <v>534.61538461538464</v>
      </c>
      <c r="R413" s="856">
        <f t="shared" si="79"/>
        <v>80.192307692307693</v>
      </c>
      <c r="S413" s="893">
        <f>NC_DKDD!G280</f>
        <v>0.1</v>
      </c>
      <c r="T413" s="845">
        <f>'[1]1,DG-capmoi'!N407</f>
        <v>0</v>
      </c>
      <c r="U413" s="845">
        <f t="shared" si="75"/>
        <v>0</v>
      </c>
    </row>
    <row r="414" spans="1:21" s="855" customFormat="1" ht="57">
      <c r="A414" s="832" t="s">
        <v>375</v>
      </c>
      <c r="B414" s="827" t="s">
        <v>1064</v>
      </c>
      <c r="C414" s="832"/>
      <c r="D414" s="832"/>
      <c r="E414" s="925">
        <f>NC_DKDD!H281</f>
        <v>0</v>
      </c>
      <c r="F414" s="925"/>
      <c r="G414" s="893"/>
      <c r="H414" s="893"/>
      <c r="I414" s="893"/>
      <c r="J414" s="893"/>
      <c r="K414" s="893"/>
      <c r="L414" s="871"/>
      <c r="M414" s="871"/>
      <c r="N414" s="871"/>
      <c r="O414" s="871"/>
      <c r="P414" s="925">
        <f t="shared" si="80"/>
        <v>0</v>
      </c>
      <c r="Q414" s="856">
        <f t="shared" si="78"/>
        <v>0</v>
      </c>
      <c r="R414" s="856">
        <f t="shared" si="79"/>
        <v>0</v>
      </c>
      <c r="S414" s="893">
        <f>NC_DKDD!G281</f>
        <v>0</v>
      </c>
      <c r="T414" s="845">
        <f>'[1]1,DG-capmoi'!N408</f>
        <v>0</v>
      </c>
      <c r="U414" s="845">
        <f t="shared" si="75"/>
        <v>0</v>
      </c>
    </row>
    <row r="415" spans="1:21" s="855" customFormat="1" ht="22.5" customHeight="1">
      <c r="A415" s="832" t="s">
        <v>442</v>
      </c>
      <c r="B415" s="827" t="s">
        <v>33</v>
      </c>
      <c r="C415" s="832" t="s">
        <v>281</v>
      </c>
      <c r="D415" s="933" t="s">
        <v>881</v>
      </c>
      <c r="E415" s="925" t="e">
        <f>NC_DKDD!H282</f>
        <v>#VALUE!</v>
      </c>
      <c r="F415" s="925"/>
      <c r="G415" s="893"/>
      <c r="H415" s="893"/>
      <c r="I415" s="893"/>
      <c r="J415" s="893"/>
      <c r="K415" s="893"/>
      <c r="L415" s="871"/>
      <c r="M415" s="871"/>
      <c r="N415" s="871"/>
      <c r="O415" s="871"/>
      <c r="P415" s="925">
        <f t="shared" si="80"/>
        <v>1229.6153846153848</v>
      </c>
      <c r="Q415" s="856">
        <f t="shared" si="78"/>
        <v>1069.2307692307693</v>
      </c>
      <c r="R415" s="856">
        <f t="shared" si="79"/>
        <v>160.38461538461539</v>
      </c>
      <c r="S415" s="893">
        <f>NC_DKDD!G282</f>
        <v>0.2</v>
      </c>
      <c r="T415" s="845">
        <f>'[1]1,DG-capmoi'!N409</f>
        <v>0</v>
      </c>
      <c r="U415" s="845">
        <f t="shared" si="75"/>
        <v>0</v>
      </c>
    </row>
    <row r="416" spans="1:21" s="855" customFormat="1" ht="22.9" customHeight="1">
      <c r="A416" s="832" t="s">
        <v>443</v>
      </c>
      <c r="B416" s="827" t="s">
        <v>36</v>
      </c>
      <c r="C416" s="832" t="s">
        <v>281</v>
      </c>
      <c r="D416" s="933" t="s">
        <v>881</v>
      </c>
      <c r="E416" s="925" t="e">
        <f>NC_DKDD!H283</f>
        <v>#VALUE!</v>
      </c>
      <c r="F416" s="925"/>
      <c r="G416" s="893"/>
      <c r="H416" s="893"/>
      <c r="I416" s="893"/>
      <c r="J416" s="893"/>
      <c r="K416" s="893"/>
      <c r="L416" s="871"/>
      <c r="M416" s="871"/>
      <c r="N416" s="871"/>
      <c r="O416" s="871"/>
      <c r="P416" s="925">
        <f t="shared" si="80"/>
        <v>614.80769230769238</v>
      </c>
      <c r="Q416" s="856">
        <f t="shared" si="78"/>
        <v>534.61538461538464</v>
      </c>
      <c r="R416" s="856">
        <f t="shared" si="79"/>
        <v>80.192307692307693</v>
      </c>
      <c r="S416" s="893">
        <f>NC_DKDD!G283</f>
        <v>0.1</v>
      </c>
      <c r="T416" s="845">
        <f>'[1]1,DG-capmoi'!N410</f>
        <v>0</v>
      </c>
      <c r="U416" s="845">
        <f t="shared" si="75"/>
        <v>0</v>
      </c>
    </row>
    <row r="417" spans="1:21" s="855" customFormat="1" ht="31.5" customHeight="1">
      <c r="A417" s="832">
        <v>9</v>
      </c>
      <c r="B417" s="827" t="s">
        <v>211</v>
      </c>
      <c r="C417" s="832" t="s">
        <v>523</v>
      </c>
      <c r="D417" s="933" t="s">
        <v>881</v>
      </c>
      <c r="E417" s="925" t="e">
        <f>NC_DKDD!H284</f>
        <v>#VALUE!</v>
      </c>
      <c r="F417" s="925"/>
      <c r="G417" s="893"/>
      <c r="H417" s="893"/>
      <c r="I417" s="893"/>
      <c r="J417" s="893"/>
      <c r="K417" s="893"/>
      <c r="L417" s="871"/>
      <c r="M417" s="871"/>
      <c r="N417" s="871"/>
      <c r="O417" s="871"/>
      <c r="P417" s="925">
        <f t="shared" si="80"/>
        <v>184.44230769230768</v>
      </c>
      <c r="Q417" s="856">
        <f t="shared" si="78"/>
        <v>160.38461538461536</v>
      </c>
      <c r="R417" s="856">
        <f t="shared" si="79"/>
        <v>24.057692307692307</v>
      </c>
      <c r="S417" s="893">
        <f>NC_DKDD!G284</f>
        <v>0.03</v>
      </c>
      <c r="T417" s="845">
        <f>'[1]1,DG-capmoi'!N411</f>
        <v>0</v>
      </c>
      <c r="U417" s="845">
        <f t="shared" si="75"/>
        <v>0</v>
      </c>
    </row>
    <row r="418" spans="1:21" s="855" customFormat="1" ht="22.5" customHeight="1">
      <c r="A418" s="832">
        <v>10</v>
      </c>
      <c r="B418" s="827" t="s">
        <v>978</v>
      </c>
      <c r="C418" s="832" t="s">
        <v>524</v>
      </c>
      <c r="D418" s="933" t="s">
        <v>881</v>
      </c>
      <c r="E418" s="925" t="e">
        <f>NC_DKDD!H285</f>
        <v>#VALUE!</v>
      </c>
      <c r="F418" s="925"/>
      <c r="G418" s="893"/>
      <c r="H418" s="893"/>
      <c r="I418" s="893"/>
      <c r="J418" s="893"/>
      <c r="K418" s="893"/>
      <c r="L418" s="871"/>
      <c r="M418" s="871"/>
      <c r="N418" s="871"/>
      <c r="O418" s="871"/>
      <c r="P418" s="925">
        <f t="shared" si="80"/>
        <v>0</v>
      </c>
      <c r="Q418" s="856">
        <f t="shared" si="78"/>
        <v>0</v>
      </c>
      <c r="R418" s="856">
        <f t="shared" si="79"/>
        <v>0</v>
      </c>
      <c r="S418" s="893">
        <f>NC_DKDD!G285</f>
        <v>0</v>
      </c>
      <c r="T418" s="845">
        <f>'[1]1,DG-capmoi'!N412</f>
        <v>0</v>
      </c>
      <c r="U418" s="845">
        <f t="shared" si="75"/>
        <v>0</v>
      </c>
    </row>
    <row r="419" spans="1:21" s="855" customFormat="1" ht="25.5" customHeight="1">
      <c r="A419" s="832">
        <v>11</v>
      </c>
      <c r="B419" s="827" t="s">
        <v>213</v>
      </c>
      <c r="C419" s="832"/>
      <c r="D419" s="832"/>
      <c r="E419" s="925">
        <f>NC_DKDD!H286</f>
        <v>0</v>
      </c>
      <c r="F419" s="925"/>
      <c r="G419" s="893"/>
      <c r="H419" s="893"/>
      <c r="I419" s="893"/>
      <c r="J419" s="893"/>
      <c r="K419" s="893"/>
      <c r="L419" s="871"/>
      <c r="M419" s="871"/>
      <c r="N419" s="871"/>
      <c r="O419" s="871"/>
      <c r="P419" s="925">
        <f t="shared" si="80"/>
        <v>0</v>
      </c>
      <c r="Q419" s="856">
        <f t="shared" si="78"/>
        <v>0</v>
      </c>
      <c r="R419" s="856">
        <f t="shared" si="79"/>
        <v>0</v>
      </c>
      <c r="S419" s="893">
        <f>NC_DKDD!G286</f>
        <v>0</v>
      </c>
      <c r="T419" s="845">
        <f>'[1]1,DG-capmoi'!N413</f>
        <v>0</v>
      </c>
      <c r="U419" s="845">
        <f t="shared" si="75"/>
        <v>0</v>
      </c>
    </row>
    <row r="420" spans="1:21" s="855" customFormat="1" ht="25.5" customHeight="1">
      <c r="A420" s="832" t="s">
        <v>877</v>
      </c>
      <c r="B420" s="827" t="s">
        <v>215</v>
      </c>
      <c r="C420" s="832" t="s">
        <v>320</v>
      </c>
      <c r="D420" s="933" t="s">
        <v>881</v>
      </c>
      <c r="E420" s="925" t="e">
        <f>NC_DKDD!H287</f>
        <v>#VALUE!</v>
      </c>
      <c r="F420" s="925"/>
      <c r="G420" s="893"/>
      <c r="H420" s="893"/>
      <c r="I420" s="893"/>
      <c r="J420" s="893"/>
      <c r="K420" s="893"/>
      <c r="L420" s="871"/>
      <c r="M420" s="871"/>
      <c r="N420" s="871"/>
      <c r="O420" s="871"/>
      <c r="P420" s="925">
        <f t="shared" si="80"/>
        <v>614.80769230769238</v>
      </c>
      <c r="Q420" s="856">
        <f t="shared" si="78"/>
        <v>534.61538461538464</v>
      </c>
      <c r="R420" s="856">
        <f t="shared" si="79"/>
        <v>80.192307692307693</v>
      </c>
      <c r="S420" s="893">
        <f>NC_DKDD!G287</f>
        <v>0.1</v>
      </c>
      <c r="T420" s="845">
        <f>'[1]1,DG-capmoi'!N414</f>
        <v>0</v>
      </c>
      <c r="U420" s="845">
        <f t="shared" si="75"/>
        <v>0</v>
      </c>
    </row>
    <row r="421" spans="1:21" s="855" customFormat="1" ht="25.5" customHeight="1">
      <c r="A421" s="832" t="s">
        <v>878</v>
      </c>
      <c r="B421" s="827" t="s">
        <v>217</v>
      </c>
      <c r="C421" s="832" t="s">
        <v>320</v>
      </c>
      <c r="D421" s="933" t="s">
        <v>881</v>
      </c>
      <c r="E421" s="925" t="e">
        <f>NC_DKDD!H288</f>
        <v>#VALUE!</v>
      </c>
      <c r="F421" s="925"/>
      <c r="G421" s="893"/>
      <c r="H421" s="893"/>
      <c r="I421" s="893"/>
      <c r="J421" s="893"/>
      <c r="K421" s="893"/>
      <c r="L421" s="871"/>
      <c r="M421" s="871"/>
      <c r="N421" s="871"/>
      <c r="O421" s="871"/>
      <c r="P421" s="925">
        <f t="shared" si="80"/>
        <v>1229.6153846153848</v>
      </c>
      <c r="Q421" s="856">
        <f t="shared" si="78"/>
        <v>1069.2307692307693</v>
      </c>
      <c r="R421" s="856">
        <f t="shared" si="79"/>
        <v>160.38461538461539</v>
      </c>
      <c r="S421" s="893">
        <f>NC_DKDD!G288</f>
        <v>0.2</v>
      </c>
      <c r="T421" s="845">
        <f>'[1]1,DG-capmoi'!N415</f>
        <v>0</v>
      </c>
      <c r="U421" s="845">
        <f t="shared" si="75"/>
        <v>0</v>
      </c>
    </row>
    <row r="422" spans="1:21" s="855" customFormat="1" ht="46.5" customHeight="1">
      <c r="A422" s="832">
        <v>12</v>
      </c>
      <c r="B422" s="827" t="s">
        <v>218</v>
      </c>
      <c r="C422" s="832" t="s">
        <v>281</v>
      </c>
      <c r="D422" s="933" t="s">
        <v>881</v>
      </c>
      <c r="E422" s="925" t="e">
        <f>NC_DKDD!H289</f>
        <v>#VALUE!</v>
      </c>
      <c r="F422" s="925"/>
      <c r="G422" s="893"/>
      <c r="H422" s="893"/>
      <c r="I422" s="893"/>
      <c r="J422" s="893"/>
      <c r="K422" s="893"/>
      <c r="L422" s="871"/>
      <c r="M422" s="871"/>
      <c r="N422" s="871"/>
      <c r="O422" s="871"/>
      <c r="P422" s="925">
        <f t="shared" si="80"/>
        <v>1844.4230769230767</v>
      </c>
      <c r="Q422" s="856">
        <f t="shared" si="78"/>
        <v>1603.8461538461536</v>
      </c>
      <c r="R422" s="856">
        <f t="shared" si="79"/>
        <v>240.57692307692307</v>
      </c>
      <c r="S422" s="893">
        <f>NC_DKDD!G289</f>
        <v>0.3</v>
      </c>
      <c r="T422" s="845">
        <f>'[1]1,DG-capmoi'!N416</f>
        <v>0</v>
      </c>
      <c r="U422" s="845">
        <f t="shared" si="75"/>
        <v>0</v>
      </c>
    </row>
    <row r="423" spans="1:21" s="855" customFormat="1" ht="33" customHeight="1">
      <c r="A423" s="832">
        <v>13</v>
      </c>
      <c r="B423" s="827" t="s">
        <v>1065</v>
      </c>
      <c r="C423" s="832" t="s">
        <v>281</v>
      </c>
      <c r="D423" s="933" t="s">
        <v>881</v>
      </c>
      <c r="E423" s="925" t="e">
        <f>NC_DKDD!H290</f>
        <v>#VALUE!</v>
      </c>
      <c r="F423" s="925"/>
      <c r="G423" s="893"/>
      <c r="H423" s="893"/>
      <c r="I423" s="893"/>
      <c r="J423" s="893"/>
      <c r="K423" s="893"/>
      <c r="L423" s="871"/>
      <c r="M423" s="871"/>
      <c r="N423" s="871"/>
      <c r="O423" s="871"/>
      <c r="P423" s="925">
        <f t="shared" si="80"/>
        <v>1045.1730769230769</v>
      </c>
      <c r="Q423" s="856">
        <f t="shared" si="78"/>
        <v>908.84615384615381</v>
      </c>
      <c r="R423" s="856">
        <f t="shared" si="79"/>
        <v>136.32692307692309</v>
      </c>
      <c r="S423" s="893">
        <f>NC_DKDD!G290</f>
        <v>0.17</v>
      </c>
      <c r="T423" s="845">
        <f>'[1]1,DG-capmoi'!N417</f>
        <v>0</v>
      </c>
      <c r="U423" s="845">
        <f t="shared" si="75"/>
        <v>0</v>
      </c>
    </row>
    <row r="424" spans="1:21" s="855" customFormat="1" ht="22.9" customHeight="1">
      <c r="A424" s="832">
        <v>14</v>
      </c>
      <c r="B424" s="827" t="s">
        <v>220</v>
      </c>
      <c r="C424" s="832" t="s">
        <v>523</v>
      </c>
      <c r="D424" s="933" t="s">
        <v>881</v>
      </c>
      <c r="E424" s="925" t="e">
        <f>NC_DKDD!H291</f>
        <v>#VALUE!</v>
      </c>
      <c r="F424" s="925"/>
      <c r="G424" s="893"/>
      <c r="H424" s="893"/>
      <c r="I424" s="893"/>
      <c r="J424" s="893"/>
      <c r="K424" s="893"/>
      <c r="L424" s="871"/>
      <c r="M424" s="871"/>
      <c r="N424" s="871"/>
      <c r="O424" s="871"/>
      <c r="P424" s="925">
        <f t="shared" si="80"/>
        <v>202.88653846153844</v>
      </c>
      <c r="Q424" s="856">
        <f t="shared" si="78"/>
        <v>176.42307692307691</v>
      </c>
      <c r="R424" s="856">
        <f t="shared" si="79"/>
        <v>26.463461538461541</v>
      </c>
      <c r="S424" s="893">
        <f>NC_DKDD!G291</f>
        <v>3.3000000000000002E-2</v>
      </c>
      <c r="T424" s="845">
        <f>'[1]1,DG-capmoi'!N418</f>
        <v>0</v>
      </c>
      <c r="U424" s="845">
        <f t="shared" si="75"/>
        <v>0</v>
      </c>
    </row>
    <row r="425" spans="1:21" s="855" customFormat="1" ht="22.9" customHeight="1">
      <c r="A425" s="832">
        <v>15</v>
      </c>
      <c r="B425" s="827" t="s">
        <v>221</v>
      </c>
      <c r="C425" s="832"/>
      <c r="D425" s="832"/>
      <c r="E425" s="925">
        <f>NC_DKDD!H292</f>
        <v>0</v>
      </c>
      <c r="F425" s="925"/>
      <c r="G425" s="893"/>
      <c r="H425" s="893"/>
      <c r="I425" s="893"/>
      <c r="J425" s="893"/>
      <c r="K425" s="893"/>
      <c r="L425" s="871"/>
      <c r="M425" s="871"/>
      <c r="N425" s="871"/>
      <c r="O425" s="871"/>
      <c r="P425" s="925">
        <f t="shared" si="80"/>
        <v>0</v>
      </c>
      <c r="Q425" s="856">
        <f t="shared" si="78"/>
        <v>0</v>
      </c>
      <c r="R425" s="856">
        <f t="shared" si="79"/>
        <v>0</v>
      </c>
      <c r="S425" s="893">
        <f>NC_DKDD!G292</f>
        <v>0</v>
      </c>
      <c r="T425" s="845">
        <f>'[1]1,DG-capmoi'!N419</f>
        <v>0</v>
      </c>
      <c r="U425" s="845">
        <f t="shared" si="75"/>
        <v>0</v>
      </c>
    </row>
    <row r="426" spans="1:21" s="855" customFormat="1" ht="39.75" customHeight="1">
      <c r="A426" s="832" t="s">
        <v>1066</v>
      </c>
      <c r="B426" s="827" t="s">
        <v>931</v>
      </c>
      <c r="C426" s="832"/>
      <c r="D426" s="832"/>
      <c r="E426" s="925">
        <f>NC_DKDD!H293</f>
        <v>0</v>
      </c>
      <c r="F426" s="925"/>
      <c r="G426" s="893"/>
      <c r="H426" s="893"/>
      <c r="I426" s="893"/>
      <c r="J426" s="893"/>
      <c r="K426" s="893"/>
      <c r="L426" s="871"/>
      <c r="M426" s="871"/>
      <c r="N426" s="871"/>
      <c r="O426" s="871"/>
      <c r="P426" s="925">
        <f t="shared" si="80"/>
        <v>0</v>
      </c>
      <c r="Q426" s="856">
        <f t="shared" si="78"/>
        <v>0</v>
      </c>
      <c r="R426" s="856">
        <f t="shared" si="79"/>
        <v>0</v>
      </c>
      <c r="S426" s="893">
        <f>NC_DKDD!G293</f>
        <v>0</v>
      </c>
      <c r="T426" s="845">
        <f>'[1]1,DG-capmoi'!N420</f>
        <v>0</v>
      </c>
      <c r="U426" s="845">
        <f t="shared" si="75"/>
        <v>0</v>
      </c>
    </row>
    <row r="427" spans="1:21" s="855" customFormat="1" ht="30.75" customHeight="1">
      <c r="A427" s="832" t="s">
        <v>1067</v>
      </c>
      <c r="B427" s="827" t="s">
        <v>933</v>
      </c>
      <c r="C427" s="832" t="s">
        <v>525</v>
      </c>
      <c r="D427" s="933" t="s">
        <v>881</v>
      </c>
      <c r="E427" s="925" t="e">
        <f>NC_DKDD!H294</f>
        <v>#VALUE!</v>
      </c>
      <c r="F427" s="925"/>
      <c r="G427" s="893"/>
      <c r="H427" s="893"/>
      <c r="I427" s="893"/>
      <c r="J427" s="893"/>
      <c r="K427" s="893"/>
      <c r="L427" s="871"/>
      <c r="M427" s="871"/>
      <c r="N427" s="871"/>
      <c r="O427" s="871"/>
      <c r="P427" s="925">
        <f t="shared" si="80"/>
        <v>98.369230769230768</v>
      </c>
      <c r="Q427" s="856">
        <f t="shared" si="78"/>
        <v>85.538461538461533</v>
      </c>
      <c r="R427" s="856">
        <f t="shared" si="79"/>
        <v>12.830769230769231</v>
      </c>
      <c r="S427" s="893">
        <f>NC_DKDD!G294</f>
        <v>1.6E-2</v>
      </c>
      <c r="T427" s="845">
        <f>'[1]1,DG-capmoi'!N421</f>
        <v>0</v>
      </c>
      <c r="U427" s="845">
        <f t="shared" si="75"/>
        <v>0</v>
      </c>
    </row>
    <row r="428" spans="1:21" s="855" customFormat="1" ht="30.75" customHeight="1">
      <c r="A428" s="832" t="s">
        <v>1068</v>
      </c>
      <c r="B428" s="827" t="s">
        <v>937</v>
      </c>
      <c r="C428" s="832" t="s">
        <v>525</v>
      </c>
      <c r="D428" s="933" t="s">
        <v>881</v>
      </c>
      <c r="E428" s="925" t="e">
        <f>NC_DKDD!H295</f>
        <v>#VALUE!</v>
      </c>
      <c r="F428" s="925"/>
      <c r="G428" s="893"/>
      <c r="H428" s="893"/>
      <c r="I428" s="893"/>
      <c r="J428" s="893"/>
      <c r="K428" s="893"/>
      <c r="L428" s="871"/>
      <c r="M428" s="871"/>
      <c r="N428" s="871"/>
      <c r="O428" s="871"/>
      <c r="P428" s="925">
        <f t="shared" si="80"/>
        <v>49.184615384615384</v>
      </c>
      <c r="Q428" s="856">
        <f t="shared" si="78"/>
        <v>42.769230769230766</v>
      </c>
      <c r="R428" s="856">
        <f t="shared" si="79"/>
        <v>6.4153846153846157</v>
      </c>
      <c r="S428" s="893">
        <f>NC_DKDD!G295</f>
        <v>8.0000000000000002E-3</v>
      </c>
      <c r="T428" s="845">
        <f>'[1]1,DG-capmoi'!N422</f>
        <v>0</v>
      </c>
      <c r="U428" s="845">
        <f t="shared" si="75"/>
        <v>0</v>
      </c>
    </row>
    <row r="429" spans="1:21" s="855" customFormat="1" ht="33.75" customHeight="1">
      <c r="A429" s="832" t="s">
        <v>1069</v>
      </c>
      <c r="B429" s="827" t="s">
        <v>48</v>
      </c>
      <c r="C429" s="832" t="s">
        <v>525</v>
      </c>
      <c r="D429" s="933" t="s">
        <v>881</v>
      </c>
      <c r="E429" s="925" t="e">
        <f>NC_DKDD!H296</f>
        <v>#VALUE!</v>
      </c>
      <c r="F429" s="925"/>
      <c r="G429" s="893"/>
      <c r="H429" s="893"/>
      <c r="I429" s="893"/>
      <c r="J429" s="893"/>
      <c r="K429" s="893"/>
      <c r="L429" s="871"/>
      <c r="M429" s="871"/>
      <c r="N429" s="871"/>
      <c r="O429" s="871"/>
      <c r="P429" s="925">
        <f t="shared" si="80"/>
        <v>24.592307692307692</v>
      </c>
      <c r="Q429" s="856">
        <f t="shared" si="78"/>
        <v>21.384615384615383</v>
      </c>
      <c r="R429" s="856">
        <f t="shared" si="79"/>
        <v>3.2076923076923078</v>
      </c>
      <c r="S429" s="893">
        <f>NC_DKDD!G296</f>
        <v>4.0000000000000001E-3</v>
      </c>
      <c r="T429" s="845">
        <f>'[1]1,DG-capmoi'!N423</f>
        <v>0</v>
      </c>
      <c r="U429" s="845">
        <f t="shared" si="75"/>
        <v>0</v>
      </c>
    </row>
    <row r="430" spans="1:21" s="855" customFormat="1" ht="33.75" customHeight="1">
      <c r="A430" s="832" t="s">
        <v>1070</v>
      </c>
      <c r="B430" s="827" t="s">
        <v>50</v>
      </c>
      <c r="C430" s="832" t="s">
        <v>523</v>
      </c>
      <c r="D430" s="933" t="s">
        <v>881</v>
      </c>
      <c r="E430" s="925" t="e">
        <f>NC_DKDD!H297</f>
        <v>#VALUE!</v>
      </c>
      <c r="F430" s="925"/>
      <c r="G430" s="893"/>
      <c r="H430" s="893"/>
      <c r="I430" s="893"/>
      <c r="J430" s="893"/>
      <c r="K430" s="893"/>
      <c r="L430" s="871"/>
      <c r="M430" s="871"/>
      <c r="N430" s="871"/>
      <c r="O430" s="871"/>
      <c r="P430" s="925">
        <f t="shared" si="80"/>
        <v>61.480769230769226</v>
      </c>
      <c r="Q430" s="856">
        <f t="shared" si="78"/>
        <v>53.46153846153846</v>
      </c>
      <c r="R430" s="856">
        <f t="shared" si="79"/>
        <v>8.0192307692307701</v>
      </c>
      <c r="S430" s="893">
        <f>NC_DKDD!G297</f>
        <v>0.01</v>
      </c>
      <c r="T430" s="845">
        <f>'[1]1,DG-capmoi'!N424</f>
        <v>0</v>
      </c>
      <c r="U430" s="845">
        <f t="shared" si="75"/>
        <v>0</v>
      </c>
    </row>
    <row r="431" spans="1:21" s="855" customFormat="1" ht="51" customHeight="1">
      <c r="A431" s="832">
        <v>16</v>
      </c>
      <c r="B431" s="827" t="s">
        <v>1071</v>
      </c>
      <c r="C431" s="832" t="s">
        <v>281</v>
      </c>
      <c r="D431" s="933" t="s">
        <v>881</v>
      </c>
      <c r="E431" s="925" t="e">
        <f>NC_DKDD!H298</f>
        <v>#VALUE!</v>
      </c>
      <c r="F431" s="925"/>
      <c r="G431" s="893"/>
      <c r="H431" s="893"/>
      <c r="I431" s="893"/>
      <c r="J431" s="893"/>
      <c r="K431" s="893"/>
      <c r="L431" s="871"/>
      <c r="M431" s="871"/>
      <c r="N431" s="871"/>
      <c r="O431" s="871"/>
      <c r="P431" s="925">
        <f t="shared" si="80"/>
        <v>1229.6153846153848</v>
      </c>
      <c r="Q431" s="856">
        <f t="shared" si="78"/>
        <v>1069.2307692307693</v>
      </c>
      <c r="R431" s="856">
        <f t="shared" si="79"/>
        <v>160.38461538461539</v>
      </c>
      <c r="S431" s="893">
        <f>NC_DKDD!G298</f>
        <v>0.2</v>
      </c>
      <c r="T431" s="845">
        <f>'[1]1,DG-capmoi'!N425</f>
        <v>0</v>
      </c>
      <c r="U431" s="845">
        <f t="shared" si="75"/>
        <v>0</v>
      </c>
    </row>
    <row r="432" spans="1:21" s="855" customFormat="1" ht="33.75" customHeight="1">
      <c r="A432" s="832">
        <v>17</v>
      </c>
      <c r="B432" s="827" t="s">
        <v>1072</v>
      </c>
      <c r="C432" s="832"/>
      <c r="D432" s="832"/>
      <c r="E432" s="925">
        <f>NC_DKDD!H299</f>
        <v>0</v>
      </c>
      <c r="F432" s="925"/>
      <c r="G432" s="893"/>
      <c r="H432" s="893"/>
      <c r="I432" s="893"/>
      <c r="J432" s="893"/>
      <c r="K432" s="893"/>
      <c r="L432" s="871"/>
      <c r="M432" s="871"/>
      <c r="N432" s="871"/>
      <c r="O432" s="871"/>
      <c r="P432" s="925">
        <f t="shared" si="80"/>
        <v>0</v>
      </c>
      <c r="Q432" s="856">
        <f t="shared" si="78"/>
        <v>0</v>
      </c>
      <c r="R432" s="856">
        <f t="shared" si="79"/>
        <v>0</v>
      </c>
      <c r="S432" s="893">
        <f>NC_DKDD!G299</f>
        <v>0</v>
      </c>
      <c r="T432" s="845">
        <f>'[1]1,DG-capmoi'!N426</f>
        <v>0</v>
      </c>
      <c r="U432" s="845">
        <f t="shared" si="75"/>
        <v>0</v>
      </c>
    </row>
    <row r="433" spans="1:21" s="855" customFormat="1" ht="33.75" customHeight="1">
      <c r="A433" s="832" t="s">
        <v>1073</v>
      </c>
      <c r="B433" s="827" t="s">
        <v>1072</v>
      </c>
      <c r="C433" s="832" t="s">
        <v>281</v>
      </c>
      <c r="D433" s="933" t="s">
        <v>881</v>
      </c>
      <c r="E433" s="925" t="e">
        <f>NC_DKDD!H300</f>
        <v>#VALUE!</v>
      </c>
      <c r="F433" s="925"/>
      <c r="G433" s="893"/>
      <c r="H433" s="893"/>
      <c r="I433" s="893"/>
      <c r="J433" s="893"/>
      <c r="K433" s="893"/>
      <c r="L433" s="871"/>
      <c r="M433" s="871"/>
      <c r="N433" s="871"/>
      <c r="O433" s="871"/>
      <c r="P433" s="925">
        <f t="shared" si="80"/>
        <v>614.80769230769238</v>
      </c>
      <c r="Q433" s="856">
        <f t="shared" si="78"/>
        <v>534.61538461538464</v>
      </c>
      <c r="R433" s="856">
        <f t="shared" si="79"/>
        <v>80.192307692307693</v>
      </c>
      <c r="S433" s="893">
        <f>NC_DKDD!G300</f>
        <v>0.1</v>
      </c>
      <c r="T433" s="845">
        <f>'[1]1,DG-capmoi'!N427</f>
        <v>0</v>
      </c>
      <c r="U433" s="845">
        <f t="shared" si="75"/>
        <v>0</v>
      </c>
    </row>
    <row r="434" spans="1:21" s="855" customFormat="1" ht="48.75" customHeight="1">
      <c r="A434" s="832" t="s">
        <v>1074</v>
      </c>
      <c r="B434" s="827" t="s">
        <v>1075</v>
      </c>
      <c r="C434" s="832" t="s">
        <v>281</v>
      </c>
      <c r="D434" s="933" t="s">
        <v>881</v>
      </c>
      <c r="E434" s="925" t="e">
        <f>NC_DKDD!H301</f>
        <v>#VALUE!</v>
      </c>
      <c r="F434" s="925"/>
      <c r="G434" s="893"/>
      <c r="H434" s="893"/>
      <c r="I434" s="893"/>
      <c r="J434" s="893"/>
      <c r="K434" s="893"/>
      <c r="L434" s="871"/>
      <c r="M434" s="871"/>
      <c r="N434" s="871"/>
      <c r="O434" s="871"/>
      <c r="P434" s="925">
        <f t="shared" si="80"/>
        <v>614.80769230769238</v>
      </c>
      <c r="Q434" s="856">
        <f t="shared" si="78"/>
        <v>534.61538461538464</v>
      </c>
      <c r="R434" s="856">
        <f t="shared" si="79"/>
        <v>80.192307692307693</v>
      </c>
      <c r="S434" s="893">
        <f>NC_DKDD!G301</f>
        <v>0.1</v>
      </c>
      <c r="T434" s="845">
        <f>'[1]1,DG-capmoi'!N428</f>
        <v>0</v>
      </c>
      <c r="U434" s="845">
        <f t="shared" si="75"/>
        <v>0</v>
      </c>
    </row>
    <row r="435" spans="1:21" s="855" customFormat="1" ht="30.75" customHeight="1">
      <c r="A435" s="829" t="s">
        <v>913</v>
      </c>
      <c r="B435" s="929" t="s">
        <v>1057</v>
      </c>
      <c r="C435" s="833"/>
      <c r="D435" s="930"/>
      <c r="E435" s="931" t="e">
        <f>E436</f>
        <v>#VALUE!</v>
      </c>
      <c r="F435" s="931"/>
      <c r="G435" s="931"/>
      <c r="H435" s="893"/>
      <c r="I435" s="893"/>
      <c r="J435" s="893"/>
      <c r="K435" s="893"/>
      <c r="L435" s="893" t="e">
        <f>SUM(E435:K435)</f>
        <v>#VALUE!</v>
      </c>
      <c r="M435" s="893" t="e">
        <f>L435*'He so chung'!$D$17/100</f>
        <v>#VALUE!</v>
      </c>
      <c r="N435" s="893" t="e">
        <f>L435+M435</f>
        <v>#VALUE!</v>
      </c>
      <c r="O435" s="871"/>
      <c r="P435" s="931">
        <f>P436</f>
        <v>1229.6153846153848</v>
      </c>
      <c r="Q435" s="856">
        <f>S435*$Q$339</f>
        <v>1069.2307692307693</v>
      </c>
      <c r="R435" s="856">
        <f>S435*$R$339</f>
        <v>160.38461538461539</v>
      </c>
      <c r="S435" s="931">
        <f>S436</f>
        <v>0.2</v>
      </c>
      <c r="T435" s="845">
        <f>'[1]1,DG-capmoi'!N429</f>
        <v>46049.096153846156</v>
      </c>
      <c r="U435" s="845" t="e">
        <f t="shared" si="75"/>
        <v>#VALUE!</v>
      </c>
    </row>
    <row r="436" spans="1:21" s="855" customFormat="1" ht="42.75" customHeight="1">
      <c r="A436" s="832">
        <v>1</v>
      </c>
      <c r="B436" s="827" t="s">
        <v>1076</v>
      </c>
      <c r="C436" s="832" t="s">
        <v>281</v>
      </c>
      <c r="D436" s="933" t="s">
        <v>881</v>
      </c>
      <c r="E436" s="925" t="e">
        <f>NC_DKDD!H303</f>
        <v>#VALUE!</v>
      </c>
      <c r="F436" s="893"/>
      <c r="G436" s="893"/>
      <c r="H436" s="893">
        <f>'Dcu-DKDD'!$L$122</f>
        <v>0</v>
      </c>
      <c r="I436" s="893"/>
      <c r="J436" s="893"/>
      <c r="K436" s="893"/>
      <c r="L436" s="871"/>
      <c r="M436" s="871"/>
      <c r="N436" s="871"/>
      <c r="O436" s="871"/>
      <c r="P436" s="925">
        <f>Q436+R436</f>
        <v>1229.6153846153848</v>
      </c>
      <c r="Q436" s="856">
        <f>S436*$Q$339</f>
        <v>1069.2307692307693</v>
      </c>
      <c r="R436" s="856">
        <f>S436*$R$339</f>
        <v>160.38461538461539</v>
      </c>
      <c r="S436" s="893">
        <f>NC_DKDD!G303</f>
        <v>0.2</v>
      </c>
      <c r="T436" s="845">
        <f>'[1]1,DG-capmoi'!N430</f>
        <v>0</v>
      </c>
      <c r="U436" s="845">
        <f t="shared" si="75"/>
        <v>0</v>
      </c>
    </row>
    <row r="437" spans="1:21" ht="18.75" customHeight="1">
      <c r="A437" s="353"/>
      <c r="B437" s="886" t="s">
        <v>282</v>
      </c>
      <c r="C437" s="354"/>
      <c r="D437" s="353"/>
      <c r="E437" s="355"/>
      <c r="F437" s="355"/>
      <c r="G437" s="356"/>
      <c r="H437" s="355"/>
      <c r="I437" s="355"/>
      <c r="J437" s="357"/>
      <c r="K437" s="357"/>
      <c r="L437" s="357"/>
      <c r="M437" s="340"/>
      <c r="N437" s="340"/>
      <c r="O437" s="340"/>
      <c r="P437" s="935"/>
      <c r="Q437" s="332"/>
      <c r="R437" s="332"/>
      <c r="S437" s="941"/>
      <c r="T437" s="845">
        <f>'[1]1,DG-capmoi'!N431</f>
        <v>0</v>
      </c>
      <c r="U437" s="845">
        <f t="shared" si="75"/>
        <v>0</v>
      </c>
    </row>
    <row r="438" spans="1:21" ht="18.75" customHeight="1">
      <c r="A438" s="358"/>
      <c r="B438" s="1129" t="s">
        <v>20</v>
      </c>
      <c r="C438" s="1129"/>
      <c r="D438" s="1129"/>
      <c r="E438" s="1129"/>
      <c r="F438" s="1129"/>
      <c r="G438" s="1129"/>
      <c r="H438" s="1129"/>
      <c r="I438" s="1129"/>
      <c r="J438" s="1129"/>
      <c r="K438" s="1129"/>
      <c r="L438" s="1129"/>
      <c r="M438" s="1129"/>
      <c r="N438" s="1129"/>
      <c r="O438" s="1129"/>
      <c r="P438" s="1129"/>
      <c r="Q438" s="332"/>
      <c r="R438" s="332"/>
      <c r="T438" s="845">
        <f>'[1]1,DG-capmoi'!N432</f>
        <v>0</v>
      </c>
      <c r="U438" s="845">
        <f t="shared" si="75"/>
        <v>0</v>
      </c>
    </row>
    <row r="439" spans="1:21" ht="31.5" customHeight="1">
      <c r="A439" s="358"/>
      <c r="B439" s="1117" t="s">
        <v>902</v>
      </c>
      <c r="C439" s="1117"/>
      <c r="D439" s="1117"/>
      <c r="E439" s="1117"/>
      <c r="F439" s="1117"/>
      <c r="G439" s="1117"/>
      <c r="H439" s="1117"/>
      <c r="I439" s="1117"/>
      <c r="J439" s="1117"/>
      <c r="K439" s="1117"/>
      <c r="L439" s="1117"/>
      <c r="M439" s="1117"/>
      <c r="N439" s="1117"/>
      <c r="O439" s="1117"/>
      <c r="P439" s="1117"/>
      <c r="Q439" s="332"/>
      <c r="R439" s="332"/>
      <c r="T439" s="845">
        <f>'[1]1,DG-capmoi'!N433</f>
        <v>0</v>
      </c>
      <c r="U439" s="845">
        <f t="shared" si="75"/>
        <v>0</v>
      </c>
    </row>
    <row r="440" spans="1:21" ht="35.25" customHeight="1">
      <c r="A440" s="358"/>
      <c r="B440" s="1118" t="s">
        <v>1062</v>
      </c>
      <c r="C440" s="1118"/>
      <c r="D440" s="1118"/>
      <c r="E440" s="1118"/>
      <c r="F440" s="1118"/>
      <c r="G440" s="1118"/>
      <c r="H440" s="1118"/>
      <c r="I440" s="1118"/>
      <c r="J440" s="1118"/>
      <c r="K440" s="1118"/>
      <c r="L440" s="1118"/>
      <c r="M440" s="1118"/>
      <c r="N440" s="1118"/>
      <c r="O440" s="1118"/>
      <c r="P440" s="1118"/>
      <c r="Q440" s="332"/>
      <c r="R440" s="332"/>
      <c r="T440" s="845">
        <f>'[1]1,DG-capmoi'!N434</f>
        <v>0</v>
      </c>
      <c r="U440" s="845">
        <f t="shared" si="75"/>
        <v>0</v>
      </c>
    </row>
    <row r="441" spans="1:21" ht="34.5" customHeight="1">
      <c r="A441" s="358"/>
      <c r="B441" s="1118" t="s">
        <v>1063</v>
      </c>
      <c r="C441" s="1118"/>
      <c r="D441" s="1118"/>
      <c r="E441" s="1118"/>
      <c r="F441" s="1118"/>
      <c r="G441" s="1118"/>
      <c r="H441" s="1118"/>
      <c r="I441" s="1118"/>
      <c r="J441" s="1118"/>
      <c r="K441" s="1118"/>
      <c r="L441" s="1118"/>
      <c r="M441" s="1118"/>
      <c r="N441" s="1118"/>
      <c r="O441" s="1118"/>
      <c r="P441" s="1118"/>
      <c r="Q441" s="332"/>
      <c r="R441" s="332"/>
      <c r="T441" s="845">
        <f>'[1]1,DG-capmoi'!N435</f>
        <v>0</v>
      </c>
      <c r="U441" s="845">
        <f t="shared" ref="U441:U506" si="81">T441-N441</f>
        <v>0</v>
      </c>
    </row>
    <row r="442" spans="1:21" ht="24" customHeight="1">
      <c r="A442" s="1151" t="s">
        <v>1050</v>
      </c>
      <c r="B442" s="1151"/>
      <c r="C442" s="1151"/>
      <c r="D442" s="1151"/>
      <c r="E442" s="1151"/>
      <c r="F442" s="1151"/>
      <c r="G442" s="1151"/>
      <c r="H442" s="1151"/>
      <c r="I442" s="1151"/>
      <c r="J442" s="1151"/>
      <c r="K442" s="1151"/>
      <c r="L442" s="1151"/>
      <c r="M442" s="1151"/>
      <c r="N442" s="1151"/>
      <c r="O442" s="1151"/>
      <c r="P442" s="1151"/>
      <c r="T442" s="845">
        <f>'[1]1,DG-capmoi'!N436</f>
        <v>0</v>
      </c>
      <c r="U442" s="845">
        <f t="shared" si="81"/>
        <v>0</v>
      </c>
    </row>
    <row r="443" spans="1:21">
      <c r="A443" s="1113" t="s">
        <v>960</v>
      </c>
      <c r="B443" s="1113"/>
      <c r="C443" s="1113"/>
      <c r="D443" s="1113"/>
      <c r="E443" s="1113"/>
      <c r="F443" s="1113"/>
      <c r="G443" s="1113"/>
      <c r="H443" s="1113"/>
      <c r="I443" s="1113"/>
      <c r="J443" s="1113"/>
      <c r="K443" s="1113"/>
      <c r="L443" s="1113"/>
      <c r="M443" s="1113"/>
      <c r="N443" s="1113"/>
      <c r="O443" s="1113"/>
      <c r="P443" s="1113"/>
      <c r="T443" s="845"/>
      <c r="U443" s="845"/>
    </row>
    <row r="444" spans="1:21" s="345" customFormat="1" ht="19.5" customHeight="1">
      <c r="A444" s="337"/>
      <c r="B444" s="834"/>
      <c r="C444" s="338"/>
      <c r="D444" s="339" t="s">
        <v>576</v>
      </c>
      <c r="E444" s="340"/>
      <c r="F444" s="341"/>
      <c r="G444" s="342"/>
      <c r="H444" s="341"/>
      <c r="I444" s="343"/>
      <c r="J444" s="341"/>
      <c r="K444" s="341"/>
      <c r="M444" s="341"/>
      <c r="N444" s="343"/>
      <c r="O444" s="991" t="s">
        <v>980</v>
      </c>
      <c r="P444" s="340"/>
      <c r="Q444" s="332"/>
      <c r="R444" s="332"/>
      <c r="S444" s="332"/>
      <c r="T444" s="845">
        <f>'[1]1,DG-capmoi'!N437</f>
        <v>0</v>
      </c>
      <c r="U444" s="845">
        <f t="shared" si="81"/>
        <v>0</v>
      </c>
    </row>
    <row r="445" spans="1:21" s="345" customFormat="1" ht="7.5" customHeight="1">
      <c r="A445" s="337"/>
      <c r="B445" s="834"/>
      <c r="C445" s="338"/>
      <c r="D445" s="346"/>
      <c r="E445" s="340"/>
      <c r="F445" s="340"/>
      <c r="G445" s="347"/>
      <c r="H445" s="340"/>
      <c r="I445" s="340"/>
      <c r="J445" s="340"/>
      <c r="K445" s="340"/>
      <c r="L445" s="340"/>
      <c r="M445" s="340"/>
      <c r="N445" s="340"/>
      <c r="O445" s="340"/>
      <c r="P445" s="340"/>
      <c r="Q445" s="332"/>
      <c r="R445" s="332"/>
      <c r="S445" s="332"/>
      <c r="T445" s="845">
        <f>'[1]1,DG-capmoi'!N438</f>
        <v>0</v>
      </c>
      <c r="U445" s="845">
        <f t="shared" si="81"/>
        <v>0</v>
      </c>
    </row>
    <row r="446" spans="1:21" s="978" customFormat="1" ht="24.75" customHeight="1">
      <c r="A446" s="1115" t="s">
        <v>876</v>
      </c>
      <c r="B446" s="1115" t="s">
        <v>381</v>
      </c>
      <c r="C446" s="1111" t="s">
        <v>981</v>
      </c>
      <c r="D446" s="1111" t="s">
        <v>982</v>
      </c>
      <c r="E446" s="1111" t="s">
        <v>466</v>
      </c>
      <c r="F446" s="1111"/>
      <c r="G446" s="1111"/>
      <c r="H446" s="1111"/>
      <c r="I446" s="1111"/>
      <c r="J446" s="1111"/>
      <c r="K446" s="1111"/>
      <c r="L446" s="1111"/>
      <c r="M446" s="1111" t="s">
        <v>581</v>
      </c>
      <c r="N446" s="1111" t="s">
        <v>467</v>
      </c>
      <c r="O446" s="1119" t="s">
        <v>657</v>
      </c>
      <c r="P446" s="1111" t="s">
        <v>468</v>
      </c>
      <c r="Q446" s="976"/>
      <c r="R446" s="976"/>
      <c r="S446" s="977"/>
      <c r="T446" s="1030"/>
      <c r="U446" s="1030"/>
    </row>
    <row r="447" spans="1:21" s="978" customFormat="1" ht="35.25" customHeight="1">
      <c r="A447" s="1115"/>
      <c r="B447" s="1115"/>
      <c r="C447" s="1111"/>
      <c r="D447" s="1111"/>
      <c r="E447" s="825" t="s">
        <v>469</v>
      </c>
      <c r="F447" s="825" t="s">
        <v>470</v>
      </c>
      <c r="G447" s="852" t="s">
        <v>1003</v>
      </c>
      <c r="H447" s="825" t="s">
        <v>59</v>
      </c>
      <c r="I447" s="825" t="s">
        <v>471</v>
      </c>
      <c r="J447" s="825" t="s">
        <v>280</v>
      </c>
      <c r="K447" s="825" t="s">
        <v>472</v>
      </c>
      <c r="L447" s="825" t="s">
        <v>473</v>
      </c>
      <c r="M447" s="1111"/>
      <c r="N447" s="1111"/>
      <c r="O447" s="1120"/>
      <c r="P447" s="1111"/>
      <c r="Q447" s="976"/>
      <c r="R447" s="976"/>
      <c r="S447" s="977"/>
      <c r="T447" s="1030">
        <f>'[1]1,DG-capmoi'!N440</f>
        <v>0</v>
      </c>
      <c r="U447" s="1030">
        <f t="shared" si="81"/>
        <v>0</v>
      </c>
    </row>
    <row r="448" spans="1:21" s="841" customFormat="1" ht="78" customHeight="1">
      <c r="A448" s="831"/>
      <c r="B448" s="1031" t="s">
        <v>19</v>
      </c>
      <c r="C448" s="382"/>
      <c r="D448" s="382"/>
      <c r="E448" s="382"/>
      <c r="F448" s="382"/>
      <c r="G448" s="837"/>
      <c r="H448" s="382"/>
      <c r="I448" s="382"/>
      <c r="J448" s="382"/>
      <c r="K448" s="382"/>
      <c r="L448" s="382"/>
      <c r="M448" s="382"/>
      <c r="N448" s="382"/>
      <c r="O448" s="820"/>
      <c r="P448" s="382"/>
      <c r="Q448" s="839"/>
      <c r="R448" s="839"/>
      <c r="S448" s="840"/>
      <c r="T448" s="845">
        <f>'[1]1,DG-capmoi'!N441</f>
        <v>0</v>
      </c>
      <c r="U448" s="845">
        <f t="shared" si="81"/>
        <v>0</v>
      </c>
    </row>
    <row r="449" spans="1:21" s="841" customFormat="1" ht="21.75" customHeight="1">
      <c r="A449" s="1112"/>
      <c r="B449" s="1125" t="s">
        <v>451</v>
      </c>
      <c r="C449" s="1124" t="s">
        <v>281</v>
      </c>
      <c r="D449" s="382">
        <v>1</v>
      </c>
      <c r="E449" s="383" t="e">
        <f>E461+E493</f>
        <v>#VALUE!</v>
      </c>
      <c r="F449" s="383">
        <f t="shared" ref="F449:P449" si="82">F461+F493</f>
        <v>119210</v>
      </c>
      <c r="G449" s="383">
        <f t="shared" si="82"/>
        <v>0</v>
      </c>
      <c r="H449" s="383">
        <f t="shared" si="82"/>
        <v>7793.3223958333338</v>
      </c>
      <c r="I449" s="383">
        <f t="shared" si="82"/>
        <v>6873.12</v>
      </c>
      <c r="J449" s="383">
        <f t="shared" si="82"/>
        <v>546.41600000000005</v>
      </c>
      <c r="K449" s="383">
        <f t="shared" si="82"/>
        <v>1119.1908000000001</v>
      </c>
      <c r="L449" s="383" t="e">
        <f t="shared" si="82"/>
        <v>#VALUE!</v>
      </c>
      <c r="M449" s="383" t="e">
        <f t="shared" si="82"/>
        <v>#VALUE!</v>
      </c>
      <c r="N449" s="383" t="e">
        <f t="shared" si="82"/>
        <v>#VALUE!</v>
      </c>
      <c r="O449" s="383">
        <v>16744</v>
      </c>
      <c r="P449" s="383">
        <f t="shared" si="82"/>
        <v>34509.155769230762</v>
      </c>
      <c r="Q449" s="839"/>
      <c r="R449" s="839"/>
      <c r="S449" s="840"/>
      <c r="T449" s="845">
        <f>'[1]1,DG-capmoi'!N442</f>
        <v>1339648.1339329008</v>
      </c>
      <c r="U449" s="845" t="e">
        <f t="shared" si="81"/>
        <v>#VALUE!</v>
      </c>
    </row>
    <row r="450" spans="1:21" s="841" customFormat="1" ht="21.75" customHeight="1">
      <c r="A450" s="1112"/>
      <c r="B450" s="1125"/>
      <c r="C450" s="1124"/>
      <c r="D450" s="382">
        <v>2</v>
      </c>
      <c r="E450" s="383" t="e">
        <f>E462+E493</f>
        <v>#VALUE!</v>
      </c>
      <c r="F450" s="383">
        <f t="shared" ref="F450:P450" si="83">F462+F493</f>
        <v>131131</v>
      </c>
      <c r="G450" s="383">
        <f t="shared" si="83"/>
        <v>0</v>
      </c>
      <c r="H450" s="383">
        <f t="shared" si="83"/>
        <v>7793.3223958333338</v>
      </c>
      <c r="I450" s="383">
        <f t="shared" si="83"/>
        <v>6873.12</v>
      </c>
      <c r="J450" s="383">
        <f t="shared" si="83"/>
        <v>546.41600000000005</v>
      </c>
      <c r="K450" s="383">
        <f t="shared" si="83"/>
        <v>1119.1908000000001</v>
      </c>
      <c r="L450" s="383" t="e">
        <f t="shared" si="83"/>
        <v>#VALUE!</v>
      </c>
      <c r="M450" s="383" t="e">
        <f t="shared" si="83"/>
        <v>#VALUE!</v>
      </c>
      <c r="N450" s="383" t="e">
        <f t="shared" si="83"/>
        <v>#VALUE!</v>
      </c>
      <c r="O450" s="383">
        <v>18418.399999999907</v>
      </c>
      <c r="P450" s="383">
        <f t="shared" si="83"/>
        <v>35947.805769230763</v>
      </c>
      <c r="Q450" s="839"/>
      <c r="R450" s="839"/>
      <c r="S450" s="840"/>
      <c r="T450" s="845">
        <f>'[1]1,DG-capmoi'!N443</f>
        <v>1504763.8582954006</v>
      </c>
      <c r="U450" s="845" t="e">
        <f t="shared" si="81"/>
        <v>#VALUE!</v>
      </c>
    </row>
    <row r="451" spans="1:21" s="841" customFormat="1" ht="21.75" customHeight="1">
      <c r="A451" s="1112"/>
      <c r="B451" s="1125"/>
      <c r="C451" s="1124"/>
      <c r="D451" s="382">
        <v>3</v>
      </c>
      <c r="E451" s="383" t="e">
        <f>E463+E493</f>
        <v>#VALUE!</v>
      </c>
      <c r="F451" s="383">
        <f t="shared" ref="F451:P451" si="84">F463+F493</f>
        <v>144231</v>
      </c>
      <c r="G451" s="383">
        <f t="shared" si="84"/>
        <v>0</v>
      </c>
      <c r="H451" s="383">
        <f t="shared" si="84"/>
        <v>7793.3223958333338</v>
      </c>
      <c r="I451" s="383">
        <f t="shared" si="84"/>
        <v>6873.12</v>
      </c>
      <c r="J451" s="383">
        <f t="shared" si="84"/>
        <v>546.41600000000005</v>
      </c>
      <c r="K451" s="383">
        <f t="shared" si="84"/>
        <v>1119.1908000000001</v>
      </c>
      <c r="L451" s="383" t="e">
        <f t="shared" si="84"/>
        <v>#VALUE!</v>
      </c>
      <c r="M451" s="383" t="e">
        <f t="shared" si="84"/>
        <v>#VALUE!</v>
      </c>
      <c r="N451" s="383" t="e">
        <f t="shared" si="84"/>
        <v>#VALUE!</v>
      </c>
      <c r="O451" s="383">
        <v>20258.40000000014</v>
      </c>
      <c r="P451" s="383">
        <f t="shared" si="84"/>
        <v>37534.00961538461</v>
      </c>
      <c r="Q451" s="839"/>
      <c r="R451" s="839"/>
      <c r="S451" s="840"/>
      <c r="T451" s="845">
        <f>'[1]1,DG-capmoi'!N444</f>
        <v>1696899.2225963627</v>
      </c>
      <c r="U451" s="845" t="e">
        <f t="shared" si="81"/>
        <v>#VALUE!</v>
      </c>
    </row>
    <row r="452" spans="1:21" s="841" customFormat="1" ht="21.75" customHeight="1">
      <c r="A452" s="1112"/>
      <c r="B452" s="1125"/>
      <c r="C452" s="1124"/>
      <c r="D452" s="382">
        <v>4</v>
      </c>
      <c r="E452" s="383" t="e">
        <f>E464+E493</f>
        <v>#VALUE!</v>
      </c>
      <c r="F452" s="383">
        <f t="shared" ref="F452:P452" si="85">F464+F493</f>
        <v>158772</v>
      </c>
      <c r="G452" s="383">
        <f t="shared" si="85"/>
        <v>0</v>
      </c>
      <c r="H452" s="383">
        <f t="shared" si="85"/>
        <v>7793.3223958333338</v>
      </c>
      <c r="I452" s="383">
        <f t="shared" si="85"/>
        <v>6873.12</v>
      </c>
      <c r="J452" s="383">
        <f t="shared" si="85"/>
        <v>546.41600000000005</v>
      </c>
      <c r="K452" s="383">
        <f t="shared" si="85"/>
        <v>1119.1908000000001</v>
      </c>
      <c r="L452" s="383" t="e">
        <f t="shared" si="85"/>
        <v>#VALUE!</v>
      </c>
      <c r="M452" s="383" t="e">
        <f t="shared" si="85"/>
        <v>#VALUE!</v>
      </c>
      <c r="N452" s="383" t="e">
        <f t="shared" si="85"/>
        <v>#VALUE!</v>
      </c>
      <c r="O452" s="383">
        <v>22300.799999999999</v>
      </c>
      <c r="P452" s="383">
        <f t="shared" si="85"/>
        <v>39267.767307692295</v>
      </c>
      <c r="Q452" s="839"/>
      <c r="R452" s="839"/>
      <c r="S452" s="840"/>
      <c r="T452" s="845">
        <f>'[1]1,DG-capmoi'!N445</f>
        <v>1919289.7679357855</v>
      </c>
      <c r="U452" s="845" t="e">
        <f t="shared" si="81"/>
        <v>#VALUE!</v>
      </c>
    </row>
    <row r="453" spans="1:21" s="841" customFormat="1" ht="21.75" customHeight="1">
      <c r="A453" s="1112"/>
      <c r="B453" s="1125"/>
      <c r="C453" s="1124"/>
      <c r="D453" s="382">
        <v>5</v>
      </c>
      <c r="E453" s="383" t="e">
        <f>E465+E493</f>
        <v>#VALUE!</v>
      </c>
      <c r="F453" s="383">
        <f t="shared" ref="F453:P453" si="86">F465+F493</f>
        <v>174623</v>
      </c>
      <c r="G453" s="383">
        <f t="shared" si="86"/>
        <v>0</v>
      </c>
      <c r="H453" s="383">
        <f t="shared" si="86"/>
        <v>7793.3223958333338</v>
      </c>
      <c r="I453" s="383">
        <f t="shared" si="86"/>
        <v>6873.12</v>
      </c>
      <c r="J453" s="383">
        <f t="shared" si="86"/>
        <v>546.41600000000005</v>
      </c>
      <c r="K453" s="383">
        <f t="shared" si="86"/>
        <v>1119.1908000000001</v>
      </c>
      <c r="L453" s="383" t="e">
        <f t="shared" si="86"/>
        <v>#VALUE!</v>
      </c>
      <c r="M453" s="383" t="e">
        <f t="shared" si="86"/>
        <v>#VALUE!</v>
      </c>
      <c r="N453" s="383" t="e">
        <f t="shared" si="86"/>
        <v>#VALUE!</v>
      </c>
      <c r="O453" s="383">
        <v>24527.200000000186</v>
      </c>
      <c r="P453" s="383">
        <f t="shared" si="86"/>
        <v>41099.89423076922</v>
      </c>
      <c r="Q453" s="839"/>
      <c r="R453" s="839"/>
      <c r="S453" s="840"/>
      <c r="T453" s="845">
        <f>'[1]1,DG-capmoi'!N446</f>
        <v>1776718.3371425162</v>
      </c>
      <c r="U453" s="845" t="e">
        <f t="shared" si="81"/>
        <v>#VALUE!</v>
      </c>
    </row>
    <row r="454" spans="1:21" s="841" customFormat="1" ht="21.75" customHeight="1">
      <c r="A454" s="1112"/>
      <c r="B454" s="1125" t="s">
        <v>1051</v>
      </c>
      <c r="C454" s="1124" t="s">
        <v>281</v>
      </c>
      <c r="D454" s="382">
        <v>1</v>
      </c>
      <c r="E454" s="383" t="e">
        <f>E466+E493</f>
        <v>#VALUE!</v>
      </c>
      <c r="F454" s="383">
        <f t="shared" ref="F454:P454" si="87">F466+F493</f>
        <v>119210</v>
      </c>
      <c r="G454" s="383">
        <f t="shared" si="87"/>
        <v>0</v>
      </c>
      <c r="H454" s="383">
        <f t="shared" si="87"/>
        <v>7793.3223958333338</v>
      </c>
      <c r="I454" s="383">
        <f t="shared" si="87"/>
        <v>6873.12</v>
      </c>
      <c r="J454" s="383">
        <f t="shared" si="87"/>
        <v>546.41600000000005</v>
      </c>
      <c r="K454" s="383">
        <f t="shared" si="87"/>
        <v>1119.1908000000001</v>
      </c>
      <c r="L454" s="383" t="e">
        <f t="shared" si="87"/>
        <v>#VALUE!</v>
      </c>
      <c r="M454" s="383" t="e">
        <f t="shared" si="87"/>
        <v>#VALUE!</v>
      </c>
      <c r="N454" s="383" t="e">
        <f t="shared" si="87"/>
        <v>#VALUE!</v>
      </c>
      <c r="O454" s="383">
        <v>16744</v>
      </c>
      <c r="P454" s="383">
        <f t="shared" si="87"/>
        <v>33482.426923076913</v>
      </c>
      <c r="Q454" s="839"/>
      <c r="R454" s="839"/>
      <c r="S454" s="840"/>
      <c r="T454" s="845">
        <f>'[1]1,DG-capmoi'!N447</f>
        <v>1302951.0927694393</v>
      </c>
      <c r="U454" s="845" t="e">
        <f t="shared" si="81"/>
        <v>#VALUE!</v>
      </c>
    </row>
    <row r="455" spans="1:21" s="841" customFormat="1" ht="21.75" customHeight="1">
      <c r="A455" s="1112"/>
      <c r="B455" s="1125"/>
      <c r="C455" s="1124"/>
      <c r="D455" s="382">
        <v>2</v>
      </c>
      <c r="E455" s="383" t="e">
        <f>E467+E493</f>
        <v>#VALUE!</v>
      </c>
      <c r="F455" s="383">
        <f t="shared" ref="F455:P455" si="88">F467+F493</f>
        <v>131131</v>
      </c>
      <c r="G455" s="383">
        <f t="shared" si="88"/>
        <v>0</v>
      </c>
      <c r="H455" s="383">
        <f t="shared" si="88"/>
        <v>7793.3223958333338</v>
      </c>
      <c r="I455" s="383">
        <f t="shared" si="88"/>
        <v>6873.12</v>
      </c>
      <c r="J455" s="383">
        <f t="shared" si="88"/>
        <v>546.41600000000005</v>
      </c>
      <c r="K455" s="383">
        <f t="shared" si="88"/>
        <v>1119.1908000000001</v>
      </c>
      <c r="L455" s="383" t="e">
        <f t="shared" si="88"/>
        <v>#VALUE!</v>
      </c>
      <c r="M455" s="383" t="e">
        <f t="shared" si="88"/>
        <v>#VALUE!</v>
      </c>
      <c r="N455" s="383" t="e">
        <f t="shared" si="88"/>
        <v>#VALUE!</v>
      </c>
      <c r="O455" s="383">
        <v>18418.40000000014</v>
      </c>
      <c r="P455" s="383">
        <f t="shared" si="88"/>
        <v>34921.076923076915</v>
      </c>
      <c r="Q455" s="839"/>
      <c r="R455" s="839"/>
      <c r="S455" s="840"/>
      <c r="T455" s="845">
        <f>'[1]1,DG-capmoi'!N448</f>
        <v>1468066.8171319393</v>
      </c>
      <c r="U455" s="845" t="e">
        <f t="shared" si="81"/>
        <v>#VALUE!</v>
      </c>
    </row>
    <row r="456" spans="1:21" s="841" customFormat="1" ht="21.75" customHeight="1">
      <c r="A456" s="1112"/>
      <c r="B456" s="1125"/>
      <c r="C456" s="1124"/>
      <c r="D456" s="382">
        <v>3</v>
      </c>
      <c r="E456" s="383" t="e">
        <f>E468+E493</f>
        <v>#VALUE!</v>
      </c>
      <c r="F456" s="383">
        <f t="shared" ref="F456:P456" si="89">F468+F493</f>
        <v>144231</v>
      </c>
      <c r="G456" s="383">
        <f t="shared" si="89"/>
        <v>0</v>
      </c>
      <c r="H456" s="383">
        <f t="shared" si="89"/>
        <v>7793.3223958333338</v>
      </c>
      <c r="I456" s="383">
        <f t="shared" si="89"/>
        <v>6873.12</v>
      </c>
      <c r="J456" s="383">
        <f t="shared" si="89"/>
        <v>546.41600000000005</v>
      </c>
      <c r="K456" s="383">
        <f t="shared" si="89"/>
        <v>1119.1908000000001</v>
      </c>
      <c r="L456" s="383" t="e">
        <f t="shared" si="89"/>
        <v>#VALUE!</v>
      </c>
      <c r="M456" s="383" t="e">
        <f t="shared" si="89"/>
        <v>#VALUE!</v>
      </c>
      <c r="N456" s="383" t="e">
        <f t="shared" si="89"/>
        <v>#VALUE!</v>
      </c>
      <c r="O456" s="383">
        <v>20258.399999999907</v>
      </c>
      <c r="P456" s="383">
        <f t="shared" si="89"/>
        <v>36507.280769230762</v>
      </c>
      <c r="Q456" s="839"/>
      <c r="R456" s="839"/>
      <c r="S456" s="840"/>
      <c r="T456" s="845">
        <f>'[1]1,DG-capmoi'!N449</f>
        <v>1660202.181432901</v>
      </c>
      <c r="U456" s="845" t="e">
        <f t="shared" si="81"/>
        <v>#VALUE!</v>
      </c>
    </row>
    <row r="457" spans="1:21" s="841" customFormat="1" ht="21.75" customHeight="1">
      <c r="A457" s="1112"/>
      <c r="B457" s="1125"/>
      <c r="C457" s="1124"/>
      <c r="D457" s="382">
        <v>4</v>
      </c>
      <c r="E457" s="383" t="e">
        <f>E469+E493</f>
        <v>#VALUE!</v>
      </c>
      <c r="F457" s="383">
        <f t="shared" ref="F457:P457" si="90">F469+F493</f>
        <v>158772</v>
      </c>
      <c r="G457" s="383">
        <f t="shared" si="90"/>
        <v>0</v>
      </c>
      <c r="H457" s="383">
        <f t="shared" si="90"/>
        <v>7793.3223958333338</v>
      </c>
      <c r="I457" s="383">
        <f t="shared" si="90"/>
        <v>6873.12</v>
      </c>
      <c r="J457" s="383">
        <f t="shared" si="90"/>
        <v>546.41600000000005</v>
      </c>
      <c r="K457" s="383">
        <f t="shared" si="90"/>
        <v>1119.1908000000001</v>
      </c>
      <c r="L457" s="383" t="e">
        <f t="shared" si="90"/>
        <v>#VALUE!</v>
      </c>
      <c r="M457" s="383" t="e">
        <f t="shared" si="90"/>
        <v>#VALUE!</v>
      </c>
      <c r="N457" s="383" t="e">
        <f t="shared" si="90"/>
        <v>#VALUE!</v>
      </c>
      <c r="O457" s="383">
        <v>22300.799999999999</v>
      </c>
      <c r="P457" s="383">
        <f t="shared" si="90"/>
        <v>38241.038461538454</v>
      </c>
      <c r="Q457" s="839"/>
      <c r="R457" s="839"/>
      <c r="S457" s="840"/>
      <c r="T457" s="845">
        <f>'[1]1,DG-capmoi'!N450</f>
        <v>1882592.7267723239</v>
      </c>
      <c r="U457" s="845" t="e">
        <f t="shared" si="81"/>
        <v>#VALUE!</v>
      </c>
    </row>
    <row r="458" spans="1:21" s="841" customFormat="1" ht="21.75" customHeight="1">
      <c r="A458" s="1112"/>
      <c r="B458" s="1125"/>
      <c r="C458" s="1124"/>
      <c r="D458" s="382">
        <v>5</v>
      </c>
      <c r="E458" s="383" t="e">
        <f>E470+E493</f>
        <v>#VALUE!</v>
      </c>
      <c r="F458" s="383">
        <f t="shared" ref="F458:P458" si="91">F470+F493</f>
        <v>174623</v>
      </c>
      <c r="G458" s="383">
        <f t="shared" si="91"/>
        <v>0</v>
      </c>
      <c r="H458" s="383">
        <f t="shared" si="91"/>
        <v>7793.3223958333338</v>
      </c>
      <c r="I458" s="383">
        <f t="shared" si="91"/>
        <v>6873.12</v>
      </c>
      <c r="J458" s="383">
        <f t="shared" si="91"/>
        <v>546.41600000000005</v>
      </c>
      <c r="K458" s="383">
        <f t="shared" si="91"/>
        <v>1119.1908000000001</v>
      </c>
      <c r="L458" s="383" t="e">
        <f t="shared" si="91"/>
        <v>#VALUE!</v>
      </c>
      <c r="M458" s="383" t="e">
        <f t="shared" si="91"/>
        <v>#VALUE!</v>
      </c>
      <c r="N458" s="383" t="e">
        <f t="shared" si="91"/>
        <v>#VALUE!</v>
      </c>
      <c r="O458" s="383">
        <v>24527.200000000001</v>
      </c>
      <c r="P458" s="383">
        <f t="shared" si="91"/>
        <v>40073.165384615379</v>
      </c>
      <c r="Q458" s="839"/>
      <c r="R458" s="839"/>
      <c r="S458" s="840"/>
      <c r="T458" s="845">
        <f>'[1]1,DG-capmoi'!N451</f>
        <v>1740021.2959790546</v>
      </c>
      <c r="U458" s="845" t="e">
        <f t="shared" si="81"/>
        <v>#VALUE!</v>
      </c>
    </row>
    <row r="459" spans="1:21" s="841" customFormat="1" ht="16.5" hidden="1" customHeight="1">
      <c r="A459" s="831"/>
      <c r="B459" s="888"/>
      <c r="C459" s="382"/>
      <c r="D459" s="382"/>
      <c r="E459" s="382"/>
      <c r="F459" s="382"/>
      <c r="G459" s="837"/>
      <c r="H459" s="382"/>
      <c r="I459" s="382"/>
      <c r="J459" s="382"/>
      <c r="K459" s="382"/>
      <c r="L459" s="382"/>
      <c r="M459" s="382"/>
      <c r="N459" s="382"/>
      <c r="O459" s="382">
        <v>0</v>
      </c>
      <c r="P459" s="382"/>
      <c r="Q459" s="847">
        <f>'He so chung'!D$22</f>
        <v>5346.1538461538457</v>
      </c>
      <c r="R459" s="847">
        <f>'He so chung'!D$23</f>
        <v>801.92307692307691</v>
      </c>
      <c r="S459" s="848"/>
      <c r="T459" s="845">
        <f>'[1]1,DG-capmoi'!N452</f>
        <v>0</v>
      </c>
      <c r="U459" s="845">
        <f t="shared" si="81"/>
        <v>0</v>
      </c>
    </row>
    <row r="460" spans="1:21" s="841" customFormat="1" ht="31.5" customHeight="1">
      <c r="A460" s="831" t="s">
        <v>179</v>
      </c>
      <c r="B460" s="888" t="s">
        <v>606</v>
      </c>
      <c r="C460" s="382"/>
      <c r="D460" s="382"/>
      <c r="E460" s="382"/>
      <c r="F460" s="382"/>
      <c r="G460" s="837"/>
      <c r="H460" s="382"/>
      <c r="I460" s="382"/>
      <c r="J460" s="382"/>
      <c r="K460" s="382"/>
      <c r="L460" s="382"/>
      <c r="M460" s="382"/>
      <c r="N460" s="382"/>
      <c r="O460" s="382">
        <v>0</v>
      </c>
      <c r="P460" s="382"/>
      <c r="Q460" s="849"/>
      <c r="R460" s="849"/>
      <c r="S460" s="848"/>
      <c r="T460" s="845">
        <f>'[1]1,DG-capmoi'!N453</f>
        <v>0</v>
      </c>
      <c r="U460" s="845">
        <f t="shared" si="81"/>
        <v>0</v>
      </c>
    </row>
    <row r="461" spans="1:21" s="855" customFormat="1" ht="20.25" customHeight="1">
      <c r="A461" s="1139" t="s">
        <v>665</v>
      </c>
      <c r="B461" s="1125" t="s">
        <v>451</v>
      </c>
      <c r="C461" s="1124" t="s">
        <v>281</v>
      </c>
      <c r="D461" s="892">
        <v>1</v>
      </c>
      <c r="E461" s="893" t="e">
        <f>E473+E475+E476+E477+E483+E485+E486+E488+E490+E491+E492</f>
        <v>#VALUE!</v>
      </c>
      <c r="F461" s="893">
        <f>F473+F475+F476+F477+F483+F485+F486+F488+F490+F491+F492</f>
        <v>119210</v>
      </c>
      <c r="G461" s="894">
        <f>G473+G474+G475+G476+G477+G483+G484+G485+G486+G488+G489+G490+G491+G492</f>
        <v>0</v>
      </c>
      <c r="H461" s="893">
        <f>'Dcu-DKDD'!H$96*1.3</f>
        <v>7793.3223958333338</v>
      </c>
      <c r="I461" s="893">
        <f>'VL-DKDD'!F$96</f>
        <v>6873.12</v>
      </c>
      <c r="J461" s="893">
        <f>'TB-DKDD'!I$50*1.3</f>
        <v>546.41600000000005</v>
      </c>
      <c r="K461" s="893">
        <f>'NL-DKDD'!F$35*1.3</f>
        <v>1119.1908000000001</v>
      </c>
      <c r="L461" s="893" t="e">
        <f t="shared" ref="L461:L470" si="92">SUM(E461:K461)</f>
        <v>#VALUE!</v>
      </c>
      <c r="M461" s="893" t="e">
        <f>L461*'He so chung'!$D$17/100</f>
        <v>#VALUE!</v>
      </c>
      <c r="N461" s="893" t="e">
        <f t="shared" ref="N461:N470" si="93">L461+M461</f>
        <v>#VALUE!</v>
      </c>
      <c r="O461" s="893">
        <v>16744</v>
      </c>
      <c r="P461" s="893">
        <f>P473+P475+P476+P477+P483+P485+P486+P488+P490+P491+P492</f>
        <v>32910.655769230762</v>
      </c>
      <c r="Q461" s="854"/>
      <c r="R461" s="854"/>
      <c r="S461" s="848"/>
      <c r="T461" s="845">
        <f>'[1]1,DG-capmoi'!N454</f>
        <v>1279784.3089329009</v>
      </c>
      <c r="U461" s="845" t="e">
        <f t="shared" si="81"/>
        <v>#VALUE!</v>
      </c>
    </row>
    <row r="462" spans="1:21" s="855" customFormat="1" ht="20.25" customHeight="1">
      <c r="A462" s="1139"/>
      <c r="B462" s="1125"/>
      <c r="C462" s="1124"/>
      <c r="D462" s="892">
        <v>2</v>
      </c>
      <c r="E462" s="893" t="e">
        <f>E473+E475+E476+E478+E483+E485+E486+E488+E490+E491+E492</f>
        <v>#VALUE!</v>
      </c>
      <c r="F462" s="893">
        <f>F473+F475+F476+F478+F483+F485+F486+F488+F490+F491+F492</f>
        <v>131131</v>
      </c>
      <c r="G462" s="894">
        <f>G473+G474+G475+G476+G478+G483+G484+G485+G486+G488+G489+G490+G491+G492</f>
        <v>0</v>
      </c>
      <c r="H462" s="893">
        <f>'Dcu-DKDD'!H$96*1.3</f>
        <v>7793.3223958333338</v>
      </c>
      <c r="I462" s="893">
        <f>'VL-DKDD'!F$96</f>
        <v>6873.12</v>
      </c>
      <c r="J462" s="893">
        <f>'TB-DKDD'!I$50*1.3</f>
        <v>546.41600000000005</v>
      </c>
      <c r="K462" s="893">
        <f>'NL-DKDD'!F$35*1.3</f>
        <v>1119.1908000000001</v>
      </c>
      <c r="L462" s="893" t="e">
        <f t="shared" si="92"/>
        <v>#VALUE!</v>
      </c>
      <c r="M462" s="893" t="e">
        <f>L462*'He so chung'!$D$17/100</f>
        <v>#VALUE!</v>
      </c>
      <c r="N462" s="893" t="e">
        <f t="shared" si="93"/>
        <v>#VALUE!</v>
      </c>
      <c r="O462" s="893">
        <v>18418.399999999907</v>
      </c>
      <c r="P462" s="893">
        <f>P473+P475+P476+P478+P483+P485+P486+P488+P490+P491+P492</f>
        <v>34349.305769230763</v>
      </c>
      <c r="Q462" s="854"/>
      <c r="R462" s="854"/>
      <c r="S462" s="848"/>
      <c r="T462" s="845">
        <f>'[1]1,DG-capmoi'!N455</f>
        <v>1444900.0332954007</v>
      </c>
      <c r="U462" s="845" t="e">
        <f t="shared" si="81"/>
        <v>#VALUE!</v>
      </c>
    </row>
    <row r="463" spans="1:21" s="855" customFormat="1" ht="20.25" customHeight="1">
      <c r="A463" s="1139"/>
      <c r="B463" s="1125"/>
      <c r="C463" s="1124"/>
      <c r="D463" s="892">
        <v>3</v>
      </c>
      <c r="E463" s="893" t="e">
        <f>E473+E475+E476+E479+E483+E485+E486+E488+E490+E491+E492</f>
        <v>#VALUE!</v>
      </c>
      <c r="F463" s="893">
        <f>F473+F475+F476+F479+F483+F485+F486+F488+F490+F491+F492</f>
        <v>144231</v>
      </c>
      <c r="G463" s="894">
        <f>G473+G474+G475+G476+G477+G479+G483+G484+G485+G486+G488+G489+G490+G491+G492</f>
        <v>0</v>
      </c>
      <c r="H463" s="893">
        <f>'Dcu-DKDD'!H$96*1.3</f>
        <v>7793.3223958333338</v>
      </c>
      <c r="I463" s="893">
        <f>'VL-DKDD'!F$96</f>
        <v>6873.12</v>
      </c>
      <c r="J463" s="893">
        <f>'TB-DKDD'!I$50*1.3</f>
        <v>546.41600000000005</v>
      </c>
      <c r="K463" s="893">
        <f>'NL-DKDD'!F$35*1.3</f>
        <v>1119.1908000000001</v>
      </c>
      <c r="L463" s="893" t="e">
        <f t="shared" si="92"/>
        <v>#VALUE!</v>
      </c>
      <c r="M463" s="893" t="e">
        <f>L463*'He so chung'!$D$17/100</f>
        <v>#VALUE!</v>
      </c>
      <c r="N463" s="893" t="e">
        <f t="shared" si="93"/>
        <v>#VALUE!</v>
      </c>
      <c r="O463" s="893">
        <v>20258.40000000014</v>
      </c>
      <c r="P463" s="893">
        <f>P473+P475+P476+P479+P483+P485+P486+P488+P490+P491+P492</f>
        <v>35935.50961538461</v>
      </c>
      <c r="Q463" s="854"/>
      <c r="R463" s="854"/>
      <c r="S463" s="848"/>
      <c r="T463" s="845">
        <f>'[1]1,DG-capmoi'!N456</f>
        <v>1637035.3975963627</v>
      </c>
      <c r="U463" s="845" t="e">
        <f t="shared" si="81"/>
        <v>#VALUE!</v>
      </c>
    </row>
    <row r="464" spans="1:21" s="855" customFormat="1" ht="20.25" customHeight="1">
      <c r="A464" s="1139"/>
      <c r="B464" s="1125"/>
      <c r="C464" s="1124"/>
      <c r="D464" s="892">
        <v>4</v>
      </c>
      <c r="E464" s="893" t="e">
        <f>E473+E475+E476+E480+E483+E485+E486+E488+E490+E491+E492</f>
        <v>#VALUE!</v>
      </c>
      <c r="F464" s="893">
        <f>F473+F475+F476+F480+F483+F485+F486+F488+F490+F491+F492</f>
        <v>158772</v>
      </c>
      <c r="G464" s="894">
        <f>G473+G474+G475+G476+G480+G483+G484+G485+G486+G488+G489+G490+G491+G492</f>
        <v>0</v>
      </c>
      <c r="H464" s="893">
        <f>'Dcu-DKDD'!H$96*1.3</f>
        <v>7793.3223958333338</v>
      </c>
      <c r="I464" s="893">
        <f>'VL-DKDD'!F$96</f>
        <v>6873.12</v>
      </c>
      <c r="J464" s="893">
        <f>'TB-DKDD'!I$50*1.3</f>
        <v>546.41600000000005</v>
      </c>
      <c r="K464" s="893">
        <f>'NL-DKDD'!F$35*1.3</f>
        <v>1119.1908000000001</v>
      </c>
      <c r="L464" s="893" t="e">
        <f t="shared" si="92"/>
        <v>#VALUE!</v>
      </c>
      <c r="M464" s="893" t="e">
        <f>L464*'He so chung'!$D$17/100</f>
        <v>#VALUE!</v>
      </c>
      <c r="N464" s="893" t="e">
        <f t="shared" si="93"/>
        <v>#VALUE!</v>
      </c>
      <c r="O464" s="893">
        <v>22300.799999999999</v>
      </c>
      <c r="P464" s="893">
        <f>P473+P475+P476+P480+P483+P485+P486+P488+P490+P491+P492</f>
        <v>37669.267307692295</v>
      </c>
      <c r="Q464" s="854"/>
      <c r="R464" s="854"/>
      <c r="S464" s="848"/>
      <c r="T464" s="845">
        <f>'[1]1,DG-capmoi'!N457</f>
        <v>1859425.9429357855</v>
      </c>
      <c r="U464" s="845" t="e">
        <f t="shared" si="81"/>
        <v>#VALUE!</v>
      </c>
    </row>
    <row r="465" spans="1:21" s="855" customFormat="1" ht="20.25" customHeight="1">
      <c r="A465" s="1139"/>
      <c r="B465" s="1125"/>
      <c r="C465" s="1124"/>
      <c r="D465" s="892">
        <v>5</v>
      </c>
      <c r="E465" s="893" t="e">
        <f>E473+E475+E476+E481+E483+E485+E486+E488+E490+E491+E492</f>
        <v>#VALUE!</v>
      </c>
      <c r="F465" s="893">
        <f>F473+F475+F476+F481+F483+F485+F486+F488+F490+F491+F492</f>
        <v>174623</v>
      </c>
      <c r="G465" s="894">
        <f>G473+G474+G475+G476+G481+G483+G484+G485+G486+G488+G489+G490+G491+G492</f>
        <v>0</v>
      </c>
      <c r="H465" s="893">
        <f>'Dcu-DKDD'!H$96*1.3</f>
        <v>7793.3223958333338</v>
      </c>
      <c r="I465" s="893">
        <f>'VL-DKDD'!F$96</f>
        <v>6873.12</v>
      </c>
      <c r="J465" s="893">
        <f>'TB-DKDD'!I$50*1.3</f>
        <v>546.41600000000005</v>
      </c>
      <c r="K465" s="893">
        <f>'NL-DKDD'!F$35*1.3</f>
        <v>1119.1908000000001</v>
      </c>
      <c r="L465" s="893" t="e">
        <f t="shared" si="92"/>
        <v>#VALUE!</v>
      </c>
      <c r="M465" s="893" t="e">
        <f>L465*'He so chung'!$D$17/100</f>
        <v>#VALUE!</v>
      </c>
      <c r="N465" s="893" t="e">
        <f t="shared" si="93"/>
        <v>#VALUE!</v>
      </c>
      <c r="O465" s="871">
        <v>24527.200000000186</v>
      </c>
      <c r="P465" s="893">
        <f>P473+P475+P476+P481+P483+P485+P486+P488+P490+P491+P492</f>
        <v>39501.39423076922</v>
      </c>
      <c r="Q465" s="854"/>
      <c r="R465" s="854"/>
      <c r="S465" s="848"/>
      <c r="T465" s="845">
        <f>'[1]1,DG-capmoi'!N458</f>
        <v>1716854.5121425162</v>
      </c>
      <c r="U465" s="845" t="e">
        <f t="shared" si="81"/>
        <v>#VALUE!</v>
      </c>
    </row>
    <row r="466" spans="1:21" s="855" customFormat="1" ht="20.25" customHeight="1">
      <c r="A466" s="1139" t="s">
        <v>666</v>
      </c>
      <c r="B466" s="1125" t="s">
        <v>452</v>
      </c>
      <c r="C466" s="1124" t="s">
        <v>281</v>
      </c>
      <c r="D466" s="892">
        <v>1</v>
      </c>
      <c r="E466" s="893" t="e">
        <f>E474+E475+E476+E477+E484+E485+E486+E489+E490+E491+E492</f>
        <v>#VALUE!</v>
      </c>
      <c r="F466" s="893">
        <f>F474+F475+F476+F477+F483+F484+F485+F486+F489+F490+F491+F492</f>
        <v>119210</v>
      </c>
      <c r="G466" s="893">
        <f>G474+G475+G476+G477+G483+G484+G485+G486+G489+G490+G491+G492</f>
        <v>0</v>
      </c>
      <c r="H466" s="893">
        <f>'Dcu-DKDD'!H$96*1.3</f>
        <v>7793.3223958333338</v>
      </c>
      <c r="I466" s="893">
        <f>'VL-DKDD'!F$96</f>
        <v>6873.12</v>
      </c>
      <c r="J466" s="893">
        <f>'TB-DKDD'!I$50*1.3</f>
        <v>546.41600000000005</v>
      </c>
      <c r="K466" s="893">
        <f>'NL-DKDD'!F$35*1.3</f>
        <v>1119.1908000000001</v>
      </c>
      <c r="L466" s="893" t="e">
        <f t="shared" si="92"/>
        <v>#VALUE!</v>
      </c>
      <c r="M466" s="893" t="e">
        <f>L466*'He so chung'!$D$17/100</f>
        <v>#VALUE!</v>
      </c>
      <c r="N466" s="893" t="e">
        <f t="shared" si="93"/>
        <v>#VALUE!</v>
      </c>
      <c r="O466" s="893">
        <v>16744</v>
      </c>
      <c r="P466" s="893">
        <f>P474+P475+P476+P477+P484+P485+P486+P489+P490+P491+P492</f>
        <v>31883.926923076913</v>
      </c>
      <c r="Q466" s="854"/>
      <c r="R466" s="854"/>
      <c r="S466" s="848"/>
      <c r="T466" s="845">
        <f>'[1]1,DG-capmoi'!N459</f>
        <v>1243087.2677694394</v>
      </c>
      <c r="U466" s="845" t="e">
        <f t="shared" si="81"/>
        <v>#VALUE!</v>
      </c>
    </row>
    <row r="467" spans="1:21" s="855" customFormat="1" ht="20.25" customHeight="1">
      <c r="A467" s="1139"/>
      <c r="B467" s="1125"/>
      <c r="C467" s="1124"/>
      <c r="D467" s="892">
        <v>2</v>
      </c>
      <c r="E467" s="893" t="e">
        <f>E474+E475+E476+E478+E484+E485+E486+E489+E490+E491+E492</f>
        <v>#VALUE!</v>
      </c>
      <c r="F467" s="893">
        <f>F474+F475+F476+F478+F484+F485+F486+F489+F490+F491+F492</f>
        <v>131131</v>
      </c>
      <c r="G467" s="893">
        <f>G474+G475+G476+G478+G484+G485+G486+G489+G490+G491+G492</f>
        <v>0</v>
      </c>
      <c r="H467" s="893">
        <f>'Dcu-DKDD'!H$96*1.3</f>
        <v>7793.3223958333338</v>
      </c>
      <c r="I467" s="893">
        <f>'VL-DKDD'!F$96</f>
        <v>6873.12</v>
      </c>
      <c r="J467" s="893">
        <f>'TB-DKDD'!I$50*1.3</f>
        <v>546.41600000000005</v>
      </c>
      <c r="K467" s="893">
        <f>'NL-DKDD'!F$35*1.3</f>
        <v>1119.1908000000001</v>
      </c>
      <c r="L467" s="893" t="e">
        <f t="shared" si="92"/>
        <v>#VALUE!</v>
      </c>
      <c r="M467" s="893" t="e">
        <f>L467*'He so chung'!$D$17/100</f>
        <v>#VALUE!</v>
      </c>
      <c r="N467" s="893" t="e">
        <f t="shared" si="93"/>
        <v>#VALUE!</v>
      </c>
      <c r="O467" s="893">
        <v>18418.40000000014</v>
      </c>
      <c r="P467" s="893">
        <f>P474+P475+P476+P478+P484+P485+P486+P489+P490+P491+P492</f>
        <v>33322.576923076915</v>
      </c>
      <c r="Q467" s="854"/>
      <c r="R467" s="854"/>
      <c r="S467" s="848"/>
      <c r="T467" s="845">
        <f>'[1]1,DG-capmoi'!N460</f>
        <v>1408202.9921319394</v>
      </c>
      <c r="U467" s="845" t="e">
        <f t="shared" si="81"/>
        <v>#VALUE!</v>
      </c>
    </row>
    <row r="468" spans="1:21" s="855" customFormat="1" ht="20.25" customHeight="1">
      <c r="A468" s="1139"/>
      <c r="B468" s="1125"/>
      <c r="C468" s="1124"/>
      <c r="D468" s="892">
        <v>3</v>
      </c>
      <c r="E468" s="893" t="e">
        <f>E474+E475+E476+E479+E484+E485+E486+E489+E490+E491+E492</f>
        <v>#VALUE!</v>
      </c>
      <c r="F468" s="893">
        <f>F474+F475+F476+F479+F483+F484+F485+F486+F489+F490+F491+F492</f>
        <v>144231</v>
      </c>
      <c r="G468" s="893">
        <f>G474+G475+G476+G479+G483+G484+G485+G486+G489+G490+G491+G492</f>
        <v>0</v>
      </c>
      <c r="H468" s="893">
        <f>'Dcu-DKDD'!H$96*1.3</f>
        <v>7793.3223958333338</v>
      </c>
      <c r="I468" s="893">
        <f>'VL-DKDD'!F$96</f>
        <v>6873.12</v>
      </c>
      <c r="J468" s="893">
        <f>'TB-DKDD'!I$50*1.3</f>
        <v>546.41600000000005</v>
      </c>
      <c r="K468" s="893">
        <f>'NL-DKDD'!F$35*1.3</f>
        <v>1119.1908000000001</v>
      </c>
      <c r="L468" s="893" t="e">
        <f t="shared" si="92"/>
        <v>#VALUE!</v>
      </c>
      <c r="M468" s="893" t="e">
        <f>L468*'He so chung'!$D$17/100</f>
        <v>#VALUE!</v>
      </c>
      <c r="N468" s="893" t="e">
        <f t="shared" si="93"/>
        <v>#VALUE!</v>
      </c>
      <c r="O468" s="893">
        <v>20258.399999999907</v>
      </c>
      <c r="P468" s="893">
        <f>P474+P475+P476+P479+P484+P485+P486+P489+P490+P491+P492</f>
        <v>34908.780769230762</v>
      </c>
      <c r="Q468" s="854"/>
      <c r="R468" s="854"/>
      <c r="S468" s="848"/>
      <c r="T468" s="845">
        <f>'[1]1,DG-capmoi'!N461</f>
        <v>1600338.356432901</v>
      </c>
      <c r="U468" s="845" t="e">
        <f t="shared" si="81"/>
        <v>#VALUE!</v>
      </c>
    </row>
    <row r="469" spans="1:21" s="855" customFormat="1" ht="20.25" customHeight="1">
      <c r="A469" s="1139"/>
      <c r="B469" s="1125"/>
      <c r="C469" s="1124"/>
      <c r="D469" s="892">
        <v>4</v>
      </c>
      <c r="E469" s="893" t="e">
        <f>E474+E475+E476+E480+E484+E485+E486+E489+E490+E491+E492</f>
        <v>#VALUE!</v>
      </c>
      <c r="F469" s="893">
        <f>F474+F475+F476+F480+F483+F484+F485+F486+F489+F490+F491+F492</f>
        <v>158772</v>
      </c>
      <c r="G469" s="893">
        <f>G474+G475+G476+G480+G483+G484+G485+G486+G489+G490+G491+G492</f>
        <v>0</v>
      </c>
      <c r="H469" s="893">
        <f>'Dcu-DKDD'!H$96*1.3</f>
        <v>7793.3223958333338</v>
      </c>
      <c r="I469" s="893">
        <f>'VL-DKDD'!F$96</f>
        <v>6873.12</v>
      </c>
      <c r="J469" s="893">
        <f>'TB-DKDD'!I$50*1.3</f>
        <v>546.41600000000005</v>
      </c>
      <c r="K469" s="893">
        <f>'NL-DKDD'!F$35*1.3</f>
        <v>1119.1908000000001</v>
      </c>
      <c r="L469" s="893" t="e">
        <f t="shared" si="92"/>
        <v>#VALUE!</v>
      </c>
      <c r="M469" s="893" t="e">
        <f>L469*'He so chung'!$D$17/100</f>
        <v>#VALUE!</v>
      </c>
      <c r="N469" s="893" t="e">
        <f t="shared" si="93"/>
        <v>#VALUE!</v>
      </c>
      <c r="O469" s="893">
        <v>22300.799999999999</v>
      </c>
      <c r="P469" s="893">
        <f>P474+P475+P476+P480+P484+P485+P486+P489+P490+P491+P492</f>
        <v>36642.538461538454</v>
      </c>
      <c r="Q469" s="854"/>
      <c r="R469" s="854"/>
      <c r="S469" s="848"/>
      <c r="T469" s="845">
        <f>'[1]1,DG-capmoi'!N462</f>
        <v>1822728.901772324</v>
      </c>
      <c r="U469" s="845" t="e">
        <f t="shared" si="81"/>
        <v>#VALUE!</v>
      </c>
    </row>
    <row r="470" spans="1:21" s="855" customFormat="1" ht="20.25" customHeight="1">
      <c r="A470" s="1139"/>
      <c r="B470" s="1125"/>
      <c r="C470" s="1124"/>
      <c r="D470" s="892">
        <v>5</v>
      </c>
      <c r="E470" s="893" t="e">
        <f>E474+E475+E476+E481+E484+E485+E486+E489+E490+E491+E492</f>
        <v>#VALUE!</v>
      </c>
      <c r="F470" s="893">
        <f>F474+F475+F476+F481+F483+F484+F485+F486+F489+F490+F491+F492</f>
        <v>174623</v>
      </c>
      <c r="G470" s="893">
        <f>G474+G475+G476+G481+G483+G484+G485+G486+G489+G490+G491+G492</f>
        <v>0</v>
      </c>
      <c r="H470" s="893">
        <f>'Dcu-DKDD'!H$96*1.3</f>
        <v>7793.3223958333338</v>
      </c>
      <c r="I470" s="893">
        <f>'VL-DKDD'!F$96</f>
        <v>6873.12</v>
      </c>
      <c r="J470" s="893">
        <f>'TB-DKDD'!I$50*1.3</f>
        <v>546.41600000000005</v>
      </c>
      <c r="K470" s="893">
        <f>'NL-DKDD'!F$35*1.3</f>
        <v>1119.1908000000001</v>
      </c>
      <c r="L470" s="893" t="e">
        <f t="shared" si="92"/>
        <v>#VALUE!</v>
      </c>
      <c r="M470" s="893" t="e">
        <f>L470*'He so chung'!$D$17/100</f>
        <v>#VALUE!</v>
      </c>
      <c r="N470" s="893" t="e">
        <f t="shared" si="93"/>
        <v>#VALUE!</v>
      </c>
      <c r="O470" s="871">
        <v>24527.200000000001</v>
      </c>
      <c r="P470" s="893">
        <f>P474+P475+P476+P481+P484+P485+P486+P489+P490+P491+P492</f>
        <v>38474.665384615379</v>
      </c>
      <c r="Q470" s="854"/>
      <c r="R470" s="854"/>
      <c r="S470" s="848"/>
      <c r="T470" s="845">
        <f>'[1]1,DG-capmoi'!N463</f>
        <v>1680157.4709790547</v>
      </c>
      <c r="U470" s="845" t="e">
        <f t="shared" si="81"/>
        <v>#VALUE!</v>
      </c>
    </row>
    <row r="471" spans="1:21" s="855" customFormat="1" ht="18" hidden="1" customHeight="1">
      <c r="A471" s="443"/>
      <c r="B471" s="822"/>
      <c r="C471" s="443"/>
      <c r="D471" s="892"/>
      <c r="E471" s="893"/>
      <c r="F471" s="893"/>
      <c r="G471" s="894"/>
      <c r="H471" s="893"/>
      <c r="I471" s="893"/>
      <c r="J471" s="893"/>
      <c r="K471" s="893"/>
      <c r="L471" s="893"/>
      <c r="M471" s="893"/>
      <c r="N471" s="893"/>
      <c r="O471" s="871"/>
      <c r="P471" s="893"/>
      <c r="Q471" s="854"/>
      <c r="R471" s="854"/>
      <c r="S471" s="848"/>
      <c r="T471" s="845">
        <f>'[1]1,DG-capmoi'!N464</f>
        <v>0</v>
      </c>
      <c r="U471" s="845">
        <f t="shared" si="81"/>
        <v>0</v>
      </c>
    </row>
    <row r="472" spans="1:21" s="855" customFormat="1" ht="24" customHeight="1">
      <c r="A472" s="832">
        <v>1</v>
      </c>
      <c r="B472" s="827" t="s">
        <v>31</v>
      </c>
      <c r="C472" s="832"/>
      <c r="D472" s="897"/>
      <c r="E472" s="893"/>
      <c r="F472" s="893"/>
      <c r="G472" s="893"/>
      <c r="H472" s="893"/>
      <c r="I472" s="893"/>
      <c r="J472" s="893"/>
      <c r="K472" s="893"/>
      <c r="L472" s="871"/>
      <c r="M472" s="871"/>
      <c r="N472" s="871"/>
      <c r="O472" s="871"/>
      <c r="P472" s="893"/>
      <c r="Q472" s="854"/>
      <c r="R472" s="854"/>
      <c r="S472" s="848"/>
      <c r="T472" s="845">
        <f>'[1]1,DG-capmoi'!N465</f>
        <v>0</v>
      </c>
      <c r="U472" s="845">
        <f t="shared" si="81"/>
        <v>0</v>
      </c>
    </row>
    <row r="473" spans="1:21" s="855" customFormat="1" ht="24.75" customHeight="1">
      <c r="A473" s="832" t="s">
        <v>891</v>
      </c>
      <c r="B473" s="827" t="s">
        <v>33</v>
      </c>
      <c r="C473" s="832" t="s">
        <v>281</v>
      </c>
      <c r="D473" s="926" t="s">
        <v>881</v>
      </c>
      <c r="E473" s="925" t="e">
        <f>NC_DKDD!H310</f>
        <v>#VALUE!</v>
      </c>
      <c r="F473" s="925"/>
      <c r="G473" s="893"/>
      <c r="H473" s="893"/>
      <c r="I473" s="893"/>
      <c r="J473" s="893"/>
      <c r="K473" s="893"/>
      <c r="L473" s="871"/>
      <c r="M473" s="871"/>
      <c r="N473" s="871"/>
      <c r="O473" s="871"/>
      <c r="P473" s="925">
        <f>Q473+R473</f>
        <v>1598.5</v>
      </c>
      <c r="Q473" s="856">
        <f>S473*$Q$459</f>
        <v>1390</v>
      </c>
      <c r="R473" s="856">
        <f>S473*$R$459</f>
        <v>208.5</v>
      </c>
      <c r="S473" s="894">
        <f>NC_DKDD!G310</f>
        <v>0.26</v>
      </c>
      <c r="T473" s="845">
        <f>'[1]1,DG-capmoi'!N466</f>
        <v>0</v>
      </c>
      <c r="U473" s="845">
        <f t="shared" si="81"/>
        <v>0</v>
      </c>
    </row>
    <row r="474" spans="1:21" s="855" customFormat="1" ht="24.75" customHeight="1">
      <c r="A474" s="832" t="s">
        <v>899</v>
      </c>
      <c r="B474" s="827" t="s">
        <v>36</v>
      </c>
      <c r="C474" s="832" t="s">
        <v>281</v>
      </c>
      <c r="D474" s="926" t="s">
        <v>881</v>
      </c>
      <c r="E474" s="925" t="e">
        <f>NC_DKDD!H311</f>
        <v>#VALUE!</v>
      </c>
      <c r="F474" s="925"/>
      <c r="G474" s="893"/>
      <c r="H474" s="893"/>
      <c r="I474" s="893"/>
      <c r="J474" s="893"/>
      <c r="K474" s="893"/>
      <c r="L474" s="871"/>
      <c r="M474" s="871"/>
      <c r="N474" s="871"/>
      <c r="O474" s="871"/>
      <c r="P474" s="925">
        <f t="shared" ref="P474:P494" si="94">Q474+R474</f>
        <v>1168.1346153846152</v>
      </c>
      <c r="Q474" s="856">
        <f t="shared" ref="Q474:Q492" si="95">S474*$Q$459</f>
        <v>1015.7692307692307</v>
      </c>
      <c r="R474" s="856">
        <f t="shared" ref="R474:R492" si="96">S474*$R$459</f>
        <v>152.36538461538461</v>
      </c>
      <c r="S474" s="894">
        <f>NC_DKDD!G311</f>
        <v>0.19</v>
      </c>
      <c r="T474" s="845">
        <f>'[1]1,DG-capmoi'!N467</f>
        <v>0</v>
      </c>
      <c r="U474" s="845">
        <f t="shared" si="81"/>
        <v>0</v>
      </c>
    </row>
    <row r="475" spans="1:21" s="855" customFormat="1" ht="42.75">
      <c r="A475" s="832">
        <v>2</v>
      </c>
      <c r="B475" s="827" t="s">
        <v>37</v>
      </c>
      <c r="C475" s="832" t="s">
        <v>281</v>
      </c>
      <c r="D475" s="926" t="s">
        <v>881</v>
      </c>
      <c r="E475" s="925" t="e">
        <f>NC_DKDD!H312</f>
        <v>#VALUE!</v>
      </c>
      <c r="F475" s="925"/>
      <c r="G475" s="893"/>
      <c r="H475" s="893"/>
      <c r="I475" s="893"/>
      <c r="J475" s="893"/>
      <c r="K475" s="893"/>
      <c r="L475" s="871"/>
      <c r="M475" s="871"/>
      <c r="N475" s="871"/>
      <c r="O475" s="871"/>
      <c r="P475" s="925">
        <f t="shared" si="94"/>
        <v>6947.326923076922</v>
      </c>
      <c r="Q475" s="856">
        <f t="shared" si="95"/>
        <v>6041.1538461538448</v>
      </c>
      <c r="R475" s="856">
        <f t="shared" si="96"/>
        <v>906.17307692307679</v>
      </c>
      <c r="S475" s="894">
        <f>NC_DKDD!G312</f>
        <v>1.1299999999999999</v>
      </c>
      <c r="T475" s="845">
        <f>'[1]1,DG-capmoi'!N468</f>
        <v>0</v>
      </c>
      <c r="U475" s="845">
        <f t="shared" si="81"/>
        <v>0</v>
      </c>
    </row>
    <row r="476" spans="1:21" s="855" customFormat="1" ht="33.75" customHeight="1">
      <c r="A476" s="832">
        <v>3</v>
      </c>
      <c r="B476" s="827" t="s">
        <v>38</v>
      </c>
      <c r="C476" s="832" t="s">
        <v>523</v>
      </c>
      <c r="D476" s="926" t="s">
        <v>881</v>
      </c>
      <c r="E476" s="925" t="e">
        <f>NC_DKDD!H313</f>
        <v>#VALUE!</v>
      </c>
      <c r="F476" s="925"/>
      <c r="G476" s="893"/>
      <c r="H476" s="893"/>
      <c r="I476" s="893"/>
      <c r="J476" s="893"/>
      <c r="K476" s="893"/>
      <c r="L476" s="871"/>
      <c r="M476" s="871"/>
      <c r="N476" s="871"/>
      <c r="O476" s="871"/>
      <c r="P476" s="925">
        <f t="shared" si="94"/>
        <v>1026.728846153846</v>
      </c>
      <c r="Q476" s="856">
        <f t="shared" si="95"/>
        <v>892.80769230769226</v>
      </c>
      <c r="R476" s="856">
        <f t="shared" si="96"/>
        <v>133.92115384615386</v>
      </c>
      <c r="S476" s="894">
        <f>NC_DKDD!G313</f>
        <v>0.16700000000000001</v>
      </c>
      <c r="T476" s="845">
        <f>'[1]1,DG-capmoi'!N469</f>
        <v>0</v>
      </c>
      <c r="U476" s="845">
        <f t="shared" si="81"/>
        <v>0</v>
      </c>
    </row>
    <row r="477" spans="1:21" s="855" customFormat="1" ht="18" customHeight="1">
      <c r="A477" s="1116">
        <v>4</v>
      </c>
      <c r="B477" s="1137" t="s">
        <v>39</v>
      </c>
      <c r="C477" s="1116" t="s">
        <v>281</v>
      </c>
      <c r="D477" s="928">
        <v>1</v>
      </c>
      <c r="E477" s="925" t="e">
        <f>NC_DKDD!H314</f>
        <v>#VALUE!</v>
      </c>
      <c r="F477" s="925">
        <f>NC_DKDD!H315</f>
        <v>119210</v>
      </c>
      <c r="G477" s="893"/>
      <c r="H477" s="893"/>
      <c r="I477" s="893"/>
      <c r="J477" s="893"/>
      <c r="K477" s="893"/>
      <c r="L477" s="871"/>
      <c r="M477" s="871"/>
      <c r="N477" s="871"/>
      <c r="O477" s="871"/>
      <c r="P477" s="925">
        <f t="shared" si="94"/>
        <v>14386.499999999998</v>
      </c>
      <c r="Q477" s="856">
        <f t="shared" si="95"/>
        <v>12509.999999999998</v>
      </c>
      <c r="R477" s="856">
        <f t="shared" si="96"/>
        <v>1876.4999999999998</v>
      </c>
      <c r="S477" s="894">
        <f>NC_DKDD!G314</f>
        <v>2.34</v>
      </c>
      <c r="T477" s="845">
        <f>'[1]1,DG-capmoi'!N470</f>
        <v>0</v>
      </c>
      <c r="U477" s="845">
        <f t="shared" si="81"/>
        <v>0</v>
      </c>
    </row>
    <row r="478" spans="1:21" s="855" customFormat="1" ht="18" customHeight="1">
      <c r="A478" s="1116"/>
      <c r="B478" s="1137"/>
      <c r="C478" s="1116"/>
      <c r="D478" s="928">
        <v>2</v>
      </c>
      <c r="E478" s="925" t="e">
        <f>NC_DKDD!H316</f>
        <v>#VALUE!</v>
      </c>
      <c r="F478" s="925">
        <f>NC_DKDD!H317</f>
        <v>131131</v>
      </c>
      <c r="G478" s="893"/>
      <c r="H478" s="893"/>
      <c r="I478" s="893"/>
      <c r="J478" s="893"/>
      <c r="K478" s="893"/>
      <c r="L478" s="871"/>
      <c r="M478" s="871"/>
      <c r="N478" s="871"/>
      <c r="O478" s="871"/>
      <c r="P478" s="925">
        <f t="shared" si="94"/>
        <v>15825.149999999998</v>
      </c>
      <c r="Q478" s="856">
        <f t="shared" si="95"/>
        <v>13760.999999999998</v>
      </c>
      <c r="R478" s="856">
        <f t="shared" si="96"/>
        <v>2064.1499999999996</v>
      </c>
      <c r="S478" s="894">
        <f>NC_DKDD!G316</f>
        <v>2.5739999999999998</v>
      </c>
      <c r="T478" s="845">
        <f>'[1]1,DG-capmoi'!N471</f>
        <v>0</v>
      </c>
      <c r="U478" s="845">
        <f t="shared" si="81"/>
        <v>0</v>
      </c>
    </row>
    <row r="479" spans="1:21" s="855" customFormat="1" ht="18" customHeight="1">
      <c r="A479" s="1116"/>
      <c r="B479" s="1137"/>
      <c r="C479" s="1116"/>
      <c r="D479" s="928">
        <v>3</v>
      </c>
      <c r="E479" s="925" t="e">
        <f>NC_DKDD!H318</f>
        <v>#VALUE!</v>
      </c>
      <c r="F479" s="925">
        <f>NC_DKDD!H319</f>
        <v>144231</v>
      </c>
      <c r="G479" s="893"/>
      <c r="H479" s="893"/>
      <c r="I479" s="893"/>
      <c r="J479" s="893"/>
      <c r="K479" s="893"/>
      <c r="L479" s="871"/>
      <c r="M479" s="871"/>
      <c r="N479" s="871"/>
      <c r="O479" s="871"/>
      <c r="P479" s="925">
        <f t="shared" si="94"/>
        <v>17411.353846153845</v>
      </c>
      <c r="Q479" s="856">
        <f t="shared" si="95"/>
        <v>15140.30769230769</v>
      </c>
      <c r="R479" s="856">
        <f t="shared" si="96"/>
        <v>2271.0461538461536</v>
      </c>
      <c r="S479" s="894">
        <f>NC_DKDD!G318</f>
        <v>2.8319999999999999</v>
      </c>
      <c r="T479" s="845">
        <f>'[1]1,DG-capmoi'!N472</f>
        <v>0</v>
      </c>
      <c r="U479" s="845">
        <f t="shared" si="81"/>
        <v>0</v>
      </c>
    </row>
    <row r="480" spans="1:21" s="855" customFormat="1" ht="18" customHeight="1">
      <c r="A480" s="1116"/>
      <c r="B480" s="1137"/>
      <c r="C480" s="1116"/>
      <c r="D480" s="928">
        <v>4</v>
      </c>
      <c r="E480" s="925" t="e">
        <f>NC_DKDD!H320</f>
        <v>#VALUE!</v>
      </c>
      <c r="F480" s="925">
        <f>NC_DKDD!H321</f>
        <v>158772</v>
      </c>
      <c r="G480" s="893"/>
      <c r="H480" s="893"/>
      <c r="I480" s="893"/>
      <c r="J480" s="893"/>
      <c r="K480" s="893"/>
      <c r="L480" s="871"/>
      <c r="M480" s="871"/>
      <c r="N480" s="871"/>
      <c r="O480" s="871"/>
      <c r="P480" s="925">
        <f t="shared" si="94"/>
        <v>19145.111538461537</v>
      </c>
      <c r="Q480" s="856">
        <f t="shared" si="95"/>
        <v>16647.923076923074</v>
      </c>
      <c r="R480" s="856">
        <f t="shared" si="96"/>
        <v>2497.1884615384615</v>
      </c>
      <c r="S480" s="894">
        <f>NC_DKDD!G320</f>
        <v>3.1139999999999999</v>
      </c>
      <c r="T480" s="845">
        <f>'[1]1,DG-capmoi'!N473</f>
        <v>0</v>
      </c>
      <c r="U480" s="845">
        <f t="shared" si="81"/>
        <v>0</v>
      </c>
    </row>
    <row r="481" spans="1:21" s="855" customFormat="1" ht="18" customHeight="1">
      <c r="A481" s="1116"/>
      <c r="B481" s="1137"/>
      <c r="C481" s="1116"/>
      <c r="D481" s="928">
        <v>5</v>
      </c>
      <c r="E481" s="925" t="e">
        <f>NC_DKDD!H322</f>
        <v>#VALUE!</v>
      </c>
      <c r="F481" s="925">
        <f>NC_DKDD!H323</f>
        <v>174623</v>
      </c>
      <c r="G481" s="893"/>
      <c r="H481" s="893"/>
      <c r="I481" s="893"/>
      <c r="J481" s="893"/>
      <c r="K481" s="893"/>
      <c r="L481" s="871"/>
      <c r="M481" s="871"/>
      <c r="N481" s="871"/>
      <c r="O481" s="871"/>
      <c r="P481" s="925">
        <f t="shared" si="94"/>
        <v>20977.238461538462</v>
      </c>
      <c r="Q481" s="856">
        <f t="shared" si="95"/>
        <v>18241.076923076922</v>
      </c>
      <c r="R481" s="856">
        <f t="shared" si="96"/>
        <v>2736.1615384615384</v>
      </c>
      <c r="S481" s="894">
        <f>NC_DKDD!G322</f>
        <v>3.4119999999999999</v>
      </c>
      <c r="T481" s="845">
        <f>'[1]1,DG-capmoi'!N474</f>
        <v>0</v>
      </c>
      <c r="U481" s="845">
        <f t="shared" si="81"/>
        <v>0</v>
      </c>
    </row>
    <row r="482" spans="1:21" s="855" customFormat="1" ht="33" customHeight="1">
      <c r="A482" s="832">
        <v>5</v>
      </c>
      <c r="B482" s="827" t="s">
        <v>340</v>
      </c>
      <c r="C482" s="832"/>
      <c r="D482" s="928"/>
      <c r="E482" s="925"/>
      <c r="F482" s="925"/>
      <c r="G482" s="893"/>
      <c r="H482" s="893"/>
      <c r="I482" s="893"/>
      <c r="J482" s="893"/>
      <c r="K482" s="893"/>
      <c r="L482" s="871"/>
      <c r="M482" s="871"/>
      <c r="N482" s="871"/>
      <c r="O482" s="871"/>
      <c r="P482" s="925">
        <f t="shared" si="94"/>
        <v>0</v>
      </c>
      <c r="Q482" s="856">
        <f t="shared" si="95"/>
        <v>0</v>
      </c>
      <c r="R482" s="856">
        <f t="shared" si="96"/>
        <v>0</v>
      </c>
      <c r="S482" s="894"/>
      <c r="T482" s="845">
        <f>'[1]1,DG-capmoi'!N475</f>
        <v>0</v>
      </c>
      <c r="U482" s="845">
        <f t="shared" si="81"/>
        <v>0</v>
      </c>
    </row>
    <row r="483" spans="1:21" s="855" customFormat="1" ht="21" customHeight="1">
      <c r="A483" s="832" t="s">
        <v>607</v>
      </c>
      <c r="B483" s="827" t="s">
        <v>33</v>
      </c>
      <c r="C483" s="832" t="s">
        <v>281</v>
      </c>
      <c r="D483" s="926" t="s">
        <v>881</v>
      </c>
      <c r="E483" s="925" t="e">
        <f>NC_DKDD!H325</f>
        <v>#VALUE!</v>
      </c>
      <c r="F483" s="925"/>
      <c r="G483" s="893"/>
      <c r="H483" s="893"/>
      <c r="I483" s="893"/>
      <c r="J483" s="893"/>
      <c r="K483" s="893"/>
      <c r="L483" s="871"/>
      <c r="M483" s="871"/>
      <c r="N483" s="871"/>
      <c r="O483" s="871"/>
      <c r="P483" s="925">
        <f t="shared" si="94"/>
        <v>399.625</v>
      </c>
      <c r="Q483" s="856">
        <f t="shared" si="95"/>
        <v>347.5</v>
      </c>
      <c r="R483" s="856">
        <f t="shared" si="96"/>
        <v>52.125</v>
      </c>
      <c r="S483" s="943">
        <f>NC_DKDD!G325</f>
        <v>6.5000000000000002E-2</v>
      </c>
      <c r="T483" s="845">
        <f>'[1]1,DG-capmoi'!N476</f>
        <v>0</v>
      </c>
      <c r="U483" s="845">
        <f t="shared" si="81"/>
        <v>0</v>
      </c>
    </row>
    <row r="484" spans="1:21" s="855" customFormat="1" ht="21" customHeight="1">
      <c r="A484" s="832" t="s">
        <v>608</v>
      </c>
      <c r="B484" s="827" t="s">
        <v>36</v>
      </c>
      <c r="C484" s="832" t="s">
        <v>281</v>
      </c>
      <c r="D484" s="926" t="s">
        <v>881</v>
      </c>
      <c r="E484" s="925" t="e">
        <f>NC_DKDD!H326</f>
        <v>#VALUE!</v>
      </c>
      <c r="F484" s="925"/>
      <c r="G484" s="893"/>
      <c r="H484" s="893"/>
      <c r="I484" s="893"/>
      <c r="J484" s="893"/>
      <c r="K484" s="893"/>
      <c r="L484" s="871"/>
      <c r="M484" s="871"/>
      <c r="N484" s="871"/>
      <c r="O484" s="871"/>
      <c r="P484" s="925">
        <f t="shared" si="94"/>
        <v>202.88653846153844</v>
      </c>
      <c r="Q484" s="856">
        <f t="shared" si="95"/>
        <v>176.42307692307691</v>
      </c>
      <c r="R484" s="856">
        <f t="shared" si="96"/>
        <v>26.463461538461541</v>
      </c>
      <c r="S484" s="943">
        <f>NC_DKDD!G326</f>
        <v>3.3000000000000002E-2</v>
      </c>
      <c r="T484" s="845">
        <f>'[1]1,DG-capmoi'!N477</f>
        <v>0</v>
      </c>
      <c r="U484" s="845">
        <f t="shared" si="81"/>
        <v>0</v>
      </c>
    </row>
    <row r="485" spans="1:21" s="855" customFormat="1" ht="33" customHeight="1">
      <c r="A485" s="832">
        <v>6</v>
      </c>
      <c r="B485" s="827" t="s">
        <v>949</v>
      </c>
      <c r="C485" s="832" t="s">
        <v>523</v>
      </c>
      <c r="D485" s="926" t="s">
        <v>881</v>
      </c>
      <c r="E485" s="925" t="e">
        <f>NC_DKDD!H327</f>
        <v>#VALUE!</v>
      </c>
      <c r="F485" s="925"/>
      <c r="G485" s="893"/>
      <c r="H485" s="893"/>
      <c r="I485" s="893"/>
      <c r="J485" s="893"/>
      <c r="K485" s="893"/>
      <c r="L485" s="871"/>
      <c r="M485" s="871"/>
      <c r="N485" s="871"/>
      <c r="O485" s="871"/>
      <c r="P485" s="925">
        <f t="shared" si="94"/>
        <v>18.444230769230767</v>
      </c>
      <c r="Q485" s="856">
        <f t="shared" si="95"/>
        <v>16.038461538461537</v>
      </c>
      <c r="R485" s="856">
        <f t="shared" si="96"/>
        <v>2.4057692307692307</v>
      </c>
      <c r="S485" s="943">
        <f>NC_DKDD!G327</f>
        <v>3.0000000000000001E-3</v>
      </c>
      <c r="T485" s="845">
        <f>'[1]1,DG-capmoi'!N478</f>
        <v>0</v>
      </c>
      <c r="U485" s="845">
        <f t="shared" si="81"/>
        <v>0</v>
      </c>
    </row>
    <row r="486" spans="1:21" s="855" customFormat="1" ht="33" customHeight="1">
      <c r="A486" s="832">
        <v>7</v>
      </c>
      <c r="B486" s="827" t="s">
        <v>855</v>
      </c>
      <c r="C486" s="832" t="s">
        <v>281</v>
      </c>
      <c r="D486" s="926" t="s">
        <v>881</v>
      </c>
      <c r="E486" s="925" t="e">
        <f>NC_DKDD!H328</f>
        <v>#VALUE!</v>
      </c>
      <c r="F486" s="925"/>
      <c r="G486" s="893"/>
      <c r="H486" s="893"/>
      <c r="I486" s="893"/>
      <c r="J486" s="893"/>
      <c r="K486" s="893"/>
      <c r="L486" s="871"/>
      <c r="M486" s="871"/>
      <c r="N486" s="871"/>
      <c r="O486" s="871"/>
      <c r="P486" s="925">
        <f t="shared" si="94"/>
        <v>479.54999999999995</v>
      </c>
      <c r="Q486" s="856">
        <f t="shared" si="95"/>
        <v>416.99999999999994</v>
      </c>
      <c r="R486" s="856">
        <f t="shared" si="96"/>
        <v>62.55</v>
      </c>
      <c r="S486" s="943">
        <f>NC_DKDD!G328</f>
        <v>7.8E-2</v>
      </c>
      <c r="T486" s="845">
        <f>'[1]1,DG-capmoi'!N479</f>
        <v>0</v>
      </c>
      <c r="U486" s="845">
        <f t="shared" si="81"/>
        <v>0</v>
      </c>
    </row>
    <row r="487" spans="1:21" s="855" customFormat="1" ht="33" customHeight="1">
      <c r="A487" s="832">
        <v>8</v>
      </c>
      <c r="B487" s="827" t="s">
        <v>348</v>
      </c>
      <c r="C487" s="832"/>
      <c r="D487" s="928"/>
      <c r="E487" s="925">
        <f>NC_DKDD!H329</f>
        <v>0</v>
      </c>
      <c r="F487" s="925"/>
      <c r="G487" s="893"/>
      <c r="H487" s="893"/>
      <c r="I487" s="893"/>
      <c r="J487" s="893"/>
      <c r="K487" s="893"/>
      <c r="L487" s="871"/>
      <c r="M487" s="871"/>
      <c r="N487" s="871"/>
      <c r="O487" s="871"/>
      <c r="P487" s="925">
        <f t="shared" si="94"/>
        <v>0</v>
      </c>
      <c r="Q487" s="856">
        <f t="shared" si="95"/>
        <v>0</v>
      </c>
      <c r="R487" s="856">
        <f t="shared" si="96"/>
        <v>0</v>
      </c>
      <c r="S487" s="943">
        <f>NC_DKDD!G329</f>
        <v>0</v>
      </c>
      <c r="T487" s="845">
        <f>'[1]1,DG-capmoi'!N480</f>
        <v>0</v>
      </c>
      <c r="U487" s="845">
        <f t="shared" si="81"/>
        <v>0</v>
      </c>
    </row>
    <row r="488" spans="1:21" s="855" customFormat="1" ht="23.25" customHeight="1">
      <c r="A488" s="832" t="s">
        <v>374</v>
      </c>
      <c r="B488" s="827" t="s">
        <v>33</v>
      </c>
      <c r="C488" s="832" t="s">
        <v>281</v>
      </c>
      <c r="D488" s="926" t="s">
        <v>881</v>
      </c>
      <c r="E488" s="925" t="e">
        <f>NC_DKDD!H330</f>
        <v>#VALUE!</v>
      </c>
      <c r="F488" s="925"/>
      <c r="G488" s="893"/>
      <c r="H488" s="893"/>
      <c r="I488" s="893"/>
      <c r="J488" s="893"/>
      <c r="K488" s="893"/>
      <c r="L488" s="871"/>
      <c r="M488" s="871"/>
      <c r="N488" s="871"/>
      <c r="O488" s="871"/>
      <c r="P488" s="925">
        <f t="shared" si="94"/>
        <v>1598.5</v>
      </c>
      <c r="Q488" s="856">
        <f t="shared" si="95"/>
        <v>1390</v>
      </c>
      <c r="R488" s="856">
        <f t="shared" si="96"/>
        <v>208.5</v>
      </c>
      <c r="S488" s="943">
        <f>NC_DKDD!G330</f>
        <v>0.26</v>
      </c>
      <c r="T488" s="845">
        <f>'[1]1,DG-capmoi'!N481</f>
        <v>0</v>
      </c>
      <c r="U488" s="845">
        <f t="shared" si="81"/>
        <v>0</v>
      </c>
    </row>
    <row r="489" spans="1:21" s="855" customFormat="1" ht="23.25" customHeight="1">
      <c r="A489" s="832" t="s">
        <v>375</v>
      </c>
      <c r="B489" s="827" t="s">
        <v>36</v>
      </c>
      <c r="C489" s="832" t="s">
        <v>281</v>
      </c>
      <c r="D489" s="926" t="s">
        <v>881</v>
      </c>
      <c r="E489" s="925" t="e">
        <f>NC_DKDD!H331</f>
        <v>#VALUE!</v>
      </c>
      <c r="F489" s="925"/>
      <c r="G489" s="893"/>
      <c r="H489" s="893"/>
      <c r="I489" s="893"/>
      <c r="J489" s="893"/>
      <c r="K489" s="893"/>
      <c r="L489" s="871"/>
      <c r="M489" s="871"/>
      <c r="N489" s="871"/>
      <c r="O489" s="871"/>
      <c r="P489" s="925">
        <f t="shared" si="94"/>
        <v>1198.875</v>
      </c>
      <c r="Q489" s="856">
        <f t="shared" si="95"/>
        <v>1042.5</v>
      </c>
      <c r="R489" s="856">
        <f t="shared" si="96"/>
        <v>156.375</v>
      </c>
      <c r="S489" s="943">
        <f>NC_DKDD!G331</f>
        <v>0.19500000000000001</v>
      </c>
      <c r="T489" s="845">
        <f>'[1]1,DG-capmoi'!N482</f>
        <v>0</v>
      </c>
      <c r="U489" s="845">
        <f t="shared" si="81"/>
        <v>0</v>
      </c>
    </row>
    <row r="490" spans="1:21" s="855" customFormat="1" ht="27" customHeight="1">
      <c r="A490" s="832">
        <v>9</v>
      </c>
      <c r="B490" s="827" t="s">
        <v>856</v>
      </c>
      <c r="C490" s="832" t="s">
        <v>281</v>
      </c>
      <c r="D490" s="926" t="s">
        <v>881</v>
      </c>
      <c r="E490" s="925" t="e">
        <f>NC_DKDD!H332</f>
        <v>#VALUE!</v>
      </c>
      <c r="F490" s="925"/>
      <c r="G490" s="893"/>
      <c r="H490" s="893"/>
      <c r="I490" s="893"/>
      <c r="J490" s="893"/>
      <c r="K490" s="893"/>
      <c r="L490" s="871"/>
      <c r="M490" s="871"/>
      <c r="N490" s="871"/>
      <c r="O490" s="871"/>
      <c r="P490" s="925">
        <f t="shared" si="94"/>
        <v>3996.25</v>
      </c>
      <c r="Q490" s="856">
        <f t="shared" si="95"/>
        <v>3475</v>
      </c>
      <c r="R490" s="856">
        <f t="shared" si="96"/>
        <v>521.25</v>
      </c>
      <c r="S490" s="943">
        <f>NC_DKDD!G332</f>
        <v>0.65</v>
      </c>
      <c r="T490" s="845">
        <f>'[1]1,DG-capmoi'!N483</f>
        <v>0</v>
      </c>
      <c r="U490" s="845">
        <f t="shared" si="81"/>
        <v>0</v>
      </c>
    </row>
    <row r="491" spans="1:21" s="855" customFormat="1" ht="57">
      <c r="A491" s="832">
        <v>10</v>
      </c>
      <c r="B491" s="827" t="s">
        <v>950</v>
      </c>
      <c r="C491" s="832" t="s">
        <v>281</v>
      </c>
      <c r="D491" s="926" t="s">
        <v>881</v>
      </c>
      <c r="E491" s="925" t="e">
        <f>NC_DKDD!H333</f>
        <v>#VALUE!</v>
      </c>
      <c r="F491" s="925"/>
      <c r="G491" s="893"/>
      <c r="H491" s="893"/>
      <c r="I491" s="893"/>
      <c r="J491" s="893"/>
      <c r="K491" s="893"/>
      <c r="L491" s="871"/>
      <c r="M491" s="871"/>
      <c r="N491" s="871"/>
      <c r="O491" s="871"/>
      <c r="P491" s="925">
        <f t="shared" si="94"/>
        <v>1229.6153846153848</v>
      </c>
      <c r="Q491" s="856">
        <f t="shared" si="95"/>
        <v>1069.2307692307693</v>
      </c>
      <c r="R491" s="856">
        <f t="shared" si="96"/>
        <v>160.38461538461539</v>
      </c>
      <c r="S491" s="943">
        <f>NC_DKDD!G333</f>
        <v>0.2</v>
      </c>
      <c r="T491" s="845">
        <f>'[1]1,DG-capmoi'!N484</f>
        <v>0</v>
      </c>
      <c r="U491" s="845">
        <f t="shared" si="81"/>
        <v>0</v>
      </c>
    </row>
    <row r="492" spans="1:21" s="855" customFormat="1" ht="46.5" customHeight="1">
      <c r="A492" s="832">
        <v>11</v>
      </c>
      <c r="B492" s="827" t="s">
        <v>951</v>
      </c>
      <c r="C492" s="832" t="s">
        <v>281</v>
      </c>
      <c r="D492" s="926" t="s">
        <v>881</v>
      </c>
      <c r="E492" s="925" t="e">
        <f>NC_DKDD!H334</f>
        <v>#VALUE!</v>
      </c>
      <c r="F492" s="925"/>
      <c r="G492" s="893"/>
      <c r="H492" s="893"/>
      <c r="I492" s="893"/>
      <c r="J492" s="893"/>
      <c r="K492" s="893"/>
      <c r="L492" s="871"/>
      <c r="M492" s="871"/>
      <c r="N492" s="871"/>
      <c r="O492" s="871"/>
      <c r="P492" s="925">
        <f t="shared" si="94"/>
        <v>1229.6153846153848</v>
      </c>
      <c r="Q492" s="856">
        <f t="shared" si="95"/>
        <v>1069.2307692307693</v>
      </c>
      <c r="R492" s="856">
        <f t="shared" si="96"/>
        <v>160.38461538461539</v>
      </c>
      <c r="S492" s="943">
        <f>NC_DKDD!G334</f>
        <v>0.2</v>
      </c>
      <c r="T492" s="845">
        <f>'[1]1,DG-capmoi'!N485</f>
        <v>0</v>
      </c>
      <c r="U492" s="845">
        <f t="shared" si="81"/>
        <v>0</v>
      </c>
    </row>
    <row r="493" spans="1:21" s="855" customFormat="1" ht="24" customHeight="1">
      <c r="A493" s="829" t="s">
        <v>913</v>
      </c>
      <c r="B493" s="929" t="s">
        <v>1057</v>
      </c>
      <c r="C493" s="833"/>
      <c r="D493" s="930"/>
      <c r="E493" s="893" t="e">
        <f>E494</f>
        <v>#VALUE!</v>
      </c>
      <c r="F493" s="931"/>
      <c r="G493" s="931"/>
      <c r="H493" s="893"/>
      <c r="I493" s="893"/>
      <c r="J493" s="893"/>
      <c r="K493" s="893"/>
      <c r="L493" s="893" t="e">
        <f>SUM(E493:K493)</f>
        <v>#VALUE!</v>
      </c>
      <c r="M493" s="893" t="e">
        <f>L493*'He so chung'!$D$17/100</f>
        <v>#VALUE!</v>
      </c>
      <c r="N493" s="893" t="e">
        <f>L493+M493</f>
        <v>#VALUE!</v>
      </c>
      <c r="O493" s="871"/>
      <c r="P493" s="893">
        <f>P494</f>
        <v>1598.5</v>
      </c>
      <c r="Q493" s="856">
        <f>S493*$Q$459</f>
        <v>1390</v>
      </c>
      <c r="R493" s="856">
        <f>S493*$R$459</f>
        <v>208.5</v>
      </c>
      <c r="S493" s="894">
        <f>S494</f>
        <v>0.26</v>
      </c>
      <c r="T493" s="845">
        <f>'[1]1,DG-capmoi'!N486</f>
        <v>59863.824999999997</v>
      </c>
      <c r="U493" s="845" t="e">
        <f t="shared" si="81"/>
        <v>#VALUE!</v>
      </c>
    </row>
    <row r="494" spans="1:21" s="855" customFormat="1" ht="40.5" customHeight="1">
      <c r="A494" s="832">
        <v>1</v>
      </c>
      <c r="B494" s="827" t="s">
        <v>1076</v>
      </c>
      <c r="C494" s="832" t="s">
        <v>281</v>
      </c>
      <c r="D494" s="933" t="s">
        <v>881</v>
      </c>
      <c r="E494" s="925" t="e">
        <f>NC_DKDD!H379</f>
        <v>#VALUE!</v>
      </c>
      <c r="F494" s="893"/>
      <c r="G494" s="893"/>
      <c r="H494" s="893"/>
      <c r="I494" s="893"/>
      <c r="J494" s="893"/>
      <c r="K494" s="893"/>
      <c r="L494" s="871"/>
      <c r="M494" s="871"/>
      <c r="N494" s="871"/>
      <c r="O494" s="871"/>
      <c r="P494" s="925">
        <f t="shared" si="94"/>
        <v>1598.5</v>
      </c>
      <c r="Q494" s="856">
        <f>S494*$Q$459</f>
        <v>1390</v>
      </c>
      <c r="R494" s="856">
        <f>S494*$R$459</f>
        <v>208.5</v>
      </c>
      <c r="S494" s="894">
        <f>NC_DKDD!G379</f>
        <v>0.26</v>
      </c>
      <c r="T494" s="845">
        <f>'[1]1,DG-capmoi'!N487</f>
        <v>0</v>
      </c>
      <c r="U494" s="845">
        <f t="shared" si="81"/>
        <v>0</v>
      </c>
    </row>
    <row r="495" spans="1:21" ht="21" customHeight="1">
      <c r="A495" s="353"/>
      <c r="B495" s="886" t="s">
        <v>282</v>
      </c>
      <c r="C495" s="354"/>
      <c r="D495" s="353"/>
      <c r="E495" s="355"/>
      <c r="F495" s="355"/>
      <c r="G495" s="356"/>
      <c r="H495" s="355"/>
      <c r="I495" s="355"/>
      <c r="J495" s="357"/>
      <c r="K495" s="357"/>
      <c r="L495" s="357"/>
      <c r="M495" s="340"/>
      <c r="N495" s="340"/>
      <c r="O495" s="340"/>
      <c r="P495" s="935"/>
      <c r="Q495" s="332"/>
      <c r="R495" s="332"/>
      <c r="S495" s="944"/>
      <c r="T495" s="845">
        <f>'[1]1,DG-capmoi'!N488</f>
        <v>0</v>
      </c>
      <c r="U495" s="845">
        <f t="shared" si="81"/>
        <v>0</v>
      </c>
    </row>
    <row r="496" spans="1:21" ht="23.25" customHeight="1">
      <c r="A496" s="358"/>
      <c r="B496" s="1129" t="s">
        <v>20</v>
      </c>
      <c r="C496" s="1129"/>
      <c r="D496" s="1129"/>
      <c r="E496" s="1129"/>
      <c r="F496" s="1129"/>
      <c r="G496" s="1129"/>
      <c r="H496" s="1129"/>
      <c r="I496" s="1129"/>
      <c r="J496" s="1129"/>
      <c r="K496" s="1129"/>
      <c r="L496" s="1129"/>
      <c r="M496" s="1129"/>
      <c r="N496" s="1129"/>
      <c r="O496" s="1129"/>
      <c r="P496" s="1129"/>
      <c r="Q496" s="332"/>
      <c r="R496" s="332"/>
      <c r="S496" s="944"/>
      <c r="T496" s="845">
        <f>'[1]1,DG-capmoi'!N489</f>
        <v>0</v>
      </c>
      <c r="U496" s="845">
        <f t="shared" si="81"/>
        <v>0</v>
      </c>
    </row>
    <row r="497" spans="1:21" ht="23.25" customHeight="1">
      <c r="A497" s="358"/>
      <c r="B497" s="1117" t="s">
        <v>902</v>
      </c>
      <c r="C497" s="1117"/>
      <c r="D497" s="1117"/>
      <c r="E497" s="1117"/>
      <c r="F497" s="1117"/>
      <c r="G497" s="1117"/>
      <c r="H497" s="1117"/>
      <c r="I497" s="1117"/>
      <c r="J497" s="1117"/>
      <c r="K497" s="1117"/>
      <c r="L497" s="1117"/>
      <c r="M497" s="1117"/>
      <c r="N497" s="1117"/>
      <c r="O497" s="1117"/>
      <c r="P497" s="1117"/>
      <c r="Q497" s="332"/>
      <c r="R497" s="332"/>
      <c r="S497" s="944"/>
      <c r="T497" s="845">
        <f>'[1]1,DG-capmoi'!N490</f>
        <v>0</v>
      </c>
      <c r="U497" s="845">
        <f t="shared" si="81"/>
        <v>0</v>
      </c>
    </row>
    <row r="498" spans="1:21" ht="36.75" customHeight="1">
      <c r="A498" s="358"/>
      <c r="B498" s="1118" t="s">
        <v>1062</v>
      </c>
      <c r="C498" s="1118"/>
      <c r="D498" s="1118"/>
      <c r="E498" s="1118"/>
      <c r="F498" s="1118"/>
      <c r="G498" s="1118"/>
      <c r="H498" s="1118"/>
      <c r="I498" s="1118"/>
      <c r="J498" s="1118"/>
      <c r="K498" s="1118"/>
      <c r="L498" s="1118"/>
      <c r="M498" s="1118"/>
      <c r="N498" s="1118"/>
      <c r="O498" s="1118"/>
      <c r="P498" s="1118"/>
      <c r="Q498" s="332"/>
      <c r="R498" s="332"/>
      <c r="S498" s="944"/>
      <c r="T498" s="845">
        <f>'[1]1,DG-capmoi'!N491</f>
        <v>0</v>
      </c>
      <c r="U498" s="845">
        <f t="shared" si="81"/>
        <v>0</v>
      </c>
    </row>
    <row r="499" spans="1:21" ht="40.9" customHeight="1">
      <c r="A499" s="358"/>
      <c r="B499" s="1118" t="s">
        <v>1063</v>
      </c>
      <c r="C499" s="1118"/>
      <c r="D499" s="1118"/>
      <c r="E499" s="1118"/>
      <c r="F499" s="1118"/>
      <c r="G499" s="1118"/>
      <c r="H499" s="1118"/>
      <c r="I499" s="1118"/>
      <c r="J499" s="1118"/>
      <c r="K499" s="1118"/>
      <c r="L499" s="1118"/>
      <c r="M499" s="1118"/>
      <c r="N499" s="1118"/>
      <c r="O499" s="1118"/>
      <c r="P499" s="1118"/>
      <c r="Q499" s="332"/>
      <c r="R499" s="332"/>
      <c r="S499" s="944"/>
      <c r="T499" s="845">
        <f>'[1]1,DG-capmoi'!N492</f>
        <v>0</v>
      </c>
      <c r="U499" s="845">
        <f t="shared" si="81"/>
        <v>0</v>
      </c>
    </row>
    <row r="500" spans="1:21" ht="38.25" customHeight="1">
      <c r="A500" s="1114" t="s">
        <v>940</v>
      </c>
      <c r="B500" s="1114"/>
      <c r="C500" s="1114"/>
      <c r="D500" s="1114"/>
      <c r="E500" s="1114"/>
      <c r="F500" s="1114"/>
      <c r="G500" s="1114"/>
      <c r="H500" s="1114"/>
      <c r="I500" s="1114"/>
      <c r="J500" s="1114"/>
      <c r="K500" s="1114"/>
      <c r="L500" s="1114"/>
      <c r="M500" s="1114"/>
      <c r="N500" s="1114"/>
      <c r="O500" s="1114"/>
      <c r="P500" s="1114"/>
      <c r="S500" s="944"/>
      <c r="T500" s="845">
        <f>'[1]1,DG-capmoi'!N493</f>
        <v>0</v>
      </c>
      <c r="U500" s="845">
        <f t="shared" si="81"/>
        <v>0</v>
      </c>
    </row>
    <row r="501" spans="1:21">
      <c r="A501" s="1113" t="s">
        <v>960</v>
      </c>
      <c r="B501" s="1113"/>
      <c r="C501" s="1113"/>
      <c r="D501" s="1113"/>
      <c r="E501" s="1113"/>
      <c r="F501" s="1113"/>
      <c r="G501" s="1113"/>
      <c r="H501" s="1113"/>
      <c r="I501" s="1113"/>
      <c r="J501" s="1113"/>
      <c r="K501" s="1113"/>
      <c r="L501" s="1113"/>
      <c r="M501" s="1113"/>
      <c r="N501" s="1113"/>
      <c r="O501" s="1113"/>
      <c r="P501" s="1113"/>
      <c r="S501" s="944"/>
      <c r="T501" s="845"/>
      <c r="U501" s="845"/>
    </row>
    <row r="502" spans="1:21" s="345" customFormat="1" ht="19.5" customHeight="1">
      <c r="A502" s="337"/>
      <c r="B502" s="834"/>
      <c r="C502" s="338"/>
      <c r="D502" s="339" t="s">
        <v>576</v>
      </c>
      <c r="E502" s="340"/>
      <c r="F502" s="341"/>
      <c r="G502" s="342"/>
      <c r="H502" s="341"/>
      <c r="I502" s="343"/>
      <c r="J502" s="341"/>
      <c r="K502" s="341"/>
      <c r="M502" s="341"/>
      <c r="N502" s="991" t="s">
        <v>980</v>
      </c>
      <c r="O502" s="992"/>
      <c r="P502" s="975"/>
      <c r="Q502" s="332"/>
      <c r="R502" s="332"/>
      <c r="S502" s="945"/>
      <c r="T502" s="845">
        <f>'[1]1,DG-capmoi'!N494</f>
        <v>0</v>
      </c>
      <c r="U502" s="845" t="e">
        <f>T502-#REF!</f>
        <v>#REF!</v>
      </c>
    </row>
    <row r="503" spans="1:21" s="978" customFormat="1" ht="25.5" customHeight="1">
      <c r="A503" s="1115" t="s">
        <v>876</v>
      </c>
      <c r="B503" s="1115" t="s">
        <v>381</v>
      </c>
      <c r="C503" s="1111" t="s">
        <v>981</v>
      </c>
      <c r="D503" s="1111" t="s">
        <v>982</v>
      </c>
      <c r="E503" s="1111" t="s">
        <v>466</v>
      </c>
      <c r="F503" s="1111"/>
      <c r="G503" s="1111"/>
      <c r="H503" s="1111"/>
      <c r="I503" s="1111"/>
      <c r="J503" s="1111"/>
      <c r="K503" s="1111"/>
      <c r="L503" s="1111"/>
      <c r="M503" s="1111" t="s">
        <v>581</v>
      </c>
      <c r="N503" s="1111" t="s">
        <v>467</v>
      </c>
      <c r="O503" s="1111" t="s">
        <v>657</v>
      </c>
      <c r="P503" s="1111" t="s">
        <v>468</v>
      </c>
      <c r="Q503" s="976"/>
      <c r="R503" s="976"/>
      <c r="S503" s="977"/>
      <c r="T503" s="1030"/>
      <c r="U503" s="1030"/>
    </row>
    <row r="504" spans="1:21" s="978" customFormat="1" ht="38.25" customHeight="1">
      <c r="A504" s="1115"/>
      <c r="B504" s="1115"/>
      <c r="C504" s="1111"/>
      <c r="D504" s="1111"/>
      <c r="E504" s="825" t="s">
        <v>469</v>
      </c>
      <c r="F504" s="825" t="s">
        <v>470</v>
      </c>
      <c r="G504" s="852" t="s">
        <v>1003</v>
      </c>
      <c r="H504" s="825" t="s">
        <v>59</v>
      </c>
      <c r="I504" s="825" t="s">
        <v>471</v>
      </c>
      <c r="J504" s="825" t="s">
        <v>280</v>
      </c>
      <c r="K504" s="825" t="s">
        <v>472</v>
      </c>
      <c r="L504" s="825" t="s">
        <v>473</v>
      </c>
      <c r="M504" s="1111"/>
      <c r="N504" s="1111"/>
      <c r="O504" s="1111"/>
      <c r="P504" s="1111"/>
      <c r="Q504" s="976"/>
      <c r="R504" s="976"/>
      <c r="S504" s="977"/>
      <c r="T504" s="1030"/>
      <c r="U504" s="1030"/>
    </row>
    <row r="505" spans="1:21" s="841" customFormat="1" ht="73.5" customHeight="1">
      <c r="A505" s="831"/>
      <c r="B505" s="838" t="s">
        <v>479</v>
      </c>
      <c r="C505" s="382"/>
      <c r="D505" s="382"/>
      <c r="E505" s="382"/>
      <c r="F505" s="382"/>
      <c r="G505" s="837"/>
      <c r="H505" s="382"/>
      <c r="I505" s="382"/>
      <c r="J505" s="382"/>
      <c r="K505" s="382"/>
      <c r="L505" s="382"/>
      <c r="M505" s="382"/>
      <c r="N505" s="382"/>
      <c r="O505" s="382"/>
      <c r="P505" s="382"/>
      <c r="Q505" s="839"/>
      <c r="R505" s="839"/>
      <c r="S505" s="840"/>
      <c r="T505" s="845">
        <f>'[1]1,DG-capmoi'!N497</f>
        <v>0</v>
      </c>
      <c r="U505" s="845">
        <f t="shared" si="81"/>
        <v>0</v>
      </c>
    </row>
    <row r="506" spans="1:21" s="841" customFormat="1" ht="19.5" customHeight="1">
      <c r="A506" s="831"/>
      <c r="B506" s="830" t="s">
        <v>451</v>
      </c>
      <c r="C506" s="382" t="s">
        <v>281</v>
      </c>
      <c r="D506" s="936" t="s">
        <v>881</v>
      </c>
      <c r="E506" s="383" t="e">
        <f>E510+E554</f>
        <v>#VALUE!</v>
      </c>
      <c r="F506" s="383">
        <f t="shared" ref="F506:P506" si="97">F510+F554</f>
        <v>0</v>
      </c>
      <c r="G506" s="383">
        <f t="shared" si="97"/>
        <v>0</v>
      </c>
      <c r="H506" s="383">
        <f t="shared" si="97"/>
        <v>10769.039283333334</v>
      </c>
      <c r="I506" s="383">
        <f t="shared" si="97"/>
        <v>32414.58</v>
      </c>
      <c r="J506" s="383">
        <f t="shared" si="97"/>
        <v>5937.3859999999995</v>
      </c>
      <c r="K506" s="383">
        <f t="shared" si="97"/>
        <v>11644.432800000002</v>
      </c>
      <c r="L506" s="383" t="e">
        <f t="shared" si="97"/>
        <v>#VALUE!</v>
      </c>
      <c r="M506" s="383" t="e">
        <f t="shared" si="97"/>
        <v>#VALUE!</v>
      </c>
      <c r="N506" s="383" t="e">
        <f t="shared" si="97"/>
        <v>#VALUE!</v>
      </c>
      <c r="O506" s="383">
        <f t="shared" si="97"/>
        <v>0</v>
      </c>
      <c r="P506" s="383">
        <f t="shared" si="97"/>
        <v>26455.174999999996</v>
      </c>
      <c r="Q506" s="839"/>
      <c r="R506" s="839"/>
      <c r="S506" s="946"/>
      <c r="T506" s="845">
        <f>'[1]1,DG-capmoi'!N498</f>
        <v>995680.14194583334</v>
      </c>
      <c r="U506" s="845" t="e">
        <f t="shared" si="81"/>
        <v>#VALUE!</v>
      </c>
    </row>
    <row r="507" spans="1:21" s="841" customFormat="1" ht="19.5" customHeight="1">
      <c r="A507" s="831"/>
      <c r="B507" s="830" t="s">
        <v>452</v>
      </c>
      <c r="C507" s="382" t="s">
        <v>281</v>
      </c>
      <c r="D507" s="936" t="s">
        <v>881</v>
      </c>
      <c r="E507" s="383" t="e">
        <f>E511+E554</f>
        <v>#VALUE!</v>
      </c>
      <c r="F507" s="383">
        <f t="shared" ref="F507:P507" si="98">F511+F554</f>
        <v>0</v>
      </c>
      <c r="G507" s="383">
        <f t="shared" si="98"/>
        <v>0</v>
      </c>
      <c r="H507" s="383">
        <f t="shared" si="98"/>
        <v>10769.039283333334</v>
      </c>
      <c r="I507" s="383">
        <f t="shared" si="98"/>
        <v>32414.58</v>
      </c>
      <c r="J507" s="383">
        <f t="shared" si="98"/>
        <v>5937.3859999999995</v>
      </c>
      <c r="K507" s="383">
        <f t="shared" si="98"/>
        <v>11644.432800000002</v>
      </c>
      <c r="L507" s="383" t="e">
        <f t="shared" si="98"/>
        <v>#VALUE!</v>
      </c>
      <c r="M507" s="383" t="e">
        <f t="shared" si="98"/>
        <v>#VALUE!</v>
      </c>
      <c r="N507" s="383" t="e">
        <f t="shared" si="98"/>
        <v>#VALUE!</v>
      </c>
      <c r="O507" s="383">
        <f t="shared" si="98"/>
        <v>0</v>
      </c>
      <c r="P507" s="383">
        <f t="shared" si="98"/>
        <v>22520.405769230765</v>
      </c>
      <c r="Q507" s="839"/>
      <c r="R507" s="839"/>
      <c r="S507" s="840"/>
      <c r="T507" s="845">
        <f>'[1]1,DG-capmoi'!N499</f>
        <v>861101.84287852573</v>
      </c>
      <c r="U507" s="845" t="e">
        <f t="shared" ref="U507:U571" si="99">T507-N507</f>
        <v>#VALUE!</v>
      </c>
    </row>
    <row r="508" spans="1:21" s="841" customFormat="1" ht="19.5" customHeight="1">
      <c r="A508" s="831"/>
      <c r="B508" s="888"/>
      <c r="C508" s="382"/>
      <c r="D508" s="382"/>
      <c r="E508" s="382"/>
      <c r="F508" s="382"/>
      <c r="G508" s="837"/>
      <c r="H508" s="382"/>
      <c r="I508" s="382"/>
      <c r="J508" s="382"/>
      <c r="K508" s="382"/>
      <c r="L508" s="382"/>
      <c r="M508" s="382"/>
      <c r="N508" s="382"/>
      <c r="O508" s="382"/>
      <c r="P508" s="382"/>
      <c r="Q508" s="847">
        <f>'He so chung'!D$22</f>
        <v>5346.1538461538457</v>
      </c>
      <c r="R508" s="847">
        <f>'He so chung'!D$23</f>
        <v>801.92307692307691</v>
      </c>
      <c r="S508" s="848"/>
      <c r="T508" s="845">
        <f>'[1]1,DG-capmoi'!N500</f>
        <v>0</v>
      </c>
      <c r="U508" s="845">
        <f t="shared" si="99"/>
        <v>0</v>
      </c>
    </row>
    <row r="509" spans="1:21" s="841" customFormat="1" ht="25.5" customHeight="1">
      <c r="A509" s="832" t="s">
        <v>184</v>
      </c>
      <c r="B509" s="868" t="s">
        <v>765</v>
      </c>
      <c r="C509" s="832"/>
      <c r="D509" s="926"/>
      <c r="E509" s="925"/>
      <c r="F509" s="925"/>
      <c r="G509" s="893"/>
      <c r="H509" s="893"/>
      <c r="I509" s="893"/>
      <c r="J509" s="893"/>
      <c r="K509" s="893"/>
      <c r="L509" s="871"/>
      <c r="M509" s="871"/>
      <c r="N509" s="871"/>
      <c r="O509" s="871"/>
      <c r="P509" s="893"/>
      <c r="Q509" s="856">
        <f t="shared" ref="Q509:Q553" si="100">S509*$Q$339</f>
        <v>0</v>
      </c>
      <c r="R509" s="856">
        <f t="shared" ref="R509:R553" si="101">S509*$R$339</f>
        <v>0</v>
      </c>
      <c r="S509" s="893">
        <f>NC_DKDD!G335</f>
        <v>0</v>
      </c>
      <c r="T509" s="845">
        <f>'[1]1,DG-capmoi'!N501</f>
        <v>0</v>
      </c>
      <c r="U509" s="845">
        <f t="shared" si="99"/>
        <v>0</v>
      </c>
    </row>
    <row r="510" spans="1:21" s="841" customFormat="1" ht="25.5" customHeight="1">
      <c r="A510" s="869" t="s">
        <v>484</v>
      </c>
      <c r="B510" s="868" t="s">
        <v>451</v>
      </c>
      <c r="C510" s="832"/>
      <c r="D510" s="897"/>
      <c r="E510" s="893" t="e">
        <f>E513+E515+E518+E520+E521+E522+E524+E528+E531+E534+E536+E539+E541+E542+E543+E546+E547+E548+E549+E550+E552+E553</f>
        <v>#VALUE!</v>
      </c>
      <c r="F510" s="893">
        <f>F513+F515+F518+F520+F521+F522+F524+F528+F531+F534+F536+F539+F541+F542+F543+F546+F547+F548+F549+F550+F552+F553</f>
        <v>0</v>
      </c>
      <c r="G510" s="893"/>
      <c r="H510" s="893">
        <f>'Dcu-DKDD'!$J$122*1.3</f>
        <v>10769.039283333334</v>
      </c>
      <c r="I510" s="893">
        <f>'VL-DKDD'!$H$125</f>
        <v>32414.58</v>
      </c>
      <c r="J510" s="893">
        <f>'TB-DKDD'!$K$67*1.3</f>
        <v>5937.3859999999995</v>
      </c>
      <c r="K510" s="893">
        <f>'NL-DKDD'!$H$47*1.3</f>
        <v>11644.432800000002</v>
      </c>
      <c r="L510" s="893" t="e">
        <f>SUM(E510:K510)</f>
        <v>#VALUE!</v>
      </c>
      <c r="M510" s="893" t="e">
        <f>L510*'He so chung'!$D$17/100</f>
        <v>#VALUE!</v>
      </c>
      <c r="N510" s="893" t="e">
        <f>L510+M510</f>
        <v>#VALUE!</v>
      </c>
      <c r="O510" s="871"/>
      <c r="P510" s="893">
        <f>P513+P515+P518+P520+P521+P522+P524+P528+P531+P534+P536+P539+P541+P542+P543+P546+P547+P548+P549+P550+P552+P553</f>
        <v>24856.674999999996</v>
      </c>
      <c r="Q510" s="856">
        <f t="shared" si="100"/>
        <v>21614.499999999993</v>
      </c>
      <c r="R510" s="856">
        <f t="shared" si="101"/>
        <v>3242.1749999999993</v>
      </c>
      <c r="S510" s="942">
        <f>S513+S515+S518+S520+S521+S522+S524+S528+S531+S534+S536+S539+S541+S542+S543+S546+S547+S548+S549+S550+S552+S553</f>
        <v>4.0429999999999993</v>
      </c>
      <c r="T510" s="845">
        <f>'[1]1,DG-capmoi'!N502</f>
        <v>935816.31694583339</v>
      </c>
      <c r="U510" s="845" t="e">
        <f t="shared" si="99"/>
        <v>#VALUE!</v>
      </c>
    </row>
    <row r="511" spans="1:21" s="841" customFormat="1" ht="25.5" customHeight="1">
      <c r="A511" s="869" t="s">
        <v>668</v>
      </c>
      <c r="B511" s="868" t="s">
        <v>452</v>
      </c>
      <c r="C511" s="832"/>
      <c r="D511" s="897"/>
      <c r="E511" s="893" t="e">
        <f>E513+E516+E519+E520+E521+E522+E524+E527+E532+E535+E536+E539+E541+E542+E543+E546+E547+E548+E549+E550+E552+E553</f>
        <v>#VALUE!</v>
      </c>
      <c r="F511" s="893">
        <f>F514+F516+F519+F521+F522+F523+F525+F529+F532+F535+F537+F540+F542+F543+F544+F547+F548+F549+F550+F551+F553+F554</f>
        <v>0</v>
      </c>
      <c r="G511" s="893"/>
      <c r="H511" s="893">
        <f>'Dcu-DKDD'!$J$122*1.3</f>
        <v>10769.039283333334</v>
      </c>
      <c r="I511" s="893">
        <f>'VL-DKDD'!$H$125</f>
        <v>32414.58</v>
      </c>
      <c r="J511" s="893">
        <f>'TB-DKDD'!$K$67*1.3</f>
        <v>5937.3859999999995</v>
      </c>
      <c r="K511" s="893">
        <f>'NL-DKDD'!$H$47*1.3</f>
        <v>11644.432800000002</v>
      </c>
      <c r="L511" s="893" t="e">
        <f>SUM(E511:K511)</f>
        <v>#VALUE!</v>
      </c>
      <c r="M511" s="893" t="e">
        <f>L511*'He so chung'!$D$17/100</f>
        <v>#VALUE!</v>
      </c>
      <c r="N511" s="893" t="e">
        <f>L511+M511</f>
        <v>#VALUE!</v>
      </c>
      <c r="O511" s="871"/>
      <c r="P511" s="893">
        <f>P513+P516+P519+P520+P521+P522+P524+P527+P532+P535+P536+P539+P541+P542+P543+P546+P547+P548+P549+P550+P552+P553</f>
        <v>20921.905769230765</v>
      </c>
      <c r="Q511" s="856">
        <f t="shared" si="100"/>
        <v>18192.961538461535</v>
      </c>
      <c r="R511" s="856">
        <f t="shared" si="101"/>
        <v>2728.9442307692302</v>
      </c>
      <c r="S511" s="942">
        <f>S513+S516+S519+S520+S521+S522+S524+S527+S532+S535+S536+S539+S541+S542+S543+S546+S547+S548+S549+S550+S552+S553</f>
        <v>3.4029999999999996</v>
      </c>
      <c r="T511" s="845">
        <f>'[1]1,DG-capmoi'!N503</f>
        <v>801238.01787852577</v>
      </c>
      <c r="U511" s="845" t="e">
        <f t="shared" si="99"/>
        <v>#VALUE!</v>
      </c>
    </row>
    <row r="512" spans="1:21" s="841" customFormat="1" ht="33" customHeight="1">
      <c r="A512" s="832">
        <v>1</v>
      </c>
      <c r="B512" s="827" t="s">
        <v>952</v>
      </c>
      <c r="C512" s="832"/>
      <c r="D512" s="897"/>
      <c r="E512" s="925"/>
      <c r="F512" s="925"/>
      <c r="G512" s="893"/>
      <c r="H512" s="893"/>
      <c r="I512" s="893"/>
      <c r="J512" s="893"/>
      <c r="K512" s="893"/>
      <c r="L512" s="871"/>
      <c r="M512" s="871"/>
      <c r="N512" s="871"/>
      <c r="O512" s="871"/>
      <c r="P512" s="925">
        <f t="shared" ref="P512:P553" si="102">Q512+R512</f>
        <v>0</v>
      </c>
      <c r="Q512" s="856">
        <f t="shared" si="100"/>
        <v>0</v>
      </c>
      <c r="R512" s="856">
        <f t="shared" si="101"/>
        <v>0</v>
      </c>
      <c r="S512" s="893"/>
      <c r="T512" s="845">
        <f>'[1]1,DG-capmoi'!N504</f>
        <v>0</v>
      </c>
      <c r="U512" s="845">
        <f t="shared" si="99"/>
        <v>0</v>
      </c>
    </row>
    <row r="513" spans="1:21" s="841" customFormat="1" ht="45" customHeight="1">
      <c r="A513" s="832" t="s">
        <v>891</v>
      </c>
      <c r="B513" s="827" t="s">
        <v>953</v>
      </c>
      <c r="C513" s="832" t="s">
        <v>281</v>
      </c>
      <c r="D513" s="926" t="s">
        <v>881</v>
      </c>
      <c r="E513" s="925" t="e">
        <f>NC_DKDD!H337</f>
        <v>#VALUE!</v>
      </c>
      <c r="F513" s="925"/>
      <c r="G513" s="893"/>
      <c r="H513" s="893"/>
      <c r="I513" s="893"/>
      <c r="J513" s="893"/>
      <c r="K513" s="893"/>
      <c r="L513" s="871"/>
      <c r="M513" s="871"/>
      <c r="N513" s="871"/>
      <c r="O513" s="871"/>
      <c r="P513" s="925">
        <f t="shared" si="102"/>
        <v>799.25</v>
      </c>
      <c r="Q513" s="856">
        <f t="shared" si="100"/>
        <v>695</v>
      </c>
      <c r="R513" s="856">
        <f t="shared" si="101"/>
        <v>104.25</v>
      </c>
      <c r="S513" s="893">
        <f>NC_DKDD!G337</f>
        <v>0.13</v>
      </c>
      <c r="T513" s="845">
        <f>'[1]1,DG-capmoi'!N505</f>
        <v>0</v>
      </c>
      <c r="U513" s="845">
        <f t="shared" si="99"/>
        <v>0</v>
      </c>
    </row>
    <row r="514" spans="1:21" s="841" customFormat="1" ht="33" customHeight="1">
      <c r="A514" s="832" t="s">
        <v>899</v>
      </c>
      <c r="B514" s="827" t="s">
        <v>954</v>
      </c>
      <c r="C514" s="832"/>
      <c r="D514" s="897"/>
      <c r="E514" s="925">
        <f>NC_DKDD!H338</f>
        <v>0</v>
      </c>
      <c r="F514" s="925"/>
      <c r="G514" s="893"/>
      <c r="H514" s="893"/>
      <c r="I514" s="893"/>
      <c r="J514" s="893"/>
      <c r="K514" s="893"/>
      <c r="L514" s="871"/>
      <c r="M514" s="871"/>
      <c r="N514" s="871"/>
      <c r="O514" s="871"/>
      <c r="P514" s="925">
        <f t="shared" si="102"/>
        <v>0</v>
      </c>
      <c r="Q514" s="856">
        <f t="shared" si="100"/>
        <v>0</v>
      </c>
      <c r="R514" s="856">
        <f t="shared" si="101"/>
        <v>0</v>
      </c>
      <c r="S514" s="893">
        <f>NC_DKDD!G338</f>
        <v>0</v>
      </c>
      <c r="T514" s="845">
        <f>'[1]1,DG-capmoi'!N506</f>
        <v>0</v>
      </c>
      <c r="U514" s="845">
        <f t="shared" si="99"/>
        <v>0</v>
      </c>
    </row>
    <row r="515" spans="1:21" s="841" customFormat="1" ht="27.75" customHeight="1">
      <c r="A515" s="832" t="s">
        <v>955</v>
      </c>
      <c r="B515" s="827" t="s">
        <v>33</v>
      </c>
      <c r="C515" s="832" t="s">
        <v>281</v>
      </c>
      <c r="D515" s="926" t="s">
        <v>881</v>
      </c>
      <c r="E515" s="925" t="e">
        <f>NC_DKDD!H339</f>
        <v>#VALUE!</v>
      </c>
      <c r="F515" s="925"/>
      <c r="G515" s="893"/>
      <c r="H515" s="893"/>
      <c r="I515" s="893"/>
      <c r="J515" s="893"/>
      <c r="K515" s="893"/>
      <c r="L515" s="871"/>
      <c r="M515" s="871"/>
      <c r="N515" s="871"/>
      <c r="O515" s="871"/>
      <c r="P515" s="925">
        <f t="shared" si="102"/>
        <v>3074.0384615384614</v>
      </c>
      <c r="Q515" s="856">
        <f t="shared" si="100"/>
        <v>2673.0769230769229</v>
      </c>
      <c r="R515" s="856">
        <f t="shared" si="101"/>
        <v>400.96153846153845</v>
      </c>
      <c r="S515" s="893">
        <f>NC_DKDD!G339</f>
        <v>0.5</v>
      </c>
      <c r="T515" s="845">
        <f>'[1]1,DG-capmoi'!N507</f>
        <v>0</v>
      </c>
      <c r="U515" s="845">
        <f t="shared" si="99"/>
        <v>0</v>
      </c>
    </row>
    <row r="516" spans="1:21" s="841" customFormat="1" ht="27.75" customHeight="1">
      <c r="A516" s="832" t="s">
        <v>956</v>
      </c>
      <c r="B516" s="827" t="s">
        <v>36</v>
      </c>
      <c r="C516" s="832" t="s">
        <v>281</v>
      </c>
      <c r="D516" s="926" t="s">
        <v>881</v>
      </c>
      <c r="E516" s="925" t="e">
        <f>NC_DKDD!H340</f>
        <v>#VALUE!</v>
      </c>
      <c r="F516" s="925"/>
      <c r="G516" s="893"/>
      <c r="H516" s="893"/>
      <c r="I516" s="893"/>
      <c r="J516" s="893"/>
      <c r="K516" s="893"/>
      <c r="L516" s="871"/>
      <c r="M516" s="871"/>
      <c r="N516" s="871"/>
      <c r="O516" s="871"/>
      <c r="P516" s="925">
        <f t="shared" si="102"/>
        <v>1537.0192307692307</v>
      </c>
      <c r="Q516" s="856">
        <f t="shared" si="100"/>
        <v>1336.5384615384614</v>
      </c>
      <c r="R516" s="856">
        <f t="shared" si="101"/>
        <v>200.48076923076923</v>
      </c>
      <c r="S516" s="893">
        <f>NC_DKDD!G340</f>
        <v>0.25</v>
      </c>
      <c r="T516" s="845">
        <f>'[1]1,DG-capmoi'!N508</f>
        <v>0</v>
      </c>
      <c r="U516" s="845">
        <f t="shared" si="99"/>
        <v>0</v>
      </c>
    </row>
    <row r="517" spans="1:21" s="841" customFormat="1" ht="34.5" customHeight="1">
      <c r="A517" s="832">
        <v>2</v>
      </c>
      <c r="B517" s="827" t="s">
        <v>957</v>
      </c>
      <c r="C517" s="832"/>
      <c r="D517" s="897"/>
      <c r="E517" s="925">
        <f>NC_DKDD!H341</f>
        <v>0</v>
      </c>
      <c r="F517" s="925"/>
      <c r="G517" s="893"/>
      <c r="H517" s="893"/>
      <c r="I517" s="893"/>
      <c r="J517" s="893"/>
      <c r="K517" s="893"/>
      <c r="L517" s="871"/>
      <c r="M517" s="871"/>
      <c r="N517" s="871"/>
      <c r="O517" s="871"/>
      <c r="P517" s="925">
        <f t="shared" si="102"/>
        <v>0</v>
      </c>
      <c r="Q517" s="856">
        <f t="shared" si="100"/>
        <v>0</v>
      </c>
      <c r="R517" s="856">
        <f t="shared" si="101"/>
        <v>0</v>
      </c>
      <c r="S517" s="893">
        <f>NC_DKDD!G341</f>
        <v>0</v>
      </c>
      <c r="T517" s="845">
        <f>'[1]1,DG-capmoi'!N509</f>
        <v>0</v>
      </c>
      <c r="U517" s="845">
        <f t="shared" si="99"/>
        <v>0</v>
      </c>
    </row>
    <row r="518" spans="1:21" s="841" customFormat="1" ht="27.75" customHeight="1">
      <c r="A518" s="832" t="s">
        <v>900</v>
      </c>
      <c r="B518" s="827" t="s">
        <v>33</v>
      </c>
      <c r="C518" s="832" t="s">
        <v>281</v>
      </c>
      <c r="D518" s="926" t="s">
        <v>881</v>
      </c>
      <c r="E518" s="925" t="e">
        <f>NC_DKDD!H342</f>
        <v>#VALUE!</v>
      </c>
      <c r="F518" s="925"/>
      <c r="G518" s="893"/>
      <c r="H518" s="893"/>
      <c r="I518" s="893"/>
      <c r="J518" s="893"/>
      <c r="K518" s="893"/>
      <c r="L518" s="871"/>
      <c r="M518" s="871"/>
      <c r="N518" s="871"/>
      <c r="O518" s="871"/>
      <c r="P518" s="925">
        <f t="shared" si="102"/>
        <v>399.625</v>
      </c>
      <c r="Q518" s="856">
        <f t="shared" si="100"/>
        <v>347.5</v>
      </c>
      <c r="R518" s="856">
        <f t="shared" si="101"/>
        <v>52.125</v>
      </c>
      <c r="S518" s="893">
        <f>NC_DKDD!G342</f>
        <v>6.5000000000000002E-2</v>
      </c>
      <c r="T518" s="845">
        <f>'[1]1,DG-capmoi'!N510</f>
        <v>0</v>
      </c>
      <c r="U518" s="845">
        <f t="shared" si="99"/>
        <v>0</v>
      </c>
    </row>
    <row r="519" spans="1:21" s="841" customFormat="1" ht="27.75" customHeight="1">
      <c r="A519" s="832" t="s">
        <v>901</v>
      </c>
      <c r="B519" s="827" t="s">
        <v>36</v>
      </c>
      <c r="C519" s="832" t="s">
        <v>281</v>
      </c>
      <c r="D519" s="926" t="s">
        <v>881</v>
      </c>
      <c r="E519" s="925" t="e">
        <f>NC_DKDD!H343</f>
        <v>#VALUE!</v>
      </c>
      <c r="F519" s="925"/>
      <c r="G519" s="893"/>
      <c r="H519" s="893"/>
      <c r="I519" s="893"/>
      <c r="J519" s="893"/>
      <c r="K519" s="893"/>
      <c r="L519" s="871"/>
      <c r="M519" s="871"/>
      <c r="N519" s="871"/>
      <c r="O519" s="871"/>
      <c r="P519" s="925">
        <f t="shared" si="102"/>
        <v>399.625</v>
      </c>
      <c r="Q519" s="856">
        <f t="shared" si="100"/>
        <v>347.5</v>
      </c>
      <c r="R519" s="856">
        <f t="shared" si="101"/>
        <v>52.125</v>
      </c>
      <c r="S519" s="893">
        <f>NC_DKDD!G343</f>
        <v>6.5000000000000002E-2</v>
      </c>
      <c r="T519" s="845">
        <f>'[1]1,DG-capmoi'!N511</f>
        <v>0</v>
      </c>
      <c r="U519" s="845">
        <f t="shared" si="99"/>
        <v>0</v>
      </c>
    </row>
    <row r="520" spans="1:21" s="841" customFormat="1" ht="36" customHeight="1">
      <c r="A520" s="832">
        <v>3</v>
      </c>
      <c r="B520" s="827" t="s">
        <v>767</v>
      </c>
      <c r="C520" s="832" t="s">
        <v>281</v>
      </c>
      <c r="D520" s="926" t="s">
        <v>881</v>
      </c>
      <c r="E520" s="925" t="e">
        <f>NC_DKDD!H344</f>
        <v>#VALUE!</v>
      </c>
      <c r="F520" s="925"/>
      <c r="G520" s="893"/>
      <c r="H520" s="893"/>
      <c r="I520" s="893"/>
      <c r="J520" s="893"/>
      <c r="K520" s="893"/>
      <c r="L520" s="871"/>
      <c r="M520" s="871"/>
      <c r="N520" s="871"/>
      <c r="O520" s="871"/>
      <c r="P520" s="925">
        <f t="shared" si="102"/>
        <v>3197</v>
      </c>
      <c r="Q520" s="856">
        <f t="shared" si="100"/>
        <v>2780</v>
      </c>
      <c r="R520" s="856">
        <f t="shared" si="101"/>
        <v>417</v>
      </c>
      <c r="S520" s="893">
        <f>NC_DKDD!G344</f>
        <v>0.52</v>
      </c>
      <c r="T520" s="845">
        <f>'[1]1,DG-capmoi'!N512</f>
        <v>0</v>
      </c>
      <c r="U520" s="845">
        <f t="shared" si="99"/>
        <v>0</v>
      </c>
    </row>
    <row r="521" spans="1:21" s="841" customFormat="1" ht="33.75" customHeight="1">
      <c r="A521" s="832">
        <v>4</v>
      </c>
      <c r="B521" s="827" t="s">
        <v>768</v>
      </c>
      <c r="C521" s="832" t="s">
        <v>281</v>
      </c>
      <c r="D521" s="926" t="s">
        <v>881</v>
      </c>
      <c r="E521" s="925" t="e">
        <f>NC_DKDD!H345</f>
        <v>#VALUE!</v>
      </c>
      <c r="F521" s="925"/>
      <c r="G521" s="893"/>
      <c r="H521" s="893"/>
      <c r="I521" s="893"/>
      <c r="J521" s="893"/>
      <c r="K521" s="893"/>
      <c r="L521" s="871"/>
      <c r="M521" s="871"/>
      <c r="N521" s="871"/>
      <c r="O521" s="871"/>
      <c r="P521" s="925">
        <f t="shared" si="102"/>
        <v>3996.25</v>
      </c>
      <c r="Q521" s="856">
        <f t="shared" si="100"/>
        <v>3475</v>
      </c>
      <c r="R521" s="856">
        <f t="shared" si="101"/>
        <v>521.25</v>
      </c>
      <c r="S521" s="893">
        <f>NC_DKDD!G345</f>
        <v>0.65</v>
      </c>
      <c r="T521" s="845">
        <f>'[1]1,DG-capmoi'!N513</f>
        <v>0</v>
      </c>
      <c r="U521" s="845">
        <f t="shared" si="99"/>
        <v>0</v>
      </c>
    </row>
    <row r="522" spans="1:21" s="841" customFormat="1" ht="33.75" customHeight="1">
      <c r="A522" s="832">
        <v>5</v>
      </c>
      <c r="B522" s="827" t="s">
        <v>69</v>
      </c>
      <c r="C522" s="832" t="s">
        <v>523</v>
      </c>
      <c r="D522" s="926" t="s">
        <v>881</v>
      </c>
      <c r="E522" s="925" t="e">
        <f>NC_DKDD!H346</f>
        <v>#VALUE!</v>
      </c>
      <c r="F522" s="925"/>
      <c r="G522" s="893"/>
      <c r="H522" s="893"/>
      <c r="I522" s="893"/>
      <c r="J522" s="893"/>
      <c r="K522" s="893"/>
      <c r="L522" s="871"/>
      <c r="M522" s="871"/>
      <c r="N522" s="871"/>
      <c r="O522" s="871"/>
      <c r="P522" s="925">
        <f t="shared" si="102"/>
        <v>36.888461538461534</v>
      </c>
      <c r="Q522" s="856">
        <f t="shared" si="100"/>
        <v>32.076923076923073</v>
      </c>
      <c r="R522" s="856">
        <f t="shared" si="101"/>
        <v>4.8115384615384613</v>
      </c>
      <c r="S522" s="893">
        <f>NC_DKDD!G346</f>
        <v>6.0000000000000001E-3</v>
      </c>
      <c r="T522" s="845">
        <f>'[1]1,DG-capmoi'!N514</f>
        <v>0</v>
      </c>
      <c r="U522" s="845">
        <f t="shared" si="99"/>
        <v>0</v>
      </c>
    </row>
    <row r="523" spans="1:21" s="841" customFormat="1" ht="57">
      <c r="A523" s="832">
        <v>6</v>
      </c>
      <c r="B523" s="827" t="s">
        <v>958</v>
      </c>
      <c r="C523" s="832"/>
      <c r="D523" s="897"/>
      <c r="E523" s="925">
        <f>NC_DKDD!H347</f>
        <v>0</v>
      </c>
      <c r="F523" s="925"/>
      <c r="G523" s="893"/>
      <c r="H523" s="893"/>
      <c r="I523" s="893"/>
      <c r="J523" s="893"/>
      <c r="K523" s="893"/>
      <c r="L523" s="871"/>
      <c r="M523" s="871"/>
      <c r="N523" s="871"/>
      <c r="O523" s="871"/>
      <c r="P523" s="925">
        <f t="shared" si="102"/>
        <v>0</v>
      </c>
      <c r="Q523" s="856">
        <f t="shared" si="100"/>
        <v>0</v>
      </c>
      <c r="R523" s="856">
        <f t="shared" si="101"/>
        <v>0</v>
      </c>
      <c r="S523" s="893">
        <f>NC_DKDD!G347</f>
        <v>0</v>
      </c>
      <c r="T523" s="845">
        <f>'[1]1,DG-capmoi'!N515</f>
        <v>0</v>
      </c>
      <c r="U523" s="845">
        <f t="shared" si="99"/>
        <v>0</v>
      </c>
    </row>
    <row r="524" spans="1:21" s="841" customFormat="1" ht="27.75" customHeight="1">
      <c r="A524" s="832" t="s">
        <v>444</v>
      </c>
      <c r="B524" s="827" t="s">
        <v>770</v>
      </c>
      <c r="C524" s="832" t="s">
        <v>523</v>
      </c>
      <c r="D524" s="926" t="s">
        <v>881</v>
      </c>
      <c r="E524" s="925" t="e">
        <f>NC_DKDD!H348</f>
        <v>#VALUE!</v>
      </c>
      <c r="F524" s="925"/>
      <c r="G524" s="893"/>
      <c r="H524" s="893"/>
      <c r="I524" s="893"/>
      <c r="J524" s="893"/>
      <c r="K524" s="893"/>
      <c r="L524" s="871"/>
      <c r="M524" s="871"/>
      <c r="N524" s="871"/>
      <c r="O524" s="871"/>
      <c r="P524" s="925">
        <f t="shared" si="102"/>
        <v>307.40384615384619</v>
      </c>
      <c r="Q524" s="856">
        <f t="shared" si="100"/>
        <v>267.30769230769232</v>
      </c>
      <c r="R524" s="856">
        <f t="shared" si="101"/>
        <v>40.096153846153847</v>
      </c>
      <c r="S524" s="893">
        <f>NC_DKDD!G348</f>
        <v>0.05</v>
      </c>
      <c r="T524" s="845">
        <f>'[1]1,DG-capmoi'!N516</f>
        <v>0</v>
      </c>
      <c r="U524" s="845">
        <f t="shared" si="99"/>
        <v>0</v>
      </c>
    </row>
    <row r="525" spans="1:21" s="841" customFormat="1" ht="27.75" customHeight="1">
      <c r="A525" s="832" t="s">
        <v>445</v>
      </c>
      <c r="B525" s="827" t="s">
        <v>771</v>
      </c>
      <c r="C525" s="832" t="s">
        <v>523</v>
      </c>
      <c r="D525" s="926" t="s">
        <v>881</v>
      </c>
      <c r="E525" s="925" t="e">
        <f>NC_DKDD!H349</f>
        <v>#VALUE!</v>
      </c>
      <c r="F525" s="925"/>
      <c r="G525" s="893"/>
      <c r="H525" s="893"/>
      <c r="I525" s="893"/>
      <c r="J525" s="893"/>
      <c r="K525" s="893"/>
      <c r="L525" s="871"/>
      <c r="M525" s="871"/>
      <c r="N525" s="871"/>
      <c r="O525" s="871"/>
      <c r="P525" s="925">
        <f t="shared" si="102"/>
        <v>614.80769230769238</v>
      </c>
      <c r="Q525" s="856">
        <f t="shared" si="100"/>
        <v>534.61538461538464</v>
      </c>
      <c r="R525" s="856">
        <f t="shared" si="101"/>
        <v>80.192307692307693</v>
      </c>
      <c r="S525" s="893">
        <f>NC_DKDD!G349</f>
        <v>0.1</v>
      </c>
      <c r="T525" s="845">
        <f>'[1]1,DG-capmoi'!N517</f>
        <v>0</v>
      </c>
      <c r="U525" s="845">
        <f t="shared" si="99"/>
        <v>0</v>
      </c>
    </row>
    <row r="526" spans="1:21" s="841" customFormat="1" ht="48.75" customHeight="1">
      <c r="A526" s="832">
        <v>7</v>
      </c>
      <c r="B526" s="827" t="s">
        <v>772</v>
      </c>
      <c r="C526" s="832"/>
      <c r="D526" s="897"/>
      <c r="E526" s="925">
        <f>NC_DKDD!H350</f>
        <v>0</v>
      </c>
      <c r="F526" s="925"/>
      <c r="G526" s="893"/>
      <c r="H526" s="893"/>
      <c r="I526" s="893"/>
      <c r="J526" s="893"/>
      <c r="K526" s="893"/>
      <c r="L526" s="871"/>
      <c r="M526" s="871"/>
      <c r="N526" s="871"/>
      <c r="O526" s="871"/>
      <c r="P526" s="925">
        <f t="shared" si="102"/>
        <v>0</v>
      </c>
      <c r="Q526" s="856">
        <f t="shared" si="100"/>
        <v>0</v>
      </c>
      <c r="R526" s="856">
        <f t="shared" si="101"/>
        <v>0</v>
      </c>
      <c r="S526" s="893">
        <f>NC_DKDD!G350</f>
        <v>0</v>
      </c>
      <c r="T526" s="845">
        <f>'[1]1,DG-capmoi'!N518</f>
        <v>0</v>
      </c>
      <c r="U526" s="845">
        <f t="shared" si="99"/>
        <v>0</v>
      </c>
    </row>
    <row r="527" spans="1:21" s="841" customFormat="1" ht="27.75" customHeight="1">
      <c r="A527" s="832" t="s">
        <v>872</v>
      </c>
      <c r="B527" s="827" t="s">
        <v>773</v>
      </c>
      <c r="C527" s="832" t="s">
        <v>281</v>
      </c>
      <c r="D527" s="926" t="s">
        <v>881</v>
      </c>
      <c r="E527" s="925" t="e">
        <f>NC_DKDD!H351</f>
        <v>#VALUE!</v>
      </c>
      <c r="F527" s="925"/>
      <c r="G527" s="893"/>
      <c r="H527" s="893"/>
      <c r="I527" s="893"/>
      <c r="J527" s="893"/>
      <c r="K527" s="893"/>
      <c r="L527" s="871"/>
      <c r="M527" s="871"/>
      <c r="N527" s="871"/>
      <c r="O527" s="871"/>
      <c r="P527" s="925">
        <f t="shared" si="102"/>
        <v>799.25</v>
      </c>
      <c r="Q527" s="856">
        <f t="shared" si="100"/>
        <v>695</v>
      </c>
      <c r="R527" s="856">
        <f t="shared" si="101"/>
        <v>104.25</v>
      </c>
      <c r="S527" s="893">
        <f>NC_DKDD!G351</f>
        <v>0.13</v>
      </c>
      <c r="T527" s="845">
        <f>'[1]1,DG-capmoi'!N519</f>
        <v>0</v>
      </c>
      <c r="U527" s="845">
        <f t="shared" si="99"/>
        <v>0</v>
      </c>
    </row>
    <row r="528" spans="1:21" s="841" customFormat="1" ht="27.75" customHeight="1">
      <c r="A528" s="832" t="s">
        <v>873</v>
      </c>
      <c r="B528" s="827" t="s">
        <v>774</v>
      </c>
      <c r="C528" s="832" t="s">
        <v>281</v>
      </c>
      <c r="D528" s="926" t="s">
        <v>881</v>
      </c>
      <c r="E528" s="925" t="e">
        <f>NC_DKDD!H352</f>
        <v>#VALUE!</v>
      </c>
      <c r="F528" s="925"/>
      <c r="G528" s="893"/>
      <c r="H528" s="893"/>
      <c r="I528" s="893"/>
      <c r="J528" s="893"/>
      <c r="K528" s="893"/>
      <c r="L528" s="871"/>
      <c r="M528" s="871"/>
      <c r="N528" s="871"/>
      <c r="O528" s="871"/>
      <c r="P528" s="925">
        <f t="shared" si="102"/>
        <v>1598.5</v>
      </c>
      <c r="Q528" s="856">
        <f t="shared" si="100"/>
        <v>1390</v>
      </c>
      <c r="R528" s="856">
        <f t="shared" si="101"/>
        <v>208.5</v>
      </c>
      <c r="S528" s="893">
        <f>NC_DKDD!G352</f>
        <v>0.26</v>
      </c>
      <c r="T528" s="845">
        <f>'[1]1,DG-capmoi'!N520</f>
        <v>0</v>
      </c>
      <c r="U528" s="845">
        <f t="shared" si="99"/>
        <v>0</v>
      </c>
    </row>
    <row r="529" spans="1:21" s="841" customFormat="1" ht="27.75" customHeight="1">
      <c r="A529" s="832">
        <v>8</v>
      </c>
      <c r="B529" s="827" t="s">
        <v>959</v>
      </c>
      <c r="C529" s="832"/>
      <c r="D529" s="938"/>
      <c r="E529" s="925">
        <f>NC_DKDD!H353</f>
        <v>0</v>
      </c>
      <c r="F529" s="925"/>
      <c r="G529" s="893"/>
      <c r="H529" s="893"/>
      <c r="I529" s="893"/>
      <c r="J529" s="893"/>
      <c r="K529" s="893"/>
      <c r="L529" s="871"/>
      <c r="M529" s="871"/>
      <c r="N529" s="871"/>
      <c r="O529" s="871"/>
      <c r="P529" s="925">
        <f t="shared" si="102"/>
        <v>0</v>
      </c>
      <c r="Q529" s="856">
        <f t="shared" si="100"/>
        <v>0</v>
      </c>
      <c r="R529" s="856">
        <f t="shared" si="101"/>
        <v>0</v>
      </c>
      <c r="S529" s="893">
        <f>NC_DKDD!G353</f>
        <v>0</v>
      </c>
      <c r="T529" s="845">
        <f>'[1]1,DG-capmoi'!N521</f>
        <v>0</v>
      </c>
      <c r="U529" s="845">
        <f t="shared" si="99"/>
        <v>0</v>
      </c>
    </row>
    <row r="530" spans="1:21" s="841" customFormat="1" ht="62.25" customHeight="1">
      <c r="A530" s="832" t="s">
        <v>374</v>
      </c>
      <c r="B530" s="827" t="s">
        <v>543</v>
      </c>
      <c r="C530" s="832"/>
      <c r="D530" s="938"/>
      <c r="E530" s="925">
        <f>NC_DKDD!H354</f>
        <v>0</v>
      </c>
      <c r="F530" s="925"/>
      <c r="G530" s="893"/>
      <c r="H530" s="893"/>
      <c r="I530" s="893"/>
      <c r="J530" s="893"/>
      <c r="K530" s="893"/>
      <c r="L530" s="871"/>
      <c r="M530" s="871"/>
      <c r="N530" s="871"/>
      <c r="O530" s="871"/>
      <c r="P530" s="925">
        <f t="shared" si="102"/>
        <v>0</v>
      </c>
      <c r="Q530" s="856">
        <f t="shared" si="100"/>
        <v>0</v>
      </c>
      <c r="R530" s="856">
        <f t="shared" si="101"/>
        <v>0</v>
      </c>
      <c r="S530" s="893">
        <f>NC_DKDD!G354</f>
        <v>0</v>
      </c>
      <c r="T530" s="845">
        <f>'[1]1,DG-capmoi'!N522</f>
        <v>0</v>
      </c>
      <c r="U530" s="845">
        <f t="shared" si="99"/>
        <v>0</v>
      </c>
    </row>
    <row r="531" spans="1:21" s="841" customFormat="1" ht="27.75" customHeight="1">
      <c r="A531" s="832" t="s">
        <v>544</v>
      </c>
      <c r="B531" s="827" t="s">
        <v>33</v>
      </c>
      <c r="C531" s="832" t="s">
        <v>281</v>
      </c>
      <c r="D531" s="933" t="s">
        <v>881</v>
      </c>
      <c r="E531" s="925" t="e">
        <f>NC_DKDD!H355</f>
        <v>#VALUE!</v>
      </c>
      <c r="F531" s="925"/>
      <c r="G531" s="893"/>
      <c r="H531" s="893"/>
      <c r="I531" s="893"/>
      <c r="J531" s="893"/>
      <c r="K531" s="893"/>
      <c r="L531" s="871"/>
      <c r="M531" s="871"/>
      <c r="N531" s="871"/>
      <c r="O531" s="871"/>
      <c r="P531" s="925">
        <f t="shared" si="102"/>
        <v>1598.5</v>
      </c>
      <c r="Q531" s="856">
        <f t="shared" si="100"/>
        <v>1390</v>
      </c>
      <c r="R531" s="856">
        <f t="shared" si="101"/>
        <v>208.5</v>
      </c>
      <c r="S531" s="893">
        <f>NC_DKDD!G355</f>
        <v>0.26</v>
      </c>
      <c r="T531" s="845">
        <f>'[1]1,DG-capmoi'!N523</f>
        <v>0</v>
      </c>
      <c r="U531" s="845">
        <f t="shared" si="99"/>
        <v>0</v>
      </c>
    </row>
    <row r="532" spans="1:21" s="841" customFormat="1" ht="27.75" customHeight="1">
      <c r="A532" s="832" t="s">
        <v>545</v>
      </c>
      <c r="B532" s="827" t="s">
        <v>36</v>
      </c>
      <c r="C532" s="832" t="s">
        <v>281</v>
      </c>
      <c r="D532" s="933" t="s">
        <v>881</v>
      </c>
      <c r="E532" s="925" t="e">
        <f>NC_DKDD!H356</f>
        <v>#VALUE!</v>
      </c>
      <c r="F532" s="925"/>
      <c r="G532" s="893"/>
      <c r="H532" s="893"/>
      <c r="I532" s="893"/>
      <c r="J532" s="893"/>
      <c r="K532" s="893"/>
      <c r="L532" s="871"/>
      <c r="M532" s="871"/>
      <c r="N532" s="871"/>
      <c r="O532" s="871"/>
      <c r="P532" s="925">
        <f t="shared" si="102"/>
        <v>799.25</v>
      </c>
      <c r="Q532" s="856">
        <f t="shared" si="100"/>
        <v>695</v>
      </c>
      <c r="R532" s="856">
        <f t="shared" si="101"/>
        <v>104.25</v>
      </c>
      <c r="S532" s="893">
        <f>NC_DKDD!G356</f>
        <v>0.13</v>
      </c>
      <c r="T532" s="845">
        <f>'[1]1,DG-capmoi'!N524</f>
        <v>0</v>
      </c>
      <c r="U532" s="845">
        <f t="shared" si="99"/>
        <v>0</v>
      </c>
    </row>
    <row r="533" spans="1:21" s="841" customFormat="1" ht="60.75" customHeight="1">
      <c r="A533" s="832" t="s">
        <v>375</v>
      </c>
      <c r="B533" s="827" t="s">
        <v>1064</v>
      </c>
      <c r="C533" s="832"/>
      <c r="D533" s="832"/>
      <c r="E533" s="925">
        <f>NC_DKDD!H357</f>
        <v>0</v>
      </c>
      <c r="F533" s="925"/>
      <c r="G533" s="893"/>
      <c r="H533" s="893"/>
      <c r="I533" s="893"/>
      <c r="J533" s="893"/>
      <c r="K533" s="893"/>
      <c r="L533" s="871"/>
      <c r="M533" s="871"/>
      <c r="N533" s="871"/>
      <c r="O533" s="871"/>
      <c r="P533" s="925">
        <f t="shared" si="102"/>
        <v>0</v>
      </c>
      <c r="Q533" s="856">
        <f t="shared" si="100"/>
        <v>0</v>
      </c>
      <c r="R533" s="856">
        <f t="shared" si="101"/>
        <v>0</v>
      </c>
      <c r="S533" s="893">
        <f>NC_DKDD!G357</f>
        <v>0</v>
      </c>
      <c r="T533" s="845">
        <f>'[1]1,DG-capmoi'!N525</f>
        <v>0</v>
      </c>
      <c r="U533" s="845">
        <f t="shared" si="99"/>
        <v>0</v>
      </c>
    </row>
    <row r="534" spans="1:21" s="841" customFormat="1" ht="27.75" customHeight="1">
      <c r="A534" s="832" t="s">
        <v>442</v>
      </c>
      <c r="B534" s="827" t="s">
        <v>33</v>
      </c>
      <c r="C534" s="832" t="s">
        <v>281</v>
      </c>
      <c r="D534" s="933" t="s">
        <v>881</v>
      </c>
      <c r="E534" s="925" t="e">
        <f>NC_DKDD!H358</f>
        <v>#VALUE!</v>
      </c>
      <c r="F534" s="925"/>
      <c r="G534" s="893"/>
      <c r="H534" s="893"/>
      <c r="I534" s="893"/>
      <c r="J534" s="893"/>
      <c r="K534" s="893"/>
      <c r="L534" s="871"/>
      <c r="M534" s="871"/>
      <c r="N534" s="871"/>
      <c r="O534" s="871"/>
      <c r="P534" s="925">
        <f t="shared" si="102"/>
        <v>1598.5</v>
      </c>
      <c r="Q534" s="856">
        <f t="shared" si="100"/>
        <v>1390</v>
      </c>
      <c r="R534" s="856">
        <f t="shared" si="101"/>
        <v>208.5</v>
      </c>
      <c r="S534" s="893">
        <f>NC_DKDD!G358</f>
        <v>0.26</v>
      </c>
      <c r="T534" s="845">
        <f>'[1]1,DG-capmoi'!N526</f>
        <v>0</v>
      </c>
      <c r="U534" s="845">
        <f t="shared" si="99"/>
        <v>0</v>
      </c>
    </row>
    <row r="535" spans="1:21" s="841" customFormat="1" ht="27.75" customHeight="1">
      <c r="A535" s="832" t="s">
        <v>443</v>
      </c>
      <c r="B535" s="827" t="s">
        <v>36</v>
      </c>
      <c r="C535" s="832" t="s">
        <v>281</v>
      </c>
      <c r="D535" s="933" t="s">
        <v>881</v>
      </c>
      <c r="E535" s="925" t="e">
        <f>NC_DKDD!H359</f>
        <v>#VALUE!</v>
      </c>
      <c r="F535" s="925"/>
      <c r="G535" s="893"/>
      <c r="H535" s="893"/>
      <c r="I535" s="893"/>
      <c r="J535" s="893"/>
      <c r="K535" s="893"/>
      <c r="L535" s="871"/>
      <c r="M535" s="871"/>
      <c r="N535" s="871"/>
      <c r="O535" s="871"/>
      <c r="P535" s="925">
        <f t="shared" si="102"/>
        <v>799.25</v>
      </c>
      <c r="Q535" s="856">
        <f t="shared" si="100"/>
        <v>695</v>
      </c>
      <c r="R535" s="856">
        <f t="shared" si="101"/>
        <v>104.25</v>
      </c>
      <c r="S535" s="893">
        <f>NC_DKDD!G359</f>
        <v>0.13</v>
      </c>
      <c r="T535" s="845">
        <f>'[1]1,DG-capmoi'!N527</f>
        <v>0</v>
      </c>
      <c r="U535" s="845">
        <f t="shared" si="99"/>
        <v>0</v>
      </c>
    </row>
    <row r="536" spans="1:21" s="841" customFormat="1" ht="36" customHeight="1">
      <c r="A536" s="832">
        <v>9</v>
      </c>
      <c r="B536" s="827" t="s">
        <v>211</v>
      </c>
      <c r="C536" s="832" t="s">
        <v>523</v>
      </c>
      <c r="D536" s="933" t="s">
        <v>881</v>
      </c>
      <c r="E536" s="925" t="e">
        <f>NC_DKDD!H360</f>
        <v>#VALUE!</v>
      </c>
      <c r="F536" s="925"/>
      <c r="G536" s="893"/>
      <c r="H536" s="893"/>
      <c r="I536" s="893"/>
      <c r="J536" s="893"/>
      <c r="K536" s="893"/>
      <c r="L536" s="871"/>
      <c r="M536" s="871"/>
      <c r="N536" s="871"/>
      <c r="O536" s="871"/>
      <c r="P536" s="925">
        <f t="shared" si="102"/>
        <v>184.44230769230768</v>
      </c>
      <c r="Q536" s="856">
        <f t="shared" si="100"/>
        <v>160.38461538461536</v>
      </c>
      <c r="R536" s="856">
        <f t="shared" si="101"/>
        <v>24.057692307692307</v>
      </c>
      <c r="S536" s="893">
        <f>NC_DKDD!G360</f>
        <v>0.03</v>
      </c>
      <c r="T536" s="845">
        <f>'[1]1,DG-capmoi'!N528</f>
        <v>0</v>
      </c>
      <c r="U536" s="845">
        <f t="shared" si="99"/>
        <v>0</v>
      </c>
    </row>
    <row r="537" spans="1:21" s="841" customFormat="1" ht="33" customHeight="1">
      <c r="A537" s="832">
        <v>10</v>
      </c>
      <c r="B537" s="827" t="s">
        <v>978</v>
      </c>
      <c r="C537" s="832" t="s">
        <v>524</v>
      </c>
      <c r="D537" s="933" t="s">
        <v>881</v>
      </c>
      <c r="E537" s="925" t="e">
        <f>NC_DKDD!H361</f>
        <v>#VALUE!</v>
      </c>
      <c r="F537" s="925"/>
      <c r="G537" s="893"/>
      <c r="H537" s="893"/>
      <c r="I537" s="893"/>
      <c r="J537" s="893"/>
      <c r="K537" s="893"/>
      <c r="L537" s="871"/>
      <c r="M537" s="871"/>
      <c r="N537" s="871"/>
      <c r="O537" s="871"/>
      <c r="P537" s="925">
        <f t="shared" si="102"/>
        <v>1229.6153846153848</v>
      </c>
      <c r="Q537" s="856">
        <f t="shared" si="100"/>
        <v>1069.2307692307693</v>
      </c>
      <c r="R537" s="856">
        <f t="shared" si="101"/>
        <v>160.38461538461539</v>
      </c>
      <c r="S537" s="893">
        <f>NC_DKDD!G361</f>
        <v>0.2</v>
      </c>
      <c r="T537" s="845">
        <f>'[1]1,DG-capmoi'!N529</f>
        <v>0</v>
      </c>
      <c r="U537" s="845">
        <f t="shared" si="99"/>
        <v>0</v>
      </c>
    </row>
    <row r="538" spans="1:21" s="841" customFormat="1" ht="27.75" customHeight="1">
      <c r="A538" s="832">
        <v>11</v>
      </c>
      <c r="B538" s="827" t="s">
        <v>213</v>
      </c>
      <c r="C538" s="832"/>
      <c r="D538" s="832"/>
      <c r="E538" s="925">
        <f>NC_DKDD!H362</f>
        <v>0</v>
      </c>
      <c r="F538" s="925"/>
      <c r="G538" s="893"/>
      <c r="H538" s="893"/>
      <c r="I538" s="893"/>
      <c r="J538" s="893"/>
      <c r="K538" s="893"/>
      <c r="L538" s="871"/>
      <c r="M538" s="871"/>
      <c r="N538" s="871"/>
      <c r="O538" s="871"/>
      <c r="P538" s="925">
        <f t="shared" si="102"/>
        <v>0</v>
      </c>
      <c r="Q538" s="856">
        <f t="shared" si="100"/>
        <v>0</v>
      </c>
      <c r="R538" s="856">
        <f t="shared" si="101"/>
        <v>0</v>
      </c>
      <c r="S538" s="893">
        <f>NC_DKDD!G362</f>
        <v>0</v>
      </c>
      <c r="T538" s="845">
        <f>'[1]1,DG-capmoi'!N530</f>
        <v>0</v>
      </c>
      <c r="U538" s="845">
        <f t="shared" si="99"/>
        <v>0</v>
      </c>
    </row>
    <row r="539" spans="1:21" s="841" customFormat="1" ht="27.75" customHeight="1">
      <c r="A539" s="832" t="s">
        <v>877</v>
      </c>
      <c r="B539" s="827" t="s">
        <v>215</v>
      </c>
      <c r="C539" s="832" t="s">
        <v>320</v>
      </c>
      <c r="D539" s="933" t="s">
        <v>881</v>
      </c>
      <c r="E539" s="925" t="e">
        <f>NC_DKDD!H363</f>
        <v>#VALUE!</v>
      </c>
      <c r="F539" s="925"/>
      <c r="G539" s="893"/>
      <c r="H539" s="893"/>
      <c r="I539" s="893"/>
      <c r="J539" s="893"/>
      <c r="K539" s="893"/>
      <c r="L539" s="871"/>
      <c r="M539" s="871"/>
      <c r="N539" s="871"/>
      <c r="O539" s="871"/>
      <c r="P539" s="925">
        <f t="shared" si="102"/>
        <v>614.80769230769238</v>
      </c>
      <c r="Q539" s="856">
        <f t="shared" si="100"/>
        <v>534.61538461538464</v>
      </c>
      <c r="R539" s="856">
        <f t="shared" si="101"/>
        <v>80.192307692307693</v>
      </c>
      <c r="S539" s="893">
        <f>NC_DKDD!G363</f>
        <v>0.1</v>
      </c>
      <c r="T539" s="845">
        <f>'[1]1,DG-capmoi'!N531</f>
        <v>0</v>
      </c>
      <c r="U539" s="845">
        <f t="shared" si="99"/>
        <v>0</v>
      </c>
    </row>
    <row r="540" spans="1:21" s="841" customFormat="1" ht="27.75" customHeight="1">
      <c r="A540" s="832" t="s">
        <v>878</v>
      </c>
      <c r="B540" s="827" t="s">
        <v>217</v>
      </c>
      <c r="C540" s="832" t="s">
        <v>320</v>
      </c>
      <c r="D540" s="933" t="s">
        <v>881</v>
      </c>
      <c r="E540" s="925" t="e">
        <f>NC_DKDD!H364</f>
        <v>#VALUE!</v>
      </c>
      <c r="F540" s="925"/>
      <c r="G540" s="893"/>
      <c r="H540" s="893"/>
      <c r="I540" s="893"/>
      <c r="J540" s="893"/>
      <c r="K540" s="893"/>
      <c r="L540" s="871"/>
      <c r="M540" s="871"/>
      <c r="N540" s="871"/>
      <c r="O540" s="871"/>
      <c r="P540" s="925">
        <f t="shared" si="102"/>
        <v>1229.6153846153848</v>
      </c>
      <c r="Q540" s="856">
        <f t="shared" si="100"/>
        <v>1069.2307692307693</v>
      </c>
      <c r="R540" s="856">
        <f t="shared" si="101"/>
        <v>160.38461538461539</v>
      </c>
      <c r="S540" s="893">
        <f>NC_DKDD!G364</f>
        <v>0.2</v>
      </c>
      <c r="T540" s="845">
        <f>'[1]1,DG-capmoi'!N532</f>
        <v>0</v>
      </c>
      <c r="U540" s="845">
        <f t="shared" si="99"/>
        <v>0</v>
      </c>
    </row>
    <row r="541" spans="1:21" s="841" customFormat="1" ht="36.75" customHeight="1">
      <c r="A541" s="832">
        <v>12</v>
      </c>
      <c r="B541" s="827" t="s">
        <v>218</v>
      </c>
      <c r="C541" s="832" t="s">
        <v>281</v>
      </c>
      <c r="D541" s="933" t="s">
        <v>881</v>
      </c>
      <c r="E541" s="925" t="e">
        <f>NC_DKDD!H365</f>
        <v>#VALUE!</v>
      </c>
      <c r="F541" s="925"/>
      <c r="G541" s="893"/>
      <c r="H541" s="893"/>
      <c r="I541" s="893"/>
      <c r="J541" s="893"/>
      <c r="K541" s="893"/>
      <c r="L541" s="871"/>
      <c r="M541" s="871"/>
      <c r="N541" s="871"/>
      <c r="O541" s="871"/>
      <c r="P541" s="925">
        <f t="shared" si="102"/>
        <v>2397.75</v>
      </c>
      <c r="Q541" s="856">
        <f t="shared" si="100"/>
        <v>2085</v>
      </c>
      <c r="R541" s="856">
        <f t="shared" si="101"/>
        <v>312.75</v>
      </c>
      <c r="S541" s="893">
        <f>NC_DKDD!G365</f>
        <v>0.39</v>
      </c>
      <c r="T541" s="845">
        <f>'[1]1,DG-capmoi'!N533</f>
        <v>0</v>
      </c>
      <c r="U541" s="845">
        <f t="shared" si="99"/>
        <v>0</v>
      </c>
    </row>
    <row r="542" spans="1:21" s="841" customFormat="1" ht="33.75" customHeight="1">
      <c r="A542" s="832">
        <v>13</v>
      </c>
      <c r="B542" s="827" t="s">
        <v>1065</v>
      </c>
      <c r="C542" s="832" t="s">
        <v>281</v>
      </c>
      <c r="D542" s="933" t="s">
        <v>881</v>
      </c>
      <c r="E542" s="925" t="e">
        <f>NC_DKDD!H366</f>
        <v>#VALUE!</v>
      </c>
      <c r="F542" s="925"/>
      <c r="G542" s="893"/>
      <c r="H542" s="893"/>
      <c r="I542" s="893"/>
      <c r="J542" s="893"/>
      <c r="K542" s="893"/>
      <c r="L542" s="871"/>
      <c r="M542" s="871"/>
      <c r="N542" s="871"/>
      <c r="O542" s="871"/>
      <c r="P542" s="925">
        <f t="shared" si="102"/>
        <v>1358.7249999999999</v>
      </c>
      <c r="Q542" s="856">
        <f t="shared" si="100"/>
        <v>1181.5</v>
      </c>
      <c r="R542" s="856">
        <f t="shared" si="101"/>
        <v>177.22499999999999</v>
      </c>
      <c r="S542" s="893">
        <f>NC_DKDD!G366</f>
        <v>0.221</v>
      </c>
      <c r="T542" s="845">
        <f>'[1]1,DG-capmoi'!N534</f>
        <v>0</v>
      </c>
      <c r="U542" s="845">
        <f t="shared" si="99"/>
        <v>0</v>
      </c>
    </row>
    <row r="543" spans="1:21" s="841" customFormat="1" ht="27.75" customHeight="1">
      <c r="A543" s="832">
        <v>14</v>
      </c>
      <c r="B543" s="827" t="s">
        <v>220</v>
      </c>
      <c r="C543" s="832" t="s">
        <v>523</v>
      </c>
      <c r="D543" s="933" t="s">
        <v>881</v>
      </c>
      <c r="E543" s="925" t="e">
        <f>NC_DKDD!H367</f>
        <v>#VALUE!</v>
      </c>
      <c r="F543" s="925"/>
      <c r="G543" s="893"/>
      <c r="H543" s="893"/>
      <c r="I543" s="893"/>
      <c r="J543" s="893"/>
      <c r="K543" s="893"/>
      <c r="L543" s="871"/>
      <c r="M543" s="871"/>
      <c r="N543" s="871"/>
      <c r="O543" s="871"/>
      <c r="P543" s="925">
        <f t="shared" si="102"/>
        <v>202.88653846153844</v>
      </c>
      <c r="Q543" s="856">
        <f t="shared" si="100"/>
        <v>176.42307692307691</v>
      </c>
      <c r="R543" s="856">
        <f t="shared" si="101"/>
        <v>26.463461538461541</v>
      </c>
      <c r="S543" s="893">
        <f>NC_DKDD!G367</f>
        <v>3.3000000000000002E-2</v>
      </c>
      <c r="T543" s="845">
        <f>'[1]1,DG-capmoi'!N535</f>
        <v>0</v>
      </c>
      <c r="U543" s="845">
        <f t="shared" si="99"/>
        <v>0</v>
      </c>
    </row>
    <row r="544" spans="1:21" s="841" customFormat="1" ht="27.75" customHeight="1">
      <c r="A544" s="832">
        <v>15</v>
      </c>
      <c r="B544" s="827" t="s">
        <v>221</v>
      </c>
      <c r="C544" s="832"/>
      <c r="D544" s="832"/>
      <c r="E544" s="925">
        <f>NC_DKDD!H368</f>
        <v>0</v>
      </c>
      <c r="F544" s="925"/>
      <c r="G544" s="893"/>
      <c r="H544" s="893"/>
      <c r="I544" s="893"/>
      <c r="J544" s="893"/>
      <c r="K544" s="893"/>
      <c r="L544" s="871"/>
      <c r="M544" s="871"/>
      <c r="N544" s="871"/>
      <c r="O544" s="871"/>
      <c r="P544" s="925">
        <f t="shared" si="102"/>
        <v>0</v>
      </c>
      <c r="Q544" s="856">
        <f t="shared" si="100"/>
        <v>0</v>
      </c>
      <c r="R544" s="856">
        <f t="shared" si="101"/>
        <v>0</v>
      </c>
      <c r="S544" s="893">
        <f>NC_DKDD!G368</f>
        <v>0</v>
      </c>
      <c r="T544" s="845">
        <f>'[1]1,DG-capmoi'!N536</f>
        <v>0</v>
      </c>
      <c r="U544" s="845">
        <f t="shared" si="99"/>
        <v>0</v>
      </c>
    </row>
    <row r="545" spans="1:21" s="841" customFormat="1" ht="35.25" customHeight="1">
      <c r="A545" s="832" t="s">
        <v>1066</v>
      </c>
      <c r="B545" s="827" t="s">
        <v>931</v>
      </c>
      <c r="C545" s="832"/>
      <c r="D545" s="832"/>
      <c r="E545" s="925">
        <f>NC_DKDD!H369</f>
        <v>0</v>
      </c>
      <c r="F545" s="925"/>
      <c r="G545" s="893"/>
      <c r="H545" s="893"/>
      <c r="I545" s="893"/>
      <c r="J545" s="893"/>
      <c r="K545" s="893"/>
      <c r="L545" s="871"/>
      <c r="M545" s="871"/>
      <c r="N545" s="871"/>
      <c r="O545" s="871"/>
      <c r="P545" s="925">
        <f t="shared" si="102"/>
        <v>0</v>
      </c>
      <c r="Q545" s="856">
        <f t="shared" si="100"/>
        <v>0</v>
      </c>
      <c r="R545" s="856">
        <f t="shared" si="101"/>
        <v>0</v>
      </c>
      <c r="S545" s="893">
        <f>NC_DKDD!G369</f>
        <v>0</v>
      </c>
      <c r="T545" s="845">
        <f>'[1]1,DG-capmoi'!N537</f>
        <v>0</v>
      </c>
      <c r="U545" s="845">
        <f t="shared" si="99"/>
        <v>0</v>
      </c>
    </row>
    <row r="546" spans="1:21" s="841" customFormat="1" ht="27.75" customHeight="1">
      <c r="A546" s="832" t="s">
        <v>1067</v>
      </c>
      <c r="B546" s="827" t="s">
        <v>933</v>
      </c>
      <c r="C546" s="832" t="s">
        <v>525</v>
      </c>
      <c r="D546" s="933" t="s">
        <v>881</v>
      </c>
      <c r="E546" s="925" t="e">
        <f>NC_DKDD!H370</f>
        <v>#VALUE!</v>
      </c>
      <c r="F546" s="925"/>
      <c r="G546" s="893"/>
      <c r="H546" s="893"/>
      <c r="I546" s="893"/>
      <c r="J546" s="893"/>
      <c r="K546" s="893"/>
      <c r="L546" s="871"/>
      <c r="M546" s="871"/>
      <c r="N546" s="871"/>
      <c r="O546" s="871"/>
      <c r="P546" s="925">
        <f t="shared" si="102"/>
        <v>122.96153846153845</v>
      </c>
      <c r="Q546" s="856">
        <f t="shared" si="100"/>
        <v>106.92307692307692</v>
      </c>
      <c r="R546" s="856">
        <f t="shared" si="101"/>
        <v>16.03846153846154</v>
      </c>
      <c r="S546" s="893">
        <f>NC_DKDD!G370</f>
        <v>0.02</v>
      </c>
      <c r="T546" s="845">
        <f>'[1]1,DG-capmoi'!N538</f>
        <v>0</v>
      </c>
      <c r="U546" s="845">
        <f t="shared" si="99"/>
        <v>0</v>
      </c>
    </row>
    <row r="547" spans="1:21" s="841" customFormat="1" ht="27.75" customHeight="1">
      <c r="A547" s="832" t="s">
        <v>1068</v>
      </c>
      <c r="B547" s="827" t="s">
        <v>937</v>
      </c>
      <c r="C547" s="832" t="s">
        <v>525</v>
      </c>
      <c r="D547" s="933" t="s">
        <v>881</v>
      </c>
      <c r="E547" s="925" t="e">
        <f>NC_DKDD!H371</f>
        <v>#VALUE!</v>
      </c>
      <c r="F547" s="925"/>
      <c r="G547" s="893"/>
      <c r="H547" s="893"/>
      <c r="I547" s="893"/>
      <c r="J547" s="893"/>
      <c r="K547" s="893"/>
      <c r="L547" s="871"/>
      <c r="M547" s="871"/>
      <c r="N547" s="871"/>
      <c r="O547" s="871"/>
      <c r="P547" s="925">
        <f t="shared" si="102"/>
        <v>61.480769230769226</v>
      </c>
      <c r="Q547" s="856">
        <f t="shared" si="100"/>
        <v>53.46153846153846</v>
      </c>
      <c r="R547" s="856">
        <f t="shared" si="101"/>
        <v>8.0192307692307701</v>
      </c>
      <c r="S547" s="893">
        <f>NC_DKDD!G371</f>
        <v>0.01</v>
      </c>
      <c r="T547" s="845">
        <f>'[1]1,DG-capmoi'!N539</f>
        <v>0</v>
      </c>
      <c r="U547" s="845">
        <f t="shared" si="99"/>
        <v>0</v>
      </c>
    </row>
    <row r="548" spans="1:21" s="841" customFormat="1" ht="36" customHeight="1">
      <c r="A548" s="832" t="s">
        <v>1069</v>
      </c>
      <c r="B548" s="827" t="s">
        <v>48</v>
      </c>
      <c r="C548" s="832" t="s">
        <v>525</v>
      </c>
      <c r="D548" s="933" t="s">
        <v>881</v>
      </c>
      <c r="E548" s="925" t="e">
        <f>NC_DKDD!H372</f>
        <v>#VALUE!</v>
      </c>
      <c r="F548" s="925"/>
      <c r="G548" s="893"/>
      <c r="H548" s="893"/>
      <c r="I548" s="893"/>
      <c r="J548" s="893"/>
      <c r="K548" s="893"/>
      <c r="L548" s="871"/>
      <c r="M548" s="871"/>
      <c r="N548" s="871"/>
      <c r="O548" s="871"/>
      <c r="P548" s="925">
        <f t="shared" si="102"/>
        <v>30.740384615384613</v>
      </c>
      <c r="Q548" s="856">
        <f t="shared" si="100"/>
        <v>26.73076923076923</v>
      </c>
      <c r="R548" s="856">
        <f t="shared" si="101"/>
        <v>4.009615384615385</v>
      </c>
      <c r="S548" s="893">
        <f>NC_DKDD!G372</f>
        <v>5.0000000000000001E-3</v>
      </c>
      <c r="T548" s="845">
        <f>'[1]1,DG-capmoi'!N540</f>
        <v>0</v>
      </c>
      <c r="U548" s="845">
        <f t="shared" si="99"/>
        <v>0</v>
      </c>
    </row>
    <row r="549" spans="1:21" s="841" customFormat="1" ht="39" customHeight="1">
      <c r="A549" s="832" t="s">
        <v>1070</v>
      </c>
      <c r="B549" s="827" t="s">
        <v>50</v>
      </c>
      <c r="C549" s="832" t="s">
        <v>523</v>
      </c>
      <c r="D549" s="933" t="s">
        <v>881</v>
      </c>
      <c r="E549" s="925" t="e">
        <f>NC_DKDD!H373</f>
        <v>#VALUE!</v>
      </c>
      <c r="F549" s="925"/>
      <c r="G549" s="893"/>
      <c r="H549" s="893"/>
      <c r="I549" s="893"/>
      <c r="J549" s="893"/>
      <c r="K549" s="893"/>
      <c r="L549" s="871"/>
      <c r="M549" s="871"/>
      <c r="N549" s="871"/>
      <c r="O549" s="871"/>
      <c r="P549" s="925">
        <f t="shared" si="102"/>
        <v>79.924999999999983</v>
      </c>
      <c r="Q549" s="856">
        <f t="shared" si="100"/>
        <v>69.499999999999986</v>
      </c>
      <c r="R549" s="856">
        <f t="shared" si="101"/>
        <v>10.424999999999999</v>
      </c>
      <c r="S549" s="893">
        <f>NC_DKDD!G373</f>
        <v>1.2999999999999999E-2</v>
      </c>
      <c r="T549" s="845">
        <f>'[1]1,DG-capmoi'!N541</f>
        <v>0</v>
      </c>
      <c r="U549" s="845">
        <f t="shared" si="99"/>
        <v>0</v>
      </c>
    </row>
    <row r="550" spans="1:21" s="841" customFormat="1" ht="42.75">
      <c r="A550" s="832">
        <v>16</v>
      </c>
      <c r="B550" s="827" t="s">
        <v>1071</v>
      </c>
      <c r="C550" s="832" t="s">
        <v>281</v>
      </c>
      <c r="D550" s="933" t="s">
        <v>881</v>
      </c>
      <c r="E550" s="925" t="e">
        <f>NC_DKDD!H374</f>
        <v>#VALUE!</v>
      </c>
      <c r="F550" s="925"/>
      <c r="G550" s="893"/>
      <c r="H550" s="893"/>
      <c r="I550" s="893"/>
      <c r="J550" s="893"/>
      <c r="K550" s="893"/>
      <c r="L550" s="871"/>
      <c r="M550" s="871"/>
      <c r="N550" s="871"/>
      <c r="O550" s="871"/>
      <c r="P550" s="925">
        <f t="shared" si="102"/>
        <v>1598.5</v>
      </c>
      <c r="Q550" s="856">
        <f t="shared" si="100"/>
        <v>1390</v>
      </c>
      <c r="R550" s="856">
        <f t="shared" si="101"/>
        <v>208.5</v>
      </c>
      <c r="S550" s="893">
        <f>NC_DKDD!G374</f>
        <v>0.26</v>
      </c>
      <c r="T550" s="845">
        <f>'[1]1,DG-capmoi'!N542</f>
        <v>0</v>
      </c>
      <c r="U550" s="845">
        <f t="shared" si="99"/>
        <v>0</v>
      </c>
    </row>
    <row r="551" spans="1:21" s="841" customFormat="1" ht="31.5" customHeight="1">
      <c r="A551" s="832">
        <v>17</v>
      </c>
      <c r="B551" s="827" t="s">
        <v>1072</v>
      </c>
      <c r="C551" s="832"/>
      <c r="D551" s="832"/>
      <c r="E551" s="925">
        <f>NC_DKDD!H375</f>
        <v>0</v>
      </c>
      <c r="F551" s="925"/>
      <c r="G551" s="893"/>
      <c r="H551" s="893"/>
      <c r="I551" s="893"/>
      <c r="J551" s="893"/>
      <c r="K551" s="893"/>
      <c r="L551" s="871"/>
      <c r="M551" s="871"/>
      <c r="N551" s="871"/>
      <c r="O551" s="871"/>
      <c r="P551" s="925">
        <f t="shared" si="102"/>
        <v>0</v>
      </c>
      <c r="Q551" s="856">
        <f t="shared" si="100"/>
        <v>0</v>
      </c>
      <c r="R551" s="856">
        <f t="shared" si="101"/>
        <v>0</v>
      </c>
      <c r="S551" s="893">
        <f>NC_DKDD!G375</f>
        <v>0</v>
      </c>
      <c r="T551" s="845">
        <f>'[1]1,DG-capmoi'!N543</f>
        <v>0</v>
      </c>
      <c r="U551" s="845">
        <f t="shared" si="99"/>
        <v>0</v>
      </c>
    </row>
    <row r="552" spans="1:21" s="841" customFormat="1" ht="36.75" customHeight="1">
      <c r="A552" s="832" t="s">
        <v>1073</v>
      </c>
      <c r="B552" s="827" t="s">
        <v>1072</v>
      </c>
      <c r="C552" s="832" t="s">
        <v>281</v>
      </c>
      <c r="D552" s="933" t="s">
        <v>881</v>
      </c>
      <c r="E552" s="925" t="e">
        <f>NC_DKDD!H376</f>
        <v>#VALUE!</v>
      </c>
      <c r="F552" s="925"/>
      <c r="G552" s="893"/>
      <c r="H552" s="893"/>
      <c r="I552" s="893"/>
      <c r="J552" s="893"/>
      <c r="K552" s="893"/>
      <c r="L552" s="871"/>
      <c r="M552" s="871"/>
      <c r="N552" s="871"/>
      <c r="O552" s="871"/>
      <c r="P552" s="925">
        <f t="shared" si="102"/>
        <v>799.25</v>
      </c>
      <c r="Q552" s="856">
        <f t="shared" si="100"/>
        <v>695</v>
      </c>
      <c r="R552" s="856">
        <f t="shared" si="101"/>
        <v>104.25</v>
      </c>
      <c r="S552" s="893">
        <f>NC_DKDD!G376</f>
        <v>0.13</v>
      </c>
      <c r="T552" s="845">
        <f>'[1]1,DG-capmoi'!N544</f>
        <v>0</v>
      </c>
      <c r="U552" s="845">
        <f t="shared" si="99"/>
        <v>0</v>
      </c>
    </row>
    <row r="553" spans="1:21" s="841" customFormat="1" ht="48.75" customHeight="1">
      <c r="A553" s="832" t="s">
        <v>1074</v>
      </c>
      <c r="B553" s="827" t="s">
        <v>1075</v>
      </c>
      <c r="C553" s="832" t="s">
        <v>281</v>
      </c>
      <c r="D553" s="933" t="s">
        <v>881</v>
      </c>
      <c r="E553" s="925" t="e">
        <f>NC_DKDD!H377</f>
        <v>#VALUE!</v>
      </c>
      <c r="F553" s="925"/>
      <c r="G553" s="893"/>
      <c r="H553" s="893"/>
      <c r="I553" s="893"/>
      <c r="J553" s="893"/>
      <c r="K553" s="893"/>
      <c r="L553" s="871"/>
      <c r="M553" s="871"/>
      <c r="N553" s="871"/>
      <c r="O553" s="871"/>
      <c r="P553" s="925">
        <f t="shared" si="102"/>
        <v>799.25</v>
      </c>
      <c r="Q553" s="856">
        <f t="shared" si="100"/>
        <v>695</v>
      </c>
      <c r="R553" s="856">
        <f t="shared" si="101"/>
        <v>104.25</v>
      </c>
      <c r="S553" s="893">
        <f>NC_DKDD!G377</f>
        <v>0.13</v>
      </c>
      <c r="T553" s="845">
        <f>'[1]1,DG-capmoi'!N545</f>
        <v>0</v>
      </c>
      <c r="U553" s="845">
        <f t="shared" si="99"/>
        <v>0</v>
      </c>
    </row>
    <row r="554" spans="1:21" s="841" customFormat="1" ht="34.5" customHeight="1">
      <c r="A554" s="829" t="s">
        <v>913</v>
      </c>
      <c r="B554" s="929" t="s">
        <v>1057</v>
      </c>
      <c r="C554" s="833"/>
      <c r="D554" s="930"/>
      <c r="E554" s="931" t="e">
        <f>E555</f>
        <v>#VALUE!</v>
      </c>
      <c r="F554" s="931"/>
      <c r="G554" s="931"/>
      <c r="H554" s="893"/>
      <c r="I554" s="893"/>
      <c r="J554" s="893"/>
      <c r="K554" s="893"/>
      <c r="L554" s="893" t="e">
        <f>SUM(E554:K554)</f>
        <v>#VALUE!</v>
      </c>
      <c r="M554" s="893" t="e">
        <f>L554*'He so chung'!$D$17/100</f>
        <v>#VALUE!</v>
      </c>
      <c r="N554" s="893" t="e">
        <f>L554+M554</f>
        <v>#VALUE!</v>
      </c>
      <c r="O554" s="871"/>
      <c r="P554" s="931">
        <f>P555</f>
        <v>1598.5</v>
      </c>
      <c r="Q554" s="856">
        <f>S554*$Q$339</f>
        <v>1390</v>
      </c>
      <c r="R554" s="856">
        <f>S554*$R$339</f>
        <v>208.5</v>
      </c>
      <c r="S554" s="931">
        <f>S555</f>
        <v>0.26</v>
      </c>
      <c r="T554" s="845">
        <f>'[1]1,DG-capmoi'!N546</f>
        <v>59863.824999999997</v>
      </c>
      <c r="U554" s="845" t="e">
        <f t="shared" si="99"/>
        <v>#VALUE!</v>
      </c>
    </row>
    <row r="555" spans="1:21" s="841" customFormat="1" ht="36.75" customHeight="1">
      <c r="A555" s="832">
        <v>1</v>
      </c>
      <c r="B555" s="827" t="s">
        <v>1076</v>
      </c>
      <c r="C555" s="832" t="s">
        <v>281</v>
      </c>
      <c r="D555" s="933" t="s">
        <v>881</v>
      </c>
      <c r="E555" s="925" t="e">
        <f>NC_DKDD!H379</f>
        <v>#VALUE!</v>
      </c>
      <c r="F555" s="893"/>
      <c r="G555" s="893"/>
      <c r="H555" s="893">
        <f>'Dcu-DKDD'!$L$122</f>
        <v>0</v>
      </c>
      <c r="I555" s="893"/>
      <c r="J555" s="893"/>
      <c r="K555" s="893"/>
      <c r="L555" s="871"/>
      <c r="M555" s="871"/>
      <c r="N555" s="871"/>
      <c r="O555" s="871"/>
      <c r="P555" s="925">
        <f>Q555+R555</f>
        <v>1598.5</v>
      </c>
      <c r="Q555" s="856">
        <f>S555*$Q$339</f>
        <v>1390</v>
      </c>
      <c r="R555" s="856">
        <f>S555*$R$339</f>
        <v>208.5</v>
      </c>
      <c r="S555" s="893">
        <f>NC_DKDD!G379</f>
        <v>0.26</v>
      </c>
      <c r="T555" s="845">
        <f>'[1]1,DG-capmoi'!N547</f>
        <v>0</v>
      </c>
      <c r="U555" s="845">
        <f t="shared" si="99"/>
        <v>0</v>
      </c>
    </row>
    <row r="556" spans="1:21" ht="21" customHeight="1">
      <c r="A556" s="353"/>
      <c r="B556" s="886" t="s">
        <v>282</v>
      </c>
      <c r="C556" s="354"/>
      <c r="D556" s="353"/>
      <c r="E556" s="355"/>
      <c r="F556" s="355"/>
      <c r="G556" s="356"/>
      <c r="H556" s="355"/>
      <c r="I556" s="355"/>
      <c r="J556" s="357"/>
      <c r="K556" s="357"/>
      <c r="L556" s="357"/>
      <c r="M556" s="340"/>
      <c r="N556" s="340"/>
      <c r="O556" s="340"/>
      <c r="P556" s="935"/>
      <c r="Q556" s="332"/>
      <c r="R556" s="332"/>
      <c r="T556" s="845">
        <f>'[1]1,DG-capmoi'!N548</f>
        <v>0</v>
      </c>
      <c r="U556" s="845">
        <f t="shared" si="99"/>
        <v>0</v>
      </c>
    </row>
    <row r="557" spans="1:21" ht="43.9" customHeight="1">
      <c r="A557" s="358"/>
      <c r="B557" s="1129" t="s">
        <v>20</v>
      </c>
      <c r="C557" s="1129"/>
      <c r="D557" s="1129"/>
      <c r="E557" s="1129"/>
      <c r="F557" s="1129"/>
      <c r="G557" s="1129"/>
      <c r="H557" s="1129"/>
      <c r="I557" s="1129"/>
      <c r="J557" s="1129"/>
      <c r="K557" s="1129"/>
      <c r="L557" s="1129"/>
      <c r="M557" s="1129"/>
      <c r="N557" s="1129"/>
      <c r="O557" s="1129"/>
      <c r="P557" s="1129"/>
      <c r="Q557" s="332"/>
      <c r="R557" s="332"/>
      <c r="T557" s="845">
        <f>'[1]1,DG-capmoi'!N549</f>
        <v>0</v>
      </c>
      <c r="U557" s="845">
        <f t="shared" si="99"/>
        <v>0</v>
      </c>
    </row>
    <row r="558" spans="1:21" ht="43.9" customHeight="1">
      <c r="A558" s="358"/>
      <c r="B558" s="1117" t="s">
        <v>902</v>
      </c>
      <c r="C558" s="1117"/>
      <c r="D558" s="1117"/>
      <c r="E558" s="1117"/>
      <c r="F558" s="1117"/>
      <c r="G558" s="1117"/>
      <c r="H558" s="1117"/>
      <c r="I558" s="1117"/>
      <c r="J558" s="1117"/>
      <c r="K558" s="1117"/>
      <c r="L558" s="1117"/>
      <c r="M558" s="1117"/>
      <c r="N558" s="1117"/>
      <c r="O558" s="1117"/>
      <c r="P558" s="1117"/>
      <c r="Q558" s="332"/>
      <c r="R558" s="332"/>
      <c r="T558" s="845">
        <f>'[1]1,DG-capmoi'!N550</f>
        <v>0</v>
      </c>
      <c r="U558" s="845">
        <f t="shared" si="99"/>
        <v>0</v>
      </c>
    </row>
    <row r="559" spans="1:21" ht="43.9" customHeight="1">
      <c r="A559" s="358"/>
      <c r="B559" s="1118" t="s">
        <v>1062</v>
      </c>
      <c r="C559" s="1118"/>
      <c r="D559" s="1118"/>
      <c r="E559" s="1118"/>
      <c r="F559" s="1118"/>
      <c r="G559" s="1118"/>
      <c r="H559" s="1118"/>
      <c r="I559" s="1118"/>
      <c r="J559" s="1118"/>
      <c r="K559" s="1118"/>
      <c r="L559" s="1118"/>
      <c r="M559" s="1118"/>
      <c r="N559" s="1118"/>
      <c r="O559" s="1118"/>
      <c r="P559" s="1118"/>
      <c r="Q559" s="332"/>
      <c r="R559" s="332"/>
      <c r="T559" s="845">
        <f>'[1]1,DG-capmoi'!N551</f>
        <v>0</v>
      </c>
      <c r="U559" s="845">
        <f t="shared" si="99"/>
        <v>0</v>
      </c>
    </row>
    <row r="560" spans="1:21" ht="43.9" customHeight="1">
      <c r="A560" s="358"/>
      <c r="B560" s="1118" t="s">
        <v>1063</v>
      </c>
      <c r="C560" s="1118"/>
      <c r="D560" s="1118"/>
      <c r="E560" s="1118"/>
      <c r="F560" s="1118"/>
      <c r="G560" s="1118"/>
      <c r="H560" s="1118"/>
      <c r="I560" s="1118"/>
      <c r="J560" s="1118"/>
      <c r="K560" s="1118"/>
      <c r="L560" s="1118"/>
      <c r="M560" s="1118"/>
      <c r="N560" s="1118"/>
      <c r="O560" s="1118"/>
      <c r="P560" s="1118"/>
      <c r="Q560" s="332"/>
      <c r="R560" s="332"/>
      <c r="T560" s="845">
        <f>'[1]1,DG-capmoi'!N552</f>
        <v>0</v>
      </c>
      <c r="U560" s="845">
        <f t="shared" si="99"/>
        <v>0</v>
      </c>
    </row>
    <row r="561" spans="1:21" ht="24" customHeight="1">
      <c r="A561" s="1114" t="s">
        <v>1011</v>
      </c>
      <c r="B561" s="1114"/>
      <c r="C561" s="1114"/>
      <c r="D561" s="1114"/>
      <c r="E561" s="1114"/>
      <c r="F561" s="1114"/>
      <c r="G561" s="1114"/>
      <c r="H561" s="1114"/>
      <c r="I561" s="1114"/>
      <c r="J561" s="1114"/>
      <c r="K561" s="1114"/>
      <c r="L561" s="1114"/>
      <c r="M561" s="1114"/>
      <c r="N561" s="1114"/>
      <c r="O561" s="1114"/>
      <c r="P561" s="1114"/>
      <c r="T561" s="845">
        <f>'[1]1,DG-capmoi'!N553</f>
        <v>0</v>
      </c>
      <c r="U561" s="845">
        <f t="shared" si="99"/>
        <v>0</v>
      </c>
    </row>
    <row r="562" spans="1:21" ht="16.5" customHeight="1">
      <c r="A562" s="1113" t="s">
        <v>960</v>
      </c>
      <c r="B562" s="1113"/>
      <c r="C562" s="1113"/>
      <c r="D562" s="1113"/>
      <c r="E562" s="1113"/>
      <c r="F562" s="1113"/>
      <c r="G562" s="1113"/>
      <c r="H562" s="1113"/>
      <c r="I562" s="1113"/>
      <c r="J562" s="1113"/>
      <c r="K562" s="1113"/>
      <c r="L562" s="1113"/>
      <c r="M562" s="1113"/>
      <c r="N562" s="1113"/>
      <c r="O562" s="1113"/>
      <c r="P562" s="1113"/>
      <c r="T562" s="845"/>
      <c r="U562" s="845"/>
    </row>
    <row r="563" spans="1:21" s="345" customFormat="1" ht="19.5" customHeight="1">
      <c r="A563" s="337"/>
      <c r="B563" s="834"/>
      <c r="C563" s="338"/>
      <c r="D563" s="339" t="s">
        <v>576</v>
      </c>
      <c r="E563" s="340"/>
      <c r="F563" s="341"/>
      <c r="G563" s="342"/>
      <c r="H563" s="341"/>
      <c r="I563" s="343"/>
      <c r="J563" s="341"/>
      <c r="K563" s="341"/>
      <c r="M563" s="991" t="s">
        <v>980</v>
      </c>
      <c r="N563" s="990"/>
      <c r="O563" s="990"/>
      <c r="P563" s="340"/>
      <c r="Q563" s="332"/>
      <c r="R563" s="332"/>
      <c r="S563" s="332"/>
      <c r="T563" s="845">
        <f>'[1]1,DG-capmoi'!N554</f>
        <v>0</v>
      </c>
      <c r="U563" s="845">
        <f t="shared" si="99"/>
        <v>0</v>
      </c>
    </row>
    <row r="564" spans="1:21" s="345" customFormat="1" ht="7.5" customHeight="1">
      <c r="A564" s="337"/>
      <c r="B564" s="834"/>
      <c r="C564" s="338"/>
      <c r="D564" s="346"/>
      <c r="E564" s="340"/>
      <c r="F564" s="340"/>
      <c r="G564" s="347"/>
      <c r="H564" s="340"/>
      <c r="I564" s="340"/>
      <c r="J564" s="340"/>
      <c r="K564" s="340"/>
      <c r="L564" s="340"/>
      <c r="M564" s="340"/>
      <c r="N564" s="340"/>
      <c r="O564" s="340"/>
      <c r="P564" s="340"/>
      <c r="Q564" s="332"/>
      <c r="R564" s="332"/>
      <c r="S564" s="332"/>
      <c r="T564" s="845">
        <f>'[1]1,DG-capmoi'!N555</f>
        <v>0</v>
      </c>
      <c r="U564" s="845">
        <f t="shared" si="99"/>
        <v>0</v>
      </c>
    </row>
    <row r="565" spans="1:21" s="978" customFormat="1" ht="23.25" customHeight="1">
      <c r="A565" s="1115" t="s">
        <v>876</v>
      </c>
      <c r="B565" s="1115" t="s">
        <v>381</v>
      </c>
      <c r="C565" s="1111" t="s">
        <v>981</v>
      </c>
      <c r="D565" s="1111" t="s">
        <v>982</v>
      </c>
      <c r="E565" s="1111" t="s">
        <v>466</v>
      </c>
      <c r="F565" s="1111"/>
      <c r="G565" s="1111"/>
      <c r="H565" s="1111"/>
      <c r="I565" s="1111"/>
      <c r="J565" s="1111"/>
      <c r="K565" s="1111"/>
      <c r="L565" s="1111"/>
      <c r="M565" s="1111" t="s">
        <v>581</v>
      </c>
      <c r="N565" s="1111" t="s">
        <v>467</v>
      </c>
      <c r="O565" s="1119" t="s">
        <v>657</v>
      </c>
      <c r="P565" s="1111" t="s">
        <v>468</v>
      </c>
      <c r="Q565" s="976"/>
      <c r="R565" s="976"/>
      <c r="S565" s="977"/>
      <c r="T565" s="1030"/>
      <c r="U565" s="1030"/>
    </row>
    <row r="566" spans="1:21" s="978" customFormat="1" ht="39.75" customHeight="1">
      <c r="A566" s="1115"/>
      <c r="B566" s="1115"/>
      <c r="C566" s="1111"/>
      <c r="D566" s="1111"/>
      <c r="E566" s="825" t="s">
        <v>469</v>
      </c>
      <c r="F566" s="825" t="s">
        <v>470</v>
      </c>
      <c r="G566" s="852" t="s">
        <v>1003</v>
      </c>
      <c r="H566" s="825" t="s">
        <v>59</v>
      </c>
      <c r="I566" s="825" t="s">
        <v>471</v>
      </c>
      <c r="J566" s="825" t="s">
        <v>280</v>
      </c>
      <c r="K566" s="825" t="s">
        <v>472</v>
      </c>
      <c r="L566" s="825" t="s">
        <v>473</v>
      </c>
      <c r="M566" s="1111"/>
      <c r="N566" s="1111"/>
      <c r="O566" s="1120"/>
      <c r="P566" s="1111"/>
      <c r="Q566" s="976"/>
      <c r="R566" s="976"/>
      <c r="S566" s="977"/>
      <c r="T566" s="1030"/>
      <c r="U566" s="1030"/>
    </row>
    <row r="567" spans="1:21" s="841" customFormat="1" ht="58.5" customHeight="1">
      <c r="A567" s="831"/>
      <c r="B567" s="830" t="s">
        <v>44</v>
      </c>
      <c r="C567" s="382"/>
      <c r="D567" s="382"/>
      <c r="E567" s="382"/>
      <c r="F567" s="382"/>
      <c r="G567" s="837"/>
      <c r="H567" s="382"/>
      <c r="I567" s="382"/>
      <c r="J567" s="382"/>
      <c r="K567" s="382"/>
      <c r="L567" s="382"/>
      <c r="M567" s="382"/>
      <c r="N567" s="382"/>
      <c r="O567" s="820"/>
      <c r="P567" s="382"/>
      <c r="Q567" s="839"/>
      <c r="R567" s="839"/>
      <c r="S567" s="840"/>
      <c r="T567" s="845">
        <f>'[1]1,DG-capmoi'!N558</f>
        <v>0</v>
      </c>
      <c r="U567" s="845">
        <f t="shared" si="99"/>
        <v>0</v>
      </c>
    </row>
    <row r="568" spans="1:21" s="841" customFormat="1" ht="24" customHeight="1">
      <c r="A568" s="1112"/>
      <c r="B568" s="1125" t="s">
        <v>451</v>
      </c>
      <c r="C568" s="1124" t="s">
        <v>281</v>
      </c>
      <c r="D568" s="382">
        <v>1</v>
      </c>
      <c r="E568" s="383" t="e">
        <f t="shared" ref="E568:N568" si="103">E580+E628+E630</f>
        <v>#VALUE!</v>
      </c>
      <c r="F568" s="383">
        <f t="shared" si="103"/>
        <v>0</v>
      </c>
      <c r="G568" s="383">
        <f t="shared" si="103"/>
        <v>0</v>
      </c>
      <c r="H568" s="383">
        <f t="shared" si="103"/>
        <v>12820.985501602563</v>
      </c>
      <c r="I568" s="383">
        <f t="shared" si="103"/>
        <v>30335.579999999998</v>
      </c>
      <c r="J568" s="383">
        <f t="shared" si="103"/>
        <v>10992.36</v>
      </c>
      <c r="K568" s="383">
        <f t="shared" si="103"/>
        <v>23356.62</v>
      </c>
      <c r="L568" s="383" t="e">
        <f t="shared" si="103"/>
        <v>#VALUE!</v>
      </c>
      <c r="M568" s="383" t="e">
        <f t="shared" si="103"/>
        <v>#VALUE!</v>
      </c>
      <c r="N568" s="383" t="e">
        <f t="shared" si="103"/>
        <v>#VALUE!</v>
      </c>
      <c r="O568" s="383"/>
      <c r="P568" s="383">
        <f>P580+P628+P630</f>
        <v>41954.476923076923</v>
      </c>
      <c r="Q568" s="839"/>
      <c r="R568" s="839"/>
      <c r="S568" s="840"/>
      <c r="T568" s="845">
        <f>'[1]1,DG-capmoi'!N559</f>
        <v>1550428.7839210737</v>
      </c>
      <c r="U568" s="845" t="e">
        <f t="shared" si="99"/>
        <v>#VALUE!</v>
      </c>
    </row>
    <row r="569" spans="1:21" s="841" customFormat="1" ht="24" customHeight="1">
      <c r="A569" s="1112"/>
      <c r="B569" s="1125"/>
      <c r="C569" s="1124"/>
      <c r="D569" s="382">
        <v>2</v>
      </c>
      <c r="E569" s="383" t="e">
        <f>E581+E628+E630</f>
        <v>#VALUE!</v>
      </c>
      <c r="F569" s="383">
        <f t="shared" ref="F569:N569" si="104">F581+F628+F630</f>
        <v>0</v>
      </c>
      <c r="G569" s="383">
        <f t="shared" si="104"/>
        <v>0</v>
      </c>
      <c r="H569" s="383">
        <f t="shared" si="104"/>
        <v>12820.985501602563</v>
      </c>
      <c r="I569" s="383">
        <f t="shared" si="104"/>
        <v>30335.579999999998</v>
      </c>
      <c r="J569" s="383">
        <f t="shared" si="104"/>
        <v>10992.36</v>
      </c>
      <c r="K569" s="383">
        <f t="shared" si="104"/>
        <v>23356.62</v>
      </c>
      <c r="L569" s="383" t="e">
        <f t="shared" si="104"/>
        <v>#VALUE!</v>
      </c>
      <c r="M569" s="383" t="e">
        <f t="shared" si="104"/>
        <v>#VALUE!</v>
      </c>
      <c r="N569" s="383" t="e">
        <f t="shared" si="104"/>
        <v>#VALUE!</v>
      </c>
      <c r="O569" s="383"/>
      <c r="P569" s="383">
        <f>P581+P628+P630</f>
        <v>43184.092307692314</v>
      </c>
      <c r="Q569" s="839"/>
      <c r="R569" s="839"/>
      <c r="S569" s="840"/>
      <c r="T569" s="845">
        <f>'[1]1,DG-capmoi'!N560</f>
        <v>1593972.23132492</v>
      </c>
      <c r="U569" s="845" t="e">
        <f t="shared" si="99"/>
        <v>#VALUE!</v>
      </c>
    </row>
    <row r="570" spans="1:21" s="841" customFormat="1" ht="24" customHeight="1">
      <c r="A570" s="1112"/>
      <c r="B570" s="1125"/>
      <c r="C570" s="1124"/>
      <c r="D570" s="382">
        <v>3</v>
      </c>
      <c r="E570" s="383" t="e">
        <f t="shared" ref="E570:N570" si="105">E582+E628+E630</f>
        <v>#VALUE!</v>
      </c>
      <c r="F570" s="383">
        <f t="shared" si="105"/>
        <v>0</v>
      </c>
      <c r="G570" s="383">
        <f t="shared" si="105"/>
        <v>0</v>
      </c>
      <c r="H570" s="383">
        <f t="shared" si="105"/>
        <v>12820.985501602563</v>
      </c>
      <c r="I570" s="383">
        <f t="shared" si="105"/>
        <v>30335.579999999998</v>
      </c>
      <c r="J570" s="383">
        <f t="shared" si="105"/>
        <v>10992.36</v>
      </c>
      <c r="K570" s="383">
        <f t="shared" si="105"/>
        <v>23356.62</v>
      </c>
      <c r="L570" s="383" t="e">
        <f t="shared" si="105"/>
        <v>#VALUE!</v>
      </c>
      <c r="M570" s="383" t="e">
        <f t="shared" si="105"/>
        <v>#VALUE!</v>
      </c>
      <c r="N570" s="383" t="e">
        <f t="shared" si="105"/>
        <v>#VALUE!</v>
      </c>
      <c r="O570" s="383"/>
      <c r="P570" s="383">
        <f>P582+P628+P630</f>
        <v>44536.669230769236</v>
      </c>
      <c r="Q570" s="839"/>
      <c r="R570" s="839"/>
      <c r="S570" s="840"/>
      <c r="T570" s="845">
        <f>'[1]1,DG-capmoi'!N561</f>
        <v>1641870.0234691505</v>
      </c>
      <c r="U570" s="845" t="e">
        <f t="shared" si="99"/>
        <v>#VALUE!</v>
      </c>
    </row>
    <row r="571" spans="1:21" s="841" customFormat="1" ht="24" customHeight="1">
      <c r="A571" s="1112"/>
      <c r="B571" s="1125"/>
      <c r="C571" s="1124"/>
      <c r="D571" s="382">
        <v>4</v>
      </c>
      <c r="E571" s="383" t="e">
        <f>E583+E628+E630</f>
        <v>#VALUE!</v>
      </c>
      <c r="F571" s="383">
        <f t="shared" ref="F571:N571" si="106">F583+F628+F630</f>
        <v>0</v>
      </c>
      <c r="G571" s="383">
        <f t="shared" si="106"/>
        <v>0</v>
      </c>
      <c r="H571" s="383">
        <f t="shared" si="106"/>
        <v>12820.985501602563</v>
      </c>
      <c r="I571" s="383">
        <f t="shared" si="106"/>
        <v>30335.579999999998</v>
      </c>
      <c r="J571" s="383">
        <f t="shared" si="106"/>
        <v>10992.36</v>
      </c>
      <c r="K571" s="383">
        <f t="shared" si="106"/>
        <v>23356.62</v>
      </c>
      <c r="L571" s="383" t="e">
        <f t="shared" si="106"/>
        <v>#VALUE!</v>
      </c>
      <c r="M571" s="383" t="e">
        <f t="shared" si="106"/>
        <v>#VALUE!</v>
      </c>
      <c r="N571" s="383" t="e">
        <f t="shared" si="106"/>
        <v>#VALUE!</v>
      </c>
      <c r="O571" s="383"/>
      <c r="P571" s="383">
        <f>P583+P628+P630</f>
        <v>46024.50384615385</v>
      </c>
      <c r="Q571" s="839"/>
      <c r="R571" s="839"/>
      <c r="S571" s="840"/>
      <c r="T571" s="845">
        <f>'[1]1,DG-capmoi'!N562</f>
        <v>1694557.5948278042</v>
      </c>
      <c r="U571" s="845" t="e">
        <f t="shared" si="99"/>
        <v>#VALUE!</v>
      </c>
    </row>
    <row r="572" spans="1:21" s="841" customFormat="1" ht="24" customHeight="1">
      <c r="A572" s="1112"/>
      <c r="B572" s="1125"/>
      <c r="C572" s="1124"/>
      <c r="D572" s="382">
        <v>5</v>
      </c>
      <c r="E572" s="383" t="e">
        <f t="shared" ref="E572:N572" si="107">E584+E628+E630</f>
        <v>#VALUE!</v>
      </c>
      <c r="F572" s="383">
        <f t="shared" si="107"/>
        <v>0</v>
      </c>
      <c r="G572" s="383">
        <f t="shared" si="107"/>
        <v>0</v>
      </c>
      <c r="H572" s="383">
        <f t="shared" si="107"/>
        <v>12820.985501602563</v>
      </c>
      <c r="I572" s="383">
        <f t="shared" si="107"/>
        <v>30335.579999999998</v>
      </c>
      <c r="J572" s="383">
        <f t="shared" si="107"/>
        <v>10992.36</v>
      </c>
      <c r="K572" s="383">
        <f t="shared" si="107"/>
        <v>23356.62</v>
      </c>
      <c r="L572" s="383" t="e">
        <f t="shared" si="107"/>
        <v>#VALUE!</v>
      </c>
      <c r="M572" s="383" t="e">
        <f t="shared" si="107"/>
        <v>#VALUE!</v>
      </c>
      <c r="N572" s="383" t="e">
        <f t="shared" si="107"/>
        <v>#VALUE!</v>
      </c>
      <c r="O572" s="383"/>
      <c r="P572" s="383">
        <f>P584+P628+P630</f>
        <v>47610.707692307697</v>
      </c>
      <c r="Q572" s="839"/>
      <c r="R572" s="839"/>
      <c r="S572" s="840"/>
      <c r="T572" s="845">
        <f>'[1]1,DG-capmoi'!N563</f>
        <v>1750728.6419787654</v>
      </c>
      <c r="U572" s="845" t="e">
        <f t="shared" ref="U572:U635" si="108">T572-N572</f>
        <v>#VALUE!</v>
      </c>
    </row>
    <row r="573" spans="1:21" s="841" customFormat="1" ht="24" customHeight="1">
      <c r="A573" s="1112"/>
      <c r="B573" s="1125" t="s">
        <v>452</v>
      </c>
      <c r="C573" s="1124" t="s">
        <v>281</v>
      </c>
      <c r="D573" s="382">
        <v>1</v>
      </c>
      <c r="E573" s="383" t="e">
        <f>E585+E628+E630</f>
        <v>#VALUE!</v>
      </c>
      <c r="F573" s="383">
        <f t="shared" ref="F573:N573" si="109">F585+F628+F630</f>
        <v>0</v>
      </c>
      <c r="G573" s="383">
        <f t="shared" si="109"/>
        <v>0</v>
      </c>
      <c r="H573" s="383">
        <f t="shared" si="109"/>
        <v>12820.985501602563</v>
      </c>
      <c r="I573" s="383">
        <f t="shared" si="109"/>
        <v>30335.579999999998</v>
      </c>
      <c r="J573" s="383">
        <f t="shared" si="109"/>
        <v>10992.36</v>
      </c>
      <c r="K573" s="383">
        <f t="shared" si="109"/>
        <v>23356.62</v>
      </c>
      <c r="L573" s="383" t="e">
        <f t="shared" si="109"/>
        <v>#VALUE!</v>
      </c>
      <c r="M573" s="383" t="e">
        <f t="shared" si="109"/>
        <v>#VALUE!</v>
      </c>
      <c r="N573" s="383" t="e">
        <f t="shared" si="109"/>
        <v>#VALUE!</v>
      </c>
      <c r="O573" s="383"/>
      <c r="P573" s="383">
        <f>P585+P628+P630</f>
        <v>41954.476923076916</v>
      </c>
      <c r="Q573" s="839"/>
      <c r="R573" s="839"/>
      <c r="S573" s="840"/>
      <c r="T573" s="845">
        <f>'[1]1,DG-capmoi'!N564</f>
        <v>1551681.608296074</v>
      </c>
      <c r="U573" s="845" t="e">
        <f t="shared" si="108"/>
        <v>#VALUE!</v>
      </c>
    </row>
    <row r="574" spans="1:21" s="841" customFormat="1" ht="24" customHeight="1">
      <c r="A574" s="1112"/>
      <c r="B574" s="1125"/>
      <c r="C574" s="1124"/>
      <c r="D574" s="382">
        <v>2</v>
      </c>
      <c r="E574" s="383" t="e">
        <f>E586+E628+E630</f>
        <v>#VALUE!</v>
      </c>
      <c r="F574" s="383">
        <f t="shared" ref="F574:N574" si="110">F586+F628+F630</f>
        <v>0</v>
      </c>
      <c r="G574" s="383">
        <f t="shared" si="110"/>
        <v>0</v>
      </c>
      <c r="H574" s="383">
        <f t="shared" si="110"/>
        <v>12820.985501602563</v>
      </c>
      <c r="I574" s="383">
        <f t="shared" si="110"/>
        <v>30335.579999999998</v>
      </c>
      <c r="J574" s="383">
        <f t="shared" si="110"/>
        <v>10992.36</v>
      </c>
      <c r="K574" s="383">
        <f t="shared" si="110"/>
        <v>23356.62</v>
      </c>
      <c r="L574" s="383" t="e">
        <f t="shared" si="110"/>
        <v>#VALUE!</v>
      </c>
      <c r="M574" s="383" t="e">
        <f t="shared" si="110"/>
        <v>#VALUE!</v>
      </c>
      <c r="N574" s="383" t="e">
        <f t="shared" si="110"/>
        <v>#VALUE!</v>
      </c>
      <c r="O574" s="383"/>
      <c r="P574" s="383">
        <f>P586+P628+P630</f>
        <v>43184.092307692306</v>
      </c>
      <c r="Q574" s="839"/>
      <c r="R574" s="839"/>
      <c r="S574" s="840"/>
      <c r="T574" s="845">
        <f>'[1]1,DG-capmoi'!N565</f>
        <v>1595225.0556999203</v>
      </c>
      <c r="U574" s="845" t="e">
        <f t="shared" si="108"/>
        <v>#VALUE!</v>
      </c>
    </row>
    <row r="575" spans="1:21" s="841" customFormat="1" ht="24" customHeight="1">
      <c r="A575" s="1112"/>
      <c r="B575" s="1125"/>
      <c r="C575" s="1124"/>
      <c r="D575" s="382">
        <v>3</v>
      </c>
      <c r="E575" s="383" t="e">
        <f>E587+E628+E630</f>
        <v>#VALUE!</v>
      </c>
      <c r="F575" s="383">
        <f t="shared" ref="F575:N575" si="111">F587+F628+F630</f>
        <v>0</v>
      </c>
      <c r="G575" s="383">
        <f t="shared" si="111"/>
        <v>0</v>
      </c>
      <c r="H575" s="383">
        <f t="shared" si="111"/>
        <v>12820.985501602563</v>
      </c>
      <c r="I575" s="383">
        <f t="shared" si="111"/>
        <v>30335.579999999998</v>
      </c>
      <c r="J575" s="383">
        <f t="shared" si="111"/>
        <v>10992.36</v>
      </c>
      <c r="K575" s="383">
        <f t="shared" si="111"/>
        <v>23356.62</v>
      </c>
      <c r="L575" s="383" t="e">
        <f t="shared" si="111"/>
        <v>#VALUE!</v>
      </c>
      <c r="M575" s="383" t="e">
        <f t="shared" si="111"/>
        <v>#VALUE!</v>
      </c>
      <c r="N575" s="383" t="e">
        <f t="shared" si="111"/>
        <v>#VALUE!</v>
      </c>
      <c r="O575" s="383"/>
      <c r="P575" s="383">
        <f>P587+P628+P630</f>
        <v>44536.669230769236</v>
      </c>
      <c r="Q575" s="839"/>
      <c r="R575" s="839"/>
      <c r="S575" s="840"/>
      <c r="T575" s="845">
        <f>'[1]1,DG-capmoi'!N566</f>
        <v>1643122.8478441504</v>
      </c>
      <c r="U575" s="845" t="e">
        <f t="shared" si="108"/>
        <v>#VALUE!</v>
      </c>
    </row>
    <row r="576" spans="1:21" s="841" customFormat="1" ht="24" customHeight="1">
      <c r="A576" s="1112"/>
      <c r="B576" s="1125"/>
      <c r="C576" s="1124"/>
      <c r="D576" s="382">
        <v>4</v>
      </c>
      <c r="E576" s="383" t="e">
        <f>E588+E628+E630</f>
        <v>#VALUE!</v>
      </c>
      <c r="F576" s="383">
        <f t="shared" ref="F576:N576" si="112">F588+F628+F630</f>
        <v>0</v>
      </c>
      <c r="G576" s="383">
        <f t="shared" si="112"/>
        <v>0</v>
      </c>
      <c r="H576" s="383">
        <f t="shared" si="112"/>
        <v>12820.985501602563</v>
      </c>
      <c r="I576" s="383">
        <f t="shared" si="112"/>
        <v>30335.579999999998</v>
      </c>
      <c r="J576" s="383">
        <f t="shared" si="112"/>
        <v>10992.36</v>
      </c>
      <c r="K576" s="383">
        <f t="shared" si="112"/>
        <v>23356.62</v>
      </c>
      <c r="L576" s="383" t="e">
        <f t="shared" si="112"/>
        <v>#VALUE!</v>
      </c>
      <c r="M576" s="383" t="e">
        <f t="shared" si="112"/>
        <v>#VALUE!</v>
      </c>
      <c r="N576" s="383" t="e">
        <f t="shared" si="112"/>
        <v>#VALUE!</v>
      </c>
      <c r="O576" s="383"/>
      <c r="P576" s="383">
        <f>P588+P628+P630</f>
        <v>46024.503846153857</v>
      </c>
      <c r="Q576" s="839"/>
      <c r="R576" s="839"/>
      <c r="S576" s="840"/>
      <c r="T576" s="845">
        <f>'[1]1,DG-capmoi'!N567</f>
        <v>1695810.4192028046</v>
      </c>
      <c r="U576" s="845" t="e">
        <f t="shared" si="108"/>
        <v>#VALUE!</v>
      </c>
    </row>
    <row r="577" spans="1:21" s="841" customFormat="1" ht="24" customHeight="1">
      <c r="A577" s="1112"/>
      <c r="B577" s="1125"/>
      <c r="C577" s="1124"/>
      <c r="D577" s="382">
        <v>5</v>
      </c>
      <c r="E577" s="383" t="e">
        <f>E589+E628+E630</f>
        <v>#VALUE!</v>
      </c>
      <c r="F577" s="383">
        <f t="shared" ref="F577:N577" si="113">F589+F628+F630</f>
        <v>0</v>
      </c>
      <c r="G577" s="383">
        <f t="shared" si="113"/>
        <v>0</v>
      </c>
      <c r="H577" s="383">
        <f t="shared" si="113"/>
        <v>12820.985501602563</v>
      </c>
      <c r="I577" s="383">
        <f t="shared" si="113"/>
        <v>30335.579999999998</v>
      </c>
      <c r="J577" s="383">
        <f t="shared" si="113"/>
        <v>10992.36</v>
      </c>
      <c r="K577" s="383">
        <f t="shared" si="113"/>
        <v>23356.62</v>
      </c>
      <c r="L577" s="383" t="e">
        <f t="shared" si="113"/>
        <v>#VALUE!</v>
      </c>
      <c r="M577" s="383" t="e">
        <f t="shared" si="113"/>
        <v>#VALUE!</v>
      </c>
      <c r="N577" s="383" t="e">
        <f t="shared" si="113"/>
        <v>#VALUE!</v>
      </c>
      <c r="O577" s="383"/>
      <c r="P577" s="383">
        <f>P589+P628+P630</f>
        <v>47610.707692307697</v>
      </c>
      <c r="Q577" s="839"/>
      <c r="R577" s="839"/>
      <c r="S577" s="840"/>
      <c r="T577" s="845">
        <f>'[1]1,DG-capmoi'!N568</f>
        <v>1751981.4663537657</v>
      </c>
      <c r="U577" s="845" t="e">
        <f t="shared" si="108"/>
        <v>#VALUE!</v>
      </c>
    </row>
    <row r="578" spans="1:21" s="841" customFormat="1" ht="21.75" customHeight="1">
      <c r="A578" s="831"/>
      <c r="B578" s="830"/>
      <c r="C578" s="382"/>
      <c r="D578" s="382"/>
      <c r="E578" s="383"/>
      <c r="F578" s="383"/>
      <c r="G578" s="383"/>
      <c r="H578" s="383"/>
      <c r="I578" s="383"/>
      <c r="J578" s="383"/>
      <c r="K578" s="383"/>
      <c r="L578" s="383"/>
      <c r="M578" s="383"/>
      <c r="N578" s="383"/>
      <c r="O578" s="383"/>
      <c r="P578" s="383"/>
      <c r="Q578" s="839"/>
      <c r="R578" s="839"/>
      <c r="S578" s="840"/>
      <c r="T578" s="845">
        <f>'[1]1,DG-capmoi'!N569</f>
        <v>0</v>
      </c>
      <c r="U578" s="845">
        <f t="shared" si="108"/>
        <v>0</v>
      </c>
    </row>
    <row r="579" spans="1:21" s="841" customFormat="1" ht="33" customHeight="1">
      <c r="A579" s="831" t="s">
        <v>179</v>
      </c>
      <c r="B579" s="888" t="s">
        <v>81</v>
      </c>
      <c r="C579" s="382"/>
      <c r="D579" s="382"/>
      <c r="E579" s="382"/>
      <c r="F579" s="382"/>
      <c r="G579" s="837"/>
      <c r="H579" s="382"/>
      <c r="I579" s="382"/>
      <c r="J579" s="382"/>
      <c r="K579" s="382"/>
      <c r="L579" s="382"/>
      <c r="M579" s="382"/>
      <c r="N579" s="382"/>
      <c r="O579" s="382"/>
      <c r="P579" s="382"/>
      <c r="Q579" s="847">
        <f>'He so chung'!D$22</f>
        <v>5346.1538461538457</v>
      </c>
      <c r="R579" s="847">
        <f>'He so chung'!D$23</f>
        <v>801.92307692307691</v>
      </c>
      <c r="S579" s="848"/>
      <c r="T579" s="845">
        <f>'[1]1,DG-capmoi'!N570</f>
        <v>0</v>
      </c>
      <c r="U579" s="845">
        <f t="shared" si="108"/>
        <v>0</v>
      </c>
    </row>
    <row r="580" spans="1:21" s="950" customFormat="1" ht="24" customHeight="1">
      <c r="A580" s="1126" t="s">
        <v>665</v>
      </c>
      <c r="B580" s="1125" t="s">
        <v>451</v>
      </c>
      <c r="C580" s="1124" t="s">
        <v>281</v>
      </c>
      <c r="D580" s="382">
        <v>1</v>
      </c>
      <c r="E580" s="947" t="e">
        <f>E591+E593+E594+E596+E597+E602+E604+E607+E611+E612+E615+E617+E618+E619+E622+E623+E624+E625+E626+E627</f>
        <v>#VALUE!</v>
      </c>
      <c r="F580" s="947">
        <f>F591+F593+F594+F596+F597+F602+F604+F607+F611+F612+F615+F617+F618+F619+F622+F623+F624+F625+F626+F627</f>
        <v>0</v>
      </c>
      <c r="G580" s="947">
        <f>G591+G592+G593+G594+G596+G597+G602+G604+G605+G607+G608+G610+G611+G612+G613+G615+G616+G617+G618+G619+G622+G623+G624+G625+G626+G627</f>
        <v>0</v>
      </c>
      <c r="H580" s="947">
        <f>'Dcu-DKDD'!$L$149</f>
        <v>12753.708641826923</v>
      </c>
      <c r="I580" s="947">
        <f>'VL-DKDD'!$J$154</f>
        <v>29692.98</v>
      </c>
      <c r="J580" s="947">
        <f>'TB-DKDD'!$M$84</f>
        <v>10992.36</v>
      </c>
      <c r="K580" s="947">
        <f>'NL-DKDD'!$J$60</f>
        <v>23356.62</v>
      </c>
      <c r="L580" s="893" t="e">
        <f t="shared" ref="L580:L589" si="114">SUM(E580:K580)</f>
        <v>#VALUE!</v>
      </c>
      <c r="M580" s="893" t="e">
        <f>L580*'He so chung'!$D$17/100</f>
        <v>#VALUE!</v>
      </c>
      <c r="N580" s="893" t="e">
        <f t="shared" ref="N580:N589" si="115">L580+M580</f>
        <v>#VALUE!</v>
      </c>
      <c r="O580" s="947"/>
      <c r="P580" s="947">
        <f>P591+P593+P594+P596+P597+P602+P604+P607+P611+P612+P615+P617+P618+P619+P622+P623+P624+P625+P626+P627</f>
        <v>41093.74615384615</v>
      </c>
      <c r="Q580" s="948"/>
      <c r="R580" s="948"/>
      <c r="S580" s="949"/>
      <c r="T580" s="845">
        <f>'[1]1,DG-capmoi'!N571</f>
        <v>1518380.3177246395</v>
      </c>
      <c r="U580" s="845" t="e">
        <f t="shared" si="108"/>
        <v>#VALUE!</v>
      </c>
    </row>
    <row r="581" spans="1:21" s="950" customFormat="1" ht="24" customHeight="1">
      <c r="A581" s="1127"/>
      <c r="B581" s="1125"/>
      <c r="C581" s="1124"/>
      <c r="D581" s="382">
        <v>2</v>
      </c>
      <c r="E581" s="947" t="e">
        <f>E591+E593+E594+E596+E598+E602+E604+E607+E611+E612+E615+E617+E618+E619+E622+E623+E624+E625+E626+E627</f>
        <v>#VALUE!</v>
      </c>
      <c r="F581" s="947">
        <f>F591+F593+F594+F596+F598+F602+F604+F607+F611+F612+F615+F617+F618+F619+F622+F623+F624+F625+F626+F627</f>
        <v>0</v>
      </c>
      <c r="G581" s="947">
        <f>G591+G592+G593+G594+G596+G598+G602+G604+G605+G607+G608+G610+G611+G612+G613+G615+G616+G617+G618+G619+G622+G623+G624+G625+G626+G627</f>
        <v>0</v>
      </c>
      <c r="H581" s="947">
        <f>'Dcu-DKDD'!$L$149</f>
        <v>12753.708641826923</v>
      </c>
      <c r="I581" s="947">
        <f>'VL-DKDD'!$J$154</f>
        <v>29692.98</v>
      </c>
      <c r="J581" s="947">
        <f>'TB-DKDD'!$M$84</f>
        <v>10992.36</v>
      </c>
      <c r="K581" s="947">
        <f>'NL-DKDD'!$J$60</f>
        <v>23356.62</v>
      </c>
      <c r="L581" s="893" t="e">
        <f t="shared" si="114"/>
        <v>#VALUE!</v>
      </c>
      <c r="M581" s="893" t="e">
        <f>L581*'He so chung'!$D$17/100</f>
        <v>#VALUE!</v>
      </c>
      <c r="N581" s="893" t="e">
        <f t="shared" si="115"/>
        <v>#VALUE!</v>
      </c>
      <c r="O581" s="947"/>
      <c r="P581" s="947">
        <f>P591+P593+P594+P596+P598+P602+P604+P607+P611+P612+P615+P617+P618+P619+P622+P623+P624+P625+P626+P627</f>
        <v>42323.36153846154</v>
      </c>
      <c r="Q581" s="948"/>
      <c r="R581" s="948"/>
      <c r="S581" s="949"/>
      <c r="T581" s="845">
        <f>'[1]1,DG-capmoi'!N572</f>
        <v>1561923.7651284859</v>
      </c>
      <c r="U581" s="845" t="e">
        <f t="shared" si="108"/>
        <v>#VALUE!</v>
      </c>
    </row>
    <row r="582" spans="1:21" s="950" customFormat="1" ht="24" customHeight="1">
      <c r="A582" s="1127"/>
      <c r="B582" s="1125"/>
      <c r="C582" s="1124"/>
      <c r="D582" s="382">
        <v>3</v>
      </c>
      <c r="E582" s="947" t="e">
        <f>E591+E593+E594+E596+E599+E602+E604+E607+E611+E612+E615+E617+E618+E619+E622+E623+E624+E625+E626+E627</f>
        <v>#VALUE!</v>
      </c>
      <c r="F582" s="947">
        <f>F591+F593+F594+F596+F599+F602+F604+F607+F611+F612+F615+F617+F618+F619+F622+F623+F624+F625+F626+F627</f>
        <v>0</v>
      </c>
      <c r="G582" s="947">
        <f>G591+G592+G593+G594+G596+G599+G602+G604+G605+G607+G608+G610+G611+G612+G613+G615+G616+G617+G618+G619</f>
        <v>0</v>
      </c>
      <c r="H582" s="947">
        <f>'Dcu-DKDD'!$L$149</f>
        <v>12753.708641826923</v>
      </c>
      <c r="I582" s="947">
        <f>'VL-DKDD'!$J$154</f>
        <v>29692.98</v>
      </c>
      <c r="J582" s="947">
        <f>'TB-DKDD'!$M$84</f>
        <v>10992.36</v>
      </c>
      <c r="K582" s="947">
        <f>'NL-DKDD'!$J$60</f>
        <v>23356.62</v>
      </c>
      <c r="L582" s="893" t="e">
        <f t="shared" si="114"/>
        <v>#VALUE!</v>
      </c>
      <c r="M582" s="893" t="e">
        <f>L582*'He so chung'!$D$17/100</f>
        <v>#VALUE!</v>
      </c>
      <c r="N582" s="893" t="e">
        <f t="shared" si="115"/>
        <v>#VALUE!</v>
      </c>
      <c r="O582" s="947"/>
      <c r="P582" s="947">
        <f>P591+P593+P594+P596+P599+P602+P604+P607+P611+P612+P615+P617+P618+P619+P622+P623+P624+P625+P626+P627</f>
        <v>43675.938461538462</v>
      </c>
      <c r="Q582" s="948"/>
      <c r="R582" s="948"/>
      <c r="S582" s="949"/>
      <c r="T582" s="845">
        <f>'[1]1,DG-capmoi'!N573</f>
        <v>1609821.5572727164</v>
      </c>
      <c r="U582" s="845" t="e">
        <f t="shared" si="108"/>
        <v>#VALUE!</v>
      </c>
    </row>
    <row r="583" spans="1:21" s="950" customFormat="1" ht="24" customHeight="1">
      <c r="A583" s="1127"/>
      <c r="B583" s="1125"/>
      <c r="C583" s="1124"/>
      <c r="D583" s="382">
        <v>4</v>
      </c>
      <c r="E583" s="947" t="e">
        <f>E591+E593+E594+E596+E600+E602+E604+E607+E611+E612+E615+E617+E618+E619+E622+E623+E624+E625+E626+E627</f>
        <v>#VALUE!</v>
      </c>
      <c r="F583" s="947">
        <f>F591+F593+F594+F596+F600+F602+F604+F607+F611+F612+F615+F617+F618+F619+F622+F623+F624+F625+F626+F627</f>
        <v>0</v>
      </c>
      <c r="G583" s="947">
        <f>G591+G592+G593+G594+G600+G602+G604+G605+G607+G608+G610+G611+G612+G615+G616+G617+G618+G622+G623+G624+G625+G626+G627</f>
        <v>0</v>
      </c>
      <c r="H583" s="947">
        <f>'Dcu-DKDD'!$L$149</f>
        <v>12753.708641826923</v>
      </c>
      <c r="I583" s="947">
        <f>'VL-DKDD'!$J$154</f>
        <v>29692.98</v>
      </c>
      <c r="J583" s="947">
        <f>'TB-DKDD'!$M$84</f>
        <v>10992.36</v>
      </c>
      <c r="K583" s="947">
        <f>'NL-DKDD'!$J$60</f>
        <v>23356.62</v>
      </c>
      <c r="L583" s="893" t="e">
        <f t="shared" si="114"/>
        <v>#VALUE!</v>
      </c>
      <c r="M583" s="893" t="e">
        <f>L583*'He so chung'!$D$17/100</f>
        <v>#VALUE!</v>
      </c>
      <c r="N583" s="893" t="e">
        <f t="shared" si="115"/>
        <v>#VALUE!</v>
      </c>
      <c r="O583" s="947"/>
      <c r="P583" s="947">
        <f>P591+P593+P594+P596+P600+P602+P604+P607+P611+P612+P615+P617+P618+P619+P622+P623+P624+P625+P626+P627</f>
        <v>45163.773076923077</v>
      </c>
      <c r="Q583" s="948"/>
      <c r="R583" s="948"/>
      <c r="S583" s="949"/>
      <c r="T583" s="845">
        <f>'[1]1,DG-capmoi'!N574</f>
        <v>1662509.1286313701</v>
      </c>
      <c r="U583" s="845" t="e">
        <f t="shared" si="108"/>
        <v>#VALUE!</v>
      </c>
    </row>
    <row r="584" spans="1:21" s="950" customFormat="1" ht="24" customHeight="1">
      <c r="A584" s="1128"/>
      <c r="B584" s="1125"/>
      <c r="C584" s="1124"/>
      <c r="D584" s="382">
        <v>5</v>
      </c>
      <c r="E584" s="947" t="e">
        <f>E591+E593+E594+E596+E601+E602+E604+E607+E611+E612+E615+E617+E618+E619+E622+E623+E624+E625+E626+E627</f>
        <v>#VALUE!</v>
      </c>
      <c r="F584" s="947">
        <f>F591+F593+F594+F596+F601+F602+F604+F607+F611+F612+F615+F617+F618+F619+F622+F623+F624+F625+F626+F627</f>
        <v>0</v>
      </c>
      <c r="G584" s="947">
        <f>G591+G592+G593+G594+G596+G601+G602+G604+G605+G607+G608+G610+G611+G612+G613+G615+G616+G617+G618+G622+G623+G624+G625+G626+G627</f>
        <v>0</v>
      </c>
      <c r="H584" s="947">
        <f>'Dcu-DKDD'!$L$149</f>
        <v>12753.708641826923</v>
      </c>
      <c r="I584" s="947">
        <f>'VL-DKDD'!$J$154</f>
        <v>29692.98</v>
      </c>
      <c r="J584" s="947">
        <f>'TB-DKDD'!$M$84</f>
        <v>10992.36</v>
      </c>
      <c r="K584" s="947">
        <f>'NL-DKDD'!$J$60</f>
        <v>23356.62</v>
      </c>
      <c r="L584" s="893" t="e">
        <f t="shared" si="114"/>
        <v>#VALUE!</v>
      </c>
      <c r="M584" s="893" t="e">
        <f>L584*'He so chung'!$D$17/100</f>
        <v>#VALUE!</v>
      </c>
      <c r="N584" s="893" t="e">
        <f t="shared" si="115"/>
        <v>#VALUE!</v>
      </c>
      <c r="O584" s="947"/>
      <c r="P584" s="947">
        <f>P591+P593+P594+P596+P601+P602+P604+P607+P611+P612+P615+P617+P618+P619+P622+P623+P624+P625+P626+P627</f>
        <v>46749.976923076923</v>
      </c>
      <c r="Q584" s="948"/>
      <c r="R584" s="948"/>
      <c r="S584" s="949"/>
      <c r="T584" s="845">
        <f>'[1]1,DG-capmoi'!N575</f>
        <v>1718680.1757823313</v>
      </c>
      <c r="U584" s="845" t="e">
        <f t="shared" si="108"/>
        <v>#VALUE!</v>
      </c>
    </row>
    <row r="585" spans="1:21" s="950" customFormat="1" ht="24" customHeight="1">
      <c r="A585" s="1126" t="s">
        <v>666</v>
      </c>
      <c r="B585" s="1125" t="s">
        <v>452</v>
      </c>
      <c r="C585" s="1124" t="s">
        <v>281</v>
      </c>
      <c r="D585" s="382">
        <v>1</v>
      </c>
      <c r="E585" s="947" t="e">
        <f>E592+E593+E594+E596+E597+E602+E603+E605+E607+E610+E612+E615+E617+E618+E619+E622+E623+E624+E625+E626+E627</f>
        <v>#VALUE!</v>
      </c>
      <c r="F585" s="947">
        <f>F592+F593+F594+F596+F597+F602+F603+F605+F607+F610+F612+F613+F615+F617+F618+F619+F622+F623+F624+F625+F626+F627</f>
        <v>0</v>
      </c>
      <c r="G585" s="947">
        <f>G596+G597+G598+G599+G601+G602+G607+G609+G610+G612+G613+G615+G616+G617+G618+G620+G621+G622+G623+G624+G627+G628+G629+G630+G631+G632</f>
        <v>0</v>
      </c>
      <c r="H585" s="947">
        <f>'Dcu-DKDD'!$L$149</f>
        <v>12753.708641826923</v>
      </c>
      <c r="I585" s="947">
        <f>'VL-DKDD'!$J$154</f>
        <v>29692.98</v>
      </c>
      <c r="J585" s="947">
        <f>'TB-DKDD'!$M$84</f>
        <v>10992.36</v>
      </c>
      <c r="K585" s="947">
        <f>'NL-DKDD'!$J$60</f>
        <v>23356.62</v>
      </c>
      <c r="L585" s="893" t="e">
        <f t="shared" si="114"/>
        <v>#VALUE!</v>
      </c>
      <c r="M585" s="893" t="e">
        <f>L585*'He so chung'!$D$17/100</f>
        <v>#VALUE!</v>
      </c>
      <c r="N585" s="893" t="e">
        <f t="shared" si="115"/>
        <v>#VALUE!</v>
      </c>
      <c r="O585" s="947"/>
      <c r="P585" s="947">
        <f>P592+P593+P594+P596+P597+P602+P603+P605+P607+P610+P612+P615+P617+P618+P619+P622+P623+P624+P625+P626+P627</f>
        <v>41093.746153846143</v>
      </c>
      <c r="Q585" s="948"/>
      <c r="R585" s="948"/>
      <c r="S585" s="949"/>
      <c r="T585" s="845">
        <f>'[1]1,DG-capmoi'!N576</f>
        <v>1519633.1420996396</v>
      </c>
      <c r="U585" s="845" t="e">
        <f t="shared" si="108"/>
        <v>#VALUE!</v>
      </c>
    </row>
    <row r="586" spans="1:21" s="950" customFormat="1" ht="24" customHeight="1">
      <c r="A586" s="1127"/>
      <c r="B586" s="1125"/>
      <c r="C586" s="1124"/>
      <c r="D586" s="382">
        <v>2</v>
      </c>
      <c r="E586" s="947" t="e">
        <f>E592+E593+E594+E596+E598+E602+E603+E605+E607+E610+E612+E615+E617+E618+E619+E622+E623+E624+E625+E626+E627</f>
        <v>#VALUE!</v>
      </c>
      <c r="F586" s="947">
        <f>F592+F593+F594+F596+F598+F602+F603+F605+F607+F610+F612+F613+F615+F617+F618+F619+F622+F623+F624+F625+F626+F627</f>
        <v>0</v>
      </c>
      <c r="G586" s="947">
        <f>G596+G597+G598+G599+G601+G603+G607+G609+G610+G612+G613+G615+G616+G617+G618+G620+G621+G622+G623+G624+G627+G628+G629+G630+G631+G632</f>
        <v>0</v>
      </c>
      <c r="H586" s="947">
        <f>'Dcu-DKDD'!$L$149</f>
        <v>12753.708641826923</v>
      </c>
      <c r="I586" s="947">
        <f>'VL-DKDD'!$J$154</f>
        <v>29692.98</v>
      </c>
      <c r="J586" s="947">
        <f>'TB-DKDD'!$M$84</f>
        <v>10992.36</v>
      </c>
      <c r="K586" s="947">
        <f>'NL-DKDD'!$J$60</f>
        <v>23356.62</v>
      </c>
      <c r="L586" s="893" t="e">
        <f t="shared" si="114"/>
        <v>#VALUE!</v>
      </c>
      <c r="M586" s="893" t="e">
        <f>L586*'He so chung'!$D$17/100</f>
        <v>#VALUE!</v>
      </c>
      <c r="N586" s="893" t="e">
        <f t="shared" si="115"/>
        <v>#VALUE!</v>
      </c>
      <c r="O586" s="947"/>
      <c r="P586" s="947">
        <f>P592+P593+P594+P596+P598+P602+P603+P605+P607+P610+P612+P615+P617+P618+P619+P622+P623+P624+P625+P626+P627</f>
        <v>42323.361538461533</v>
      </c>
      <c r="Q586" s="948"/>
      <c r="R586" s="948"/>
      <c r="S586" s="949"/>
      <c r="T586" s="845">
        <f>'[1]1,DG-capmoi'!N577</f>
        <v>1563176.5895034859</v>
      </c>
      <c r="U586" s="845" t="e">
        <f t="shared" si="108"/>
        <v>#VALUE!</v>
      </c>
    </row>
    <row r="587" spans="1:21" s="950" customFormat="1" ht="24" customHeight="1">
      <c r="A587" s="1127"/>
      <c r="B587" s="1125"/>
      <c r="C587" s="1124"/>
      <c r="D587" s="382">
        <v>3</v>
      </c>
      <c r="E587" s="947" t="e">
        <f>E592+E593+E594+E596+E599+E602+E603+E605+E607+E610+E612+E615+E617+E618+E619+E622+E623+E624+E625+E626+E627</f>
        <v>#VALUE!</v>
      </c>
      <c r="F587" s="947">
        <f>F592+F593+F594+F596+F599+F602+F603+F605+F607+F610+F612+F613+F615+F617+F618+F619+F622+F623+F624+F625+F626+F627</f>
        <v>0</v>
      </c>
      <c r="G587" s="947">
        <f>G592+G593+G594+G596+G599+G602+G603+G605+G607+G610+G612+G613+G615+G617+G618+G619+G622+G623+G624+G625+G626+G627</f>
        <v>0</v>
      </c>
      <c r="H587" s="947">
        <f>'Dcu-DKDD'!$L$149</f>
        <v>12753.708641826923</v>
      </c>
      <c r="I587" s="947">
        <f>'VL-DKDD'!$J$154</f>
        <v>29692.98</v>
      </c>
      <c r="J587" s="947">
        <f>'TB-DKDD'!$M$84</f>
        <v>10992.36</v>
      </c>
      <c r="K587" s="947">
        <f>'NL-DKDD'!$J$60</f>
        <v>23356.62</v>
      </c>
      <c r="L587" s="893" t="e">
        <f t="shared" si="114"/>
        <v>#VALUE!</v>
      </c>
      <c r="M587" s="893" t="e">
        <f>L587*'He so chung'!$D$17/100</f>
        <v>#VALUE!</v>
      </c>
      <c r="N587" s="893" t="e">
        <f t="shared" si="115"/>
        <v>#VALUE!</v>
      </c>
      <c r="O587" s="947"/>
      <c r="P587" s="947">
        <f>P592+P593+P594+P596+P599+P602+P603+P605+P607+P610+P612+P615+P617+P618+P619+P622+P623+P624+P625+P626+P627</f>
        <v>43675.938461538462</v>
      </c>
      <c r="Q587" s="948"/>
      <c r="R587" s="948"/>
      <c r="S587" s="949"/>
      <c r="T587" s="845">
        <f>'[1]1,DG-capmoi'!N578</f>
        <v>1611074.3816477163</v>
      </c>
      <c r="U587" s="845" t="e">
        <f t="shared" si="108"/>
        <v>#VALUE!</v>
      </c>
    </row>
    <row r="588" spans="1:21" s="950" customFormat="1" ht="24" customHeight="1">
      <c r="A588" s="1127"/>
      <c r="B588" s="1125"/>
      <c r="C588" s="1124"/>
      <c r="D588" s="382">
        <v>4</v>
      </c>
      <c r="E588" s="947" t="e">
        <f>E592+E593+E594+E596+E600+E602+E603+E605+E607+E610+E612+E615+E617+E618+E619+E622+E623+E624+E625+E626+E627</f>
        <v>#VALUE!</v>
      </c>
      <c r="F588" s="947">
        <f>F592+F593+F594+F596+F600+F602+F603+F605+F607+F610+F612+F613+F615+F617+F618+F619+F622+F623+F624+F625+F626+F627</f>
        <v>0</v>
      </c>
      <c r="G588" s="947">
        <f>G596+G597+G598+G599+G605+G607+G609+G610+G612+G613+G615+G616+G617+G620+G621+G622+G623+G627+G628+G629+G630+G631+G632</f>
        <v>0</v>
      </c>
      <c r="H588" s="947">
        <f>'Dcu-DKDD'!$L$149</f>
        <v>12753.708641826923</v>
      </c>
      <c r="I588" s="947">
        <f>'VL-DKDD'!$J$154</f>
        <v>29692.98</v>
      </c>
      <c r="J588" s="947">
        <f>'TB-DKDD'!$M$84</f>
        <v>10992.36</v>
      </c>
      <c r="K588" s="947">
        <f>'NL-DKDD'!$J$60</f>
        <v>23356.62</v>
      </c>
      <c r="L588" s="893" t="e">
        <f t="shared" si="114"/>
        <v>#VALUE!</v>
      </c>
      <c r="M588" s="893" t="e">
        <f>L588*'He so chung'!$D$17/100</f>
        <v>#VALUE!</v>
      </c>
      <c r="N588" s="893" t="e">
        <f t="shared" si="115"/>
        <v>#VALUE!</v>
      </c>
      <c r="O588" s="947"/>
      <c r="P588" s="947">
        <f>P592+P593+P594+P596+P600+P602+P603+P605+P607+P610+P612+P615+P617+P618+P619+P622+P623+P624+P625+P626+P627</f>
        <v>45163.773076923084</v>
      </c>
      <c r="Q588" s="948"/>
      <c r="R588" s="948"/>
      <c r="S588" s="949"/>
      <c r="T588" s="845">
        <f>'[1]1,DG-capmoi'!N579</f>
        <v>1663761.9530063702</v>
      </c>
      <c r="U588" s="845" t="e">
        <f t="shared" si="108"/>
        <v>#VALUE!</v>
      </c>
    </row>
    <row r="589" spans="1:21" s="950" customFormat="1" ht="24" customHeight="1">
      <c r="A589" s="1128"/>
      <c r="B589" s="1125"/>
      <c r="C589" s="1124"/>
      <c r="D589" s="382">
        <v>5</v>
      </c>
      <c r="E589" s="947" t="e">
        <f>E592+E593+E594+E596+E601+E602+E603+E605+E607+E610+E612+E615+E617+E618+E619+E622+E623+E624+E625+E626+E627</f>
        <v>#VALUE!</v>
      </c>
      <c r="F589" s="947">
        <f>F592+F593+F594+F596+F601+F602+F603+F605+F607+F610+F612+F613+F615+F617+F618+F619+F622+F623+F624+F625+F626+F627</f>
        <v>0</v>
      </c>
      <c r="G589" s="947">
        <f>G596+G597+G598+G599+G601+G606+G607+G609+G610+G612+G613+G615+G616+G617+G618+G620+G621+G622+G623+G627+G628+G629+G630+G631+G632</f>
        <v>0</v>
      </c>
      <c r="H589" s="947">
        <f>'Dcu-DKDD'!$L$149</f>
        <v>12753.708641826923</v>
      </c>
      <c r="I589" s="947">
        <f>'VL-DKDD'!$J$154</f>
        <v>29692.98</v>
      </c>
      <c r="J589" s="947">
        <f>'TB-DKDD'!$M$84</f>
        <v>10992.36</v>
      </c>
      <c r="K589" s="947">
        <f>'NL-DKDD'!$J$60</f>
        <v>23356.62</v>
      </c>
      <c r="L589" s="893" t="e">
        <f t="shared" si="114"/>
        <v>#VALUE!</v>
      </c>
      <c r="M589" s="893" t="e">
        <f>L589*'He so chung'!$D$17/100</f>
        <v>#VALUE!</v>
      </c>
      <c r="N589" s="893" t="e">
        <f t="shared" si="115"/>
        <v>#VALUE!</v>
      </c>
      <c r="O589" s="947"/>
      <c r="P589" s="947">
        <f>P592+P593+P594+P596+P601+P602+P603+P605+P607+P610+P612+P615+P617+P618+P619+P622+P623+P624+P625+P626+P627</f>
        <v>46749.976923076923</v>
      </c>
      <c r="Q589" s="948"/>
      <c r="R589" s="948"/>
      <c r="S589" s="949"/>
      <c r="T589" s="845">
        <f>'[1]1,DG-capmoi'!N580</f>
        <v>1719933.0001573316</v>
      </c>
      <c r="U589" s="845" t="e">
        <f t="shared" si="108"/>
        <v>#VALUE!</v>
      </c>
    </row>
    <row r="590" spans="1:21" s="950" customFormat="1" ht="26.45" customHeight="1">
      <c r="A590" s="832">
        <v>1</v>
      </c>
      <c r="B590" s="827" t="s">
        <v>31</v>
      </c>
      <c r="C590" s="832"/>
      <c r="D590" s="951"/>
      <c r="E590" s="952"/>
      <c r="F590" s="947"/>
      <c r="G590" s="947"/>
      <c r="H590" s="947"/>
      <c r="I590" s="947"/>
      <c r="J590" s="947"/>
      <c r="K590" s="947"/>
      <c r="L590" s="947"/>
      <c r="M590" s="893"/>
      <c r="N590" s="947"/>
      <c r="O590" s="947"/>
      <c r="P590" s="947"/>
      <c r="Q590" s="948"/>
      <c r="R590" s="948"/>
      <c r="S590" s="949"/>
      <c r="T590" s="845">
        <f>'[1]1,DG-capmoi'!N581</f>
        <v>0</v>
      </c>
      <c r="U590" s="845">
        <f t="shared" si="108"/>
        <v>0</v>
      </c>
    </row>
    <row r="591" spans="1:21" s="950" customFormat="1" ht="30" customHeight="1">
      <c r="A591" s="832" t="s">
        <v>891</v>
      </c>
      <c r="B591" s="827" t="s">
        <v>33</v>
      </c>
      <c r="C591" s="832" t="s">
        <v>281</v>
      </c>
      <c r="D591" s="901" t="s">
        <v>881</v>
      </c>
      <c r="E591" s="952" t="e">
        <f>NC_DKDD!H387</f>
        <v>#VALUE!</v>
      </c>
      <c r="F591" s="947"/>
      <c r="G591" s="947"/>
      <c r="H591" s="947"/>
      <c r="I591" s="947"/>
      <c r="J591" s="947"/>
      <c r="K591" s="947"/>
      <c r="L591" s="947"/>
      <c r="M591" s="893"/>
      <c r="N591" s="947"/>
      <c r="O591" s="947"/>
      <c r="P591" s="952">
        <f>Q591+R591</f>
        <v>1229.6153846153848</v>
      </c>
      <c r="Q591" s="953">
        <f t="shared" ref="Q591:Q602" si="116">S591*$Q$579</f>
        <v>1069.2307692307693</v>
      </c>
      <c r="R591" s="856">
        <f>S591*$R$579</f>
        <v>160.38461538461539</v>
      </c>
      <c r="S591" s="954">
        <f>NC_DKDD!G387</f>
        <v>0.2</v>
      </c>
      <c r="T591" s="845">
        <f>'[1]1,DG-capmoi'!N582</f>
        <v>0</v>
      </c>
      <c r="U591" s="845">
        <f t="shared" si="108"/>
        <v>0</v>
      </c>
    </row>
    <row r="592" spans="1:21" s="950" customFormat="1" ht="30" customHeight="1">
      <c r="A592" s="832" t="s">
        <v>899</v>
      </c>
      <c r="B592" s="827" t="s">
        <v>36</v>
      </c>
      <c r="C592" s="832" t="s">
        <v>281</v>
      </c>
      <c r="D592" s="901" t="s">
        <v>881</v>
      </c>
      <c r="E592" s="952" t="e">
        <f>NC_DKDD!H388</f>
        <v>#VALUE!</v>
      </c>
      <c r="F592" s="947"/>
      <c r="G592" s="947"/>
      <c r="H592" s="947"/>
      <c r="I592" s="947"/>
      <c r="J592" s="947"/>
      <c r="K592" s="947"/>
      <c r="L592" s="947"/>
      <c r="M592" s="893"/>
      <c r="N592" s="947"/>
      <c r="O592" s="947"/>
      <c r="P592" s="952">
        <f t="shared" ref="P592:P631" si="117">Q592+R592</f>
        <v>922.21153846153834</v>
      </c>
      <c r="Q592" s="856">
        <f t="shared" si="116"/>
        <v>801.92307692307679</v>
      </c>
      <c r="R592" s="856">
        <f t="shared" ref="R592:R631" si="118">S592*$R$579</f>
        <v>120.28846153846153</v>
      </c>
      <c r="S592" s="954">
        <f>NC_DKDD!G388</f>
        <v>0.15</v>
      </c>
      <c r="T592" s="845">
        <f>'[1]1,DG-capmoi'!N583</f>
        <v>0</v>
      </c>
      <c r="U592" s="845">
        <f t="shared" si="108"/>
        <v>0</v>
      </c>
    </row>
    <row r="593" spans="1:21" s="950" customFormat="1" ht="42.75">
      <c r="A593" s="832">
        <v>2</v>
      </c>
      <c r="B593" s="827" t="s">
        <v>37</v>
      </c>
      <c r="C593" s="832" t="s">
        <v>281</v>
      </c>
      <c r="D593" s="901" t="s">
        <v>881</v>
      </c>
      <c r="E593" s="952" t="e">
        <f>NC_DKDD!H389</f>
        <v>#VALUE!</v>
      </c>
      <c r="F593" s="947"/>
      <c r="G593" s="947"/>
      <c r="H593" s="947"/>
      <c r="I593" s="947"/>
      <c r="J593" s="947"/>
      <c r="K593" s="947"/>
      <c r="L593" s="947"/>
      <c r="M593" s="893"/>
      <c r="N593" s="947"/>
      <c r="O593" s="947"/>
      <c r="P593" s="952">
        <f t="shared" si="117"/>
        <v>3074.0384615384614</v>
      </c>
      <c r="Q593" s="856">
        <f t="shared" si="116"/>
        <v>2673.0769230769229</v>
      </c>
      <c r="R593" s="856">
        <f t="shared" si="118"/>
        <v>400.96153846153845</v>
      </c>
      <c r="S593" s="954">
        <f>NC_DKDD!G389</f>
        <v>0.5</v>
      </c>
      <c r="T593" s="845">
        <f>'[1]1,DG-capmoi'!N584</f>
        <v>0</v>
      </c>
      <c r="U593" s="845">
        <f t="shared" si="108"/>
        <v>0</v>
      </c>
    </row>
    <row r="594" spans="1:21" s="950" customFormat="1" ht="31.5" customHeight="1">
      <c r="A594" s="832">
        <v>3</v>
      </c>
      <c r="B594" s="827" t="s">
        <v>1078</v>
      </c>
      <c r="C594" s="832" t="s">
        <v>523</v>
      </c>
      <c r="D594" s="901" t="s">
        <v>881</v>
      </c>
      <c r="E594" s="952" t="e">
        <f>NC_DKDD!H390</f>
        <v>#VALUE!</v>
      </c>
      <c r="F594" s="947"/>
      <c r="G594" s="947"/>
      <c r="H594" s="947"/>
      <c r="I594" s="947"/>
      <c r="J594" s="947"/>
      <c r="K594" s="947"/>
      <c r="L594" s="947"/>
      <c r="M594" s="893"/>
      <c r="N594" s="947"/>
      <c r="O594" s="947"/>
      <c r="P594" s="952">
        <f t="shared" si="117"/>
        <v>657.84423076923065</v>
      </c>
      <c r="Q594" s="856">
        <f t="shared" si="116"/>
        <v>572.03846153846143</v>
      </c>
      <c r="R594" s="856">
        <f t="shared" si="118"/>
        <v>85.805769230769229</v>
      </c>
      <c r="S594" s="954">
        <f>NC_DKDD!G390</f>
        <v>0.107</v>
      </c>
      <c r="T594" s="845">
        <f>'[1]1,DG-capmoi'!N585</f>
        <v>0</v>
      </c>
      <c r="U594" s="845">
        <f t="shared" si="108"/>
        <v>0</v>
      </c>
    </row>
    <row r="595" spans="1:21" s="950" customFormat="1" ht="45.75" customHeight="1">
      <c r="A595" s="832">
        <v>4</v>
      </c>
      <c r="B595" s="827" t="s">
        <v>1079</v>
      </c>
      <c r="C595" s="832"/>
      <c r="D595" s="832"/>
      <c r="E595" s="952"/>
      <c r="F595" s="947"/>
      <c r="G595" s="947"/>
      <c r="H595" s="947"/>
      <c r="I595" s="947"/>
      <c r="J595" s="947"/>
      <c r="K595" s="947"/>
      <c r="L595" s="947"/>
      <c r="M595" s="893"/>
      <c r="N595" s="947"/>
      <c r="O595" s="947"/>
      <c r="P595" s="952">
        <f t="shared" si="117"/>
        <v>0</v>
      </c>
      <c r="Q595" s="856">
        <f t="shared" si="116"/>
        <v>0</v>
      </c>
      <c r="R595" s="856">
        <f t="shared" si="118"/>
        <v>0</v>
      </c>
      <c r="S595" s="954">
        <f>NC_DKDD!G391</f>
        <v>0</v>
      </c>
      <c r="T595" s="845">
        <f>'[1]1,DG-capmoi'!N586</f>
        <v>0</v>
      </c>
      <c r="U595" s="845">
        <f t="shared" si="108"/>
        <v>0</v>
      </c>
    </row>
    <row r="596" spans="1:21" s="950" customFormat="1" ht="31.5" customHeight="1">
      <c r="A596" s="832" t="s">
        <v>251</v>
      </c>
      <c r="B596" s="827" t="s">
        <v>1080</v>
      </c>
      <c r="C596" s="832" t="s">
        <v>281</v>
      </c>
      <c r="D596" s="901" t="s">
        <v>881</v>
      </c>
      <c r="E596" s="952" t="e">
        <f>NC_DKDD!H392</f>
        <v>#VALUE!</v>
      </c>
      <c r="F596" s="947"/>
      <c r="G596" s="947"/>
      <c r="H596" s="947"/>
      <c r="I596" s="947"/>
      <c r="J596" s="947"/>
      <c r="K596" s="947"/>
      <c r="L596" s="947"/>
      <c r="M596" s="893"/>
      <c r="N596" s="947"/>
      <c r="O596" s="947"/>
      <c r="P596" s="952">
        <f t="shared" si="117"/>
        <v>12296.153846153846</v>
      </c>
      <c r="Q596" s="856">
        <f t="shared" si="116"/>
        <v>10692.307692307691</v>
      </c>
      <c r="R596" s="856">
        <f t="shared" si="118"/>
        <v>1603.8461538461538</v>
      </c>
      <c r="S596" s="954">
        <f>NC_DKDD!G392</f>
        <v>2</v>
      </c>
      <c r="T596" s="845">
        <f>'[1]1,DG-capmoi'!N587</f>
        <v>0</v>
      </c>
      <c r="U596" s="845">
        <f t="shared" si="108"/>
        <v>0</v>
      </c>
    </row>
    <row r="597" spans="1:21" s="950" customFormat="1" ht="24.75" customHeight="1">
      <c r="A597" s="1133" t="s">
        <v>252</v>
      </c>
      <c r="B597" s="1137" t="s">
        <v>1081</v>
      </c>
      <c r="C597" s="1116" t="s">
        <v>281</v>
      </c>
      <c r="D597" s="832">
        <v>1</v>
      </c>
      <c r="E597" s="952" t="e">
        <f>NC_DKDD!H393</f>
        <v>#VALUE!</v>
      </c>
      <c r="F597" s="947"/>
      <c r="G597" s="947"/>
      <c r="H597" s="947"/>
      <c r="I597" s="947"/>
      <c r="J597" s="947"/>
      <c r="K597" s="947"/>
      <c r="L597" s="947"/>
      <c r="M597" s="893"/>
      <c r="N597" s="947"/>
      <c r="O597" s="947"/>
      <c r="P597" s="952">
        <f t="shared" si="117"/>
        <v>12296.153846153846</v>
      </c>
      <c r="Q597" s="856">
        <f t="shared" si="116"/>
        <v>10692.307692307691</v>
      </c>
      <c r="R597" s="856">
        <f>S597*$R$579</f>
        <v>1603.8461538461538</v>
      </c>
      <c r="S597" s="954">
        <f>NC_DKDD!G393</f>
        <v>2</v>
      </c>
      <c r="T597" s="845">
        <f>'[1]1,DG-capmoi'!N588</f>
        <v>0</v>
      </c>
      <c r="U597" s="845">
        <f t="shared" si="108"/>
        <v>0</v>
      </c>
    </row>
    <row r="598" spans="1:21" s="950" customFormat="1" ht="24.75" customHeight="1">
      <c r="A598" s="1134"/>
      <c r="B598" s="1137"/>
      <c r="C598" s="1116"/>
      <c r="D598" s="832">
        <v>2</v>
      </c>
      <c r="E598" s="952" t="e">
        <f>NC_DKDD!H394</f>
        <v>#VALUE!</v>
      </c>
      <c r="F598" s="947"/>
      <c r="G598" s="947"/>
      <c r="H598" s="947"/>
      <c r="I598" s="947"/>
      <c r="J598" s="947"/>
      <c r="K598" s="947"/>
      <c r="L598" s="947"/>
      <c r="M598" s="893"/>
      <c r="N598" s="947"/>
      <c r="O598" s="947"/>
      <c r="P598" s="952">
        <f t="shared" si="117"/>
        <v>13525.76923076923</v>
      </c>
      <c r="Q598" s="856">
        <f t="shared" si="116"/>
        <v>11761.538461538461</v>
      </c>
      <c r="R598" s="856">
        <f t="shared" si="118"/>
        <v>1764.2307692307693</v>
      </c>
      <c r="S598" s="954">
        <f>NC_DKDD!G394</f>
        <v>2.2000000000000002</v>
      </c>
      <c r="T598" s="845">
        <f>'[1]1,DG-capmoi'!N589</f>
        <v>0</v>
      </c>
      <c r="U598" s="845">
        <f t="shared" si="108"/>
        <v>0</v>
      </c>
    </row>
    <row r="599" spans="1:21" s="950" customFormat="1" ht="24.75" customHeight="1">
      <c r="A599" s="1134"/>
      <c r="B599" s="1137"/>
      <c r="C599" s="1116"/>
      <c r="D599" s="832">
        <v>3</v>
      </c>
      <c r="E599" s="952" t="e">
        <f>NC_DKDD!H395</f>
        <v>#VALUE!</v>
      </c>
      <c r="F599" s="947"/>
      <c r="G599" s="947"/>
      <c r="H599" s="947"/>
      <c r="I599" s="947"/>
      <c r="J599" s="947"/>
      <c r="K599" s="947"/>
      <c r="L599" s="947"/>
      <c r="M599" s="893"/>
      <c r="N599" s="947"/>
      <c r="O599" s="947"/>
      <c r="P599" s="952">
        <f t="shared" si="117"/>
        <v>14878.346153846152</v>
      </c>
      <c r="Q599" s="856">
        <f t="shared" si="116"/>
        <v>12937.692307692307</v>
      </c>
      <c r="R599" s="856">
        <f t="shared" si="118"/>
        <v>1940.653846153846</v>
      </c>
      <c r="S599" s="954">
        <f>NC_DKDD!G395</f>
        <v>2.42</v>
      </c>
      <c r="T599" s="845">
        <f>'[1]1,DG-capmoi'!N590</f>
        <v>0</v>
      </c>
      <c r="U599" s="845">
        <f t="shared" si="108"/>
        <v>0</v>
      </c>
    </row>
    <row r="600" spans="1:21" s="950" customFormat="1" ht="24.75" customHeight="1">
      <c r="A600" s="1134"/>
      <c r="B600" s="1137"/>
      <c r="C600" s="1116"/>
      <c r="D600" s="832">
        <v>4</v>
      </c>
      <c r="E600" s="952" t="e">
        <f>NC_DKDD!H396</f>
        <v>#VALUE!</v>
      </c>
      <c r="F600" s="947"/>
      <c r="G600" s="947"/>
      <c r="H600" s="947"/>
      <c r="I600" s="947"/>
      <c r="J600" s="947"/>
      <c r="K600" s="947"/>
      <c r="L600" s="947"/>
      <c r="M600" s="893"/>
      <c r="N600" s="947"/>
      <c r="O600" s="947"/>
      <c r="P600" s="952">
        <f t="shared" si="117"/>
        <v>16366.180769230768</v>
      </c>
      <c r="Q600" s="856">
        <f t="shared" si="116"/>
        <v>14231.461538461537</v>
      </c>
      <c r="R600" s="856">
        <f t="shared" si="118"/>
        <v>2134.7192307692308</v>
      </c>
      <c r="S600" s="954">
        <f>NC_DKDD!G396</f>
        <v>2.6619999999999999</v>
      </c>
      <c r="T600" s="845">
        <f>'[1]1,DG-capmoi'!N591</f>
        <v>0</v>
      </c>
      <c r="U600" s="845">
        <f t="shared" si="108"/>
        <v>0</v>
      </c>
    </row>
    <row r="601" spans="1:21" s="950" customFormat="1" ht="24.75" customHeight="1">
      <c r="A601" s="1135"/>
      <c r="B601" s="1137"/>
      <c r="C601" s="1116"/>
      <c r="D601" s="832">
        <v>5</v>
      </c>
      <c r="E601" s="952" t="e">
        <f>NC_DKDD!H397</f>
        <v>#VALUE!</v>
      </c>
      <c r="F601" s="947"/>
      <c r="G601" s="947"/>
      <c r="H601" s="947"/>
      <c r="I601" s="947"/>
      <c r="J601" s="947"/>
      <c r="K601" s="947"/>
      <c r="L601" s="947"/>
      <c r="M601" s="893"/>
      <c r="N601" s="947"/>
      <c r="O601" s="947"/>
      <c r="P601" s="952">
        <f t="shared" si="117"/>
        <v>17952.384615384613</v>
      </c>
      <c r="Q601" s="856">
        <f t="shared" si="116"/>
        <v>15610.769230769229</v>
      </c>
      <c r="R601" s="856">
        <f t="shared" si="118"/>
        <v>2341.6153846153843</v>
      </c>
      <c r="S601" s="954">
        <f>NC_DKDD!G397</f>
        <v>2.92</v>
      </c>
      <c r="T601" s="845">
        <f>'[1]1,DG-capmoi'!N592</f>
        <v>0</v>
      </c>
      <c r="U601" s="845">
        <f t="shared" si="108"/>
        <v>0</v>
      </c>
    </row>
    <row r="602" spans="1:21" s="950" customFormat="1" ht="30.75" customHeight="1">
      <c r="A602" s="832" t="s">
        <v>1082</v>
      </c>
      <c r="B602" s="827" t="s">
        <v>1083</v>
      </c>
      <c r="C602" s="832" t="s">
        <v>523</v>
      </c>
      <c r="D602" s="901" t="s">
        <v>881</v>
      </c>
      <c r="E602" s="952" t="e">
        <f>NC_DKDD!H398</f>
        <v>#VALUE!</v>
      </c>
      <c r="F602" s="947"/>
      <c r="G602" s="947"/>
      <c r="H602" s="947"/>
      <c r="I602" s="947"/>
      <c r="J602" s="947"/>
      <c r="K602" s="947"/>
      <c r="L602" s="947"/>
      <c r="M602" s="893"/>
      <c r="N602" s="947"/>
      <c r="O602" s="947"/>
      <c r="P602" s="952">
        <f t="shared" si="117"/>
        <v>18.444230769230767</v>
      </c>
      <c r="Q602" s="856">
        <f t="shared" si="116"/>
        <v>16.038461538461537</v>
      </c>
      <c r="R602" s="856">
        <f t="shared" si="118"/>
        <v>2.4057692307692307</v>
      </c>
      <c r="S602" s="954">
        <f>NC_DKDD!G398</f>
        <v>3.0000000000000001E-3</v>
      </c>
      <c r="T602" s="845">
        <f>'[1]1,DG-capmoi'!N593</f>
        <v>0</v>
      </c>
      <c r="U602" s="845">
        <f t="shared" si="108"/>
        <v>0</v>
      </c>
    </row>
    <row r="603" spans="1:21" s="950" customFormat="1" ht="30.75" customHeight="1">
      <c r="A603" s="832" t="s">
        <v>1084</v>
      </c>
      <c r="B603" s="827" t="s">
        <v>1085</v>
      </c>
      <c r="C603" s="832"/>
      <c r="D603" s="832"/>
      <c r="E603" s="952">
        <f>NC_DKDD!H399</f>
        <v>0</v>
      </c>
      <c r="F603" s="947"/>
      <c r="G603" s="947"/>
      <c r="H603" s="947"/>
      <c r="I603" s="947"/>
      <c r="J603" s="947"/>
      <c r="K603" s="947"/>
      <c r="L603" s="947"/>
      <c r="M603" s="893"/>
      <c r="N603" s="947"/>
      <c r="O603" s="947"/>
      <c r="P603" s="952">
        <f t="shared" si="117"/>
        <v>0</v>
      </c>
      <c r="Q603" s="856">
        <f t="shared" ref="Q603:Q631" si="119">S603*$Q$579</f>
        <v>0</v>
      </c>
      <c r="R603" s="856">
        <f t="shared" si="118"/>
        <v>0</v>
      </c>
      <c r="S603" s="954">
        <f>NC_DKDD!G399</f>
        <v>0</v>
      </c>
      <c r="T603" s="845">
        <f>'[1]1,DG-capmoi'!N594</f>
        <v>0</v>
      </c>
      <c r="U603" s="845">
        <f t="shared" si="108"/>
        <v>0</v>
      </c>
    </row>
    <row r="604" spans="1:21" s="950" customFormat="1" ht="26.45" customHeight="1">
      <c r="A604" s="832" t="s">
        <v>1086</v>
      </c>
      <c r="B604" s="827" t="s">
        <v>33</v>
      </c>
      <c r="C604" s="832" t="s">
        <v>281</v>
      </c>
      <c r="D604" s="901" t="s">
        <v>881</v>
      </c>
      <c r="E604" s="952" t="e">
        <f>NC_DKDD!H400</f>
        <v>#VALUE!</v>
      </c>
      <c r="F604" s="947"/>
      <c r="G604" s="947"/>
      <c r="H604" s="947"/>
      <c r="I604" s="947"/>
      <c r="J604" s="947"/>
      <c r="K604" s="947"/>
      <c r="L604" s="947"/>
      <c r="M604" s="893"/>
      <c r="N604" s="947"/>
      <c r="O604" s="947"/>
      <c r="P604" s="952">
        <f t="shared" si="117"/>
        <v>0</v>
      </c>
      <c r="Q604" s="856">
        <f t="shared" si="119"/>
        <v>0</v>
      </c>
      <c r="R604" s="856">
        <f t="shared" si="118"/>
        <v>0</v>
      </c>
      <c r="S604" s="954">
        <f>NC_DKDD!G400</f>
        <v>0</v>
      </c>
      <c r="T604" s="845">
        <f>'[1]1,DG-capmoi'!N595</f>
        <v>0</v>
      </c>
      <c r="U604" s="845">
        <f t="shared" si="108"/>
        <v>0</v>
      </c>
    </row>
    <row r="605" spans="1:21" s="950" customFormat="1" ht="26.45" customHeight="1">
      <c r="A605" s="832" t="s">
        <v>1087</v>
      </c>
      <c r="B605" s="827" t="s">
        <v>1088</v>
      </c>
      <c r="C605" s="832" t="s">
        <v>281</v>
      </c>
      <c r="D605" s="901" t="s">
        <v>881</v>
      </c>
      <c r="E605" s="952" t="e">
        <f>NC_DKDD!H401</f>
        <v>#VALUE!</v>
      </c>
      <c r="F605" s="947"/>
      <c r="G605" s="947"/>
      <c r="H605" s="947"/>
      <c r="I605" s="947"/>
      <c r="J605" s="947"/>
      <c r="K605" s="947"/>
      <c r="L605" s="947"/>
      <c r="M605" s="893"/>
      <c r="N605" s="947"/>
      <c r="O605" s="947"/>
      <c r="P605" s="952">
        <f t="shared" si="117"/>
        <v>0</v>
      </c>
      <c r="Q605" s="856">
        <f t="shared" si="119"/>
        <v>0</v>
      </c>
      <c r="R605" s="856">
        <f t="shared" si="118"/>
        <v>0</v>
      </c>
      <c r="S605" s="954">
        <f>NC_DKDD!G401</f>
        <v>0</v>
      </c>
      <c r="T605" s="845">
        <f>'[1]1,DG-capmoi'!N596</f>
        <v>0</v>
      </c>
      <c r="U605" s="845">
        <f t="shared" si="108"/>
        <v>0</v>
      </c>
    </row>
    <row r="606" spans="1:21" s="950" customFormat="1" ht="57">
      <c r="A606" s="832" t="s">
        <v>1089</v>
      </c>
      <c r="B606" s="827" t="s">
        <v>1090</v>
      </c>
      <c r="C606" s="832"/>
      <c r="D606" s="832"/>
      <c r="E606" s="952">
        <f>NC_DKDD!H402</f>
        <v>0</v>
      </c>
      <c r="F606" s="947"/>
      <c r="G606" s="947"/>
      <c r="H606" s="947"/>
      <c r="I606" s="947"/>
      <c r="J606" s="947"/>
      <c r="K606" s="947"/>
      <c r="L606" s="947"/>
      <c r="M606" s="893"/>
      <c r="N606" s="947"/>
      <c r="O606" s="947"/>
      <c r="P606" s="952">
        <f t="shared" si="117"/>
        <v>0</v>
      </c>
      <c r="Q606" s="856">
        <f t="shared" si="119"/>
        <v>0</v>
      </c>
      <c r="R606" s="856">
        <f t="shared" si="118"/>
        <v>0</v>
      </c>
      <c r="S606" s="954">
        <f>NC_DKDD!G402</f>
        <v>0</v>
      </c>
      <c r="T606" s="845">
        <f>'[1]1,DG-capmoi'!N597</f>
        <v>0</v>
      </c>
      <c r="U606" s="845">
        <f t="shared" si="108"/>
        <v>0</v>
      </c>
    </row>
    <row r="607" spans="1:21" s="950" customFormat="1" ht="26.45" customHeight="1">
      <c r="A607" s="832" t="s">
        <v>73</v>
      </c>
      <c r="B607" s="827" t="s">
        <v>770</v>
      </c>
      <c r="C607" s="832" t="s">
        <v>523</v>
      </c>
      <c r="D607" s="901" t="s">
        <v>881</v>
      </c>
      <c r="E607" s="952" t="e">
        <f>NC_DKDD!H403</f>
        <v>#VALUE!</v>
      </c>
      <c r="F607" s="947"/>
      <c r="G607" s="947"/>
      <c r="H607" s="947"/>
      <c r="I607" s="947"/>
      <c r="J607" s="947"/>
      <c r="K607" s="947"/>
      <c r="L607" s="947"/>
      <c r="M607" s="893"/>
      <c r="N607" s="947"/>
      <c r="O607" s="947"/>
      <c r="P607" s="952">
        <f t="shared" si="117"/>
        <v>614.80769230769238</v>
      </c>
      <c r="Q607" s="856">
        <f t="shared" si="119"/>
        <v>534.61538461538464</v>
      </c>
      <c r="R607" s="856">
        <f t="shared" si="118"/>
        <v>80.192307692307693</v>
      </c>
      <c r="S607" s="954">
        <f>NC_DKDD!G403</f>
        <v>0.1</v>
      </c>
      <c r="T607" s="845">
        <f>'[1]1,DG-capmoi'!N598</f>
        <v>0</v>
      </c>
      <c r="U607" s="845">
        <f t="shared" si="108"/>
        <v>0</v>
      </c>
    </row>
    <row r="608" spans="1:21" s="950" customFormat="1" ht="26.45" customHeight="1">
      <c r="A608" s="832" t="s">
        <v>74</v>
      </c>
      <c r="B608" s="827" t="s">
        <v>771</v>
      </c>
      <c r="C608" s="832" t="s">
        <v>523</v>
      </c>
      <c r="D608" s="901" t="s">
        <v>881</v>
      </c>
      <c r="E608" s="952" t="e">
        <f>NC_DKDD!H404</f>
        <v>#VALUE!</v>
      </c>
      <c r="F608" s="947"/>
      <c r="G608" s="947"/>
      <c r="H608" s="947"/>
      <c r="I608" s="947"/>
      <c r="J608" s="947"/>
      <c r="K608" s="947"/>
      <c r="L608" s="947"/>
      <c r="M608" s="893"/>
      <c r="N608" s="947"/>
      <c r="O608" s="947"/>
      <c r="P608" s="952">
        <f t="shared" si="117"/>
        <v>1229.6153846153848</v>
      </c>
      <c r="Q608" s="856">
        <f t="shared" si="119"/>
        <v>1069.2307692307693</v>
      </c>
      <c r="R608" s="856">
        <f t="shared" si="118"/>
        <v>160.38461538461539</v>
      </c>
      <c r="S608" s="954">
        <f>NC_DKDD!G404</f>
        <v>0.2</v>
      </c>
      <c r="T608" s="845">
        <f>'[1]1,DG-capmoi'!N599</f>
        <v>0</v>
      </c>
      <c r="U608" s="845">
        <f t="shared" si="108"/>
        <v>0</v>
      </c>
    </row>
    <row r="609" spans="1:21" s="950" customFormat="1" ht="42.75">
      <c r="A609" s="832">
        <v>5</v>
      </c>
      <c r="B609" s="827" t="s">
        <v>772</v>
      </c>
      <c r="C609" s="832"/>
      <c r="D609" s="832"/>
      <c r="E609" s="952">
        <f>NC_DKDD!H405</f>
        <v>0</v>
      </c>
      <c r="F609" s="947"/>
      <c r="G609" s="947"/>
      <c r="H609" s="947"/>
      <c r="I609" s="947"/>
      <c r="J609" s="947"/>
      <c r="K609" s="947"/>
      <c r="L609" s="947"/>
      <c r="M609" s="893"/>
      <c r="N609" s="947"/>
      <c r="O609" s="947"/>
      <c r="P609" s="952">
        <f t="shared" si="117"/>
        <v>0</v>
      </c>
      <c r="Q609" s="856">
        <f t="shared" si="119"/>
        <v>0</v>
      </c>
      <c r="R609" s="856">
        <f t="shared" si="118"/>
        <v>0</v>
      </c>
      <c r="S609" s="954">
        <f>NC_DKDD!G405</f>
        <v>0</v>
      </c>
      <c r="T609" s="845">
        <f>'[1]1,DG-capmoi'!N600</f>
        <v>0</v>
      </c>
      <c r="U609" s="845">
        <f t="shared" si="108"/>
        <v>0</v>
      </c>
    </row>
    <row r="610" spans="1:21" s="950" customFormat="1" ht="26.45" customHeight="1">
      <c r="A610" s="832" t="s">
        <v>607</v>
      </c>
      <c r="B610" s="827" t="s">
        <v>773</v>
      </c>
      <c r="C610" s="832" t="s">
        <v>281</v>
      </c>
      <c r="D610" s="901" t="s">
        <v>881</v>
      </c>
      <c r="E610" s="952" t="e">
        <f>NC_DKDD!H406</f>
        <v>#VALUE!</v>
      </c>
      <c r="F610" s="947"/>
      <c r="G610" s="947"/>
      <c r="H610" s="947"/>
      <c r="I610" s="947"/>
      <c r="J610" s="947"/>
      <c r="K610" s="947"/>
      <c r="L610" s="947"/>
      <c r="M610" s="893"/>
      <c r="N610" s="947"/>
      <c r="O610" s="947"/>
      <c r="P610" s="952">
        <f t="shared" si="117"/>
        <v>1537.0192307692307</v>
      </c>
      <c r="Q610" s="856">
        <f t="shared" si="119"/>
        <v>1336.5384615384614</v>
      </c>
      <c r="R610" s="856">
        <f t="shared" si="118"/>
        <v>200.48076923076923</v>
      </c>
      <c r="S610" s="954">
        <f>NC_DKDD!G406</f>
        <v>0.25</v>
      </c>
      <c r="T610" s="845">
        <f>'[1]1,DG-capmoi'!N601</f>
        <v>0</v>
      </c>
      <c r="U610" s="845">
        <f t="shared" si="108"/>
        <v>0</v>
      </c>
    </row>
    <row r="611" spans="1:21" s="950" customFormat="1" ht="26.45" customHeight="1">
      <c r="A611" s="832" t="s">
        <v>608</v>
      </c>
      <c r="B611" s="827" t="s">
        <v>774</v>
      </c>
      <c r="C611" s="832" t="s">
        <v>281</v>
      </c>
      <c r="D611" s="901" t="s">
        <v>881</v>
      </c>
      <c r="E611" s="952" t="e">
        <f>NC_DKDD!H407</f>
        <v>#VALUE!</v>
      </c>
      <c r="F611" s="947"/>
      <c r="G611" s="947"/>
      <c r="H611" s="947"/>
      <c r="I611" s="947"/>
      <c r="J611" s="947"/>
      <c r="K611" s="947"/>
      <c r="L611" s="947"/>
      <c r="M611" s="893"/>
      <c r="N611" s="947"/>
      <c r="O611" s="947"/>
      <c r="P611" s="952">
        <f t="shared" si="117"/>
        <v>1229.6153846153848</v>
      </c>
      <c r="Q611" s="856">
        <f t="shared" si="119"/>
        <v>1069.2307692307693</v>
      </c>
      <c r="R611" s="856">
        <f t="shared" si="118"/>
        <v>160.38461538461539</v>
      </c>
      <c r="S611" s="954">
        <f>NC_DKDD!G407</f>
        <v>0.2</v>
      </c>
      <c r="T611" s="845">
        <f>'[1]1,DG-capmoi'!N602</f>
        <v>0</v>
      </c>
      <c r="U611" s="845">
        <f t="shared" si="108"/>
        <v>0</v>
      </c>
    </row>
    <row r="612" spans="1:21" s="950" customFormat="1" ht="31.5" customHeight="1">
      <c r="A612" s="832">
        <v>6</v>
      </c>
      <c r="B612" s="827" t="s">
        <v>211</v>
      </c>
      <c r="C612" s="832" t="s">
        <v>523</v>
      </c>
      <c r="D612" s="901" t="s">
        <v>881</v>
      </c>
      <c r="E612" s="952" t="e">
        <f>NC_DKDD!H408</f>
        <v>#VALUE!</v>
      </c>
      <c r="F612" s="947"/>
      <c r="G612" s="947"/>
      <c r="H612" s="947"/>
      <c r="I612" s="947"/>
      <c r="J612" s="947"/>
      <c r="K612" s="947"/>
      <c r="L612" s="947"/>
      <c r="M612" s="893"/>
      <c r="N612" s="947"/>
      <c r="O612" s="947"/>
      <c r="P612" s="952">
        <f t="shared" si="117"/>
        <v>202.88653846153844</v>
      </c>
      <c r="Q612" s="856">
        <f t="shared" si="119"/>
        <v>176.42307692307691</v>
      </c>
      <c r="R612" s="856">
        <f t="shared" si="118"/>
        <v>26.463461538461541</v>
      </c>
      <c r="S612" s="954">
        <f>NC_DKDD!G408</f>
        <v>3.3000000000000002E-2</v>
      </c>
      <c r="T612" s="845">
        <f>'[1]1,DG-capmoi'!N603</f>
        <v>0</v>
      </c>
      <c r="U612" s="845">
        <f t="shared" si="108"/>
        <v>0</v>
      </c>
    </row>
    <row r="613" spans="1:21" s="950" customFormat="1" ht="26.45" customHeight="1">
      <c r="A613" s="832">
        <v>7</v>
      </c>
      <c r="B613" s="827" t="s">
        <v>978</v>
      </c>
      <c r="C613" s="832" t="s">
        <v>281</v>
      </c>
      <c r="D613" s="901" t="s">
        <v>881</v>
      </c>
      <c r="E613" s="952" t="e">
        <f>NC_DKDD!H409</f>
        <v>#VALUE!</v>
      </c>
      <c r="F613" s="947"/>
      <c r="G613" s="947"/>
      <c r="H613" s="947"/>
      <c r="I613" s="947"/>
      <c r="J613" s="947"/>
      <c r="K613" s="947"/>
      <c r="L613" s="947"/>
      <c r="M613" s="893"/>
      <c r="N613" s="947"/>
      <c r="O613" s="947"/>
      <c r="P613" s="952">
        <f t="shared" si="117"/>
        <v>1229.6153846153848</v>
      </c>
      <c r="Q613" s="856">
        <f t="shared" si="119"/>
        <v>1069.2307692307693</v>
      </c>
      <c r="R613" s="856">
        <f t="shared" si="118"/>
        <v>160.38461538461539</v>
      </c>
      <c r="S613" s="954">
        <f>NC_DKDD!G409</f>
        <v>0.2</v>
      </c>
      <c r="T613" s="845">
        <f>'[1]1,DG-capmoi'!N604</f>
        <v>0</v>
      </c>
      <c r="U613" s="845">
        <f t="shared" si="108"/>
        <v>0</v>
      </c>
    </row>
    <row r="614" spans="1:21" s="950" customFormat="1" ht="26.45" customHeight="1">
      <c r="A614" s="832">
        <v>8</v>
      </c>
      <c r="B614" s="827" t="s">
        <v>213</v>
      </c>
      <c r="C614" s="832"/>
      <c r="D614" s="832"/>
      <c r="E614" s="952">
        <f>NC_DKDD!H410</f>
        <v>0</v>
      </c>
      <c r="F614" s="947"/>
      <c r="G614" s="947"/>
      <c r="H614" s="947"/>
      <c r="I614" s="947"/>
      <c r="J614" s="947"/>
      <c r="K614" s="947"/>
      <c r="L614" s="947"/>
      <c r="M614" s="893"/>
      <c r="N614" s="947"/>
      <c r="O614" s="947"/>
      <c r="P614" s="952">
        <f t="shared" si="117"/>
        <v>0</v>
      </c>
      <c r="Q614" s="856">
        <f t="shared" si="119"/>
        <v>0</v>
      </c>
      <c r="R614" s="856">
        <f t="shared" si="118"/>
        <v>0</v>
      </c>
      <c r="S614" s="954">
        <f>NC_DKDD!G410</f>
        <v>0</v>
      </c>
      <c r="T614" s="845">
        <f>'[1]1,DG-capmoi'!N605</f>
        <v>0</v>
      </c>
      <c r="U614" s="845">
        <f t="shared" si="108"/>
        <v>0</v>
      </c>
    </row>
    <row r="615" spans="1:21" s="950" customFormat="1" ht="26.45" customHeight="1">
      <c r="A615" s="832" t="s">
        <v>374</v>
      </c>
      <c r="B615" s="827" t="s">
        <v>215</v>
      </c>
      <c r="C615" s="832" t="s">
        <v>320</v>
      </c>
      <c r="D615" s="901" t="s">
        <v>881</v>
      </c>
      <c r="E615" s="952" t="e">
        <f>NC_DKDD!H411</f>
        <v>#VALUE!</v>
      </c>
      <c r="F615" s="947"/>
      <c r="G615" s="947"/>
      <c r="H615" s="947"/>
      <c r="I615" s="947"/>
      <c r="J615" s="947"/>
      <c r="K615" s="947"/>
      <c r="L615" s="947"/>
      <c r="M615" s="893"/>
      <c r="N615" s="947"/>
      <c r="O615" s="947"/>
      <c r="P615" s="952">
        <f t="shared" si="117"/>
        <v>614.80769230769238</v>
      </c>
      <c r="Q615" s="856">
        <f t="shared" si="119"/>
        <v>534.61538461538464</v>
      </c>
      <c r="R615" s="856">
        <f t="shared" si="118"/>
        <v>80.192307692307693</v>
      </c>
      <c r="S615" s="954">
        <f>NC_DKDD!G411</f>
        <v>0.1</v>
      </c>
      <c r="T615" s="845">
        <f>'[1]1,DG-capmoi'!N606</f>
        <v>0</v>
      </c>
      <c r="U615" s="845">
        <f t="shared" si="108"/>
        <v>0</v>
      </c>
    </row>
    <row r="616" spans="1:21" s="950" customFormat="1" ht="26.45" customHeight="1">
      <c r="A616" s="832" t="s">
        <v>375</v>
      </c>
      <c r="B616" s="827" t="s">
        <v>217</v>
      </c>
      <c r="C616" s="832" t="s">
        <v>320</v>
      </c>
      <c r="D616" s="901" t="s">
        <v>881</v>
      </c>
      <c r="E616" s="952" t="e">
        <f>NC_DKDD!H412</f>
        <v>#VALUE!</v>
      </c>
      <c r="F616" s="947"/>
      <c r="G616" s="947"/>
      <c r="H616" s="947"/>
      <c r="I616" s="947"/>
      <c r="J616" s="947"/>
      <c r="K616" s="947"/>
      <c r="L616" s="947"/>
      <c r="M616" s="893"/>
      <c r="N616" s="947"/>
      <c r="O616" s="947"/>
      <c r="P616" s="952">
        <f t="shared" si="117"/>
        <v>922.21153846153834</v>
      </c>
      <c r="Q616" s="856">
        <f t="shared" si="119"/>
        <v>801.92307692307679</v>
      </c>
      <c r="R616" s="856">
        <f t="shared" si="118"/>
        <v>120.28846153846153</v>
      </c>
      <c r="S616" s="954">
        <f>NC_DKDD!G412</f>
        <v>0.15</v>
      </c>
      <c r="T616" s="845">
        <f>'[1]1,DG-capmoi'!N607</f>
        <v>0</v>
      </c>
      <c r="U616" s="845">
        <f t="shared" si="108"/>
        <v>0</v>
      </c>
    </row>
    <row r="617" spans="1:21" s="950" customFormat="1" ht="28.5">
      <c r="A617" s="832">
        <v>9</v>
      </c>
      <c r="B617" s="827" t="s">
        <v>218</v>
      </c>
      <c r="C617" s="832" t="s">
        <v>281</v>
      </c>
      <c r="D617" s="901" t="s">
        <v>881</v>
      </c>
      <c r="E617" s="952" t="e">
        <f>NC_DKDD!H413</f>
        <v>#VALUE!</v>
      </c>
      <c r="F617" s="947"/>
      <c r="G617" s="947"/>
      <c r="H617" s="947"/>
      <c r="I617" s="947"/>
      <c r="J617" s="947"/>
      <c r="K617" s="947"/>
      <c r="L617" s="947"/>
      <c r="M617" s="893"/>
      <c r="N617" s="947"/>
      <c r="O617" s="947"/>
      <c r="P617" s="952">
        <f t="shared" si="117"/>
        <v>3074.0384615384614</v>
      </c>
      <c r="Q617" s="856">
        <f t="shared" si="119"/>
        <v>2673.0769230769229</v>
      </c>
      <c r="R617" s="856">
        <f t="shared" si="118"/>
        <v>400.96153846153845</v>
      </c>
      <c r="S617" s="954">
        <f>NC_DKDD!G413</f>
        <v>0.5</v>
      </c>
      <c r="T617" s="845">
        <f>'[1]1,DG-capmoi'!N608</f>
        <v>0</v>
      </c>
      <c r="U617" s="845">
        <f t="shared" si="108"/>
        <v>0</v>
      </c>
    </row>
    <row r="618" spans="1:21" s="950" customFormat="1" ht="34.5" customHeight="1">
      <c r="A618" s="832">
        <v>10</v>
      </c>
      <c r="B618" s="827" t="s">
        <v>75</v>
      </c>
      <c r="C618" s="832" t="s">
        <v>281</v>
      </c>
      <c r="D618" s="901" t="s">
        <v>881</v>
      </c>
      <c r="E618" s="952" t="e">
        <f>NC_DKDD!H414</f>
        <v>#VALUE!</v>
      </c>
      <c r="F618" s="947"/>
      <c r="G618" s="947"/>
      <c r="H618" s="947"/>
      <c r="I618" s="947"/>
      <c r="J618" s="947"/>
      <c r="K618" s="947"/>
      <c r="L618" s="947"/>
      <c r="M618" s="893"/>
      <c r="N618" s="947"/>
      <c r="O618" s="947"/>
      <c r="P618" s="952">
        <f t="shared" si="117"/>
        <v>2889.5961538461534</v>
      </c>
      <c r="Q618" s="856">
        <f t="shared" si="119"/>
        <v>2512.6923076923072</v>
      </c>
      <c r="R618" s="856">
        <f t="shared" si="118"/>
        <v>376.90384615384613</v>
      </c>
      <c r="S618" s="954">
        <f>NC_DKDD!G414</f>
        <v>0.47</v>
      </c>
      <c r="T618" s="845">
        <f>'[1]1,DG-capmoi'!N609</f>
        <v>0</v>
      </c>
      <c r="U618" s="845">
        <f t="shared" si="108"/>
        <v>0</v>
      </c>
    </row>
    <row r="619" spans="1:21" s="950" customFormat="1" ht="30" customHeight="1">
      <c r="A619" s="832">
        <v>11</v>
      </c>
      <c r="B619" s="827" t="s">
        <v>220</v>
      </c>
      <c r="C619" s="832" t="s">
        <v>523</v>
      </c>
      <c r="D619" s="901" t="s">
        <v>881</v>
      </c>
      <c r="E619" s="952" t="e">
        <f>NC_DKDD!H415</f>
        <v>#VALUE!</v>
      </c>
      <c r="F619" s="947"/>
      <c r="G619" s="947"/>
      <c r="H619" s="947"/>
      <c r="I619" s="947"/>
      <c r="J619" s="947"/>
      <c r="K619" s="947"/>
      <c r="L619" s="947"/>
      <c r="M619" s="893"/>
      <c r="N619" s="947"/>
      <c r="O619" s="947"/>
      <c r="P619" s="952">
        <f t="shared" si="117"/>
        <v>202.88653846153844</v>
      </c>
      <c r="Q619" s="856">
        <f t="shared" si="119"/>
        <v>176.42307692307691</v>
      </c>
      <c r="R619" s="856">
        <f t="shared" si="118"/>
        <v>26.463461538461541</v>
      </c>
      <c r="S619" s="954">
        <f>NC_DKDD!G415</f>
        <v>3.3000000000000002E-2</v>
      </c>
      <c r="T619" s="845">
        <f>'[1]1,DG-capmoi'!N610</f>
        <v>0</v>
      </c>
      <c r="U619" s="845">
        <f t="shared" si="108"/>
        <v>0</v>
      </c>
    </row>
    <row r="620" spans="1:21" s="950" customFormat="1" ht="27" customHeight="1">
      <c r="A620" s="832">
        <v>12</v>
      </c>
      <c r="B620" s="827" t="s">
        <v>221</v>
      </c>
      <c r="C620" s="832"/>
      <c r="D620" s="832"/>
      <c r="E620" s="952">
        <f>NC_DKDD!H416</f>
        <v>0</v>
      </c>
      <c r="F620" s="947"/>
      <c r="G620" s="947"/>
      <c r="H620" s="947"/>
      <c r="I620" s="947"/>
      <c r="J620" s="947"/>
      <c r="K620" s="947"/>
      <c r="L620" s="947"/>
      <c r="M620" s="893"/>
      <c r="N620" s="947"/>
      <c r="O620" s="947"/>
      <c r="P620" s="952">
        <f t="shared" si="117"/>
        <v>0</v>
      </c>
      <c r="Q620" s="856">
        <f t="shared" si="119"/>
        <v>0</v>
      </c>
      <c r="R620" s="856">
        <f t="shared" si="118"/>
        <v>0</v>
      </c>
      <c r="S620" s="954">
        <f>NC_DKDD!G416</f>
        <v>0</v>
      </c>
      <c r="T620" s="845">
        <f>'[1]1,DG-capmoi'!N611</f>
        <v>0</v>
      </c>
      <c r="U620" s="845">
        <f t="shared" si="108"/>
        <v>0</v>
      </c>
    </row>
    <row r="621" spans="1:21" s="950" customFormat="1" ht="36.75" customHeight="1">
      <c r="A621" s="832" t="s">
        <v>76</v>
      </c>
      <c r="B621" s="827" t="s">
        <v>931</v>
      </c>
      <c r="C621" s="832"/>
      <c r="D621" s="832"/>
      <c r="E621" s="952">
        <f>NC_DKDD!H417</f>
        <v>0</v>
      </c>
      <c r="F621" s="947"/>
      <c r="G621" s="947"/>
      <c r="H621" s="947"/>
      <c r="I621" s="947"/>
      <c r="J621" s="947"/>
      <c r="K621" s="947"/>
      <c r="L621" s="947"/>
      <c r="M621" s="893"/>
      <c r="N621" s="947"/>
      <c r="O621" s="947"/>
      <c r="P621" s="952">
        <f t="shared" si="117"/>
        <v>0</v>
      </c>
      <c r="Q621" s="856">
        <f t="shared" si="119"/>
        <v>0</v>
      </c>
      <c r="R621" s="856">
        <f t="shared" si="118"/>
        <v>0</v>
      </c>
      <c r="S621" s="954">
        <f>NC_DKDD!G417</f>
        <v>0</v>
      </c>
      <c r="T621" s="845">
        <f>'[1]1,DG-capmoi'!N612</f>
        <v>0</v>
      </c>
      <c r="U621" s="845">
        <f t="shared" si="108"/>
        <v>0</v>
      </c>
    </row>
    <row r="622" spans="1:21" s="950" customFormat="1" ht="26.45" customHeight="1">
      <c r="A622" s="832" t="s">
        <v>77</v>
      </c>
      <c r="B622" s="827" t="s">
        <v>933</v>
      </c>
      <c r="C622" s="832" t="s">
        <v>525</v>
      </c>
      <c r="D622" s="901" t="s">
        <v>881</v>
      </c>
      <c r="E622" s="952" t="e">
        <f>NC_DKDD!H418</f>
        <v>#VALUE!</v>
      </c>
      <c r="F622" s="947"/>
      <c r="G622" s="947"/>
      <c r="H622" s="947"/>
      <c r="I622" s="947"/>
      <c r="J622" s="947"/>
      <c r="K622" s="947"/>
      <c r="L622" s="947"/>
      <c r="M622" s="893"/>
      <c r="N622" s="947"/>
      <c r="O622" s="947"/>
      <c r="P622" s="952">
        <f t="shared" si="117"/>
        <v>98.369230769230768</v>
      </c>
      <c r="Q622" s="856">
        <f t="shared" si="119"/>
        <v>85.538461538461533</v>
      </c>
      <c r="R622" s="856">
        <f t="shared" si="118"/>
        <v>12.830769230769231</v>
      </c>
      <c r="S622" s="954">
        <f>NC_DKDD!G418</f>
        <v>1.6E-2</v>
      </c>
      <c r="T622" s="845">
        <f>'[1]1,DG-capmoi'!N613</f>
        <v>0</v>
      </c>
      <c r="U622" s="845">
        <f t="shared" si="108"/>
        <v>0</v>
      </c>
    </row>
    <row r="623" spans="1:21" s="950" customFormat="1" ht="26.45" customHeight="1">
      <c r="A623" s="832" t="s">
        <v>78</v>
      </c>
      <c r="B623" s="827" t="s">
        <v>937</v>
      </c>
      <c r="C623" s="832" t="s">
        <v>525</v>
      </c>
      <c r="D623" s="901" t="s">
        <v>881</v>
      </c>
      <c r="E623" s="952" t="e">
        <f>NC_DKDD!H419</f>
        <v>#VALUE!</v>
      </c>
      <c r="F623" s="947"/>
      <c r="G623" s="947"/>
      <c r="H623" s="947"/>
      <c r="I623" s="947"/>
      <c r="J623" s="947"/>
      <c r="K623" s="947"/>
      <c r="L623" s="947"/>
      <c r="M623" s="893"/>
      <c r="N623" s="947"/>
      <c r="O623" s="947"/>
      <c r="P623" s="952">
        <f t="shared" si="117"/>
        <v>49.184615384615384</v>
      </c>
      <c r="Q623" s="856">
        <f t="shared" si="119"/>
        <v>42.769230769230766</v>
      </c>
      <c r="R623" s="856">
        <f t="shared" si="118"/>
        <v>6.4153846153846157</v>
      </c>
      <c r="S623" s="954">
        <f>NC_DKDD!G419</f>
        <v>8.0000000000000002E-3</v>
      </c>
      <c r="T623" s="845">
        <f>'[1]1,DG-capmoi'!N614</f>
        <v>0</v>
      </c>
      <c r="U623" s="845">
        <f t="shared" si="108"/>
        <v>0</v>
      </c>
    </row>
    <row r="624" spans="1:21" s="950" customFormat="1" ht="35.25" customHeight="1">
      <c r="A624" s="832" t="s">
        <v>79</v>
      </c>
      <c r="B624" s="827" t="s">
        <v>48</v>
      </c>
      <c r="C624" s="832" t="s">
        <v>525</v>
      </c>
      <c r="D624" s="901" t="s">
        <v>881</v>
      </c>
      <c r="E624" s="952" t="e">
        <f>NC_DKDD!H420</f>
        <v>#VALUE!</v>
      </c>
      <c r="F624" s="947"/>
      <c r="G624" s="947"/>
      <c r="H624" s="947"/>
      <c r="I624" s="947"/>
      <c r="J624" s="947"/>
      <c r="K624" s="947"/>
      <c r="L624" s="947"/>
      <c r="M624" s="893"/>
      <c r="N624" s="947"/>
      <c r="O624" s="947"/>
      <c r="P624" s="952">
        <f t="shared" si="117"/>
        <v>24.592307692307692</v>
      </c>
      <c r="Q624" s="856">
        <f t="shared" si="119"/>
        <v>21.384615384615383</v>
      </c>
      <c r="R624" s="856">
        <f t="shared" si="118"/>
        <v>3.2076923076923078</v>
      </c>
      <c r="S624" s="954">
        <f>NC_DKDD!G420</f>
        <v>4.0000000000000001E-3</v>
      </c>
      <c r="T624" s="845">
        <f>'[1]1,DG-capmoi'!N615</f>
        <v>0</v>
      </c>
      <c r="U624" s="845">
        <f t="shared" si="108"/>
        <v>0</v>
      </c>
    </row>
    <row r="625" spans="1:21" s="950" customFormat="1" ht="35.25" customHeight="1">
      <c r="A625" s="832" t="s">
        <v>80</v>
      </c>
      <c r="B625" s="827" t="s">
        <v>50</v>
      </c>
      <c r="C625" s="832" t="s">
        <v>523</v>
      </c>
      <c r="D625" s="901" t="s">
        <v>881</v>
      </c>
      <c r="E625" s="952" t="e">
        <f>NC_DKDD!H421</f>
        <v>#VALUE!</v>
      </c>
      <c r="F625" s="947"/>
      <c r="G625" s="947"/>
      <c r="H625" s="947"/>
      <c r="I625" s="947"/>
      <c r="J625" s="947"/>
      <c r="K625" s="947"/>
      <c r="L625" s="947"/>
      <c r="M625" s="893"/>
      <c r="N625" s="947"/>
      <c r="O625" s="947"/>
      <c r="P625" s="952">
        <f t="shared" si="117"/>
        <v>61.480769230769226</v>
      </c>
      <c r="Q625" s="856">
        <f t="shared" si="119"/>
        <v>53.46153846153846</v>
      </c>
      <c r="R625" s="856">
        <f t="shared" si="118"/>
        <v>8.0192307692307701</v>
      </c>
      <c r="S625" s="954">
        <f>NC_DKDD!G421</f>
        <v>0.01</v>
      </c>
      <c r="T625" s="845">
        <f>'[1]1,DG-capmoi'!N616</f>
        <v>0</v>
      </c>
      <c r="U625" s="845">
        <f t="shared" si="108"/>
        <v>0</v>
      </c>
    </row>
    <row r="626" spans="1:21" s="950" customFormat="1" ht="48" customHeight="1">
      <c r="A626" s="832">
        <v>13</v>
      </c>
      <c r="B626" s="827" t="s">
        <v>808</v>
      </c>
      <c r="C626" s="832" t="s">
        <v>281</v>
      </c>
      <c r="D626" s="901" t="s">
        <v>881</v>
      </c>
      <c r="E626" s="952" t="e">
        <f>NC_DKDD!H422</f>
        <v>#VALUE!</v>
      </c>
      <c r="F626" s="947"/>
      <c r="G626" s="947"/>
      <c r="H626" s="947"/>
      <c r="I626" s="947"/>
      <c r="J626" s="947"/>
      <c r="K626" s="947"/>
      <c r="L626" s="947"/>
      <c r="M626" s="893"/>
      <c r="N626" s="947"/>
      <c r="O626" s="947"/>
      <c r="P626" s="952">
        <f t="shared" si="117"/>
        <v>1229.6153846153848</v>
      </c>
      <c r="Q626" s="856">
        <f t="shared" si="119"/>
        <v>1069.2307692307693</v>
      </c>
      <c r="R626" s="856">
        <f t="shared" si="118"/>
        <v>160.38461538461539</v>
      </c>
      <c r="S626" s="954">
        <f>NC_DKDD!G422</f>
        <v>0.2</v>
      </c>
      <c r="T626" s="845">
        <f>'[1]1,DG-capmoi'!N617</f>
        <v>0</v>
      </c>
      <c r="U626" s="845">
        <f t="shared" si="108"/>
        <v>0</v>
      </c>
    </row>
    <row r="627" spans="1:21" s="950" customFormat="1" ht="33.75" customHeight="1">
      <c r="A627" s="832">
        <v>14</v>
      </c>
      <c r="B627" s="827" t="s">
        <v>1072</v>
      </c>
      <c r="C627" s="832" t="s">
        <v>281</v>
      </c>
      <c r="D627" s="901" t="s">
        <v>881</v>
      </c>
      <c r="E627" s="952" t="e">
        <f>NC_DKDD!H423</f>
        <v>#VALUE!</v>
      </c>
      <c r="F627" s="947"/>
      <c r="G627" s="947"/>
      <c r="H627" s="947"/>
      <c r="I627" s="947"/>
      <c r="J627" s="947"/>
      <c r="K627" s="947"/>
      <c r="L627" s="947"/>
      <c r="M627" s="893"/>
      <c r="N627" s="947"/>
      <c r="O627" s="947"/>
      <c r="P627" s="952">
        <f t="shared" si="117"/>
        <v>1229.6153846153848</v>
      </c>
      <c r="Q627" s="856">
        <f t="shared" si="119"/>
        <v>1069.2307692307693</v>
      </c>
      <c r="R627" s="856">
        <f t="shared" si="118"/>
        <v>160.38461538461539</v>
      </c>
      <c r="S627" s="954">
        <f>NC_DKDD!G423</f>
        <v>0.2</v>
      </c>
      <c r="T627" s="845">
        <f>'[1]1,DG-capmoi'!N618</f>
        <v>0</v>
      </c>
      <c r="U627" s="845">
        <f t="shared" si="108"/>
        <v>0</v>
      </c>
    </row>
    <row r="628" spans="1:21" s="950" customFormat="1" ht="32.25" customHeight="1">
      <c r="A628" s="869" t="s">
        <v>184</v>
      </c>
      <c r="B628" s="868" t="s">
        <v>87</v>
      </c>
      <c r="C628" s="832"/>
      <c r="D628" s="832"/>
      <c r="E628" s="947" t="e">
        <f>E629</f>
        <v>#VALUE!</v>
      </c>
      <c r="F628" s="947"/>
      <c r="G628" s="947"/>
      <c r="H628" s="947"/>
      <c r="I628" s="947"/>
      <c r="J628" s="947"/>
      <c r="K628" s="947"/>
      <c r="L628" s="893" t="e">
        <f>SUM(E628:K628)</f>
        <v>#VALUE!</v>
      </c>
      <c r="M628" s="893" t="e">
        <f>L628*'He so chung'!$D$17/100</f>
        <v>#VALUE!</v>
      </c>
      <c r="N628" s="893" t="e">
        <f>L628+M628</f>
        <v>#VALUE!</v>
      </c>
      <c r="O628" s="947"/>
      <c r="P628" s="947">
        <f>P629</f>
        <v>614.80769230769238</v>
      </c>
      <c r="Q628" s="856">
        <f t="shared" si="119"/>
        <v>534.61538461538464</v>
      </c>
      <c r="R628" s="856">
        <f t="shared" si="118"/>
        <v>80.192307692307693</v>
      </c>
      <c r="S628" s="955">
        <f>S629</f>
        <v>0.1</v>
      </c>
      <c r="T628" s="845">
        <f>'[1]1,DG-capmoi'!N619</f>
        <v>23024.548076923078</v>
      </c>
      <c r="U628" s="845" t="e">
        <f t="shared" si="108"/>
        <v>#VALUE!</v>
      </c>
    </row>
    <row r="629" spans="1:21" s="950" customFormat="1" ht="32.25" customHeight="1">
      <c r="A629" s="832">
        <v>1</v>
      </c>
      <c r="B629" s="827" t="s">
        <v>809</v>
      </c>
      <c r="C629" s="832" t="s">
        <v>281</v>
      </c>
      <c r="D629" s="901" t="s">
        <v>881</v>
      </c>
      <c r="E629" s="952" t="e">
        <f>NC_DKDD!H425</f>
        <v>#VALUE!</v>
      </c>
      <c r="F629" s="947"/>
      <c r="G629" s="947"/>
      <c r="H629" s="947"/>
      <c r="I629" s="947"/>
      <c r="J629" s="947"/>
      <c r="K629" s="947"/>
      <c r="L629" s="947"/>
      <c r="M629" s="893"/>
      <c r="N629" s="947"/>
      <c r="O629" s="947"/>
      <c r="P629" s="952">
        <f t="shared" si="117"/>
        <v>614.80769230769238</v>
      </c>
      <c r="Q629" s="856">
        <f t="shared" si="119"/>
        <v>534.61538461538464</v>
      </c>
      <c r="R629" s="856">
        <f t="shared" si="118"/>
        <v>80.192307692307693</v>
      </c>
      <c r="S629" s="954">
        <f>NC_DKDD!G425</f>
        <v>0.1</v>
      </c>
      <c r="T629" s="845">
        <f>'[1]1,DG-capmoi'!N620</f>
        <v>0</v>
      </c>
      <c r="U629" s="845">
        <f t="shared" si="108"/>
        <v>0</v>
      </c>
    </row>
    <row r="630" spans="1:21" s="950" customFormat="1" ht="36" customHeight="1">
      <c r="A630" s="869" t="s">
        <v>913</v>
      </c>
      <c r="B630" s="868" t="s">
        <v>88</v>
      </c>
      <c r="C630" s="832"/>
      <c r="D630" s="832"/>
      <c r="E630" s="947" t="e">
        <f>E631</f>
        <v>#VALUE!</v>
      </c>
      <c r="F630" s="947"/>
      <c r="G630" s="947"/>
      <c r="H630" s="947">
        <f>'Dcu-DKDD'!$H$149</f>
        <v>67.276859775641014</v>
      </c>
      <c r="I630" s="947">
        <f>'VL-DKDD'!$F$154</f>
        <v>642.6</v>
      </c>
      <c r="J630" s="947"/>
      <c r="K630" s="947"/>
      <c r="L630" s="893" t="e">
        <f>SUM(E630:K630)</f>
        <v>#VALUE!</v>
      </c>
      <c r="M630" s="893" t="e">
        <f>L630*'He so chung'!$D$17/100</f>
        <v>#VALUE!</v>
      </c>
      <c r="N630" s="893" t="e">
        <f>L630+M630</f>
        <v>#VALUE!</v>
      </c>
      <c r="O630" s="947"/>
      <c r="P630" s="947">
        <f>P631</f>
        <v>245.92307692307691</v>
      </c>
      <c r="Q630" s="856">
        <f t="shared" si="119"/>
        <v>213.84615384615384</v>
      </c>
      <c r="R630" s="856">
        <f t="shared" si="118"/>
        <v>32.07692307692308</v>
      </c>
      <c r="S630" s="955">
        <f>S631</f>
        <v>0.04</v>
      </c>
      <c r="T630" s="845">
        <f>'[1]1,DG-capmoi'!N621</f>
        <v>9023.9181195112178</v>
      </c>
      <c r="U630" s="845" t="e">
        <f t="shared" si="108"/>
        <v>#VALUE!</v>
      </c>
    </row>
    <row r="631" spans="1:21" s="950" customFormat="1" ht="37.5" customHeight="1">
      <c r="A631" s="832">
        <v>1</v>
      </c>
      <c r="B631" s="827" t="s">
        <v>810</v>
      </c>
      <c r="C631" s="832" t="s">
        <v>281</v>
      </c>
      <c r="D631" s="901" t="s">
        <v>881</v>
      </c>
      <c r="E631" s="952" t="e">
        <f>NC_DKDD!H427</f>
        <v>#VALUE!</v>
      </c>
      <c r="F631" s="947"/>
      <c r="G631" s="947"/>
      <c r="H631" s="947"/>
      <c r="I631" s="947"/>
      <c r="J631" s="947"/>
      <c r="K631" s="947"/>
      <c r="L631" s="947"/>
      <c r="M631" s="893"/>
      <c r="N631" s="947"/>
      <c r="O631" s="947"/>
      <c r="P631" s="952">
        <f t="shared" si="117"/>
        <v>245.92307692307691</v>
      </c>
      <c r="Q631" s="856">
        <f t="shared" si="119"/>
        <v>213.84615384615384</v>
      </c>
      <c r="R631" s="856">
        <f t="shared" si="118"/>
        <v>32.07692307692308</v>
      </c>
      <c r="S631" s="954">
        <f>NC_DKDD!G427</f>
        <v>0.04</v>
      </c>
      <c r="T631" s="845">
        <f>'[1]1,DG-capmoi'!N622</f>
        <v>0</v>
      </c>
      <c r="U631" s="845">
        <f t="shared" si="108"/>
        <v>0</v>
      </c>
    </row>
    <row r="632" spans="1:21" s="960" customFormat="1" ht="25.15" customHeight="1">
      <c r="A632" s="956"/>
      <c r="B632" s="886" t="s">
        <v>282</v>
      </c>
      <c r="C632" s="354"/>
      <c r="D632" s="956"/>
      <c r="E632" s="957"/>
      <c r="F632" s="957"/>
      <c r="G632" s="958"/>
      <c r="H632" s="957"/>
      <c r="I632" s="957"/>
      <c r="J632" s="959"/>
      <c r="K632" s="959"/>
      <c r="L632" s="959"/>
      <c r="M632" s="840"/>
      <c r="N632" s="840"/>
      <c r="O632" s="840"/>
      <c r="P632" s="957"/>
      <c r="Q632" s="840"/>
      <c r="R632" s="840"/>
      <c r="S632" s="840"/>
      <c r="T632" s="845">
        <f>'[1]1,DG-capmoi'!N623</f>
        <v>0</v>
      </c>
      <c r="U632" s="845">
        <f t="shared" si="108"/>
        <v>0</v>
      </c>
    </row>
    <row r="633" spans="1:21" ht="43.15" customHeight="1">
      <c r="A633" s="358"/>
      <c r="B633" s="1118" t="s">
        <v>1061</v>
      </c>
      <c r="C633" s="1118"/>
      <c r="D633" s="1118"/>
      <c r="E633" s="1118"/>
      <c r="F633" s="1118"/>
      <c r="G633" s="1118"/>
      <c r="H633" s="1118"/>
      <c r="I633" s="1118"/>
      <c r="J633" s="1118"/>
      <c r="K633" s="1118"/>
      <c r="L633" s="1118"/>
      <c r="M633" s="1118"/>
      <c r="N633" s="1118"/>
      <c r="O633" s="1118"/>
      <c r="P633" s="1118"/>
      <c r="Q633" s="332"/>
      <c r="R633" s="332"/>
      <c r="T633" s="845">
        <f>'[1]1,DG-capmoi'!N624</f>
        <v>0</v>
      </c>
      <c r="U633" s="845">
        <f t="shared" si="108"/>
        <v>0</v>
      </c>
    </row>
    <row r="634" spans="1:21" ht="33" customHeight="1">
      <c r="A634" s="358"/>
      <c r="B634" s="1117" t="s">
        <v>902</v>
      </c>
      <c r="C634" s="1117"/>
      <c r="D634" s="1117"/>
      <c r="E634" s="1117"/>
      <c r="F634" s="1117"/>
      <c r="G634" s="1117"/>
      <c r="H634" s="1117"/>
      <c r="I634" s="1117"/>
      <c r="J634" s="1117"/>
      <c r="K634" s="1117"/>
      <c r="L634" s="1117"/>
      <c r="M634" s="1117"/>
      <c r="N634" s="1117"/>
      <c r="O634" s="1117"/>
      <c r="P634" s="1117"/>
      <c r="Q634" s="332"/>
      <c r="R634" s="332"/>
      <c r="T634" s="845">
        <f>'[1]1,DG-capmoi'!N625</f>
        <v>0</v>
      </c>
      <c r="U634" s="845">
        <f t="shared" si="108"/>
        <v>0</v>
      </c>
    </row>
    <row r="635" spans="1:21" ht="49.9" customHeight="1">
      <c r="A635" s="358"/>
      <c r="B635" s="1118" t="s">
        <v>546</v>
      </c>
      <c r="C635" s="1118"/>
      <c r="D635" s="1118"/>
      <c r="E635" s="1118"/>
      <c r="F635" s="1118"/>
      <c r="G635" s="1118"/>
      <c r="H635" s="1118"/>
      <c r="I635" s="1118"/>
      <c r="J635" s="1118"/>
      <c r="K635" s="1118"/>
      <c r="L635" s="1118"/>
      <c r="M635" s="1118"/>
      <c r="N635" s="1118"/>
      <c r="O635" s="1118"/>
      <c r="P635" s="1118"/>
      <c r="Q635" s="332"/>
      <c r="R635" s="332"/>
      <c r="T635" s="845">
        <f>'[1]1,DG-capmoi'!N626</f>
        <v>0</v>
      </c>
      <c r="U635" s="845">
        <f t="shared" si="108"/>
        <v>0</v>
      </c>
    </row>
    <row r="636" spans="1:21" ht="19.149999999999999" customHeight="1">
      <c r="A636" s="358"/>
      <c r="B636" s="821"/>
      <c r="C636" s="821"/>
      <c r="D636" s="961"/>
      <c r="E636" s="821"/>
      <c r="F636" s="821"/>
      <c r="G636" s="821"/>
      <c r="H636" s="821"/>
      <c r="I636" s="821"/>
      <c r="J636" s="821"/>
      <c r="K636" s="821"/>
      <c r="L636" s="821"/>
      <c r="M636" s="821"/>
      <c r="N636" s="821"/>
      <c r="O636" s="821"/>
      <c r="P636" s="821"/>
      <c r="Q636" s="332"/>
      <c r="R636" s="332"/>
      <c r="T636" s="845">
        <f>'[1]1,DG-capmoi'!N627</f>
        <v>0</v>
      </c>
      <c r="U636" s="845">
        <f t="shared" ref="U636:U700" si="120">T636-N636</f>
        <v>0</v>
      </c>
    </row>
    <row r="637" spans="1:21" s="1034" customFormat="1" ht="23.25" customHeight="1">
      <c r="A637" s="1114" t="s">
        <v>1010</v>
      </c>
      <c r="B637" s="1114"/>
      <c r="C637" s="1114"/>
      <c r="D637" s="1114"/>
      <c r="E637" s="1114"/>
      <c r="F637" s="1114"/>
      <c r="G637" s="1114"/>
      <c r="H637" s="1114"/>
      <c r="I637" s="1114"/>
      <c r="J637" s="1114"/>
      <c r="K637" s="1114"/>
      <c r="L637" s="1114"/>
      <c r="M637" s="1114"/>
      <c r="N637" s="1114"/>
      <c r="O637" s="1114"/>
      <c r="P637" s="1114"/>
      <c r="Q637" s="1032"/>
      <c r="R637" s="1032"/>
      <c r="S637" s="1032"/>
      <c r="T637" s="1033">
        <f>'[1]1,DG-capmoi'!N628</f>
        <v>0</v>
      </c>
      <c r="U637" s="1033">
        <f t="shared" si="120"/>
        <v>0</v>
      </c>
    </row>
    <row r="638" spans="1:21" s="1034" customFormat="1" ht="18">
      <c r="A638" s="1113" t="s">
        <v>960</v>
      </c>
      <c r="B638" s="1113"/>
      <c r="C638" s="1113"/>
      <c r="D638" s="1113"/>
      <c r="E638" s="1113"/>
      <c r="F638" s="1113"/>
      <c r="G638" s="1113"/>
      <c r="H638" s="1113"/>
      <c r="I638" s="1113"/>
      <c r="J638" s="1113"/>
      <c r="K638" s="1113"/>
      <c r="L638" s="1113"/>
      <c r="M638" s="1113"/>
      <c r="N638" s="1113"/>
      <c r="O638" s="1113"/>
      <c r="P638" s="1113"/>
      <c r="Q638" s="1032"/>
      <c r="R638" s="1032"/>
      <c r="S638" s="1032"/>
      <c r="T638" s="1033"/>
      <c r="U638" s="1033"/>
    </row>
    <row r="639" spans="1:21" s="345" customFormat="1" ht="19.5" customHeight="1">
      <c r="A639" s="337"/>
      <c r="B639" s="834"/>
      <c r="C639" s="338"/>
      <c r="D639" s="339" t="s">
        <v>576</v>
      </c>
      <c r="E639" s="340"/>
      <c r="F639" s="341"/>
      <c r="G639" s="342"/>
      <c r="H639" s="341"/>
      <c r="I639" s="343"/>
      <c r="J639" s="341"/>
      <c r="K639" s="341"/>
      <c r="N639" s="991" t="s">
        <v>980</v>
      </c>
      <c r="O639" s="988"/>
      <c r="P639" s="340"/>
      <c r="Q639" s="332"/>
      <c r="R639" s="332"/>
      <c r="S639" s="332"/>
      <c r="T639" s="845">
        <f>'[1]1,DG-capmoi'!N629</f>
        <v>0</v>
      </c>
      <c r="U639" s="845" t="e">
        <f>T639-#REF!</f>
        <v>#REF!</v>
      </c>
    </row>
    <row r="640" spans="1:21" s="345" customFormat="1" ht="7.5" customHeight="1">
      <c r="A640" s="337"/>
      <c r="B640" s="834"/>
      <c r="C640" s="338"/>
      <c r="D640" s="346"/>
      <c r="E640" s="340"/>
      <c r="F640" s="340"/>
      <c r="G640" s="347"/>
      <c r="H640" s="340"/>
      <c r="I640" s="340"/>
      <c r="J640" s="340"/>
      <c r="K640" s="340"/>
      <c r="L640" s="340"/>
      <c r="M640" s="340"/>
      <c r="N640" s="340"/>
      <c r="O640" s="340"/>
      <c r="P640" s="340"/>
      <c r="Q640" s="332"/>
      <c r="R640" s="332"/>
      <c r="S640" s="332"/>
      <c r="T640" s="845">
        <f>'[1]1,DG-capmoi'!N630</f>
        <v>0</v>
      </c>
      <c r="U640" s="845">
        <f t="shared" si="120"/>
        <v>0</v>
      </c>
    </row>
    <row r="641" spans="1:21" s="978" customFormat="1" ht="23.25" customHeight="1">
      <c r="A641" s="1115" t="s">
        <v>876</v>
      </c>
      <c r="B641" s="1115" t="s">
        <v>381</v>
      </c>
      <c r="C641" s="1111" t="s">
        <v>981</v>
      </c>
      <c r="D641" s="1111" t="s">
        <v>982</v>
      </c>
      <c r="E641" s="1111" t="s">
        <v>466</v>
      </c>
      <c r="F641" s="1111"/>
      <c r="G641" s="1111"/>
      <c r="H641" s="1111"/>
      <c r="I641" s="1111"/>
      <c r="J641" s="1111"/>
      <c r="K641" s="1111"/>
      <c r="L641" s="1111"/>
      <c r="M641" s="1111" t="s">
        <v>581</v>
      </c>
      <c r="N641" s="1111" t="s">
        <v>467</v>
      </c>
      <c r="O641" s="1119" t="s">
        <v>657</v>
      </c>
      <c r="P641" s="1111" t="s">
        <v>468</v>
      </c>
      <c r="Q641" s="976"/>
      <c r="R641" s="976"/>
      <c r="S641" s="977"/>
      <c r="T641" s="1030"/>
      <c r="U641" s="1030"/>
    </row>
    <row r="642" spans="1:21" s="978" customFormat="1" ht="41.25" customHeight="1">
      <c r="A642" s="1115"/>
      <c r="B642" s="1115"/>
      <c r="C642" s="1111"/>
      <c r="D642" s="1111"/>
      <c r="E642" s="825" t="s">
        <v>469</v>
      </c>
      <c r="F642" s="825" t="s">
        <v>470</v>
      </c>
      <c r="G642" s="852" t="s">
        <v>1003</v>
      </c>
      <c r="H642" s="825" t="s">
        <v>59</v>
      </c>
      <c r="I642" s="825" t="s">
        <v>471</v>
      </c>
      <c r="J642" s="825" t="s">
        <v>280</v>
      </c>
      <c r="K642" s="825" t="s">
        <v>472</v>
      </c>
      <c r="L642" s="825" t="s">
        <v>473</v>
      </c>
      <c r="M642" s="1111"/>
      <c r="N642" s="1111"/>
      <c r="O642" s="1120"/>
      <c r="P642" s="1111"/>
      <c r="Q642" s="976"/>
      <c r="R642" s="976"/>
      <c r="S642" s="977"/>
      <c r="T642" s="1030">
        <f>'[1]1,DG-capmoi'!N632</f>
        <v>0</v>
      </c>
      <c r="U642" s="1030">
        <f t="shared" si="120"/>
        <v>0</v>
      </c>
    </row>
    <row r="643" spans="1:21" s="841" customFormat="1" ht="50.25" customHeight="1">
      <c r="A643" s="831"/>
      <c r="B643" s="838" t="s">
        <v>45</v>
      </c>
      <c r="C643" s="382"/>
      <c r="D643" s="382"/>
      <c r="E643" s="382"/>
      <c r="F643" s="382"/>
      <c r="G643" s="837"/>
      <c r="H643" s="382"/>
      <c r="I643" s="382"/>
      <c r="J643" s="382"/>
      <c r="K643" s="382"/>
      <c r="L643" s="382"/>
      <c r="M643" s="382"/>
      <c r="N643" s="382"/>
      <c r="O643" s="820"/>
      <c r="P643" s="382"/>
      <c r="Q643" s="839"/>
      <c r="R643" s="839"/>
      <c r="S643" s="840"/>
      <c r="T643" s="845">
        <f>'[1]1,DG-capmoi'!N633</f>
        <v>0</v>
      </c>
      <c r="U643" s="845">
        <f t="shared" si="120"/>
        <v>0</v>
      </c>
    </row>
    <row r="644" spans="1:21" s="841" customFormat="1" ht="24" customHeight="1">
      <c r="A644" s="1112"/>
      <c r="B644" s="1125" t="s">
        <v>451</v>
      </c>
      <c r="C644" s="1124" t="s">
        <v>281</v>
      </c>
      <c r="D644" s="382">
        <v>1</v>
      </c>
      <c r="E644" s="383" t="e">
        <f t="shared" ref="E644:N644" si="121">E655+E703+E705</f>
        <v>#VALUE!</v>
      </c>
      <c r="F644" s="383">
        <f t="shared" si="121"/>
        <v>0</v>
      </c>
      <c r="G644" s="383">
        <f t="shared" si="121"/>
        <v>0</v>
      </c>
      <c r="H644" s="383">
        <f t="shared" si="121"/>
        <v>12820.985501602563</v>
      </c>
      <c r="I644" s="383">
        <f t="shared" si="121"/>
        <v>30335.579999999998</v>
      </c>
      <c r="J644" s="383">
        <f t="shared" si="121"/>
        <v>10992.36</v>
      </c>
      <c r="K644" s="383">
        <f t="shared" si="121"/>
        <v>23356.62</v>
      </c>
      <c r="L644" s="383" t="e">
        <f t="shared" si="121"/>
        <v>#VALUE!</v>
      </c>
      <c r="M644" s="383" t="e">
        <f t="shared" si="121"/>
        <v>#VALUE!</v>
      </c>
      <c r="N644" s="383" t="e">
        <f t="shared" si="121"/>
        <v>#VALUE!</v>
      </c>
      <c r="O644" s="383"/>
      <c r="P644" s="383">
        <f>P655+P703+P705</f>
        <v>47032.788461538461</v>
      </c>
      <c r="Q644" s="839"/>
      <c r="R644" s="839"/>
      <c r="S644" s="840"/>
      <c r="T644" s="845">
        <f>'[1]1,DG-capmoi'!N634</f>
        <v>1718060.7122864584</v>
      </c>
      <c r="U644" s="845" t="e">
        <f t="shared" si="120"/>
        <v>#VALUE!</v>
      </c>
    </row>
    <row r="645" spans="1:21" s="841" customFormat="1" ht="24" customHeight="1">
      <c r="A645" s="1112"/>
      <c r="B645" s="1125"/>
      <c r="C645" s="1124"/>
      <c r="D645" s="382">
        <v>2</v>
      </c>
      <c r="E645" s="383" t="e">
        <f t="shared" ref="E645:N645" si="122">E656+E703+E705</f>
        <v>#VALUE!</v>
      </c>
      <c r="F645" s="383">
        <f t="shared" si="122"/>
        <v>0</v>
      </c>
      <c r="G645" s="383">
        <f t="shared" si="122"/>
        <v>0</v>
      </c>
      <c r="H645" s="383">
        <f t="shared" si="122"/>
        <v>12820.985501602563</v>
      </c>
      <c r="I645" s="383">
        <f t="shared" si="122"/>
        <v>30335.579999999998</v>
      </c>
      <c r="J645" s="383">
        <f t="shared" si="122"/>
        <v>10992.36</v>
      </c>
      <c r="K645" s="383">
        <f t="shared" si="122"/>
        <v>23356.62</v>
      </c>
      <c r="L645" s="383" t="e">
        <f t="shared" si="122"/>
        <v>#VALUE!</v>
      </c>
      <c r="M645" s="383" t="e">
        <f t="shared" si="122"/>
        <v>#VALUE!</v>
      </c>
      <c r="N645" s="383" t="e">
        <f t="shared" si="122"/>
        <v>#VALUE!</v>
      </c>
      <c r="O645" s="383"/>
      <c r="P645" s="383">
        <f>P656+P703+P705</f>
        <v>48262.403846153851</v>
      </c>
      <c r="Q645" s="839"/>
      <c r="R645" s="839"/>
      <c r="S645" s="840"/>
      <c r="T645" s="845">
        <f>'[1]1,DG-capmoi'!N635</f>
        <v>1761604.1596903042</v>
      </c>
      <c r="U645" s="845" t="e">
        <f t="shared" si="120"/>
        <v>#VALUE!</v>
      </c>
    </row>
    <row r="646" spans="1:21" s="841" customFormat="1" ht="24" customHeight="1">
      <c r="A646" s="1112"/>
      <c r="B646" s="1125"/>
      <c r="C646" s="1124"/>
      <c r="D646" s="382">
        <v>3</v>
      </c>
      <c r="E646" s="383" t="e">
        <f t="shared" ref="E646:N646" si="123">E657+E703+E705</f>
        <v>#VALUE!</v>
      </c>
      <c r="F646" s="383">
        <f t="shared" si="123"/>
        <v>0</v>
      </c>
      <c r="G646" s="383">
        <f t="shared" si="123"/>
        <v>0</v>
      </c>
      <c r="H646" s="383">
        <f t="shared" si="123"/>
        <v>12820.985501602563</v>
      </c>
      <c r="I646" s="383">
        <f t="shared" si="123"/>
        <v>30335.579999999998</v>
      </c>
      <c r="J646" s="383">
        <f t="shared" si="123"/>
        <v>10992.36</v>
      </c>
      <c r="K646" s="383">
        <f t="shared" si="123"/>
        <v>23356.62</v>
      </c>
      <c r="L646" s="383" t="e">
        <f t="shared" si="123"/>
        <v>#VALUE!</v>
      </c>
      <c r="M646" s="383" t="e">
        <f t="shared" si="123"/>
        <v>#VALUE!</v>
      </c>
      <c r="N646" s="383" t="e">
        <f t="shared" si="123"/>
        <v>#VALUE!</v>
      </c>
      <c r="O646" s="383"/>
      <c r="P646" s="383">
        <f>P657+P703+P705</f>
        <v>49614.980769230773</v>
      </c>
      <c r="Q646" s="839"/>
      <c r="R646" s="839"/>
      <c r="S646" s="840"/>
      <c r="T646" s="845">
        <f>'[1]1,DG-capmoi'!N636</f>
        <v>1809501.9518345352</v>
      </c>
      <c r="U646" s="845" t="e">
        <f t="shared" si="120"/>
        <v>#VALUE!</v>
      </c>
    </row>
    <row r="647" spans="1:21" s="841" customFormat="1" ht="24" customHeight="1">
      <c r="A647" s="1112"/>
      <c r="B647" s="1125"/>
      <c r="C647" s="1124"/>
      <c r="D647" s="382">
        <v>4</v>
      </c>
      <c r="E647" s="383" t="e">
        <f t="shared" ref="E647:N647" si="124">E658+E703+E705</f>
        <v>#VALUE!</v>
      </c>
      <c r="F647" s="383">
        <f t="shared" si="124"/>
        <v>0</v>
      </c>
      <c r="G647" s="383">
        <f t="shared" si="124"/>
        <v>0</v>
      </c>
      <c r="H647" s="383">
        <f t="shared" si="124"/>
        <v>12820.985501602563</v>
      </c>
      <c r="I647" s="383">
        <f>I658+I703+I705</f>
        <v>30335.579999999998</v>
      </c>
      <c r="J647" s="383">
        <f t="shared" si="124"/>
        <v>10992.36</v>
      </c>
      <c r="K647" s="383">
        <f t="shared" si="124"/>
        <v>23356.62</v>
      </c>
      <c r="L647" s="383" t="e">
        <f t="shared" si="124"/>
        <v>#VALUE!</v>
      </c>
      <c r="M647" s="383" t="e">
        <f t="shared" si="124"/>
        <v>#VALUE!</v>
      </c>
      <c r="N647" s="383" t="e">
        <f t="shared" si="124"/>
        <v>#VALUE!</v>
      </c>
      <c r="O647" s="383"/>
      <c r="P647" s="383">
        <f>P658+P703+P705</f>
        <v>51090.519230769234</v>
      </c>
      <c r="Q647" s="839"/>
      <c r="R647" s="839"/>
      <c r="S647" s="840"/>
      <c r="T647" s="845">
        <f>'[1]1,DG-capmoi'!N637</f>
        <v>1861754.0887191505</v>
      </c>
      <c r="U647" s="845" t="e">
        <f t="shared" si="120"/>
        <v>#VALUE!</v>
      </c>
    </row>
    <row r="648" spans="1:21" s="841" customFormat="1" ht="24" customHeight="1">
      <c r="A648" s="1112"/>
      <c r="B648" s="1125"/>
      <c r="C648" s="1124"/>
      <c r="D648" s="382">
        <v>5</v>
      </c>
      <c r="E648" s="383" t="e">
        <f t="shared" ref="E648:N648" si="125">E659+E703+E705</f>
        <v>#VALUE!</v>
      </c>
      <c r="F648" s="383">
        <f t="shared" si="125"/>
        <v>0</v>
      </c>
      <c r="G648" s="383">
        <f t="shared" si="125"/>
        <v>0</v>
      </c>
      <c r="H648" s="383">
        <f t="shared" si="125"/>
        <v>12820.985501602563</v>
      </c>
      <c r="I648" s="383">
        <f t="shared" si="125"/>
        <v>30335.579999999998</v>
      </c>
      <c r="J648" s="383">
        <f t="shared" si="125"/>
        <v>10992.36</v>
      </c>
      <c r="K648" s="383">
        <f t="shared" si="125"/>
        <v>23356.62</v>
      </c>
      <c r="L648" s="383" t="e">
        <f t="shared" si="125"/>
        <v>#VALUE!</v>
      </c>
      <c r="M648" s="383" t="e">
        <f t="shared" si="125"/>
        <v>#VALUE!</v>
      </c>
      <c r="N648" s="383" t="e">
        <f t="shared" si="125"/>
        <v>#VALUE!</v>
      </c>
      <c r="O648" s="383"/>
      <c r="P648" s="383">
        <f>P659+P703+P705</f>
        <v>52689.019230769234</v>
      </c>
      <c r="Q648" s="839"/>
      <c r="R648" s="839"/>
      <c r="S648" s="840"/>
      <c r="T648" s="845">
        <f>'[1]1,DG-capmoi'!N638</f>
        <v>1918360.5703441505</v>
      </c>
      <c r="U648" s="845" t="e">
        <f t="shared" si="120"/>
        <v>#VALUE!</v>
      </c>
    </row>
    <row r="649" spans="1:21" s="841" customFormat="1" ht="24" customHeight="1">
      <c r="A649" s="1112"/>
      <c r="B649" s="1125" t="s">
        <v>452</v>
      </c>
      <c r="C649" s="1124" t="s">
        <v>281</v>
      </c>
      <c r="D649" s="382">
        <v>1</v>
      </c>
      <c r="E649" s="383" t="e">
        <f t="shared" ref="E649:P649" si="126">E660+E703+E705</f>
        <v>#VALUE!</v>
      </c>
      <c r="F649" s="383">
        <f t="shared" si="126"/>
        <v>0</v>
      </c>
      <c r="G649" s="383">
        <f t="shared" si="126"/>
        <v>0</v>
      </c>
      <c r="H649" s="383">
        <f t="shared" si="126"/>
        <v>12820.985501602563</v>
      </c>
      <c r="I649" s="383">
        <f t="shared" si="126"/>
        <v>30335.579999999998</v>
      </c>
      <c r="J649" s="383">
        <f t="shared" si="126"/>
        <v>10992.36</v>
      </c>
      <c r="K649" s="383">
        <f t="shared" si="126"/>
        <v>23356.62</v>
      </c>
      <c r="L649" s="383" t="e">
        <f t="shared" si="126"/>
        <v>#VALUE!</v>
      </c>
      <c r="M649" s="383" t="e">
        <f t="shared" si="126"/>
        <v>#VALUE!</v>
      </c>
      <c r="N649" s="383" t="e">
        <f t="shared" si="126"/>
        <v>#VALUE!</v>
      </c>
      <c r="O649" s="383"/>
      <c r="P649" s="383">
        <f t="shared" si="126"/>
        <v>47032.788461538468</v>
      </c>
      <c r="Q649" s="839"/>
      <c r="R649" s="839"/>
      <c r="S649" s="840"/>
      <c r="T649" s="845">
        <f>'[1]1,DG-capmoi'!N639</f>
        <v>1719313.5366614582</v>
      </c>
      <c r="U649" s="845" t="e">
        <f t="shared" si="120"/>
        <v>#VALUE!</v>
      </c>
    </row>
    <row r="650" spans="1:21" s="841" customFormat="1" ht="24" customHeight="1">
      <c r="A650" s="1112"/>
      <c r="B650" s="1125"/>
      <c r="C650" s="1124"/>
      <c r="D650" s="382">
        <v>2</v>
      </c>
      <c r="E650" s="383" t="e">
        <f t="shared" ref="E650:P650" si="127">E661+E703+E705</f>
        <v>#VALUE!</v>
      </c>
      <c r="F650" s="383">
        <f t="shared" si="127"/>
        <v>0</v>
      </c>
      <c r="G650" s="383">
        <f t="shared" si="127"/>
        <v>0</v>
      </c>
      <c r="H650" s="383">
        <f t="shared" si="127"/>
        <v>12820.985501602563</v>
      </c>
      <c r="I650" s="383">
        <f t="shared" si="127"/>
        <v>30335.579999999998</v>
      </c>
      <c r="J650" s="383">
        <f t="shared" si="127"/>
        <v>10992.36</v>
      </c>
      <c r="K650" s="383">
        <f t="shared" si="127"/>
        <v>23356.62</v>
      </c>
      <c r="L650" s="383" t="e">
        <f t="shared" si="127"/>
        <v>#VALUE!</v>
      </c>
      <c r="M650" s="383" t="e">
        <f t="shared" si="127"/>
        <v>#VALUE!</v>
      </c>
      <c r="N650" s="383" t="e">
        <f t="shared" si="127"/>
        <v>#VALUE!</v>
      </c>
      <c r="O650" s="383"/>
      <c r="P650" s="383">
        <f t="shared" si="127"/>
        <v>48262.403846153858</v>
      </c>
      <c r="Q650" s="839"/>
      <c r="R650" s="839"/>
      <c r="S650" s="840"/>
      <c r="T650" s="845">
        <f>'[1]1,DG-capmoi'!N640</f>
        <v>1762856.9840653045</v>
      </c>
      <c r="U650" s="845" t="e">
        <f t="shared" si="120"/>
        <v>#VALUE!</v>
      </c>
    </row>
    <row r="651" spans="1:21" s="841" customFormat="1" ht="24" customHeight="1">
      <c r="A651" s="1112"/>
      <c r="B651" s="1125"/>
      <c r="C651" s="1124"/>
      <c r="D651" s="382">
        <v>3</v>
      </c>
      <c r="E651" s="383" t="e">
        <f t="shared" ref="E651:P651" si="128">E662+E703+E705</f>
        <v>#VALUE!</v>
      </c>
      <c r="F651" s="383">
        <f t="shared" si="128"/>
        <v>0</v>
      </c>
      <c r="G651" s="383">
        <f t="shared" si="128"/>
        <v>0</v>
      </c>
      <c r="H651" s="383">
        <f t="shared" si="128"/>
        <v>12820.985501602563</v>
      </c>
      <c r="I651" s="383">
        <f t="shared" si="128"/>
        <v>30335.579999999998</v>
      </c>
      <c r="J651" s="383">
        <f t="shared" si="128"/>
        <v>10992.36</v>
      </c>
      <c r="K651" s="383">
        <f t="shared" si="128"/>
        <v>23356.62</v>
      </c>
      <c r="L651" s="383" t="e">
        <f t="shared" si="128"/>
        <v>#VALUE!</v>
      </c>
      <c r="M651" s="383" t="e">
        <f t="shared" si="128"/>
        <v>#VALUE!</v>
      </c>
      <c r="N651" s="383" t="e">
        <f t="shared" si="128"/>
        <v>#VALUE!</v>
      </c>
      <c r="O651" s="383"/>
      <c r="P651" s="383">
        <f t="shared" si="128"/>
        <v>49614.98076923078</v>
      </c>
      <c r="Q651" s="839"/>
      <c r="R651" s="839"/>
      <c r="S651" s="840"/>
      <c r="T651" s="845">
        <f>'[1]1,DG-capmoi'!N641</f>
        <v>1810754.7762095351</v>
      </c>
      <c r="U651" s="845" t="e">
        <f t="shared" si="120"/>
        <v>#VALUE!</v>
      </c>
    </row>
    <row r="652" spans="1:21" s="841" customFormat="1" ht="24" customHeight="1">
      <c r="A652" s="1112"/>
      <c r="B652" s="1125"/>
      <c r="C652" s="1124"/>
      <c r="D652" s="382">
        <v>4</v>
      </c>
      <c r="E652" s="383" t="e">
        <f t="shared" ref="E652:P652" si="129">E663+E703+E705</f>
        <v>#VALUE!</v>
      </c>
      <c r="F652" s="383">
        <f t="shared" si="129"/>
        <v>0</v>
      </c>
      <c r="G652" s="383">
        <f t="shared" si="129"/>
        <v>0</v>
      </c>
      <c r="H652" s="383">
        <f t="shared" si="129"/>
        <v>12820.985501602563</v>
      </c>
      <c r="I652" s="383">
        <f t="shared" si="129"/>
        <v>30335.579999999998</v>
      </c>
      <c r="J652" s="383">
        <f t="shared" si="129"/>
        <v>10992.36</v>
      </c>
      <c r="K652" s="383">
        <f t="shared" si="129"/>
        <v>23356.62</v>
      </c>
      <c r="L652" s="383" t="e">
        <f t="shared" si="129"/>
        <v>#VALUE!</v>
      </c>
      <c r="M652" s="383" t="e">
        <f t="shared" si="129"/>
        <v>#VALUE!</v>
      </c>
      <c r="N652" s="383" t="e">
        <f t="shared" si="129"/>
        <v>#VALUE!</v>
      </c>
      <c r="O652" s="383"/>
      <c r="P652" s="383">
        <f t="shared" si="129"/>
        <v>51090.519230769241</v>
      </c>
      <c r="Q652" s="839"/>
      <c r="R652" s="839"/>
      <c r="S652" s="840"/>
      <c r="T652" s="845">
        <f>'[1]1,DG-capmoi'!N642</f>
        <v>1863006.9130941508</v>
      </c>
      <c r="U652" s="845" t="e">
        <f t="shared" si="120"/>
        <v>#VALUE!</v>
      </c>
    </row>
    <row r="653" spans="1:21" s="841" customFormat="1" ht="24" customHeight="1">
      <c r="A653" s="1112"/>
      <c r="B653" s="1125"/>
      <c r="C653" s="1124"/>
      <c r="D653" s="382">
        <v>5</v>
      </c>
      <c r="E653" s="383" t="e">
        <f t="shared" ref="E653:P653" si="130">E664+E703+E705</f>
        <v>#VALUE!</v>
      </c>
      <c r="F653" s="383">
        <f t="shared" si="130"/>
        <v>0</v>
      </c>
      <c r="G653" s="383">
        <f t="shared" si="130"/>
        <v>0</v>
      </c>
      <c r="H653" s="383">
        <f t="shared" si="130"/>
        <v>12820.985501602563</v>
      </c>
      <c r="I653" s="383">
        <f t="shared" si="130"/>
        <v>30335.579999999998</v>
      </c>
      <c r="J653" s="383">
        <f t="shared" si="130"/>
        <v>10992.36</v>
      </c>
      <c r="K653" s="383">
        <f t="shared" si="130"/>
        <v>23356.62</v>
      </c>
      <c r="L653" s="383" t="e">
        <f t="shared" si="130"/>
        <v>#VALUE!</v>
      </c>
      <c r="M653" s="383" t="e">
        <f t="shared" si="130"/>
        <v>#VALUE!</v>
      </c>
      <c r="N653" s="383" t="e">
        <f t="shared" si="130"/>
        <v>#VALUE!</v>
      </c>
      <c r="O653" s="383"/>
      <c r="P653" s="383">
        <f t="shared" si="130"/>
        <v>52689.019230769241</v>
      </c>
      <c r="Q653" s="839"/>
      <c r="R653" s="839"/>
      <c r="S653" s="840"/>
      <c r="T653" s="845">
        <f>'[1]1,DG-capmoi'!N643</f>
        <v>1919613.3947191504</v>
      </c>
      <c r="U653" s="845" t="e">
        <f t="shared" si="120"/>
        <v>#VALUE!</v>
      </c>
    </row>
    <row r="654" spans="1:21" s="841" customFormat="1" ht="33" customHeight="1">
      <c r="A654" s="824" t="s">
        <v>179</v>
      </c>
      <c r="B654" s="962" t="s">
        <v>81</v>
      </c>
      <c r="C654" s="819"/>
      <c r="D654" s="382"/>
      <c r="E654" s="383"/>
      <c r="F654" s="383"/>
      <c r="G654" s="383"/>
      <c r="H654" s="383"/>
      <c r="I654" s="383"/>
      <c r="J654" s="383"/>
      <c r="K654" s="383"/>
      <c r="L654" s="383"/>
      <c r="M654" s="383"/>
      <c r="N654" s="383"/>
      <c r="O654" s="383"/>
      <c r="P654" s="383"/>
      <c r="Q654" s="847">
        <f>'He so chung'!D$22</f>
        <v>5346.1538461538457</v>
      </c>
      <c r="R654" s="847">
        <f>'He so chung'!D$23</f>
        <v>801.92307692307691</v>
      </c>
      <c r="S654" s="840"/>
      <c r="T654" s="845">
        <f>'[1]1,DG-capmoi'!N644</f>
        <v>0</v>
      </c>
      <c r="U654" s="845">
        <f t="shared" si="120"/>
        <v>0</v>
      </c>
    </row>
    <row r="655" spans="1:21" s="950" customFormat="1" ht="21.75" customHeight="1">
      <c r="A655" s="1126" t="s">
        <v>552</v>
      </c>
      <c r="B655" s="1125" t="s">
        <v>451</v>
      </c>
      <c r="C655" s="1124" t="s">
        <v>281</v>
      </c>
      <c r="D655" s="382">
        <v>1</v>
      </c>
      <c r="E655" s="947" t="e">
        <f>E666+E668+E669+E671+E672+E677+E679+E686+E687+E690+E692+E693+E694+E697+E698+E699+E700+E701+E702</f>
        <v>#VALUE!</v>
      </c>
      <c r="F655" s="947">
        <f>F666+F668+F669+F671+F672+F677+F679+F686+F687+F690+F692+F693+F694+F697+F698+F699+F700+F701+F702</f>
        <v>0</v>
      </c>
      <c r="G655" s="947">
        <f>G666+G667+G668+G669+G671+G672+G677+G679+G680+G682+G683+G685+G686+G687+G688+G690+G691+G692+G693+G694+G697+G698+G699+G700+G701+G702</f>
        <v>0</v>
      </c>
      <c r="H655" s="947">
        <f>'Dcu-DKDD'!$L$149</f>
        <v>12753.708641826923</v>
      </c>
      <c r="I655" s="947">
        <f>'VL-DKDD'!$J$154</f>
        <v>29692.98</v>
      </c>
      <c r="J655" s="947">
        <f>'TB-DKDD'!$M$84</f>
        <v>10992.36</v>
      </c>
      <c r="K655" s="947">
        <f>'NL-DKDD'!$J$60</f>
        <v>23356.62</v>
      </c>
      <c r="L655" s="893" t="e">
        <f t="shared" ref="L655:L664" si="131">SUM(E655:K655)</f>
        <v>#VALUE!</v>
      </c>
      <c r="M655" s="893" t="e">
        <f>L655*'He so chung'!$D$17/100</f>
        <v>#VALUE!</v>
      </c>
      <c r="N655" s="893" t="e">
        <f t="shared" ref="N655:N664" si="132">L655+M655</f>
        <v>#VALUE!</v>
      </c>
      <c r="O655" s="947"/>
      <c r="P655" s="947">
        <f>P666+P668+P669+P671+P672+P677+P679+P686+P687+P690+P692+P693+P694+P697+P698+P699+P700+P701+P702</f>
        <v>46172.057692307688</v>
      </c>
      <c r="Q655" s="948"/>
      <c r="R655" s="948"/>
      <c r="S655" s="949"/>
      <c r="T655" s="845">
        <f>'[1]1,DG-capmoi'!N645</f>
        <v>1686012.246090024</v>
      </c>
      <c r="U655" s="845" t="e">
        <f t="shared" si="120"/>
        <v>#VALUE!</v>
      </c>
    </row>
    <row r="656" spans="1:21" s="950" customFormat="1" ht="21.75" customHeight="1">
      <c r="A656" s="1127"/>
      <c r="B656" s="1125"/>
      <c r="C656" s="1124"/>
      <c r="D656" s="382">
        <v>2</v>
      </c>
      <c r="E656" s="947" t="e">
        <f>E666+E668+E669+E671+E673+E677+E679+E686+E687+E690+E692+E693+E694+E697+E698+E699+E700+E701+E702</f>
        <v>#VALUE!</v>
      </c>
      <c r="F656" s="947">
        <f>F666+F668+F669+F671+F673+F677+F679+F686+F687+F690+F692+F693+F694+F697+F698+F699+F700+F701+F702</f>
        <v>0</v>
      </c>
      <c r="G656" s="947">
        <f>G666+G667+G668+G669+G671+G673+G677+G679+G680+G682+G683+G685+G686+G687+G688+G690+G691+G692+G693+G694+G697+G698+G699+G700+G701+G702</f>
        <v>0</v>
      </c>
      <c r="H656" s="947">
        <f>'Dcu-DKDD'!$L$149</f>
        <v>12753.708641826923</v>
      </c>
      <c r="I656" s="947">
        <f>'VL-DKDD'!$J$154</f>
        <v>29692.98</v>
      </c>
      <c r="J656" s="947">
        <f>'TB-DKDD'!$M$84</f>
        <v>10992.36</v>
      </c>
      <c r="K656" s="947">
        <f>'NL-DKDD'!$J$60</f>
        <v>23356.62</v>
      </c>
      <c r="L656" s="893" t="e">
        <f t="shared" si="131"/>
        <v>#VALUE!</v>
      </c>
      <c r="M656" s="893" t="e">
        <f>L656*'He so chung'!$D$17/100</f>
        <v>#VALUE!</v>
      </c>
      <c r="N656" s="893" t="e">
        <f t="shared" si="132"/>
        <v>#VALUE!</v>
      </c>
      <c r="O656" s="947"/>
      <c r="P656" s="947">
        <f>P666+P668+P669+P671+P673+P677+P679+P686+P687+P690+P692+P693+P694+P697+P698+P699+P700+P701+P702</f>
        <v>47401.673076923078</v>
      </c>
      <c r="Q656" s="948"/>
      <c r="R656" s="948"/>
      <c r="S656" s="949"/>
      <c r="T656" s="845">
        <f>'[1]1,DG-capmoi'!N646</f>
        <v>1729555.6934938701</v>
      </c>
      <c r="U656" s="845" t="e">
        <f t="shared" si="120"/>
        <v>#VALUE!</v>
      </c>
    </row>
    <row r="657" spans="1:21" s="950" customFormat="1" ht="21.75" customHeight="1">
      <c r="A657" s="1127"/>
      <c r="B657" s="1125"/>
      <c r="C657" s="1124"/>
      <c r="D657" s="382">
        <v>3</v>
      </c>
      <c r="E657" s="947" t="e">
        <f>E666+E668+E669+E671+E674+E677+E679+E686+E687+E690+E692+E693+E694+E697+E698+E699+E700+E701+E702</f>
        <v>#VALUE!</v>
      </c>
      <c r="F657" s="947">
        <f>F666+F668+F669+F671+F674+F677+F679+F686+F687+F690+F692+F693+F694+F697+F698+F699+F700+F701+F702</f>
        <v>0</v>
      </c>
      <c r="G657" s="947">
        <f>G666+G667+G668+G669+G671+G674+G677+G679+G680+G682+G683+G685+G686+G687+G688+G690+G691+G692+G693+G694</f>
        <v>0</v>
      </c>
      <c r="H657" s="947">
        <f>'Dcu-DKDD'!$L$149</f>
        <v>12753.708641826923</v>
      </c>
      <c r="I657" s="947">
        <f>'VL-DKDD'!$J$154</f>
        <v>29692.98</v>
      </c>
      <c r="J657" s="947">
        <f>'TB-DKDD'!$M$84</f>
        <v>10992.36</v>
      </c>
      <c r="K657" s="947">
        <f>'NL-DKDD'!$J$60</f>
        <v>23356.62</v>
      </c>
      <c r="L657" s="893" t="e">
        <f t="shared" si="131"/>
        <v>#VALUE!</v>
      </c>
      <c r="M657" s="893" t="e">
        <f>L657*'He so chung'!$D$17/100</f>
        <v>#VALUE!</v>
      </c>
      <c r="N657" s="893" t="e">
        <f t="shared" si="132"/>
        <v>#VALUE!</v>
      </c>
      <c r="O657" s="947"/>
      <c r="P657" s="947">
        <f>P666+P668+P669+P671+P674+P677+P679+P686+P687+P690+P692+P693+P694+P697+P698+P699+P700+P701+P702</f>
        <v>48754.25</v>
      </c>
      <c r="Q657" s="948"/>
      <c r="R657" s="948"/>
      <c r="S657" s="949"/>
      <c r="T657" s="845">
        <f>'[1]1,DG-capmoi'!N647</f>
        <v>1777453.4856381009</v>
      </c>
      <c r="U657" s="845" t="e">
        <f t="shared" si="120"/>
        <v>#VALUE!</v>
      </c>
    </row>
    <row r="658" spans="1:21" s="950" customFormat="1" ht="21.75" customHeight="1">
      <c r="A658" s="1127"/>
      <c r="B658" s="1125"/>
      <c r="C658" s="1124"/>
      <c r="D658" s="382">
        <v>4</v>
      </c>
      <c r="E658" s="947" t="e">
        <f>E666+E668+E669+E671+E675+E677+E679+E686+E687+E690+E692+E693+E694+E697+E698+E699+E700+E701+E702</f>
        <v>#VALUE!</v>
      </c>
      <c r="F658" s="947">
        <f>F666+F668+F669+F671+F675+F677+F679+F686+F687+F690+F692+F693+F694+F697+F698+F699+F700+F701+F702</f>
        <v>0</v>
      </c>
      <c r="G658" s="947">
        <f>G666+G667+G668+G669+G675+G677+G679+G680+G682+G683+G685+G686+G687+G690+G691+G692+G693+G697+G698+G699+G700+G701+G702</f>
        <v>0</v>
      </c>
      <c r="H658" s="947">
        <f>'Dcu-DKDD'!$L$149</f>
        <v>12753.708641826923</v>
      </c>
      <c r="I658" s="947">
        <f>'VL-DKDD'!$J$154</f>
        <v>29692.98</v>
      </c>
      <c r="J658" s="947">
        <f>'TB-DKDD'!$M$84</f>
        <v>10992.36</v>
      </c>
      <c r="K658" s="947">
        <f>'NL-DKDD'!$J$60</f>
        <v>23356.62</v>
      </c>
      <c r="L658" s="893" t="e">
        <f t="shared" si="131"/>
        <v>#VALUE!</v>
      </c>
      <c r="M658" s="893" t="e">
        <f>L658*'He so chung'!$D$17/100</f>
        <v>#VALUE!</v>
      </c>
      <c r="N658" s="893" t="e">
        <f t="shared" si="132"/>
        <v>#VALUE!</v>
      </c>
      <c r="O658" s="947"/>
      <c r="P658" s="947">
        <f>P666+P668+P669+P671+P675+P677+P679+P686+P687+P690+P692+P693+P694+P697+P698+P699+P700+P701+P702</f>
        <v>50229.788461538461</v>
      </c>
      <c r="Q658" s="948"/>
      <c r="R658" s="948"/>
      <c r="S658" s="949"/>
      <c r="T658" s="845">
        <f>'[1]1,DG-capmoi'!N648</f>
        <v>1829705.6225227164</v>
      </c>
      <c r="U658" s="845" t="e">
        <f t="shared" si="120"/>
        <v>#VALUE!</v>
      </c>
    </row>
    <row r="659" spans="1:21" s="950" customFormat="1" ht="21.75" customHeight="1">
      <c r="A659" s="1128"/>
      <c r="B659" s="1125"/>
      <c r="C659" s="1124"/>
      <c r="D659" s="382">
        <v>5</v>
      </c>
      <c r="E659" s="947" t="e">
        <f>E666+E668+E669+E671+E676+E677+E679+E686+E687+E690+E692+E693+E694+E697+E698+E699+E700+E701+E702</f>
        <v>#VALUE!</v>
      </c>
      <c r="F659" s="947">
        <f>F666+F668+F669+F671+F676+F677+F679+F686+F687+F690+F692+F693+F694+F697+F698+F699+F700+F701+F702</f>
        <v>0</v>
      </c>
      <c r="G659" s="947">
        <f>G666+G667+G668+G669+G671+G676+G677+G679+G680+G682+G683+G685+G686+G687+G688+G690+G691+G692+G693+G697+G698+G699+G700+G701+G702</f>
        <v>0</v>
      </c>
      <c r="H659" s="947">
        <f>'Dcu-DKDD'!$L$149</f>
        <v>12753.708641826923</v>
      </c>
      <c r="I659" s="947">
        <f>'VL-DKDD'!$J$154</f>
        <v>29692.98</v>
      </c>
      <c r="J659" s="947">
        <f>'TB-DKDD'!$M$84</f>
        <v>10992.36</v>
      </c>
      <c r="K659" s="947">
        <f>'NL-DKDD'!$J$60</f>
        <v>23356.62</v>
      </c>
      <c r="L659" s="893" t="e">
        <f t="shared" si="131"/>
        <v>#VALUE!</v>
      </c>
      <c r="M659" s="893" t="e">
        <f>L659*'He so chung'!$D$17/100</f>
        <v>#VALUE!</v>
      </c>
      <c r="N659" s="893" t="e">
        <f t="shared" si="132"/>
        <v>#VALUE!</v>
      </c>
      <c r="O659" s="947"/>
      <c r="P659" s="947">
        <f>P666+P668+P669+P671+P676+P677+P679+P686+P687+P690+P692+P693+P694+P697+P698+P699+P700+P701+P702</f>
        <v>51828.288461538461</v>
      </c>
      <c r="Q659" s="948"/>
      <c r="R659" s="948"/>
      <c r="S659" s="949"/>
      <c r="T659" s="845">
        <f>'[1]1,DG-capmoi'!N649</f>
        <v>1886312.1041477162</v>
      </c>
      <c r="U659" s="845" t="e">
        <f t="shared" si="120"/>
        <v>#VALUE!</v>
      </c>
    </row>
    <row r="660" spans="1:21" s="950" customFormat="1" ht="21.75" customHeight="1">
      <c r="A660" s="1126" t="s">
        <v>553</v>
      </c>
      <c r="B660" s="1125" t="s">
        <v>452</v>
      </c>
      <c r="C660" s="1124" t="s">
        <v>281</v>
      </c>
      <c r="D660" s="382">
        <v>1</v>
      </c>
      <c r="E660" s="947" t="e">
        <f>E667+E668+E669+E671+E672+E677+E680+E685+E687+E690+E692+E693+E694+E697+E698+E699+E700+E701+E702</f>
        <v>#VALUE!</v>
      </c>
      <c r="F660" s="947">
        <f>F667+F668+F669+F671+F677+F680+F685+F687+F690+F692+F693+F694+F697+F698+F699+F700+F701+F702</f>
        <v>0</v>
      </c>
      <c r="G660" s="947"/>
      <c r="H660" s="947">
        <f>'Dcu-DKDD'!$L$149</f>
        <v>12753.708641826923</v>
      </c>
      <c r="I660" s="947">
        <f>'VL-DKDD'!$J$154</f>
        <v>29692.98</v>
      </c>
      <c r="J660" s="947">
        <f>'TB-DKDD'!$M$84</f>
        <v>10992.36</v>
      </c>
      <c r="K660" s="947">
        <f>'NL-DKDD'!$J$60</f>
        <v>23356.62</v>
      </c>
      <c r="L660" s="893" t="e">
        <f t="shared" si="131"/>
        <v>#VALUE!</v>
      </c>
      <c r="M660" s="893" t="e">
        <f>L660*'He so chung'!$D$17/100</f>
        <v>#VALUE!</v>
      </c>
      <c r="N660" s="893" t="e">
        <f t="shared" si="132"/>
        <v>#VALUE!</v>
      </c>
      <c r="O660" s="947"/>
      <c r="P660" s="947">
        <f>P667+P668+P669+P671+P672+P677+P680+P685+P687+P690+P692+P693+P694+P697+P698+P699+P700+P701+P702</f>
        <v>46172.057692307695</v>
      </c>
      <c r="Q660" s="948"/>
      <c r="R660" s="948"/>
      <c r="S660" s="949"/>
      <c r="T660" s="845">
        <f>'[1]1,DG-capmoi'!N650</f>
        <v>1687265.0704650241</v>
      </c>
      <c r="U660" s="845" t="e">
        <f t="shared" si="120"/>
        <v>#VALUE!</v>
      </c>
    </row>
    <row r="661" spans="1:21" s="950" customFormat="1" ht="21.75" customHeight="1">
      <c r="A661" s="1127"/>
      <c r="B661" s="1125"/>
      <c r="C661" s="1124"/>
      <c r="D661" s="382">
        <v>2</v>
      </c>
      <c r="E661" s="947" t="e">
        <f>E667+E668+E669+E671+E673+E677+E680+E685+E687+E690+E692+E693+E694+E697+E698+E699+E700+E701+E702</f>
        <v>#VALUE!</v>
      </c>
      <c r="F661" s="947">
        <f>F667+F668+F669+F671+F673+F677+F680+F685+F687+F690+F692+F693+F694+F697+F698+F699+F700+F701+F702</f>
        <v>0</v>
      </c>
      <c r="G661" s="947"/>
      <c r="H661" s="947">
        <f>'Dcu-DKDD'!$L$149</f>
        <v>12753.708641826923</v>
      </c>
      <c r="I661" s="947">
        <f>'VL-DKDD'!$J$154</f>
        <v>29692.98</v>
      </c>
      <c r="J661" s="947">
        <f>'TB-DKDD'!$M$84</f>
        <v>10992.36</v>
      </c>
      <c r="K661" s="947">
        <f>'NL-DKDD'!$J$60</f>
        <v>23356.62</v>
      </c>
      <c r="L661" s="893" t="e">
        <f t="shared" si="131"/>
        <v>#VALUE!</v>
      </c>
      <c r="M661" s="893" t="e">
        <f>L661*'He so chung'!$D$17/100</f>
        <v>#VALUE!</v>
      </c>
      <c r="N661" s="893" t="e">
        <f t="shared" si="132"/>
        <v>#VALUE!</v>
      </c>
      <c r="O661" s="947"/>
      <c r="P661" s="947">
        <f>P667+P668+P669+P671+P673+P677+P680+P685+P687+P690+P692+P693+P694+P697+P698+P699+P700+P701+P702</f>
        <v>47401.673076923085</v>
      </c>
      <c r="Q661" s="948"/>
      <c r="R661" s="948"/>
      <c r="S661" s="949"/>
      <c r="T661" s="845">
        <f>'[1]1,DG-capmoi'!N651</f>
        <v>1730808.5178688702</v>
      </c>
      <c r="U661" s="845" t="e">
        <f t="shared" si="120"/>
        <v>#VALUE!</v>
      </c>
    </row>
    <row r="662" spans="1:21" s="950" customFormat="1" ht="21.75" customHeight="1">
      <c r="A662" s="1127"/>
      <c r="B662" s="1125"/>
      <c r="C662" s="1124"/>
      <c r="D662" s="382">
        <v>3</v>
      </c>
      <c r="E662" s="947" t="e">
        <f>E667+E668+E669+E671+E674+E677+E680+E685+E687+E690+E692+E693+E694+E697+E698+E699+E700+E701+E702</f>
        <v>#VALUE!</v>
      </c>
      <c r="F662" s="947">
        <f>F667+F668+F669+F671+F674+F677+F680+F685+F687+F690+F692+F693+F694+F697+F698+F699+F700+F701+F702</f>
        <v>0</v>
      </c>
      <c r="G662" s="947"/>
      <c r="H662" s="947">
        <f>'Dcu-DKDD'!$L$149</f>
        <v>12753.708641826923</v>
      </c>
      <c r="I662" s="947">
        <f>'VL-DKDD'!$J$154</f>
        <v>29692.98</v>
      </c>
      <c r="J662" s="947">
        <f>'TB-DKDD'!$M$84</f>
        <v>10992.36</v>
      </c>
      <c r="K662" s="947">
        <f>'NL-DKDD'!$J$60</f>
        <v>23356.62</v>
      </c>
      <c r="L662" s="893" t="e">
        <f t="shared" si="131"/>
        <v>#VALUE!</v>
      </c>
      <c r="M662" s="893" t="e">
        <f>L662*'He so chung'!$D$17/100</f>
        <v>#VALUE!</v>
      </c>
      <c r="N662" s="893" t="e">
        <f t="shared" si="132"/>
        <v>#VALUE!</v>
      </c>
      <c r="O662" s="947"/>
      <c r="P662" s="947">
        <f>P667+P668+P669+P671+P674+P677+P680+P685+P687+P690+P692+P693+P694+P697+P698+P699+P700+P701+P702</f>
        <v>48754.250000000007</v>
      </c>
      <c r="Q662" s="948"/>
      <c r="R662" s="948"/>
      <c r="S662" s="949"/>
      <c r="T662" s="845">
        <f>'[1]1,DG-capmoi'!N652</f>
        <v>1778706.310013101</v>
      </c>
      <c r="U662" s="845" t="e">
        <f t="shared" si="120"/>
        <v>#VALUE!</v>
      </c>
    </row>
    <row r="663" spans="1:21" s="950" customFormat="1" ht="21.75" customHeight="1">
      <c r="A663" s="1127"/>
      <c r="B663" s="1125"/>
      <c r="C663" s="1124"/>
      <c r="D663" s="382">
        <v>4</v>
      </c>
      <c r="E663" s="947" t="e">
        <f>E667+E668+E669+E671+E675+E677+E680+E685+E687+E690+E692+E693+E694+E697+E698+E699+E700+E701+E702</f>
        <v>#VALUE!</v>
      </c>
      <c r="F663" s="947">
        <f>F667+F668+F669+F671+F675+F677+F680+F685+F687+F690+F692+F693+F694+F697+F698+F699+F700+F701+F702</f>
        <v>0</v>
      </c>
      <c r="G663" s="947"/>
      <c r="H663" s="947">
        <f>'Dcu-DKDD'!$L$149</f>
        <v>12753.708641826923</v>
      </c>
      <c r="I663" s="947">
        <f>'VL-DKDD'!$J$154</f>
        <v>29692.98</v>
      </c>
      <c r="J663" s="947">
        <f>'TB-DKDD'!$M$84</f>
        <v>10992.36</v>
      </c>
      <c r="K663" s="947">
        <f>'NL-DKDD'!$J$60</f>
        <v>23356.62</v>
      </c>
      <c r="L663" s="893" t="e">
        <f t="shared" si="131"/>
        <v>#VALUE!</v>
      </c>
      <c r="M663" s="893" t="e">
        <f>L663*'He so chung'!$D$17/100</f>
        <v>#VALUE!</v>
      </c>
      <c r="N663" s="893" t="e">
        <f t="shared" si="132"/>
        <v>#VALUE!</v>
      </c>
      <c r="O663" s="947"/>
      <c r="P663" s="947">
        <f>P667+P668+P669+P671+P675+P677+P680+P685+P687+P690+P692+P693+P694+P697+P698+P699+P700+P701+P702</f>
        <v>50229.788461538468</v>
      </c>
      <c r="Q663" s="948"/>
      <c r="R663" s="948"/>
      <c r="S663" s="949"/>
      <c r="T663" s="845">
        <f>'[1]1,DG-capmoi'!N653</f>
        <v>1830958.4468977165</v>
      </c>
      <c r="U663" s="845" t="e">
        <f t="shared" si="120"/>
        <v>#VALUE!</v>
      </c>
    </row>
    <row r="664" spans="1:21" s="950" customFormat="1" ht="21.75" customHeight="1">
      <c r="A664" s="1128"/>
      <c r="B664" s="1125"/>
      <c r="C664" s="1124"/>
      <c r="D664" s="382">
        <v>5</v>
      </c>
      <c r="E664" s="947" t="e">
        <f>E667+E668+E669+E671+E676+E677+E680+E685+E687+E690+E692+E693+E694+E697+E698+E699+E700+E701+E702</f>
        <v>#VALUE!</v>
      </c>
      <c r="F664" s="947">
        <f>F667+F668+F669+F671+F676+F677+F680+F685+F687+F690+F692+F693+F694+F697+F698+F699+F700+F701+F702</f>
        <v>0</v>
      </c>
      <c r="G664" s="947"/>
      <c r="H664" s="947">
        <f>'Dcu-DKDD'!$L$149</f>
        <v>12753.708641826923</v>
      </c>
      <c r="I664" s="947">
        <f>'VL-DKDD'!$J$154</f>
        <v>29692.98</v>
      </c>
      <c r="J664" s="947">
        <f>'TB-DKDD'!$M$84</f>
        <v>10992.36</v>
      </c>
      <c r="K664" s="947">
        <f>'NL-DKDD'!$J$60</f>
        <v>23356.62</v>
      </c>
      <c r="L664" s="893" t="e">
        <f t="shared" si="131"/>
        <v>#VALUE!</v>
      </c>
      <c r="M664" s="893" t="e">
        <f>L664*'He so chung'!$D$17/100</f>
        <v>#VALUE!</v>
      </c>
      <c r="N664" s="893" t="e">
        <f t="shared" si="132"/>
        <v>#VALUE!</v>
      </c>
      <c r="O664" s="947"/>
      <c r="P664" s="947">
        <f>P667+P668+P669+P671+P676+P677+P680+P685+P687+P690+P692+P693+P694+P697+P698+P699+P700+P701+P702</f>
        <v>51828.288461538468</v>
      </c>
      <c r="Q664" s="948"/>
      <c r="R664" s="948"/>
      <c r="S664" s="949"/>
      <c r="T664" s="845">
        <f>'[1]1,DG-capmoi'!N654</f>
        <v>1887564.9285227163</v>
      </c>
      <c r="U664" s="845" t="e">
        <f t="shared" si="120"/>
        <v>#VALUE!</v>
      </c>
    </row>
    <row r="665" spans="1:21" s="950" customFormat="1" ht="26.45" customHeight="1">
      <c r="A665" s="832">
        <v>1</v>
      </c>
      <c r="B665" s="827" t="s">
        <v>31</v>
      </c>
      <c r="C665" s="832"/>
      <c r="D665" s="951"/>
      <c r="E665" s="952"/>
      <c r="F665" s="952"/>
      <c r="G665" s="952"/>
      <c r="H665" s="952"/>
      <c r="I665" s="952"/>
      <c r="J665" s="952"/>
      <c r="K665" s="952"/>
      <c r="L665" s="952"/>
      <c r="M665" s="925"/>
      <c r="N665" s="952"/>
      <c r="O665" s="952"/>
      <c r="P665" s="952"/>
      <c r="Q665" s="948"/>
      <c r="R665" s="948"/>
      <c r="S665" s="949"/>
      <c r="T665" s="845">
        <f>'[1]1,DG-capmoi'!N655</f>
        <v>0</v>
      </c>
      <c r="U665" s="845">
        <f t="shared" si="120"/>
        <v>0</v>
      </c>
    </row>
    <row r="666" spans="1:21" s="950" customFormat="1" ht="26.45" customHeight="1">
      <c r="A666" s="832" t="s">
        <v>891</v>
      </c>
      <c r="B666" s="827" t="s">
        <v>33</v>
      </c>
      <c r="C666" s="832" t="s">
        <v>281</v>
      </c>
      <c r="D666" s="901" t="s">
        <v>881</v>
      </c>
      <c r="E666" s="952" t="e">
        <f>NC_DKDD!H434</f>
        <v>#VALUE!</v>
      </c>
      <c r="F666" s="952"/>
      <c r="G666" s="952"/>
      <c r="H666" s="952"/>
      <c r="I666" s="952"/>
      <c r="J666" s="952"/>
      <c r="K666" s="952"/>
      <c r="L666" s="952"/>
      <c r="M666" s="925"/>
      <c r="N666" s="952"/>
      <c r="O666" s="952"/>
      <c r="P666" s="952">
        <f>Q666+R666</f>
        <v>1229.6153846153848</v>
      </c>
      <c r="Q666" s="963">
        <f>S666*$Q$654</f>
        <v>1069.2307692307693</v>
      </c>
      <c r="R666" s="964">
        <f>S666*$R$654</f>
        <v>160.38461538461539</v>
      </c>
      <c r="S666" s="965">
        <f>NC_DKDD!G434</f>
        <v>0.2</v>
      </c>
      <c r="T666" s="845">
        <f>'[1]1,DG-capmoi'!N656</f>
        <v>0</v>
      </c>
      <c r="U666" s="845">
        <f t="shared" si="120"/>
        <v>0</v>
      </c>
    </row>
    <row r="667" spans="1:21" s="950" customFormat="1" ht="27" customHeight="1">
      <c r="A667" s="832" t="s">
        <v>899</v>
      </c>
      <c r="B667" s="827" t="s">
        <v>36</v>
      </c>
      <c r="C667" s="832" t="s">
        <v>281</v>
      </c>
      <c r="D667" s="901" t="s">
        <v>881</v>
      </c>
      <c r="E667" s="952" t="e">
        <f>NC_DKDD!H435</f>
        <v>#VALUE!</v>
      </c>
      <c r="F667" s="952"/>
      <c r="G667" s="952"/>
      <c r="H667" s="952"/>
      <c r="I667" s="952"/>
      <c r="J667" s="952"/>
      <c r="K667" s="952"/>
      <c r="L667" s="952"/>
      <c r="M667" s="925"/>
      <c r="N667" s="952"/>
      <c r="O667" s="952"/>
      <c r="P667" s="952">
        <f t="shared" ref="P667:P706" si="133">Q667+R667</f>
        <v>922.21153846153834</v>
      </c>
      <c r="Q667" s="856">
        <f t="shared" ref="Q667:Q672" si="134">S667*$Q$579</f>
        <v>801.92307692307679</v>
      </c>
      <c r="R667" s="856">
        <f t="shared" ref="R667:R706" si="135">S667*$R$579</f>
        <v>120.28846153846153</v>
      </c>
      <c r="S667" s="965">
        <f>NC_DKDD!G435</f>
        <v>0.15</v>
      </c>
      <c r="T667" s="845">
        <f>'[1]1,DG-capmoi'!N657</f>
        <v>0</v>
      </c>
      <c r="U667" s="845">
        <f t="shared" si="120"/>
        <v>0</v>
      </c>
    </row>
    <row r="668" spans="1:21" s="950" customFormat="1" ht="42.75">
      <c r="A668" s="832">
        <v>2</v>
      </c>
      <c r="B668" s="827" t="s">
        <v>37</v>
      </c>
      <c r="C668" s="832" t="s">
        <v>281</v>
      </c>
      <c r="D668" s="901" t="s">
        <v>881</v>
      </c>
      <c r="E668" s="952" t="e">
        <f>NC_DKDD!H436</f>
        <v>#VALUE!</v>
      </c>
      <c r="F668" s="952"/>
      <c r="G668" s="952"/>
      <c r="H668" s="952"/>
      <c r="I668" s="952"/>
      <c r="J668" s="952"/>
      <c r="K668" s="952"/>
      <c r="L668" s="952"/>
      <c r="M668" s="925"/>
      <c r="N668" s="952"/>
      <c r="O668" s="952"/>
      <c r="P668" s="952">
        <f t="shared" si="133"/>
        <v>3074.0384615384614</v>
      </c>
      <c r="Q668" s="856">
        <f t="shared" si="134"/>
        <v>2673.0769230769229</v>
      </c>
      <c r="R668" s="856">
        <f t="shared" si="135"/>
        <v>400.96153846153845</v>
      </c>
      <c r="S668" s="965">
        <f>NC_DKDD!G436</f>
        <v>0.5</v>
      </c>
      <c r="T668" s="845">
        <f>'[1]1,DG-capmoi'!N658</f>
        <v>0</v>
      </c>
      <c r="U668" s="845">
        <f t="shared" si="120"/>
        <v>0</v>
      </c>
    </row>
    <row r="669" spans="1:21" s="950" customFormat="1" ht="30.75" customHeight="1">
      <c r="A669" s="832">
        <v>3</v>
      </c>
      <c r="B669" s="827" t="s">
        <v>1078</v>
      </c>
      <c r="C669" s="832" t="s">
        <v>523</v>
      </c>
      <c r="D669" s="901" t="s">
        <v>881</v>
      </c>
      <c r="E669" s="952" t="e">
        <f>NC_DKDD!H437</f>
        <v>#VALUE!</v>
      </c>
      <c r="F669" s="952"/>
      <c r="G669" s="952"/>
      <c r="H669" s="952"/>
      <c r="I669" s="952"/>
      <c r="J669" s="952"/>
      <c r="K669" s="952"/>
      <c r="L669" s="952"/>
      <c r="M669" s="925"/>
      <c r="N669" s="952"/>
      <c r="O669" s="952"/>
      <c r="P669" s="952">
        <f t="shared" si="133"/>
        <v>202.88653846153844</v>
      </c>
      <c r="Q669" s="856">
        <f t="shared" si="134"/>
        <v>176.42307692307691</v>
      </c>
      <c r="R669" s="856">
        <f t="shared" si="135"/>
        <v>26.463461538461541</v>
      </c>
      <c r="S669" s="965">
        <f>NC_DKDD!G437</f>
        <v>3.3000000000000002E-2</v>
      </c>
      <c r="T669" s="845">
        <f>'[1]1,DG-capmoi'!N659</f>
        <v>0</v>
      </c>
      <c r="U669" s="845">
        <f t="shared" si="120"/>
        <v>0</v>
      </c>
    </row>
    <row r="670" spans="1:21" s="950" customFormat="1" ht="42.75">
      <c r="A670" s="832">
        <v>4</v>
      </c>
      <c r="B670" s="827" t="s">
        <v>1079</v>
      </c>
      <c r="C670" s="832"/>
      <c r="D670" s="832"/>
      <c r="E670" s="952">
        <f>NC_DKDD!H438</f>
        <v>0</v>
      </c>
      <c r="F670" s="952"/>
      <c r="G670" s="952"/>
      <c r="H670" s="952"/>
      <c r="I670" s="952"/>
      <c r="J670" s="952"/>
      <c r="K670" s="952"/>
      <c r="L670" s="952"/>
      <c r="M670" s="925"/>
      <c r="N670" s="952"/>
      <c r="O670" s="952"/>
      <c r="P670" s="952">
        <f t="shared" si="133"/>
        <v>0</v>
      </c>
      <c r="Q670" s="856">
        <f t="shared" si="134"/>
        <v>0</v>
      </c>
      <c r="R670" s="856">
        <f t="shared" si="135"/>
        <v>0</v>
      </c>
      <c r="S670" s="965">
        <f>NC_DKDD!G438</f>
        <v>0</v>
      </c>
      <c r="T670" s="845">
        <f>'[1]1,DG-capmoi'!N660</f>
        <v>0</v>
      </c>
      <c r="U670" s="845">
        <f t="shared" si="120"/>
        <v>0</v>
      </c>
    </row>
    <row r="671" spans="1:21" s="950" customFormat="1" ht="31.5" customHeight="1">
      <c r="A671" s="832" t="s">
        <v>251</v>
      </c>
      <c r="B671" s="827" t="s">
        <v>1080</v>
      </c>
      <c r="C671" s="832" t="s">
        <v>281</v>
      </c>
      <c r="D671" s="901" t="s">
        <v>881</v>
      </c>
      <c r="E671" s="952" t="e">
        <f>NC_DKDD!H439</f>
        <v>#VALUE!</v>
      </c>
      <c r="F671" s="952"/>
      <c r="G671" s="952"/>
      <c r="H671" s="952"/>
      <c r="I671" s="952"/>
      <c r="J671" s="952"/>
      <c r="K671" s="952"/>
      <c r="L671" s="952"/>
      <c r="M671" s="925"/>
      <c r="N671" s="952"/>
      <c r="O671" s="952"/>
      <c r="P671" s="952">
        <f t="shared" si="133"/>
        <v>12296.153846153846</v>
      </c>
      <c r="Q671" s="856">
        <f t="shared" si="134"/>
        <v>10692.307692307691</v>
      </c>
      <c r="R671" s="856">
        <f t="shared" si="135"/>
        <v>1603.8461538461538</v>
      </c>
      <c r="S671" s="965">
        <f>NC_DKDD!G439</f>
        <v>2</v>
      </c>
      <c r="T671" s="845">
        <f>'[1]1,DG-capmoi'!N661</f>
        <v>0</v>
      </c>
      <c r="U671" s="845">
        <f t="shared" si="120"/>
        <v>0</v>
      </c>
    </row>
    <row r="672" spans="1:21" s="950" customFormat="1" ht="21" customHeight="1">
      <c r="A672" s="1133" t="s">
        <v>252</v>
      </c>
      <c r="B672" s="1130" t="s">
        <v>1081</v>
      </c>
      <c r="C672" s="1116" t="s">
        <v>281</v>
      </c>
      <c r="D672" s="832">
        <v>1</v>
      </c>
      <c r="E672" s="952" t="e">
        <f>NC_DKDD!H440</f>
        <v>#VALUE!</v>
      </c>
      <c r="F672" s="952"/>
      <c r="G672" s="952"/>
      <c r="H672" s="952"/>
      <c r="I672" s="952"/>
      <c r="J672" s="952"/>
      <c r="K672" s="952"/>
      <c r="L672" s="952"/>
      <c r="M672" s="925"/>
      <c r="N672" s="952"/>
      <c r="O672" s="952"/>
      <c r="P672" s="952">
        <f t="shared" si="133"/>
        <v>12296.153846153846</v>
      </c>
      <c r="Q672" s="856">
        <f t="shared" si="134"/>
        <v>10692.307692307691</v>
      </c>
      <c r="R672" s="856">
        <f>S672*$R$579</f>
        <v>1603.8461538461538</v>
      </c>
      <c r="S672" s="965">
        <f>NC_DKDD!G440</f>
        <v>2</v>
      </c>
      <c r="T672" s="845">
        <f>'[1]1,DG-capmoi'!N662</f>
        <v>0</v>
      </c>
      <c r="U672" s="845">
        <f t="shared" si="120"/>
        <v>0</v>
      </c>
    </row>
    <row r="673" spans="1:21" s="950" customFormat="1" ht="21" customHeight="1">
      <c r="A673" s="1134"/>
      <c r="B673" s="1131"/>
      <c r="C673" s="1116"/>
      <c r="D673" s="832">
        <v>2</v>
      </c>
      <c r="E673" s="952" t="e">
        <f>NC_DKDD!H441</f>
        <v>#VALUE!</v>
      </c>
      <c r="F673" s="952"/>
      <c r="G673" s="952"/>
      <c r="H673" s="952"/>
      <c r="I673" s="952"/>
      <c r="J673" s="952"/>
      <c r="K673" s="952"/>
      <c r="L673" s="952"/>
      <c r="M673" s="925"/>
      <c r="N673" s="952"/>
      <c r="O673" s="952"/>
      <c r="P673" s="952">
        <f t="shared" si="133"/>
        <v>13525.76923076923</v>
      </c>
      <c r="Q673" s="856">
        <f t="shared" ref="Q673:Q706" si="136">S673*$Q$579</f>
        <v>11761.538461538461</v>
      </c>
      <c r="R673" s="856">
        <f t="shared" si="135"/>
        <v>1764.2307692307693</v>
      </c>
      <c r="S673" s="965">
        <f>NC_DKDD!G441</f>
        <v>2.2000000000000002</v>
      </c>
      <c r="T673" s="845">
        <f>'[1]1,DG-capmoi'!N663</f>
        <v>0</v>
      </c>
      <c r="U673" s="845">
        <f t="shared" si="120"/>
        <v>0</v>
      </c>
    </row>
    <row r="674" spans="1:21" s="950" customFormat="1" ht="21" customHeight="1">
      <c r="A674" s="1134"/>
      <c r="B674" s="1131"/>
      <c r="C674" s="1116"/>
      <c r="D674" s="832">
        <v>3</v>
      </c>
      <c r="E674" s="952" t="e">
        <f>NC_DKDD!H442</f>
        <v>#VALUE!</v>
      </c>
      <c r="F674" s="952"/>
      <c r="G674" s="952"/>
      <c r="H674" s="952"/>
      <c r="I674" s="952"/>
      <c r="J674" s="952"/>
      <c r="K674" s="952"/>
      <c r="L674" s="952"/>
      <c r="M674" s="925"/>
      <c r="N674" s="952"/>
      <c r="O674" s="952"/>
      <c r="P674" s="952">
        <f t="shared" si="133"/>
        <v>14878.346153846152</v>
      </c>
      <c r="Q674" s="856">
        <f t="shared" si="136"/>
        <v>12937.692307692307</v>
      </c>
      <c r="R674" s="856">
        <f t="shared" si="135"/>
        <v>1940.653846153846</v>
      </c>
      <c r="S674" s="965">
        <f>NC_DKDD!G442</f>
        <v>2.42</v>
      </c>
      <c r="T674" s="845">
        <f>'[1]1,DG-capmoi'!N664</f>
        <v>0</v>
      </c>
      <c r="U674" s="845">
        <f t="shared" si="120"/>
        <v>0</v>
      </c>
    </row>
    <row r="675" spans="1:21" s="950" customFormat="1" ht="21" customHeight="1">
      <c r="A675" s="1134"/>
      <c r="B675" s="1131"/>
      <c r="C675" s="1116"/>
      <c r="D675" s="832">
        <v>4</v>
      </c>
      <c r="E675" s="952" t="e">
        <f>NC_DKDD!H443</f>
        <v>#VALUE!</v>
      </c>
      <c r="F675" s="952"/>
      <c r="G675" s="952"/>
      <c r="H675" s="952"/>
      <c r="I675" s="952"/>
      <c r="J675" s="952"/>
      <c r="K675" s="952"/>
      <c r="L675" s="952"/>
      <c r="M675" s="925"/>
      <c r="N675" s="952"/>
      <c r="O675" s="952"/>
      <c r="P675" s="952">
        <f t="shared" si="133"/>
        <v>16353.884615384615</v>
      </c>
      <c r="Q675" s="856">
        <f t="shared" si="136"/>
        <v>14220.76923076923</v>
      </c>
      <c r="R675" s="856">
        <f t="shared" si="135"/>
        <v>2133.1153846153848</v>
      </c>
      <c r="S675" s="965">
        <f>NC_DKDD!G443</f>
        <v>2.66</v>
      </c>
      <c r="T675" s="845">
        <f>'[1]1,DG-capmoi'!N665</f>
        <v>0</v>
      </c>
      <c r="U675" s="845">
        <f t="shared" si="120"/>
        <v>0</v>
      </c>
    </row>
    <row r="676" spans="1:21" s="950" customFormat="1" ht="21" customHeight="1">
      <c r="A676" s="1135"/>
      <c r="B676" s="1132"/>
      <c r="C676" s="1116"/>
      <c r="D676" s="832">
        <v>5</v>
      </c>
      <c r="E676" s="952" t="e">
        <f>NC_DKDD!H444</f>
        <v>#VALUE!</v>
      </c>
      <c r="F676" s="952"/>
      <c r="G676" s="952"/>
      <c r="H676" s="952"/>
      <c r="I676" s="952"/>
      <c r="J676" s="952"/>
      <c r="K676" s="952"/>
      <c r="L676" s="952"/>
      <c r="M676" s="925"/>
      <c r="N676" s="952"/>
      <c r="O676" s="952"/>
      <c r="P676" s="952">
        <f t="shared" si="133"/>
        <v>17952.384615384613</v>
      </c>
      <c r="Q676" s="856">
        <f t="shared" si="136"/>
        <v>15610.769230769229</v>
      </c>
      <c r="R676" s="856">
        <f t="shared" si="135"/>
        <v>2341.6153846153843</v>
      </c>
      <c r="S676" s="965">
        <f>NC_DKDD!G444</f>
        <v>2.92</v>
      </c>
      <c r="T676" s="845">
        <f>'[1]1,DG-capmoi'!N666</f>
        <v>0</v>
      </c>
      <c r="U676" s="845">
        <f t="shared" si="120"/>
        <v>0</v>
      </c>
    </row>
    <row r="677" spans="1:21" s="950" customFormat="1" ht="28.5">
      <c r="A677" s="832" t="s">
        <v>1082</v>
      </c>
      <c r="B677" s="827" t="s">
        <v>1083</v>
      </c>
      <c r="C677" s="832" t="s">
        <v>523</v>
      </c>
      <c r="D677" s="901" t="s">
        <v>881</v>
      </c>
      <c r="E677" s="952" t="e">
        <f>NC_DKDD!H445</f>
        <v>#VALUE!</v>
      </c>
      <c r="F677" s="952"/>
      <c r="G677" s="952"/>
      <c r="H677" s="952"/>
      <c r="I677" s="952"/>
      <c r="J677" s="952"/>
      <c r="K677" s="952"/>
      <c r="L677" s="952"/>
      <c r="M677" s="925"/>
      <c r="N677" s="952"/>
      <c r="O677" s="952"/>
      <c r="P677" s="952">
        <f t="shared" si="133"/>
        <v>18.444230769230767</v>
      </c>
      <c r="Q677" s="856">
        <f t="shared" si="136"/>
        <v>16.038461538461537</v>
      </c>
      <c r="R677" s="856">
        <f t="shared" si="135"/>
        <v>2.4057692307692307</v>
      </c>
      <c r="S677" s="965">
        <f>NC_DKDD!G445</f>
        <v>3.0000000000000001E-3</v>
      </c>
      <c r="T677" s="845">
        <f>'[1]1,DG-capmoi'!N667</f>
        <v>0</v>
      </c>
      <c r="U677" s="845">
        <f t="shared" si="120"/>
        <v>0</v>
      </c>
    </row>
    <row r="678" spans="1:21" s="950" customFormat="1" ht="28.5">
      <c r="A678" s="832" t="s">
        <v>1084</v>
      </c>
      <c r="B678" s="827" t="s">
        <v>1085</v>
      </c>
      <c r="C678" s="832"/>
      <c r="D678" s="832"/>
      <c r="E678" s="952">
        <f>NC_DKDD!H446</f>
        <v>0</v>
      </c>
      <c r="F678" s="952"/>
      <c r="G678" s="952"/>
      <c r="H678" s="952"/>
      <c r="I678" s="952"/>
      <c r="J678" s="952"/>
      <c r="K678" s="952"/>
      <c r="L678" s="952"/>
      <c r="M678" s="925"/>
      <c r="N678" s="952"/>
      <c r="O678" s="952"/>
      <c r="P678" s="952">
        <f t="shared" si="133"/>
        <v>0</v>
      </c>
      <c r="Q678" s="856">
        <f t="shared" si="136"/>
        <v>0</v>
      </c>
      <c r="R678" s="856">
        <f t="shared" si="135"/>
        <v>0</v>
      </c>
      <c r="S678" s="965">
        <f>NC_DKDD!G446</f>
        <v>0</v>
      </c>
      <c r="T678" s="845">
        <f>'[1]1,DG-capmoi'!N668</f>
        <v>0</v>
      </c>
      <c r="U678" s="845">
        <f t="shared" si="120"/>
        <v>0</v>
      </c>
    </row>
    <row r="679" spans="1:21" s="950" customFormat="1" ht="26.45" customHeight="1">
      <c r="A679" s="832" t="s">
        <v>1086</v>
      </c>
      <c r="B679" s="827" t="s">
        <v>33</v>
      </c>
      <c r="C679" s="832" t="s">
        <v>281</v>
      </c>
      <c r="D679" s="901" t="s">
        <v>881</v>
      </c>
      <c r="E679" s="952" t="e">
        <f>NC_DKDD!H447</f>
        <v>#VALUE!</v>
      </c>
      <c r="F679" s="952"/>
      <c r="G679" s="952"/>
      <c r="H679" s="952"/>
      <c r="I679" s="952"/>
      <c r="J679" s="952"/>
      <c r="K679" s="952"/>
      <c r="L679" s="952"/>
      <c r="M679" s="925"/>
      <c r="N679" s="952"/>
      <c r="O679" s="952"/>
      <c r="P679" s="952">
        <f t="shared" si="133"/>
        <v>6148.0769230769229</v>
      </c>
      <c r="Q679" s="856">
        <f t="shared" si="136"/>
        <v>5346.1538461538457</v>
      </c>
      <c r="R679" s="856">
        <f t="shared" si="135"/>
        <v>801.92307692307691</v>
      </c>
      <c r="S679" s="965">
        <f>NC_DKDD!G447</f>
        <v>1</v>
      </c>
      <c r="T679" s="845">
        <f>'[1]1,DG-capmoi'!N669</f>
        <v>0</v>
      </c>
      <c r="U679" s="845">
        <f t="shared" si="120"/>
        <v>0</v>
      </c>
    </row>
    <row r="680" spans="1:21" s="950" customFormat="1" ht="26.45" customHeight="1">
      <c r="A680" s="832" t="s">
        <v>1087</v>
      </c>
      <c r="B680" s="827" t="s">
        <v>1088</v>
      </c>
      <c r="C680" s="832" t="s">
        <v>281</v>
      </c>
      <c r="D680" s="901" t="s">
        <v>881</v>
      </c>
      <c r="E680" s="952" t="e">
        <f>NC_DKDD!H448</f>
        <v>#VALUE!</v>
      </c>
      <c r="F680" s="952"/>
      <c r="G680" s="952"/>
      <c r="H680" s="952"/>
      <c r="I680" s="952"/>
      <c r="J680" s="952"/>
      <c r="K680" s="952"/>
      <c r="L680" s="952"/>
      <c r="M680" s="925"/>
      <c r="N680" s="952"/>
      <c r="O680" s="952"/>
      <c r="P680" s="952">
        <f t="shared" si="133"/>
        <v>6148.0769230769229</v>
      </c>
      <c r="Q680" s="856">
        <f t="shared" si="136"/>
        <v>5346.1538461538457</v>
      </c>
      <c r="R680" s="856">
        <f t="shared" si="135"/>
        <v>801.92307692307691</v>
      </c>
      <c r="S680" s="965">
        <f>NC_DKDD!G448</f>
        <v>1</v>
      </c>
      <c r="T680" s="845">
        <f>'[1]1,DG-capmoi'!N670</f>
        <v>0</v>
      </c>
      <c r="U680" s="845">
        <f t="shared" si="120"/>
        <v>0</v>
      </c>
    </row>
    <row r="681" spans="1:21" s="950" customFormat="1" ht="57">
      <c r="A681" s="832" t="s">
        <v>1089</v>
      </c>
      <c r="B681" s="827" t="s">
        <v>1090</v>
      </c>
      <c r="C681" s="832"/>
      <c r="D681" s="832"/>
      <c r="E681" s="952">
        <f>NC_DKDD!H449</f>
        <v>0</v>
      </c>
      <c r="F681" s="952"/>
      <c r="G681" s="952"/>
      <c r="H681" s="952"/>
      <c r="I681" s="952"/>
      <c r="J681" s="952"/>
      <c r="K681" s="952"/>
      <c r="L681" s="952"/>
      <c r="M681" s="925"/>
      <c r="N681" s="952"/>
      <c r="O681" s="952"/>
      <c r="P681" s="952">
        <f t="shared" si="133"/>
        <v>0</v>
      </c>
      <c r="Q681" s="856">
        <f t="shared" si="136"/>
        <v>0</v>
      </c>
      <c r="R681" s="856">
        <f t="shared" si="135"/>
        <v>0</v>
      </c>
      <c r="S681" s="965">
        <f>NC_DKDD!G449</f>
        <v>0</v>
      </c>
      <c r="T681" s="845">
        <f>'[1]1,DG-capmoi'!N671</f>
        <v>0</v>
      </c>
      <c r="U681" s="845">
        <f t="shared" si="120"/>
        <v>0</v>
      </c>
    </row>
    <row r="682" spans="1:21" s="950" customFormat="1" ht="24" customHeight="1">
      <c r="A682" s="832" t="s">
        <v>73</v>
      </c>
      <c r="B682" s="827" t="s">
        <v>770</v>
      </c>
      <c r="C682" s="832" t="s">
        <v>523</v>
      </c>
      <c r="D682" s="901" t="s">
        <v>881</v>
      </c>
      <c r="E682" s="952" t="e">
        <f>NC_DKDD!H450</f>
        <v>#VALUE!</v>
      </c>
      <c r="F682" s="952"/>
      <c r="G682" s="952"/>
      <c r="H682" s="952"/>
      <c r="I682" s="952"/>
      <c r="J682" s="952"/>
      <c r="K682" s="952"/>
      <c r="L682" s="952"/>
      <c r="M682" s="925"/>
      <c r="N682" s="952"/>
      <c r="O682" s="952"/>
      <c r="P682" s="952">
        <f t="shared" si="133"/>
        <v>0</v>
      </c>
      <c r="Q682" s="856">
        <f t="shared" si="136"/>
        <v>0</v>
      </c>
      <c r="R682" s="856">
        <f t="shared" si="135"/>
        <v>0</v>
      </c>
      <c r="S682" s="965">
        <f>NC_DKDD!G450</f>
        <v>0</v>
      </c>
      <c r="T682" s="845">
        <f>'[1]1,DG-capmoi'!N672</f>
        <v>0</v>
      </c>
      <c r="U682" s="845">
        <f t="shared" si="120"/>
        <v>0</v>
      </c>
    </row>
    <row r="683" spans="1:21" s="950" customFormat="1" ht="24" customHeight="1">
      <c r="A683" s="832" t="s">
        <v>74</v>
      </c>
      <c r="B683" s="827" t="s">
        <v>771</v>
      </c>
      <c r="C683" s="832" t="s">
        <v>523</v>
      </c>
      <c r="D683" s="901" t="s">
        <v>881</v>
      </c>
      <c r="E683" s="952" t="e">
        <f>NC_DKDD!H451</f>
        <v>#VALUE!</v>
      </c>
      <c r="F683" s="952"/>
      <c r="G683" s="952"/>
      <c r="H683" s="952"/>
      <c r="I683" s="952"/>
      <c r="J683" s="952"/>
      <c r="K683" s="952"/>
      <c r="L683" s="952"/>
      <c r="M683" s="925"/>
      <c r="N683" s="952"/>
      <c r="O683" s="952"/>
      <c r="P683" s="952">
        <f t="shared" si="133"/>
        <v>0</v>
      </c>
      <c r="Q683" s="856">
        <f t="shared" si="136"/>
        <v>0</v>
      </c>
      <c r="R683" s="856">
        <f t="shared" si="135"/>
        <v>0</v>
      </c>
      <c r="S683" s="965">
        <f>NC_DKDD!G451</f>
        <v>0</v>
      </c>
      <c r="T683" s="845">
        <f>'[1]1,DG-capmoi'!N673</f>
        <v>0</v>
      </c>
      <c r="U683" s="845">
        <f t="shared" si="120"/>
        <v>0</v>
      </c>
    </row>
    <row r="684" spans="1:21" s="950" customFormat="1" ht="42.75">
      <c r="A684" s="832">
        <v>5</v>
      </c>
      <c r="B684" s="827" t="s">
        <v>772</v>
      </c>
      <c r="C684" s="832"/>
      <c r="D684" s="832"/>
      <c r="E684" s="952">
        <f>NC_DKDD!H452</f>
        <v>0</v>
      </c>
      <c r="F684" s="952"/>
      <c r="G684" s="952"/>
      <c r="H684" s="952"/>
      <c r="I684" s="952"/>
      <c r="J684" s="952"/>
      <c r="K684" s="952"/>
      <c r="L684" s="952"/>
      <c r="M684" s="925"/>
      <c r="N684" s="952"/>
      <c r="O684" s="952"/>
      <c r="P684" s="952">
        <f t="shared" si="133"/>
        <v>0</v>
      </c>
      <c r="Q684" s="856">
        <f t="shared" si="136"/>
        <v>0</v>
      </c>
      <c r="R684" s="856">
        <f t="shared" si="135"/>
        <v>0</v>
      </c>
      <c r="S684" s="965">
        <f>NC_DKDD!G452</f>
        <v>0</v>
      </c>
      <c r="T684" s="845">
        <f>'[1]1,DG-capmoi'!N674</f>
        <v>0</v>
      </c>
      <c r="U684" s="845">
        <f t="shared" si="120"/>
        <v>0</v>
      </c>
    </row>
    <row r="685" spans="1:21" s="950" customFormat="1" ht="26.45" customHeight="1">
      <c r="A685" s="832" t="s">
        <v>607</v>
      </c>
      <c r="B685" s="827" t="s">
        <v>773</v>
      </c>
      <c r="C685" s="832" t="s">
        <v>281</v>
      </c>
      <c r="D685" s="901" t="s">
        <v>881</v>
      </c>
      <c r="E685" s="952" t="e">
        <f>NC_DKDD!H453</f>
        <v>#VALUE!</v>
      </c>
      <c r="F685" s="952"/>
      <c r="G685" s="952"/>
      <c r="H685" s="952"/>
      <c r="I685" s="952"/>
      <c r="J685" s="952"/>
      <c r="K685" s="952"/>
      <c r="L685" s="952"/>
      <c r="M685" s="925"/>
      <c r="N685" s="952"/>
      <c r="O685" s="952"/>
      <c r="P685" s="952">
        <f t="shared" si="133"/>
        <v>1537.0192307692307</v>
      </c>
      <c r="Q685" s="856">
        <f t="shared" si="136"/>
        <v>1336.5384615384614</v>
      </c>
      <c r="R685" s="856">
        <f t="shared" si="135"/>
        <v>200.48076923076923</v>
      </c>
      <c r="S685" s="965">
        <f>NC_DKDD!G453</f>
        <v>0.25</v>
      </c>
      <c r="T685" s="845">
        <f>'[1]1,DG-capmoi'!N675</f>
        <v>0</v>
      </c>
      <c r="U685" s="845">
        <f t="shared" si="120"/>
        <v>0</v>
      </c>
    </row>
    <row r="686" spans="1:21" s="950" customFormat="1" ht="26.45" customHeight="1">
      <c r="A686" s="832" t="s">
        <v>608</v>
      </c>
      <c r="B686" s="827" t="s">
        <v>774</v>
      </c>
      <c r="C686" s="832" t="s">
        <v>281</v>
      </c>
      <c r="D686" s="901" t="s">
        <v>881</v>
      </c>
      <c r="E686" s="952" t="e">
        <f>NC_DKDD!H454</f>
        <v>#VALUE!</v>
      </c>
      <c r="F686" s="952"/>
      <c r="G686" s="952"/>
      <c r="H686" s="952"/>
      <c r="I686" s="952"/>
      <c r="J686" s="952"/>
      <c r="K686" s="952"/>
      <c r="L686" s="952"/>
      <c r="M686" s="925"/>
      <c r="N686" s="952"/>
      <c r="O686" s="952"/>
      <c r="P686" s="952">
        <f t="shared" si="133"/>
        <v>1229.6153846153848</v>
      </c>
      <c r="Q686" s="856">
        <f t="shared" si="136"/>
        <v>1069.2307692307693</v>
      </c>
      <c r="R686" s="856">
        <f t="shared" si="135"/>
        <v>160.38461538461539</v>
      </c>
      <c r="S686" s="965">
        <f>NC_DKDD!G454</f>
        <v>0.2</v>
      </c>
      <c r="T686" s="845">
        <f>'[1]1,DG-capmoi'!N676</f>
        <v>0</v>
      </c>
      <c r="U686" s="845">
        <f t="shared" si="120"/>
        <v>0</v>
      </c>
    </row>
    <row r="687" spans="1:21" s="950" customFormat="1" ht="28.5">
      <c r="A687" s="832">
        <v>6</v>
      </c>
      <c r="B687" s="827" t="s">
        <v>211</v>
      </c>
      <c r="C687" s="832" t="s">
        <v>523</v>
      </c>
      <c r="D687" s="901" t="s">
        <v>881</v>
      </c>
      <c r="E687" s="952" t="e">
        <f>NC_DKDD!H455</f>
        <v>#VALUE!</v>
      </c>
      <c r="F687" s="952"/>
      <c r="G687" s="952"/>
      <c r="H687" s="952"/>
      <c r="I687" s="952"/>
      <c r="J687" s="952"/>
      <c r="K687" s="952"/>
      <c r="L687" s="952"/>
      <c r="M687" s="925"/>
      <c r="N687" s="952"/>
      <c r="O687" s="952"/>
      <c r="P687" s="952">
        <f t="shared" si="133"/>
        <v>202.88653846153844</v>
      </c>
      <c r="Q687" s="856">
        <f t="shared" si="136"/>
        <v>176.42307692307691</v>
      </c>
      <c r="R687" s="856">
        <f t="shared" si="135"/>
        <v>26.463461538461541</v>
      </c>
      <c r="S687" s="965">
        <f>NC_DKDD!G455</f>
        <v>3.3000000000000002E-2</v>
      </c>
      <c r="T687" s="845">
        <f>'[1]1,DG-capmoi'!N677</f>
        <v>0</v>
      </c>
      <c r="U687" s="845">
        <f t="shared" si="120"/>
        <v>0</v>
      </c>
    </row>
    <row r="688" spans="1:21" s="950" customFormat="1" ht="26.45" customHeight="1">
      <c r="A688" s="832">
        <v>7</v>
      </c>
      <c r="B688" s="827" t="s">
        <v>978</v>
      </c>
      <c r="C688" s="832" t="s">
        <v>281</v>
      </c>
      <c r="D688" s="901" t="s">
        <v>881</v>
      </c>
      <c r="E688" s="952" t="e">
        <f>NC_DKDD!H456</f>
        <v>#VALUE!</v>
      </c>
      <c r="F688" s="952"/>
      <c r="G688" s="952"/>
      <c r="H688" s="952"/>
      <c r="I688" s="952"/>
      <c r="J688" s="952"/>
      <c r="K688" s="952"/>
      <c r="L688" s="952"/>
      <c r="M688" s="925"/>
      <c r="N688" s="952"/>
      <c r="O688" s="952"/>
      <c r="P688" s="952">
        <f t="shared" si="133"/>
        <v>0</v>
      </c>
      <c r="Q688" s="856">
        <f t="shared" si="136"/>
        <v>0</v>
      </c>
      <c r="R688" s="856">
        <f t="shared" si="135"/>
        <v>0</v>
      </c>
      <c r="S688" s="965">
        <f>NC_DKDD!G456</f>
        <v>0</v>
      </c>
      <c r="T688" s="845">
        <f>'[1]1,DG-capmoi'!N678</f>
        <v>0</v>
      </c>
      <c r="U688" s="845">
        <f t="shared" si="120"/>
        <v>0</v>
      </c>
    </row>
    <row r="689" spans="1:21" s="950" customFormat="1" ht="26.45" customHeight="1">
      <c r="A689" s="832">
        <v>8</v>
      </c>
      <c r="B689" s="827" t="s">
        <v>213</v>
      </c>
      <c r="C689" s="832"/>
      <c r="D689" s="832"/>
      <c r="E689" s="952">
        <f>NC_DKDD!H457</f>
        <v>0</v>
      </c>
      <c r="F689" s="952"/>
      <c r="G689" s="952"/>
      <c r="H689" s="952"/>
      <c r="I689" s="952"/>
      <c r="J689" s="952"/>
      <c r="K689" s="952"/>
      <c r="L689" s="952"/>
      <c r="M689" s="925"/>
      <c r="N689" s="952"/>
      <c r="O689" s="952"/>
      <c r="P689" s="952">
        <f t="shared" si="133"/>
        <v>0</v>
      </c>
      <c r="Q689" s="856">
        <f t="shared" si="136"/>
        <v>0</v>
      </c>
      <c r="R689" s="856">
        <f t="shared" si="135"/>
        <v>0</v>
      </c>
      <c r="S689" s="965">
        <f>NC_DKDD!G457</f>
        <v>0</v>
      </c>
      <c r="T689" s="845">
        <f>'[1]1,DG-capmoi'!N679</f>
        <v>0</v>
      </c>
      <c r="U689" s="845">
        <f t="shared" si="120"/>
        <v>0</v>
      </c>
    </row>
    <row r="690" spans="1:21" s="950" customFormat="1" ht="26.45" customHeight="1">
      <c r="A690" s="832" t="s">
        <v>374</v>
      </c>
      <c r="B690" s="827" t="s">
        <v>215</v>
      </c>
      <c r="C690" s="832" t="s">
        <v>320</v>
      </c>
      <c r="D690" s="901" t="s">
        <v>881</v>
      </c>
      <c r="E690" s="952" t="e">
        <f>NC_DKDD!H458</f>
        <v>#VALUE!</v>
      </c>
      <c r="F690" s="952"/>
      <c r="G690" s="952"/>
      <c r="H690" s="952"/>
      <c r="I690" s="952"/>
      <c r="J690" s="952"/>
      <c r="K690" s="952"/>
      <c r="L690" s="952"/>
      <c r="M690" s="925"/>
      <c r="N690" s="952"/>
      <c r="O690" s="952"/>
      <c r="P690" s="952">
        <f t="shared" si="133"/>
        <v>614.80769230769238</v>
      </c>
      <c r="Q690" s="856">
        <f t="shared" si="136"/>
        <v>534.61538461538464</v>
      </c>
      <c r="R690" s="856">
        <f t="shared" si="135"/>
        <v>80.192307692307693</v>
      </c>
      <c r="S690" s="965">
        <f>NC_DKDD!G458</f>
        <v>0.1</v>
      </c>
      <c r="T690" s="845">
        <f>'[1]1,DG-capmoi'!N680</f>
        <v>0</v>
      </c>
      <c r="U690" s="845">
        <f t="shared" si="120"/>
        <v>0</v>
      </c>
    </row>
    <row r="691" spans="1:21" s="950" customFormat="1" ht="26.45" customHeight="1">
      <c r="A691" s="966" t="s">
        <v>375</v>
      </c>
      <c r="B691" s="914" t="s">
        <v>217</v>
      </c>
      <c r="C691" s="966" t="s">
        <v>320</v>
      </c>
      <c r="D691" s="967" t="s">
        <v>881</v>
      </c>
      <c r="E691" s="952" t="e">
        <f>NC_DKDD!H459</f>
        <v>#VALUE!</v>
      </c>
      <c r="F691" s="952"/>
      <c r="G691" s="952"/>
      <c r="H691" s="952"/>
      <c r="I691" s="952"/>
      <c r="J691" s="952"/>
      <c r="K691" s="952"/>
      <c r="L691" s="952"/>
      <c r="M691" s="925"/>
      <c r="N691" s="952"/>
      <c r="O691" s="952"/>
      <c r="P691" s="952">
        <f t="shared" si="133"/>
        <v>1229.6153846153848</v>
      </c>
      <c r="Q691" s="856">
        <f t="shared" si="136"/>
        <v>1069.2307692307693</v>
      </c>
      <c r="R691" s="856">
        <f t="shared" si="135"/>
        <v>160.38461538461539</v>
      </c>
      <c r="S691" s="965">
        <f>NC_DKDD!G459</f>
        <v>0.2</v>
      </c>
      <c r="T691" s="845">
        <f>'[1]1,DG-capmoi'!N681</f>
        <v>0</v>
      </c>
      <c r="U691" s="845">
        <f t="shared" si="120"/>
        <v>0</v>
      </c>
    </row>
    <row r="692" spans="1:21" s="950" customFormat="1" ht="37.5" customHeight="1">
      <c r="A692" s="832">
        <v>9</v>
      </c>
      <c r="B692" s="827" t="s">
        <v>218</v>
      </c>
      <c r="C692" s="832" t="s">
        <v>281</v>
      </c>
      <c r="D692" s="901" t="s">
        <v>881</v>
      </c>
      <c r="E692" s="952" t="e">
        <f>NC_DKDD!H460</f>
        <v>#VALUE!</v>
      </c>
      <c r="F692" s="952"/>
      <c r="G692" s="952"/>
      <c r="H692" s="952"/>
      <c r="I692" s="952"/>
      <c r="J692" s="952"/>
      <c r="K692" s="952"/>
      <c r="L692" s="952"/>
      <c r="M692" s="925"/>
      <c r="N692" s="952"/>
      <c r="O692" s="952"/>
      <c r="P692" s="952">
        <f t="shared" si="133"/>
        <v>3074.0384615384614</v>
      </c>
      <c r="Q692" s="856">
        <f t="shared" si="136"/>
        <v>2673.0769230769229</v>
      </c>
      <c r="R692" s="856">
        <f t="shared" si="135"/>
        <v>400.96153846153845</v>
      </c>
      <c r="S692" s="965">
        <f>NC_DKDD!G460</f>
        <v>0.5</v>
      </c>
      <c r="T692" s="845">
        <f>'[1]1,DG-capmoi'!N682</f>
        <v>0</v>
      </c>
      <c r="U692" s="845">
        <f t="shared" si="120"/>
        <v>0</v>
      </c>
    </row>
    <row r="693" spans="1:21" s="950" customFormat="1" ht="33.75" customHeight="1">
      <c r="A693" s="832">
        <v>10</v>
      </c>
      <c r="B693" s="827" t="s">
        <v>75</v>
      </c>
      <c r="C693" s="832" t="s">
        <v>281</v>
      </c>
      <c r="D693" s="901" t="s">
        <v>881</v>
      </c>
      <c r="E693" s="952" t="e">
        <f>NC_DKDD!H461</f>
        <v>#VALUE!</v>
      </c>
      <c r="F693" s="952"/>
      <c r="G693" s="952"/>
      <c r="H693" s="952"/>
      <c r="I693" s="952"/>
      <c r="J693" s="952"/>
      <c r="K693" s="952"/>
      <c r="L693" s="952"/>
      <c r="M693" s="925"/>
      <c r="N693" s="952"/>
      <c r="O693" s="952"/>
      <c r="P693" s="952">
        <f t="shared" si="133"/>
        <v>2889.5961538461534</v>
      </c>
      <c r="Q693" s="856">
        <f t="shared" si="136"/>
        <v>2512.6923076923072</v>
      </c>
      <c r="R693" s="856">
        <f t="shared" si="135"/>
        <v>376.90384615384613</v>
      </c>
      <c r="S693" s="965">
        <f>NC_DKDD!G461</f>
        <v>0.47</v>
      </c>
      <c r="T693" s="845">
        <f>'[1]1,DG-capmoi'!N683</f>
        <v>0</v>
      </c>
      <c r="U693" s="845">
        <f t="shared" si="120"/>
        <v>0</v>
      </c>
    </row>
    <row r="694" spans="1:21" s="950" customFormat="1" ht="26.45" customHeight="1">
      <c r="A694" s="832">
        <v>11</v>
      </c>
      <c r="B694" s="827" t="s">
        <v>220</v>
      </c>
      <c r="C694" s="832" t="s">
        <v>523</v>
      </c>
      <c r="D694" s="901" t="s">
        <v>881</v>
      </c>
      <c r="E694" s="952" t="e">
        <f>NC_DKDD!H462</f>
        <v>#VALUE!</v>
      </c>
      <c r="F694" s="952"/>
      <c r="G694" s="952"/>
      <c r="H694" s="952"/>
      <c r="I694" s="952"/>
      <c r="J694" s="952"/>
      <c r="K694" s="952"/>
      <c r="L694" s="952"/>
      <c r="M694" s="925"/>
      <c r="N694" s="952"/>
      <c r="O694" s="952"/>
      <c r="P694" s="952">
        <f t="shared" si="133"/>
        <v>202.88653846153844</v>
      </c>
      <c r="Q694" s="856">
        <f t="shared" si="136"/>
        <v>176.42307692307691</v>
      </c>
      <c r="R694" s="856">
        <f t="shared" si="135"/>
        <v>26.463461538461541</v>
      </c>
      <c r="S694" s="965">
        <f>NC_DKDD!G462</f>
        <v>3.3000000000000002E-2</v>
      </c>
      <c r="T694" s="845">
        <f>'[1]1,DG-capmoi'!N684</f>
        <v>0</v>
      </c>
      <c r="U694" s="845">
        <f t="shared" si="120"/>
        <v>0</v>
      </c>
    </row>
    <row r="695" spans="1:21" s="950" customFormat="1" ht="26.45" customHeight="1">
      <c r="A695" s="832">
        <v>12</v>
      </c>
      <c r="B695" s="827" t="s">
        <v>221</v>
      </c>
      <c r="C695" s="832"/>
      <c r="D695" s="832"/>
      <c r="E695" s="952">
        <f>NC_DKDD!H463</f>
        <v>0</v>
      </c>
      <c r="F695" s="952"/>
      <c r="G695" s="952"/>
      <c r="H695" s="952"/>
      <c r="I695" s="952"/>
      <c r="J695" s="952"/>
      <c r="K695" s="952"/>
      <c r="L695" s="952"/>
      <c r="M695" s="925"/>
      <c r="N695" s="952"/>
      <c r="O695" s="952"/>
      <c r="P695" s="952">
        <f t="shared" si="133"/>
        <v>0</v>
      </c>
      <c r="Q695" s="856">
        <f t="shared" si="136"/>
        <v>0</v>
      </c>
      <c r="R695" s="856">
        <f t="shared" si="135"/>
        <v>0</v>
      </c>
      <c r="S695" s="965">
        <f>NC_DKDD!G463</f>
        <v>0</v>
      </c>
      <c r="T695" s="845">
        <f>'[1]1,DG-capmoi'!N685</f>
        <v>0</v>
      </c>
      <c r="U695" s="845">
        <f t="shared" si="120"/>
        <v>0</v>
      </c>
    </row>
    <row r="696" spans="1:21" s="950" customFormat="1" ht="28.5">
      <c r="A696" s="832" t="s">
        <v>76</v>
      </c>
      <c r="B696" s="827" t="s">
        <v>931</v>
      </c>
      <c r="C696" s="832"/>
      <c r="D696" s="832"/>
      <c r="E696" s="952">
        <f>NC_DKDD!H464</f>
        <v>0</v>
      </c>
      <c r="F696" s="952"/>
      <c r="G696" s="952"/>
      <c r="H696" s="952"/>
      <c r="I696" s="952"/>
      <c r="J696" s="952"/>
      <c r="K696" s="952"/>
      <c r="L696" s="952"/>
      <c r="M696" s="925"/>
      <c r="N696" s="952"/>
      <c r="O696" s="952"/>
      <c r="P696" s="952">
        <f t="shared" si="133"/>
        <v>0</v>
      </c>
      <c r="Q696" s="856">
        <f t="shared" si="136"/>
        <v>0</v>
      </c>
      <c r="R696" s="856">
        <f t="shared" si="135"/>
        <v>0</v>
      </c>
      <c r="S696" s="965">
        <f>NC_DKDD!G464</f>
        <v>0</v>
      </c>
      <c r="T696" s="845">
        <f>'[1]1,DG-capmoi'!N686</f>
        <v>0</v>
      </c>
      <c r="U696" s="845">
        <f t="shared" si="120"/>
        <v>0</v>
      </c>
    </row>
    <row r="697" spans="1:21" s="950" customFormat="1" ht="29.25" customHeight="1">
      <c r="A697" s="832" t="s">
        <v>77</v>
      </c>
      <c r="B697" s="827" t="s">
        <v>933</v>
      </c>
      <c r="C697" s="832" t="s">
        <v>525</v>
      </c>
      <c r="D697" s="901" t="s">
        <v>881</v>
      </c>
      <c r="E697" s="952" t="e">
        <f>NC_DKDD!H465</f>
        <v>#VALUE!</v>
      </c>
      <c r="F697" s="952"/>
      <c r="G697" s="952"/>
      <c r="H697" s="952"/>
      <c r="I697" s="952"/>
      <c r="J697" s="952"/>
      <c r="K697" s="952"/>
      <c r="L697" s="952"/>
      <c r="M697" s="925"/>
      <c r="N697" s="952"/>
      <c r="O697" s="952"/>
      <c r="P697" s="952">
        <f t="shared" si="133"/>
        <v>98.369230769230768</v>
      </c>
      <c r="Q697" s="856">
        <f t="shared" si="136"/>
        <v>85.538461538461533</v>
      </c>
      <c r="R697" s="856">
        <f t="shared" si="135"/>
        <v>12.830769230769231</v>
      </c>
      <c r="S697" s="965">
        <f>NC_DKDD!G465</f>
        <v>1.6E-2</v>
      </c>
      <c r="T697" s="845">
        <f>'[1]1,DG-capmoi'!N687</f>
        <v>0</v>
      </c>
      <c r="U697" s="845">
        <f t="shared" si="120"/>
        <v>0</v>
      </c>
    </row>
    <row r="698" spans="1:21" s="950" customFormat="1" ht="29.25" customHeight="1">
      <c r="A698" s="832" t="s">
        <v>78</v>
      </c>
      <c r="B698" s="827" t="s">
        <v>937</v>
      </c>
      <c r="C698" s="832" t="s">
        <v>525</v>
      </c>
      <c r="D698" s="901" t="s">
        <v>881</v>
      </c>
      <c r="E698" s="952" t="e">
        <f>NC_DKDD!H466</f>
        <v>#VALUE!</v>
      </c>
      <c r="F698" s="952"/>
      <c r="G698" s="952"/>
      <c r="H698" s="952"/>
      <c r="I698" s="952"/>
      <c r="J698" s="952"/>
      <c r="K698" s="952"/>
      <c r="L698" s="952"/>
      <c r="M698" s="925"/>
      <c r="N698" s="952"/>
      <c r="O698" s="952"/>
      <c r="P698" s="952">
        <f t="shared" si="133"/>
        <v>49.184615384615384</v>
      </c>
      <c r="Q698" s="856">
        <f t="shared" si="136"/>
        <v>42.769230769230766</v>
      </c>
      <c r="R698" s="856">
        <f t="shared" si="135"/>
        <v>6.4153846153846157</v>
      </c>
      <c r="S698" s="965">
        <f>NC_DKDD!G466</f>
        <v>8.0000000000000002E-3</v>
      </c>
      <c r="T698" s="845">
        <f>'[1]1,DG-capmoi'!N688</f>
        <v>0</v>
      </c>
      <c r="U698" s="845">
        <f t="shared" si="120"/>
        <v>0</v>
      </c>
    </row>
    <row r="699" spans="1:21" s="950" customFormat="1" ht="35.25" customHeight="1">
      <c r="A699" s="832" t="s">
        <v>79</v>
      </c>
      <c r="B699" s="827" t="s">
        <v>48</v>
      </c>
      <c r="C699" s="832" t="s">
        <v>525</v>
      </c>
      <c r="D699" s="901" t="s">
        <v>881</v>
      </c>
      <c r="E699" s="952" t="e">
        <f>NC_DKDD!H467</f>
        <v>#VALUE!</v>
      </c>
      <c r="F699" s="952"/>
      <c r="G699" s="952"/>
      <c r="H699" s="952"/>
      <c r="I699" s="952"/>
      <c r="J699" s="952"/>
      <c r="K699" s="952"/>
      <c r="L699" s="952"/>
      <c r="M699" s="925"/>
      <c r="N699" s="952"/>
      <c r="O699" s="952"/>
      <c r="P699" s="952">
        <f t="shared" si="133"/>
        <v>24.592307692307692</v>
      </c>
      <c r="Q699" s="856">
        <f t="shared" si="136"/>
        <v>21.384615384615383</v>
      </c>
      <c r="R699" s="856">
        <f t="shared" si="135"/>
        <v>3.2076923076923078</v>
      </c>
      <c r="S699" s="965">
        <f>NC_DKDD!G467</f>
        <v>4.0000000000000001E-3</v>
      </c>
      <c r="T699" s="845">
        <f>'[1]1,DG-capmoi'!N689</f>
        <v>0</v>
      </c>
      <c r="U699" s="845">
        <f t="shared" si="120"/>
        <v>0</v>
      </c>
    </row>
    <row r="700" spans="1:21" s="950" customFormat="1" ht="35.25" customHeight="1">
      <c r="A700" s="832" t="s">
        <v>80</v>
      </c>
      <c r="B700" s="827" t="s">
        <v>50</v>
      </c>
      <c r="C700" s="832" t="s">
        <v>523</v>
      </c>
      <c r="D700" s="901" t="s">
        <v>881</v>
      </c>
      <c r="E700" s="952" t="e">
        <f>NC_DKDD!H468</f>
        <v>#VALUE!</v>
      </c>
      <c r="F700" s="952"/>
      <c r="G700" s="952"/>
      <c r="H700" s="952"/>
      <c r="I700" s="952"/>
      <c r="J700" s="952"/>
      <c r="K700" s="952"/>
      <c r="L700" s="952"/>
      <c r="M700" s="925"/>
      <c r="N700" s="952"/>
      <c r="O700" s="952"/>
      <c r="P700" s="952">
        <f t="shared" si="133"/>
        <v>61.480769230769226</v>
      </c>
      <c r="Q700" s="856">
        <f t="shared" si="136"/>
        <v>53.46153846153846</v>
      </c>
      <c r="R700" s="856">
        <f t="shared" si="135"/>
        <v>8.0192307692307701</v>
      </c>
      <c r="S700" s="965">
        <f>NC_DKDD!G468</f>
        <v>0.01</v>
      </c>
      <c r="T700" s="845">
        <f>'[1]1,DG-capmoi'!N690</f>
        <v>0</v>
      </c>
      <c r="U700" s="845">
        <f t="shared" si="120"/>
        <v>0</v>
      </c>
    </row>
    <row r="701" spans="1:21" s="950" customFormat="1" ht="45.75" customHeight="1">
      <c r="A701" s="832">
        <v>13</v>
      </c>
      <c r="B701" s="827" t="s">
        <v>808</v>
      </c>
      <c r="C701" s="832" t="s">
        <v>281</v>
      </c>
      <c r="D701" s="901" t="s">
        <v>881</v>
      </c>
      <c r="E701" s="952" t="e">
        <f>NC_DKDD!H469</f>
        <v>#VALUE!</v>
      </c>
      <c r="F701" s="952"/>
      <c r="G701" s="952"/>
      <c r="H701" s="952"/>
      <c r="I701" s="952"/>
      <c r="J701" s="952"/>
      <c r="K701" s="952"/>
      <c r="L701" s="952"/>
      <c r="M701" s="925"/>
      <c r="N701" s="952"/>
      <c r="O701" s="952"/>
      <c r="P701" s="952">
        <f t="shared" si="133"/>
        <v>1229.6153846153848</v>
      </c>
      <c r="Q701" s="856">
        <f t="shared" si="136"/>
        <v>1069.2307692307693</v>
      </c>
      <c r="R701" s="856">
        <f t="shared" si="135"/>
        <v>160.38461538461539</v>
      </c>
      <c r="S701" s="965">
        <f>NC_DKDD!G469</f>
        <v>0.2</v>
      </c>
      <c r="T701" s="845">
        <f>'[1]1,DG-capmoi'!N691</f>
        <v>0</v>
      </c>
      <c r="U701" s="845">
        <f t="shared" ref="U701:U765" si="137">T701-N701</f>
        <v>0</v>
      </c>
    </row>
    <row r="702" spans="1:21" s="950" customFormat="1" ht="33.75" customHeight="1">
      <c r="A702" s="832">
        <v>14</v>
      </c>
      <c r="B702" s="827" t="s">
        <v>1072</v>
      </c>
      <c r="C702" s="832" t="s">
        <v>281</v>
      </c>
      <c r="D702" s="901" t="s">
        <v>881</v>
      </c>
      <c r="E702" s="952" t="e">
        <f>NC_DKDD!H470</f>
        <v>#VALUE!</v>
      </c>
      <c r="F702" s="952"/>
      <c r="G702" s="952"/>
      <c r="H702" s="952"/>
      <c r="I702" s="952"/>
      <c r="J702" s="952"/>
      <c r="K702" s="952"/>
      <c r="L702" s="952"/>
      <c r="M702" s="925"/>
      <c r="N702" s="952"/>
      <c r="O702" s="952"/>
      <c r="P702" s="952">
        <f t="shared" si="133"/>
        <v>1229.6153846153848</v>
      </c>
      <c r="Q702" s="856">
        <f t="shared" si="136"/>
        <v>1069.2307692307693</v>
      </c>
      <c r="R702" s="856">
        <f t="shared" si="135"/>
        <v>160.38461538461539</v>
      </c>
      <c r="S702" s="965">
        <f>NC_DKDD!G470</f>
        <v>0.2</v>
      </c>
      <c r="T702" s="845">
        <f>'[1]1,DG-capmoi'!N692</f>
        <v>0</v>
      </c>
      <c r="U702" s="845">
        <f t="shared" si="137"/>
        <v>0</v>
      </c>
    </row>
    <row r="703" spans="1:21" s="950" customFormat="1" ht="35.25" customHeight="1">
      <c r="A703" s="869" t="s">
        <v>184</v>
      </c>
      <c r="B703" s="868" t="s">
        <v>87</v>
      </c>
      <c r="C703" s="832"/>
      <c r="D703" s="832"/>
      <c r="E703" s="947" t="e">
        <f>E704</f>
        <v>#VALUE!</v>
      </c>
      <c r="F703" s="947"/>
      <c r="G703" s="947"/>
      <c r="H703" s="947"/>
      <c r="I703" s="947"/>
      <c r="J703" s="947"/>
      <c r="K703" s="947"/>
      <c r="L703" s="893" t="e">
        <f>SUM(E703:K703)</f>
        <v>#VALUE!</v>
      </c>
      <c r="M703" s="893" t="e">
        <f>L703*'He so chung'!$D$17/100</f>
        <v>#VALUE!</v>
      </c>
      <c r="N703" s="893" t="e">
        <f>L703+M703</f>
        <v>#VALUE!</v>
      </c>
      <c r="O703" s="947"/>
      <c r="P703" s="947">
        <f>P704</f>
        <v>614.80769230769238</v>
      </c>
      <c r="Q703" s="856">
        <f t="shared" si="136"/>
        <v>534.61538461538464</v>
      </c>
      <c r="R703" s="856">
        <f t="shared" si="135"/>
        <v>80.192307692307693</v>
      </c>
      <c r="S703" s="947">
        <f>S704</f>
        <v>0.1</v>
      </c>
      <c r="T703" s="845">
        <f>'[1]1,DG-capmoi'!N693</f>
        <v>23024.548076923078</v>
      </c>
      <c r="U703" s="845" t="e">
        <f t="shared" si="137"/>
        <v>#VALUE!</v>
      </c>
    </row>
    <row r="704" spans="1:21" s="950" customFormat="1" ht="29.25" customHeight="1">
      <c r="A704" s="832">
        <v>1</v>
      </c>
      <c r="B704" s="827" t="s">
        <v>809</v>
      </c>
      <c r="C704" s="832" t="s">
        <v>281</v>
      </c>
      <c r="D704" s="901" t="s">
        <v>881</v>
      </c>
      <c r="E704" s="952" t="e">
        <f>NC_DKDD!H472</f>
        <v>#VALUE!</v>
      </c>
      <c r="F704" s="952"/>
      <c r="G704" s="952"/>
      <c r="H704" s="952"/>
      <c r="I704" s="952"/>
      <c r="J704" s="952"/>
      <c r="K704" s="952"/>
      <c r="L704" s="952"/>
      <c r="M704" s="925"/>
      <c r="N704" s="952"/>
      <c r="O704" s="952"/>
      <c r="P704" s="952">
        <f t="shared" si="133"/>
        <v>614.80769230769238</v>
      </c>
      <c r="Q704" s="856">
        <f t="shared" si="136"/>
        <v>534.61538461538464</v>
      </c>
      <c r="R704" s="856">
        <f t="shared" si="135"/>
        <v>80.192307692307693</v>
      </c>
      <c r="S704" s="965">
        <f>NC_DKDD!G472</f>
        <v>0.1</v>
      </c>
      <c r="T704" s="845">
        <f>'[1]1,DG-capmoi'!N694</f>
        <v>0</v>
      </c>
      <c r="U704" s="845">
        <f t="shared" si="137"/>
        <v>0</v>
      </c>
    </row>
    <row r="705" spans="1:21" s="950" customFormat="1" ht="37.5" customHeight="1">
      <c r="A705" s="869" t="s">
        <v>913</v>
      </c>
      <c r="B705" s="868" t="s">
        <v>88</v>
      </c>
      <c r="C705" s="832"/>
      <c r="D705" s="832"/>
      <c r="E705" s="947" t="e">
        <f>E706</f>
        <v>#VALUE!</v>
      </c>
      <c r="F705" s="947"/>
      <c r="G705" s="947"/>
      <c r="H705" s="947">
        <f>'Dcu-DKDD'!$H$149</f>
        <v>67.276859775641014</v>
      </c>
      <c r="I705" s="947">
        <f>'VL-DKDD'!$F$154</f>
        <v>642.6</v>
      </c>
      <c r="J705" s="947"/>
      <c r="K705" s="947"/>
      <c r="L705" s="893" t="e">
        <f>SUM(E705:K705)</f>
        <v>#VALUE!</v>
      </c>
      <c r="M705" s="893" t="e">
        <f>L705*'He so chung'!$D$17/100</f>
        <v>#VALUE!</v>
      </c>
      <c r="N705" s="893" t="e">
        <f>L705+M705</f>
        <v>#VALUE!</v>
      </c>
      <c r="O705" s="947"/>
      <c r="P705" s="947">
        <f>P706</f>
        <v>245.92307692307691</v>
      </c>
      <c r="Q705" s="856">
        <f t="shared" si="136"/>
        <v>213.84615384615384</v>
      </c>
      <c r="R705" s="856">
        <f t="shared" si="135"/>
        <v>32.07692307692308</v>
      </c>
      <c r="S705" s="947">
        <f>S706</f>
        <v>0.04</v>
      </c>
      <c r="T705" s="845">
        <f>'[1]1,DG-capmoi'!N695</f>
        <v>9023.9181195112178</v>
      </c>
      <c r="U705" s="845" t="e">
        <f t="shared" si="137"/>
        <v>#VALUE!</v>
      </c>
    </row>
    <row r="706" spans="1:21" s="950" customFormat="1" ht="32.25" customHeight="1">
      <c r="A706" s="832">
        <v>1</v>
      </c>
      <c r="B706" s="827" t="s">
        <v>810</v>
      </c>
      <c r="C706" s="832" t="s">
        <v>281</v>
      </c>
      <c r="D706" s="901" t="s">
        <v>881</v>
      </c>
      <c r="E706" s="952" t="e">
        <f>NC_DKDD!H474</f>
        <v>#VALUE!</v>
      </c>
      <c r="F706" s="952"/>
      <c r="G706" s="952"/>
      <c r="H706" s="952"/>
      <c r="I706" s="952"/>
      <c r="J706" s="952"/>
      <c r="K706" s="952"/>
      <c r="L706" s="952"/>
      <c r="M706" s="925"/>
      <c r="N706" s="952"/>
      <c r="O706" s="952"/>
      <c r="P706" s="952">
        <f t="shared" si="133"/>
        <v>245.92307692307691</v>
      </c>
      <c r="Q706" s="856">
        <f t="shared" si="136"/>
        <v>213.84615384615384</v>
      </c>
      <c r="R706" s="856">
        <f t="shared" si="135"/>
        <v>32.07692307692308</v>
      </c>
      <c r="S706" s="965">
        <f>NC_DKDD!G474</f>
        <v>0.04</v>
      </c>
      <c r="T706" s="845">
        <f>'[1]1,DG-capmoi'!N696</f>
        <v>0</v>
      </c>
      <c r="U706" s="845">
        <f t="shared" si="137"/>
        <v>0</v>
      </c>
    </row>
    <row r="707" spans="1:21" ht="21" customHeight="1">
      <c r="A707" s="353"/>
      <c r="B707" s="886" t="s">
        <v>282</v>
      </c>
      <c r="C707" s="354"/>
      <c r="D707" s="353"/>
      <c r="E707" s="355"/>
      <c r="F707" s="355"/>
      <c r="G707" s="356"/>
      <c r="H707" s="355"/>
      <c r="I707" s="355"/>
      <c r="J707" s="357"/>
      <c r="K707" s="357"/>
      <c r="L707" s="357"/>
      <c r="M707" s="340"/>
      <c r="N707" s="340"/>
      <c r="O707" s="340"/>
      <c r="P707" s="935"/>
      <c r="Q707" s="332"/>
      <c r="R707" s="332"/>
      <c r="T707" s="845">
        <f>'[1]1,DG-capmoi'!N697</f>
        <v>0</v>
      </c>
      <c r="U707" s="845">
        <f t="shared" si="137"/>
        <v>0</v>
      </c>
    </row>
    <row r="708" spans="1:21" ht="43.15" customHeight="1">
      <c r="A708" s="358"/>
      <c r="B708" s="1118" t="s">
        <v>1061</v>
      </c>
      <c r="C708" s="1118"/>
      <c r="D708" s="1118"/>
      <c r="E708" s="1118"/>
      <c r="F708" s="1118"/>
      <c r="G708" s="1118"/>
      <c r="H708" s="1118"/>
      <c r="I708" s="1118"/>
      <c r="J708" s="1118"/>
      <c r="K708" s="1118"/>
      <c r="L708" s="1118"/>
      <c r="M708" s="1118"/>
      <c r="N708" s="1118"/>
      <c r="O708" s="1118"/>
      <c r="P708" s="1118"/>
      <c r="Q708" s="332"/>
      <c r="R708" s="332"/>
      <c r="T708" s="845">
        <f>'[1]1,DG-capmoi'!N698</f>
        <v>0</v>
      </c>
      <c r="U708" s="845">
        <f t="shared" si="137"/>
        <v>0</v>
      </c>
    </row>
    <row r="709" spans="1:21" ht="43.15" customHeight="1">
      <c r="A709" s="358"/>
      <c r="B709" s="1117" t="s">
        <v>902</v>
      </c>
      <c r="C709" s="1117"/>
      <c r="D709" s="1117"/>
      <c r="E709" s="1117"/>
      <c r="F709" s="1117"/>
      <c r="G709" s="1117"/>
      <c r="H709" s="1117"/>
      <c r="I709" s="1117"/>
      <c r="J709" s="1117"/>
      <c r="K709" s="1117"/>
      <c r="L709" s="1117"/>
      <c r="M709" s="1117"/>
      <c r="N709" s="1117"/>
      <c r="O709" s="1117"/>
      <c r="P709" s="1117"/>
      <c r="Q709" s="332"/>
      <c r="R709" s="332"/>
      <c r="T709" s="845">
        <f>'[1]1,DG-capmoi'!N699</f>
        <v>0</v>
      </c>
      <c r="U709" s="845">
        <f t="shared" si="137"/>
        <v>0</v>
      </c>
    </row>
    <row r="710" spans="1:21" ht="49.9" customHeight="1">
      <c r="A710" s="358"/>
      <c r="B710" s="1118" t="s">
        <v>546</v>
      </c>
      <c r="C710" s="1118"/>
      <c r="D710" s="1118"/>
      <c r="E710" s="1118"/>
      <c r="F710" s="1118"/>
      <c r="G710" s="1118"/>
      <c r="H710" s="1118"/>
      <c r="I710" s="1118"/>
      <c r="J710" s="1118"/>
      <c r="K710" s="1118"/>
      <c r="L710" s="1118"/>
      <c r="M710" s="1118"/>
      <c r="N710" s="1118"/>
      <c r="O710" s="1118"/>
      <c r="P710" s="1118"/>
      <c r="Q710" s="332"/>
      <c r="R710" s="332"/>
      <c r="T710" s="845">
        <f>'[1]1,DG-capmoi'!N700</f>
        <v>0</v>
      </c>
      <c r="U710" s="845">
        <f t="shared" si="137"/>
        <v>0</v>
      </c>
    </row>
    <row r="711" spans="1:21" ht="21.75" customHeight="1">
      <c r="A711" s="1114" t="s">
        <v>1012</v>
      </c>
      <c r="B711" s="1114"/>
      <c r="C711" s="1114"/>
      <c r="D711" s="1114"/>
      <c r="E711" s="1114"/>
      <c r="F711" s="1114"/>
      <c r="G711" s="1114"/>
      <c r="H711" s="1114"/>
      <c r="I711" s="1114"/>
      <c r="J711" s="1114"/>
      <c r="K711" s="1114"/>
      <c r="L711" s="1114"/>
      <c r="M711" s="1114"/>
      <c r="N711" s="1114"/>
      <c r="O711" s="1114"/>
      <c r="P711" s="1114"/>
      <c r="T711" s="845">
        <f>'[1]1,DG-capmoi'!N701</f>
        <v>0</v>
      </c>
      <c r="U711" s="845">
        <f t="shared" si="137"/>
        <v>0</v>
      </c>
    </row>
    <row r="712" spans="1:21" ht="16.5" customHeight="1">
      <c r="A712" s="1113" t="s">
        <v>960</v>
      </c>
      <c r="B712" s="1113"/>
      <c r="C712" s="1113"/>
      <c r="D712" s="1113"/>
      <c r="E712" s="1113"/>
      <c r="F712" s="1113"/>
      <c r="G712" s="1113"/>
      <c r="H712" s="1113"/>
      <c r="I712" s="1113"/>
      <c r="J712" s="1113"/>
      <c r="K712" s="1113"/>
      <c r="L712" s="1113"/>
      <c r="M712" s="1113"/>
      <c r="N712" s="1113"/>
      <c r="O712" s="1113"/>
      <c r="P712" s="1113"/>
      <c r="T712" s="845"/>
      <c r="U712" s="845"/>
    </row>
    <row r="713" spans="1:21" s="345" customFormat="1" ht="19.5" customHeight="1">
      <c r="A713" s="337"/>
      <c r="B713" s="834"/>
      <c r="C713" s="338"/>
      <c r="D713" s="339" t="s">
        <v>576</v>
      </c>
      <c r="E713" s="340"/>
      <c r="F713" s="341"/>
      <c r="G713" s="342"/>
      <c r="H713" s="341"/>
      <c r="I713" s="343"/>
      <c r="J713" s="341"/>
      <c r="K713" s="341"/>
      <c r="M713" s="341"/>
      <c r="N713" s="991" t="s">
        <v>980</v>
      </c>
      <c r="O713" s="990"/>
      <c r="P713" s="340"/>
      <c r="Q713" s="332"/>
      <c r="R713" s="332"/>
      <c r="S713" s="332"/>
      <c r="T713" s="845">
        <f>'[1]1,DG-capmoi'!N702</f>
        <v>0</v>
      </c>
      <c r="U713" s="845" t="e">
        <f>T713-#REF!</f>
        <v>#REF!</v>
      </c>
    </row>
    <row r="714" spans="1:21" s="345" customFormat="1" ht="7.5" customHeight="1">
      <c r="A714" s="337"/>
      <c r="B714" s="834"/>
      <c r="C714" s="338"/>
      <c r="D714" s="346"/>
      <c r="E714" s="340"/>
      <c r="F714" s="340"/>
      <c r="G714" s="347"/>
      <c r="H714" s="340"/>
      <c r="I714" s="340"/>
      <c r="J714" s="340"/>
      <c r="K714" s="340"/>
      <c r="L714" s="340"/>
      <c r="M714" s="340"/>
      <c r="N714" s="340"/>
      <c r="O714" s="340"/>
      <c r="P714" s="340"/>
      <c r="Q714" s="332"/>
      <c r="R714" s="332"/>
      <c r="S714" s="332"/>
      <c r="T714" s="845">
        <f>'[1]1,DG-capmoi'!N703</f>
        <v>0</v>
      </c>
      <c r="U714" s="845">
        <f t="shared" si="137"/>
        <v>0</v>
      </c>
    </row>
    <row r="715" spans="1:21" s="978" customFormat="1" ht="23.25" customHeight="1">
      <c r="A715" s="1115" t="s">
        <v>876</v>
      </c>
      <c r="B715" s="1115" t="s">
        <v>381</v>
      </c>
      <c r="C715" s="1111" t="s">
        <v>981</v>
      </c>
      <c r="D715" s="1111" t="s">
        <v>982</v>
      </c>
      <c r="E715" s="1111" t="s">
        <v>466</v>
      </c>
      <c r="F715" s="1111"/>
      <c r="G715" s="1111"/>
      <c r="H715" s="1111"/>
      <c r="I715" s="1111"/>
      <c r="J715" s="1111"/>
      <c r="K715" s="1111"/>
      <c r="L715" s="1111"/>
      <c r="M715" s="1111" t="s">
        <v>581</v>
      </c>
      <c r="N715" s="1111" t="s">
        <v>467</v>
      </c>
      <c r="O715" s="1119" t="s">
        <v>657</v>
      </c>
      <c r="P715" s="1111" t="s">
        <v>468</v>
      </c>
      <c r="Q715" s="976"/>
      <c r="R715" s="976"/>
      <c r="S715" s="977"/>
      <c r="T715" s="1030"/>
      <c r="U715" s="1030"/>
    </row>
    <row r="716" spans="1:21" s="978" customFormat="1" ht="39" customHeight="1">
      <c r="A716" s="1115"/>
      <c r="B716" s="1115"/>
      <c r="C716" s="1111"/>
      <c r="D716" s="1111"/>
      <c r="E716" s="825" t="s">
        <v>469</v>
      </c>
      <c r="F716" s="825" t="s">
        <v>470</v>
      </c>
      <c r="G716" s="852" t="s">
        <v>1003</v>
      </c>
      <c r="H716" s="825" t="s">
        <v>59</v>
      </c>
      <c r="I716" s="825" t="s">
        <v>471</v>
      </c>
      <c r="J716" s="825" t="s">
        <v>280</v>
      </c>
      <c r="K716" s="825" t="s">
        <v>472</v>
      </c>
      <c r="L716" s="825" t="s">
        <v>473</v>
      </c>
      <c r="M716" s="1111"/>
      <c r="N716" s="1111"/>
      <c r="O716" s="1120"/>
      <c r="P716" s="1111"/>
      <c r="Q716" s="976"/>
      <c r="R716" s="976"/>
      <c r="S716" s="977"/>
      <c r="T716" s="1030">
        <f>'[1]1,DG-capmoi'!N705</f>
        <v>0</v>
      </c>
      <c r="U716" s="1030">
        <f t="shared" si="137"/>
        <v>0</v>
      </c>
    </row>
    <row r="717" spans="1:21" s="841" customFormat="1" ht="47.25" customHeight="1">
      <c r="A717" s="831"/>
      <c r="B717" s="838" t="s">
        <v>46</v>
      </c>
      <c r="C717" s="382"/>
      <c r="D717" s="382"/>
      <c r="E717" s="382"/>
      <c r="F717" s="382"/>
      <c r="G717" s="837"/>
      <c r="H717" s="382"/>
      <c r="I717" s="382"/>
      <c r="J717" s="382"/>
      <c r="K717" s="382"/>
      <c r="L717" s="382"/>
      <c r="M717" s="382"/>
      <c r="N717" s="382"/>
      <c r="O717" s="820"/>
      <c r="P717" s="382"/>
      <c r="Q717" s="839"/>
      <c r="R717" s="839"/>
      <c r="S717" s="840"/>
      <c r="T717" s="845">
        <f>'[1]1,DG-capmoi'!N706</f>
        <v>0</v>
      </c>
      <c r="U717" s="845">
        <f t="shared" si="137"/>
        <v>0</v>
      </c>
    </row>
    <row r="718" spans="1:21" s="841" customFormat="1" ht="24" customHeight="1">
      <c r="A718" s="1112"/>
      <c r="B718" s="1125" t="s">
        <v>451</v>
      </c>
      <c r="C718" s="1124" t="s">
        <v>281</v>
      </c>
      <c r="D718" s="382">
        <v>1</v>
      </c>
      <c r="E718" s="383" t="e">
        <f>E730+E779+E781</f>
        <v>#VALUE!</v>
      </c>
      <c r="F718" s="383">
        <f t="shared" ref="F718:M718" si="138">F730+F779+F781</f>
        <v>0</v>
      </c>
      <c r="G718" s="383">
        <f t="shared" si="138"/>
        <v>0</v>
      </c>
      <c r="H718" s="383">
        <f t="shared" si="138"/>
        <v>16647.098094150642</v>
      </c>
      <c r="I718" s="383">
        <f t="shared" si="138"/>
        <v>30335.579999999998</v>
      </c>
      <c r="J718" s="383">
        <f t="shared" si="138"/>
        <v>14290.068000000001</v>
      </c>
      <c r="K718" s="383">
        <f t="shared" si="138"/>
        <v>30363.606</v>
      </c>
      <c r="L718" s="383" t="e">
        <f t="shared" si="138"/>
        <v>#VALUE!</v>
      </c>
      <c r="M718" s="383" t="e">
        <f t="shared" si="138"/>
        <v>#VALUE!</v>
      </c>
      <c r="N718" s="383" t="e">
        <f>N730+N779+N781</f>
        <v>#VALUE!</v>
      </c>
      <c r="O718" s="383"/>
      <c r="P718" s="383">
        <f>P730+P779+P781</f>
        <v>62200.094230769238</v>
      </c>
      <c r="Q718" s="839"/>
      <c r="R718" s="839"/>
      <c r="S718" s="840"/>
      <c r="T718" s="845">
        <f>'[1]1,DG-capmoi'!N707</f>
        <v>2260908.3670880804</v>
      </c>
      <c r="U718" s="845" t="e">
        <f t="shared" si="137"/>
        <v>#VALUE!</v>
      </c>
    </row>
    <row r="719" spans="1:21" s="841" customFormat="1" ht="24" customHeight="1">
      <c r="A719" s="1112"/>
      <c r="B719" s="1125"/>
      <c r="C719" s="1124"/>
      <c r="D719" s="382">
        <v>2</v>
      </c>
      <c r="E719" s="383" t="e">
        <f>E731+E779+E781</f>
        <v>#VALUE!</v>
      </c>
      <c r="F719" s="383">
        <f t="shared" ref="F719:N719" si="139">F731+F779+F781</f>
        <v>0</v>
      </c>
      <c r="G719" s="383">
        <f t="shared" si="139"/>
        <v>0</v>
      </c>
      <c r="H719" s="383">
        <f t="shared" si="139"/>
        <v>16647.098094150642</v>
      </c>
      <c r="I719" s="383">
        <f t="shared" si="139"/>
        <v>30335.579999999998</v>
      </c>
      <c r="J719" s="383">
        <f t="shared" si="139"/>
        <v>14290.068000000001</v>
      </c>
      <c r="K719" s="383">
        <f t="shared" si="139"/>
        <v>30363.606</v>
      </c>
      <c r="L719" s="383" t="e">
        <f t="shared" si="139"/>
        <v>#VALUE!</v>
      </c>
      <c r="M719" s="383" t="e">
        <f t="shared" si="139"/>
        <v>#VALUE!</v>
      </c>
      <c r="N719" s="383" t="e">
        <f t="shared" si="139"/>
        <v>#VALUE!</v>
      </c>
      <c r="O719" s="383"/>
      <c r="P719" s="383">
        <f>P731+P779+P781</f>
        <v>63798.594230769238</v>
      </c>
      <c r="Q719" s="839"/>
      <c r="R719" s="839"/>
      <c r="S719" s="840"/>
      <c r="T719" s="845">
        <f>'[1]1,DG-capmoi'!N708</f>
        <v>2317514.8487130804</v>
      </c>
      <c r="U719" s="845" t="e">
        <f t="shared" si="137"/>
        <v>#VALUE!</v>
      </c>
    </row>
    <row r="720" spans="1:21" s="841" customFormat="1" ht="24" customHeight="1">
      <c r="A720" s="1112"/>
      <c r="B720" s="1125"/>
      <c r="C720" s="1124"/>
      <c r="D720" s="382">
        <v>3</v>
      </c>
      <c r="E720" s="383" t="e">
        <f>E732+E779+E781</f>
        <v>#VALUE!</v>
      </c>
      <c r="F720" s="383">
        <f t="shared" ref="F720:N720" si="140">F732+F779+F781</f>
        <v>0</v>
      </c>
      <c r="G720" s="383">
        <f t="shared" si="140"/>
        <v>0</v>
      </c>
      <c r="H720" s="383">
        <f t="shared" si="140"/>
        <v>16647.098094150642</v>
      </c>
      <c r="I720" s="383">
        <f t="shared" si="140"/>
        <v>30335.579999999998</v>
      </c>
      <c r="J720" s="383">
        <f t="shared" si="140"/>
        <v>14290.068000000001</v>
      </c>
      <c r="K720" s="383">
        <f t="shared" si="140"/>
        <v>30363.606</v>
      </c>
      <c r="L720" s="383" t="e">
        <f t="shared" si="140"/>
        <v>#VALUE!</v>
      </c>
      <c r="M720" s="383" t="e">
        <f t="shared" si="140"/>
        <v>#VALUE!</v>
      </c>
      <c r="N720" s="383" t="e">
        <f t="shared" si="140"/>
        <v>#VALUE!</v>
      </c>
      <c r="O720" s="383"/>
      <c r="P720" s="383">
        <f>P732+P779+P781</f>
        <v>65556.944230769237</v>
      </c>
      <c r="Q720" s="839"/>
      <c r="R720" s="839"/>
      <c r="S720" s="840"/>
      <c r="T720" s="845">
        <f>'[1]1,DG-capmoi'!N709</f>
        <v>2379781.9785005804</v>
      </c>
      <c r="U720" s="845" t="e">
        <f t="shared" si="137"/>
        <v>#VALUE!</v>
      </c>
    </row>
    <row r="721" spans="1:21" s="841" customFormat="1" ht="24" customHeight="1">
      <c r="A721" s="1112"/>
      <c r="B721" s="1125"/>
      <c r="C721" s="1124"/>
      <c r="D721" s="382">
        <v>4</v>
      </c>
      <c r="E721" s="383" t="e">
        <f>E733+E779+E781</f>
        <v>#VALUE!</v>
      </c>
      <c r="F721" s="383">
        <f t="shared" ref="F721:N721" si="141">F733+F779+F781</f>
        <v>0</v>
      </c>
      <c r="G721" s="383">
        <f t="shared" si="141"/>
        <v>0</v>
      </c>
      <c r="H721" s="383">
        <f t="shared" si="141"/>
        <v>16647.098094150642</v>
      </c>
      <c r="I721" s="383">
        <f t="shared" si="141"/>
        <v>30335.579999999998</v>
      </c>
      <c r="J721" s="383">
        <f t="shared" si="141"/>
        <v>14290.068000000001</v>
      </c>
      <c r="K721" s="383">
        <f t="shared" si="141"/>
        <v>30363.606</v>
      </c>
      <c r="L721" s="383" t="e">
        <f t="shared" si="141"/>
        <v>#VALUE!</v>
      </c>
      <c r="M721" s="383" t="e">
        <f t="shared" si="141"/>
        <v>#VALUE!</v>
      </c>
      <c r="N721" s="383" t="e">
        <f t="shared" si="141"/>
        <v>#VALUE!</v>
      </c>
      <c r="O721" s="383"/>
      <c r="P721" s="383">
        <f>P733+P779+P781</f>
        <v>67487.440384615387</v>
      </c>
      <c r="Q721" s="839"/>
      <c r="R721" s="839"/>
      <c r="S721" s="840"/>
      <c r="T721" s="845">
        <f>'[1]1,DG-capmoi'!N710</f>
        <v>2448145.1909246189</v>
      </c>
      <c r="U721" s="845" t="e">
        <f t="shared" si="137"/>
        <v>#VALUE!</v>
      </c>
    </row>
    <row r="722" spans="1:21" s="841" customFormat="1" ht="24" customHeight="1">
      <c r="A722" s="1112"/>
      <c r="B722" s="1125"/>
      <c r="C722" s="1124"/>
      <c r="D722" s="382">
        <v>5</v>
      </c>
      <c r="E722" s="383" t="e">
        <f>E734+E779+E781</f>
        <v>#VALUE!</v>
      </c>
      <c r="F722" s="383">
        <f t="shared" ref="F722:N722" si="142">F734+F779+F781</f>
        <v>0</v>
      </c>
      <c r="G722" s="383">
        <f t="shared" si="142"/>
        <v>0</v>
      </c>
      <c r="H722" s="383">
        <f t="shared" si="142"/>
        <v>16647.098094150642</v>
      </c>
      <c r="I722" s="383">
        <f t="shared" si="142"/>
        <v>30335.579999999998</v>
      </c>
      <c r="J722" s="383">
        <f t="shared" si="142"/>
        <v>14290.068000000001</v>
      </c>
      <c r="K722" s="383">
        <f t="shared" si="142"/>
        <v>30363.606</v>
      </c>
      <c r="L722" s="383" t="e">
        <f t="shared" si="142"/>
        <v>#VALUE!</v>
      </c>
      <c r="M722" s="383" t="e">
        <f t="shared" si="142"/>
        <v>#VALUE!</v>
      </c>
      <c r="N722" s="383" t="e">
        <f t="shared" si="142"/>
        <v>#VALUE!</v>
      </c>
      <c r="O722" s="383"/>
      <c r="P722" s="383">
        <f>P734+P779+P781</f>
        <v>69577.786538461543</v>
      </c>
      <c r="Q722" s="839"/>
      <c r="R722" s="839"/>
      <c r="S722" s="840"/>
      <c r="T722" s="845">
        <f>'[1]1,DG-capmoi'!N711</f>
        <v>2522169.0515111578</v>
      </c>
      <c r="U722" s="845" t="e">
        <f t="shared" si="137"/>
        <v>#VALUE!</v>
      </c>
    </row>
    <row r="723" spans="1:21" s="841" customFormat="1" ht="24" customHeight="1">
      <c r="A723" s="1112"/>
      <c r="B723" s="1125" t="s">
        <v>452</v>
      </c>
      <c r="C723" s="1124" t="s">
        <v>281</v>
      </c>
      <c r="D723" s="382">
        <v>1</v>
      </c>
      <c r="E723" s="383" t="e">
        <f>E735+E779+E781</f>
        <v>#VALUE!</v>
      </c>
      <c r="F723" s="383">
        <f t="shared" ref="F723:P723" si="143">F735+F779+F781</f>
        <v>0</v>
      </c>
      <c r="G723" s="383">
        <f t="shared" si="143"/>
        <v>0</v>
      </c>
      <c r="H723" s="383">
        <f t="shared" si="143"/>
        <v>16647.098094150642</v>
      </c>
      <c r="I723" s="383">
        <f t="shared" si="143"/>
        <v>30335.579999999998</v>
      </c>
      <c r="J723" s="383">
        <f t="shared" si="143"/>
        <v>14290.068000000001</v>
      </c>
      <c r="K723" s="383">
        <f t="shared" si="143"/>
        <v>30363.606</v>
      </c>
      <c r="L723" s="383" t="e">
        <f t="shared" si="143"/>
        <v>#VALUE!</v>
      </c>
      <c r="M723" s="383" t="e">
        <f t="shared" si="143"/>
        <v>#VALUE!</v>
      </c>
      <c r="N723" s="383" t="e">
        <f t="shared" si="143"/>
        <v>#VALUE!</v>
      </c>
      <c r="O723" s="383"/>
      <c r="P723" s="383">
        <f t="shared" si="143"/>
        <v>62169.353846153856</v>
      </c>
      <c r="Q723" s="839"/>
      <c r="R723" s="839"/>
      <c r="S723" s="840"/>
      <c r="T723" s="845">
        <f>'[1]1,DG-capmoi'!N712</f>
        <v>2261511.093809234</v>
      </c>
      <c r="U723" s="845" t="e">
        <f t="shared" si="137"/>
        <v>#VALUE!</v>
      </c>
    </row>
    <row r="724" spans="1:21" s="841" customFormat="1" ht="24" customHeight="1">
      <c r="A724" s="1112"/>
      <c r="B724" s="1125"/>
      <c r="C724" s="1124"/>
      <c r="D724" s="382">
        <v>2</v>
      </c>
      <c r="E724" s="383" t="e">
        <f>E736+E779+E781</f>
        <v>#VALUE!</v>
      </c>
      <c r="F724" s="383">
        <f t="shared" ref="F724:P724" si="144">F736+F779+F781</f>
        <v>0</v>
      </c>
      <c r="G724" s="383">
        <f t="shared" si="144"/>
        <v>0</v>
      </c>
      <c r="H724" s="383">
        <f t="shared" si="144"/>
        <v>16647.098094150642</v>
      </c>
      <c r="I724" s="383">
        <f t="shared" si="144"/>
        <v>30335.579999999998</v>
      </c>
      <c r="J724" s="383">
        <f t="shared" si="144"/>
        <v>14290.068000000001</v>
      </c>
      <c r="K724" s="383">
        <f t="shared" si="144"/>
        <v>30363.606</v>
      </c>
      <c r="L724" s="383" t="e">
        <f t="shared" si="144"/>
        <v>#VALUE!</v>
      </c>
      <c r="M724" s="383" t="e">
        <f t="shared" si="144"/>
        <v>#VALUE!</v>
      </c>
      <c r="N724" s="383" t="e">
        <f t="shared" si="144"/>
        <v>#VALUE!</v>
      </c>
      <c r="O724" s="383"/>
      <c r="P724" s="383">
        <f t="shared" si="144"/>
        <v>63767.853846153856</v>
      </c>
      <c r="Q724" s="839"/>
      <c r="R724" s="839"/>
      <c r="S724" s="840"/>
      <c r="T724" s="845">
        <f>'[1]1,DG-capmoi'!N713</f>
        <v>2318117.5754342345</v>
      </c>
      <c r="U724" s="845" t="e">
        <f t="shared" si="137"/>
        <v>#VALUE!</v>
      </c>
    </row>
    <row r="725" spans="1:21" s="841" customFormat="1" ht="24" customHeight="1">
      <c r="A725" s="1112"/>
      <c r="B725" s="1125"/>
      <c r="C725" s="1124"/>
      <c r="D725" s="382">
        <v>3</v>
      </c>
      <c r="E725" s="383" t="e">
        <f>E737+E779+E781</f>
        <v>#VALUE!</v>
      </c>
      <c r="F725" s="383">
        <f t="shared" ref="F725:P725" si="145">F737+F779+F781</f>
        <v>0</v>
      </c>
      <c r="G725" s="383">
        <f t="shared" si="145"/>
        <v>0</v>
      </c>
      <c r="H725" s="383">
        <f t="shared" si="145"/>
        <v>16647.098094150642</v>
      </c>
      <c r="I725" s="383">
        <f t="shared" si="145"/>
        <v>30335.579999999998</v>
      </c>
      <c r="J725" s="383">
        <f t="shared" si="145"/>
        <v>14290.068000000001</v>
      </c>
      <c r="K725" s="383">
        <f t="shared" si="145"/>
        <v>30363.606</v>
      </c>
      <c r="L725" s="383" t="e">
        <f t="shared" si="145"/>
        <v>#VALUE!</v>
      </c>
      <c r="M725" s="383" t="e">
        <f t="shared" si="145"/>
        <v>#VALUE!</v>
      </c>
      <c r="N725" s="383" t="e">
        <f t="shared" si="145"/>
        <v>#VALUE!</v>
      </c>
      <c r="O725" s="383"/>
      <c r="P725" s="383">
        <f t="shared" si="145"/>
        <v>65526.203846153847</v>
      </c>
      <c r="Q725" s="839"/>
      <c r="R725" s="839"/>
      <c r="S725" s="840"/>
      <c r="T725" s="845">
        <f>'[1]1,DG-capmoi'!N714</f>
        <v>2380384.705221734</v>
      </c>
      <c r="U725" s="845" t="e">
        <f t="shared" si="137"/>
        <v>#VALUE!</v>
      </c>
    </row>
    <row r="726" spans="1:21" s="841" customFormat="1" ht="24" customHeight="1">
      <c r="A726" s="1112"/>
      <c r="B726" s="1125"/>
      <c r="C726" s="1124"/>
      <c r="D726" s="382">
        <v>4</v>
      </c>
      <c r="E726" s="383" t="e">
        <f>E738+E779+E781</f>
        <v>#VALUE!</v>
      </c>
      <c r="F726" s="383">
        <f t="shared" ref="F726:P726" si="146">F738+F779+F781</f>
        <v>0</v>
      </c>
      <c r="G726" s="383">
        <f t="shared" si="146"/>
        <v>0</v>
      </c>
      <c r="H726" s="383">
        <f t="shared" si="146"/>
        <v>16647.098094150642</v>
      </c>
      <c r="I726" s="383">
        <f t="shared" si="146"/>
        <v>30335.579999999998</v>
      </c>
      <c r="J726" s="383">
        <f t="shared" si="146"/>
        <v>14290.068000000001</v>
      </c>
      <c r="K726" s="383">
        <f t="shared" si="146"/>
        <v>30363.606</v>
      </c>
      <c r="L726" s="383" t="e">
        <f t="shared" si="146"/>
        <v>#VALUE!</v>
      </c>
      <c r="M726" s="383" t="e">
        <f t="shared" si="146"/>
        <v>#VALUE!</v>
      </c>
      <c r="N726" s="383" t="e">
        <f t="shared" si="146"/>
        <v>#VALUE!</v>
      </c>
      <c r="O726" s="383"/>
      <c r="P726" s="383">
        <f t="shared" si="146"/>
        <v>67456.7</v>
      </c>
      <c r="Q726" s="839"/>
      <c r="R726" s="839"/>
      <c r="S726" s="840"/>
      <c r="T726" s="845">
        <f>'[1]1,DG-capmoi'!N715</f>
        <v>2448747.9176457725</v>
      </c>
      <c r="U726" s="845" t="e">
        <f t="shared" si="137"/>
        <v>#VALUE!</v>
      </c>
    </row>
    <row r="727" spans="1:21" s="841" customFormat="1" ht="24" customHeight="1">
      <c r="A727" s="1112"/>
      <c r="B727" s="1125"/>
      <c r="C727" s="1124"/>
      <c r="D727" s="382">
        <v>5</v>
      </c>
      <c r="E727" s="383" t="e">
        <f>E739+E779+E781</f>
        <v>#VALUE!</v>
      </c>
      <c r="F727" s="383">
        <f t="shared" ref="F727:P727" si="147">F739+F779+F781</f>
        <v>0</v>
      </c>
      <c r="G727" s="383">
        <f t="shared" si="147"/>
        <v>0</v>
      </c>
      <c r="H727" s="383">
        <f t="shared" si="147"/>
        <v>16647.098094150642</v>
      </c>
      <c r="I727" s="383">
        <f t="shared" si="147"/>
        <v>30335.579999999998</v>
      </c>
      <c r="J727" s="383">
        <f t="shared" si="147"/>
        <v>14290.068000000001</v>
      </c>
      <c r="K727" s="383">
        <f t="shared" si="147"/>
        <v>30363.606</v>
      </c>
      <c r="L727" s="383" t="e">
        <f t="shared" si="147"/>
        <v>#VALUE!</v>
      </c>
      <c r="M727" s="383" t="e">
        <f t="shared" si="147"/>
        <v>#VALUE!</v>
      </c>
      <c r="N727" s="383" t="e">
        <f t="shared" si="147"/>
        <v>#VALUE!</v>
      </c>
      <c r="O727" s="383"/>
      <c r="P727" s="383">
        <f t="shared" si="147"/>
        <v>69547.046153846153</v>
      </c>
      <c r="Q727" s="839"/>
      <c r="R727" s="839"/>
      <c r="S727" s="840"/>
      <c r="T727" s="845">
        <f>'[1]1,DG-capmoi'!N716</f>
        <v>2522771.7782323114</v>
      </c>
      <c r="U727" s="845" t="e">
        <f t="shared" si="137"/>
        <v>#VALUE!</v>
      </c>
    </row>
    <row r="728" spans="1:21" s="841" customFormat="1" ht="18" customHeight="1">
      <c r="A728" s="824"/>
      <c r="B728" s="828"/>
      <c r="C728" s="819"/>
      <c r="D728" s="382"/>
      <c r="E728" s="383"/>
      <c r="F728" s="383"/>
      <c r="G728" s="383"/>
      <c r="H728" s="383"/>
      <c r="I728" s="383"/>
      <c r="J728" s="383"/>
      <c r="K728" s="383"/>
      <c r="L728" s="383"/>
      <c r="M728" s="383"/>
      <c r="N728" s="383"/>
      <c r="O728" s="383"/>
      <c r="P728" s="383"/>
      <c r="Q728" s="839"/>
      <c r="R728" s="839"/>
      <c r="S728" s="840"/>
      <c r="T728" s="845">
        <f>'[1]1,DG-capmoi'!N717</f>
        <v>0</v>
      </c>
      <c r="U728" s="845">
        <f t="shared" si="137"/>
        <v>0</v>
      </c>
    </row>
    <row r="729" spans="1:21" s="841" customFormat="1" ht="26.25" customHeight="1">
      <c r="A729" s="968" t="s">
        <v>179</v>
      </c>
      <c r="B729" s="962" t="s">
        <v>81</v>
      </c>
      <c r="C729" s="819"/>
      <c r="D729" s="382"/>
      <c r="E729" s="383"/>
      <c r="F729" s="383"/>
      <c r="G729" s="383"/>
      <c r="H729" s="383"/>
      <c r="I729" s="383"/>
      <c r="J729" s="383"/>
      <c r="K729" s="383"/>
      <c r="L729" s="383"/>
      <c r="M729" s="383"/>
      <c r="N729" s="383"/>
      <c r="O729" s="383"/>
      <c r="P729" s="383"/>
      <c r="Q729" s="839"/>
      <c r="R729" s="839"/>
      <c r="S729" s="840"/>
      <c r="T729" s="845">
        <f>'[1]1,DG-capmoi'!N718</f>
        <v>0</v>
      </c>
      <c r="U729" s="845">
        <f t="shared" si="137"/>
        <v>0</v>
      </c>
    </row>
    <row r="730" spans="1:21" s="950" customFormat="1" ht="26.45" customHeight="1">
      <c r="A730" s="1126" t="s">
        <v>665</v>
      </c>
      <c r="B730" s="1125" t="s">
        <v>451</v>
      </c>
      <c r="C730" s="1124" t="s">
        <v>281</v>
      </c>
      <c r="D730" s="382">
        <v>1</v>
      </c>
      <c r="E730" s="947" t="e">
        <f>E742+E744+E745+E747+E748+E753+E755+E758+E762+E763+E766+E768+E769+E770+E773+E774+E775+E776+E777+E778</f>
        <v>#VALUE!</v>
      </c>
      <c r="F730" s="947">
        <f>F742+F743+F744+F745+F747+F748+F753+F755+F756+F758+F759+F761+F762+F763+F764+F766+F767+F768+F769+F770+F773+F774+F775+F776+F777+F778</f>
        <v>0</v>
      </c>
      <c r="G730" s="947">
        <f>G742+G743+G744+G745+G747+G748+G753+G755+G756+G758+G759+G761+G762+G763+G764+G766+G767+G768+G769+G770+G773+G774+G775+G776+G777+G778</f>
        <v>0</v>
      </c>
      <c r="H730" s="947">
        <f>'Dcu-DKDD'!$L$149*1.3</f>
        <v>16579.821234375002</v>
      </c>
      <c r="I730" s="947">
        <f>'VL-DKDD'!$J$154</f>
        <v>29692.98</v>
      </c>
      <c r="J730" s="947">
        <f>'TB-DKDD'!$M$84*1.3</f>
        <v>14290.068000000001</v>
      </c>
      <c r="K730" s="947">
        <f>'NL-DKDD'!$J$60*1.3</f>
        <v>30363.606</v>
      </c>
      <c r="L730" s="893" t="e">
        <f t="shared" ref="L730:L739" si="148">SUM(E730:K730)</f>
        <v>#VALUE!</v>
      </c>
      <c r="M730" s="893" t="e">
        <f>L730*'He so chung'!$D$17/100</f>
        <v>#VALUE!</v>
      </c>
      <c r="N730" s="893" t="e">
        <f t="shared" ref="N730:N739" si="149">L730+M730</f>
        <v>#VALUE!</v>
      </c>
      <c r="O730" s="947"/>
      <c r="P730" s="947">
        <f>P742+P744+P745+P747+P748+P753+P755+P758+P762+P763+P766+P768+P769+P770+P773+P774+P775+P776+P777+P778</f>
        <v>61081.144230769241</v>
      </c>
      <c r="Q730" s="948"/>
      <c r="R730" s="948"/>
      <c r="S730" s="949"/>
      <c r="T730" s="845">
        <f>'[1]1,DG-capmoi'!N719</f>
        <v>2219490.2685493384</v>
      </c>
      <c r="U730" s="845" t="e">
        <f t="shared" si="137"/>
        <v>#VALUE!</v>
      </c>
    </row>
    <row r="731" spans="1:21" s="950" customFormat="1" ht="26.45" customHeight="1">
      <c r="A731" s="1127"/>
      <c r="B731" s="1125"/>
      <c r="C731" s="1124"/>
      <c r="D731" s="382">
        <v>2</v>
      </c>
      <c r="E731" s="947" t="e">
        <f>E742+E744+E745+E747+E749+E753+E755+E758+E762+E763+E766+E768+E769+E770+E773+E774+E775+E776+E777+E778</f>
        <v>#VALUE!</v>
      </c>
      <c r="F731" s="947">
        <f>F742+F743+F744+F745+F747+F749+F753+F755+F756+F758+F759+F761+F762+F763+F764+F766+F767+F768+F769+F770+F773+F774+F775+F776+F777+F778</f>
        <v>0</v>
      </c>
      <c r="G731" s="947">
        <f>G742+G743+G744+G745+G747+G749+G753+G755+G756+G758+G759+G761+G762+G763+G764+G766+G767+G768+G769+G770+G773+G774+G775+G776+G777+G778</f>
        <v>0</v>
      </c>
      <c r="H731" s="947">
        <f>'Dcu-DKDD'!$L$149*1.3</f>
        <v>16579.821234375002</v>
      </c>
      <c r="I731" s="947">
        <f>'VL-DKDD'!$J$154</f>
        <v>29692.98</v>
      </c>
      <c r="J731" s="947">
        <f>'TB-DKDD'!$M$84*1.3</f>
        <v>14290.068000000001</v>
      </c>
      <c r="K731" s="947">
        <f>'NL-DKDD'!$J$60*1.3</f>
        <v>30363.606</v>
      </c>
      <c r="L731" s="893" t="e">
        <f t="shared" si="148"/>
        <v>#VALUE!</v>
      </c>
      <c r="M731" s="893" t="e">
        <f>L731*'He so chung'!$D$17/100</f>
        <v>#VALUE!</v>
      </c>
      <c r="N731" s="893" t="e">
        <f t="shared" si="149"/>
        <v>#VALUE!</v>
      </c>
      <c r="O731" s="947"/>
      <c r="P731" s="947">
        <f>P742+P744+P745+P747+P749+P753+P755+P758+P762+P763+P766+P768+P769+P770+P773+P774+P775+P776+P777+P778</f>
        <v>62679.644230769241</v>
      </c>
      <c r="Q731" s="948"/>
      <c r="R731" s="948"/>
      <c r="S731" s="949"/>
      <c r="T731" s="845">
        <f>'[1]1,DG-capmoi'!N720</f>
        <v>2276096.7501743385</v>
      </c>
      <c r="U731" s="845" t="e">
        <f t="shared" si="137"/>
        <v>#VALUE!</v>
      </c>
    </row>
    <row r="732" spans="1:21" s="950" customFormat="1" ht="26.45" customHeight="1">
      <c r="A732" s="1127"/>
      <c r="B732" s="1125"/>
      <c r="C732" s="1124"/>
      <c r="D732" s="382">
        <v>3</v>
      </c>
      <c r="E732" s="947" t="e">
        <f>E742+E744+E745+E747+E750+E753+E755+E758+E762+E763+E766+E768+E769+E770+E773+E774+E775+E776+E777+E778</f>
        <v>#VALUE!</v>
      </c>
      <c r="F732" s="947">
        <f>F742+F743+F744+F745+F747+F750+F753+F755+F756+F758+F759+F761+F762+F763+F764+F766+F767+F768+F769+F770</f>
        <v>0</v>
      </c>
      <c r="G732" s="947">
        <f>G742+G743+G744+G745+G747+G750+G753+G755+G756+G758+G759+G761+G762+G763+G764+G766+G767+G768+G769+G770</f>
        <v>0</v>
      </c>
      <c r="H732" s="947">
        <f>'Dcu-DKDD'!$L$149*1.3</f>
        <v>16579.821234375002</v>
      </c>
      <c r="I732" s="947">
        <f>'VL-DKDD'!$J$154</f>
        <v>29692.98</v>
      </c>
      <c r="J732" s="947">
        <f>'TB-DKDD'!$M$84*1.3</f>
        <v>14290.068000000001</v>
      </c>
      <c r="K732" s="947">
        <f>'NL-DKDD'!$J$60*1.3</f>
        <v>30363.606</v>
      </c>
      <c r="L732" s="893" t="e">
        <f t="shared" si="148"/>
        <v>#VALUE!</v>
      </c>
      <c r="M732" s="893" t="e">
        <f>L732*'He so chung'!$D$17/100</f>
        <v>#VALUE!</v>
      </c>
      <c r="N732" s="893" t="e">
        <f t="shared" si="149"/>
        <v>#VALUE!</v>
      </c>
      <c r="O732" s="947"/>
      <c r="P732" s="947">
        <f>P742+P744+P745+P747+P750+P753+P755+P758+P762+P763+P766+P768+P769+P770+P773+P774+P775+P776+P777+P778</f>
        <v>64437.99423076924</v>
      </c>
      <c r="Q732" s="948"/>
      <c r="R732" s="948"/>
      <c r="S732" s="949"/>
      <c r="T732" s="845">
        <f>'[1]1,DG-capmoi'!N721</f>
        <v>2338363.8799618385</v>
      </c>
      <c r="U732" s="845" t="e">
        <f t="shared" si="137"/>
        <v>#VALUE!</v>
      </c>
    </row>
    <row r="733" spans="1:21" s="950" customFormat="1" ht="26.45" customHeight="1">
      <c r="A733" s="1127"/>
      <c r="B733" s="1125"/>
      <c r="C733" s="1124"/>
      <c r="D733" s="382">
        <v>4</v>
      </c>
      <c r="E733" s="947" t="e">
        <f>E742+E744+E745+E747+E751+E753+E755+E758+E762+E763+E766+E768+E769+E770+E773+E774+E775+E776+E777+E778</f>
        <v>#VALUE!</v>
      </c>
      <c r="F733" s="947">
        <f>F742+F743+F744+F745+F751+F753+F755+F756+F758+F759+F761+F762+F763+F766+F767+F768+F769+F773+F774+F775+F776+F777+F778</f>
        <v>0</v>
      </c>
      <c r="G733" s="947">
        <f>G742+G743+G744+G745+G751+G753+G755+G756+G758+G759+G761+G762+G763+G766+G767+G768+G769+G773+G774+G775+G776+G777+G778</f>
        <v>0</v>
      </c>
      <c r="H733" s="947">
        <f>'Dcu-DKDD'!$L$149*1.3</f>
        <v>16579.821234375002</v>
      </c>
      <c r="I733" s="947">
        <f>'VL-DKDD'!$J$154</f>
        <v>29692.98</v>
      </c>
      <c r="J733" s="947">
        <f>'TB-DKDD'!$M$84*1.3</f>
        <v>14290.068000000001</v>
      </c>
      <c r="K733" s="947">
        <f>'NL-DKDD'!$J$60*1.3</f>
        <v>30363.606</v>
      </c>
      <c r="L733" s="893" t="e">
        <f t="shared" si="148"/>
        <v>#VALUE!</v>
      </c>
      <c r="M733" s="893" t="e">
        <f>L733*'He so chung'!$D$17/100</f>
        <v>#VALUE!</v>
      </c>
      <c r="N733" s="893" t="e">
        <f t="shared" si="149"/>
        <v>#VALUE!</v>
      </c>
      <c r="O733" s="947"/>
      <c r="P733" s="947">
        <f>P742+P744+P745+P747+P751+P753+P755+P758+P762+P763+P766+P768+P769+P770+P773+P774+P775+P776+P777+P778</f>
        <v>66368.49038461539</v>
      </c>
      <c r="Q733" s="948"/>
      <c r="R733" s="948"/>
      <c r="S733" s="949"/>
      <c r="T733" s="845">
        <f>'[1]1,DG-capmoi'!N722</f>
        <v>2406727.0923858769</v>
      </c>
      <c r="U733" s="845" t="e">
        <f t="shared" si="137"/>
        <v>#VALUE!</v>
      </c>
    </row>
    <row r="734" spans="1:21" s="950" customFormat="1" ht="26.45" customHeight="1">
      <c r="A734" s="1128"/>
      <c r="B734" s="1125"/>
      <c r="C734" s="1124"/>
      <c r="D734" s="382">
        <v>5</v>
      </c>
      <c r="E734" s="947" t="e">
        <f>E742+E744+E745+E747+E752+E753+E755+E758+E762+E763+E766+E768+E769+E770+E773+E774+E775+E776+E777+E778</f>
        <v>#VALUE!</v>
      </c>
      <c r="F734" s="947">
        <f>F742+F743+F744+F745+F747+F752+F753+F755+F756+F758+F759+F761+F762+F763+F764+F766+F767+F768+F769+F773+F774+F775+F776+F777+F778</f>
        <v>0</v>
      </c>
      <c r="G734" s="947">
        <f>G742+G743+G744+G745+G747+G752+G753+G755+G756+G758+G759+G761+G762+G763+G764+G766+G767+G768+G769+G773+G774+G775+G776+G777+G778</f>
        <v>0</v>
      </c>
      <c r="H734" s="947">
        <f>'Dcu-DKDD'!$L$149*1.3</f>
        <v>16579.821234375002</v>
      </c>
      <c r="I734" s="947">
        <f>'VL-DKDD'!$J$154</f>
        <v>29692.98</v>
      </c>
      <c r="J734" s="947">
        <f>'TB-DKDD'!$M$84*1.3</f>
        <v>14290.068000000001</v>
      </c>
      <c r="K734" s="947">
        <f>'NL-DKDD'!$J$60*1.3</f>
        <v>30363.606</v>
      </c>
      <c r="L734" s="893" t="e">
        <f t="shared" si="148"/>
        <v>#VALUE!</v>
      </c>
      <c r="M734" s="893" t="e">
        <f>L734*'He so chung'!$D$17/100</f>
        <v>#VALUE!</v>
      </c>
      <c r="N734" s="893" t="e">
        <f t="shared" si="149"/>
        <v>#VALUE!</v>
      </c>
      <c r="O734" s="947"/>
      <c r="P734" s="947">
        <f>P742+P744+P745+P747+P752+P753+P755+P758+P762+P763+P766+P768+P769+P770+P773+P774+P775+P776+P777+P778</f>
        <v>68458.836538461546</v>
      </c>
      <c r="Q734" s="948"/>
      <c r="R734" s="948"/>
      <c r="S734" s="949"/>
      <c r="T734" s="845">
        <f>'[1]1,DG-capmoi'!N723</f>
        <v>2480750.9529724158</v>
      </c>
      <c r="U734" s="845" t="e">
        <f t="shared" si="137"/>
        <v>#VALUE!</v>
      </c>
    </row>
    <row r="735" spans="1:21" s="950" customFormat="1" ht="26.45" customHeight="1">
      <c r="A735" s="1126" t="s">
        <v>666</v>
      </c>
      <c r="B735" s="1125" t="s">
        <v>452</v>
      </c>
      <c r="C735" s="1124" t="s">
        <v>281</v>
      </c>
      <c r="D735" s="382">
        <v>1</v>
      </c>
      <c r="E735" s="947" t="e">
        <f>E743+E744+E745+E747+E748+E753+E756+E758+E761+E763+E766+E768+E769+E770+E773+E774+E775+E776+E777+E778</f>
        <v>#VALUE!</v>
      </c>
      <c r="F735" s="947">
        <f>F743+F744+F745+F747+F748+F753+F756+F758+F761+F763+F764+F766+F768+F769+F770+F773+F774+F775+F776+F777+F778</f>
        <v>0</v>
      </c>
      <c r="G735" s="947"/>
      <c r="H735" s="947">
        <f>'Dcu-DKDD'!$L$149*1.3</f>
        <v>16579.821234375002</v>
      </c>
      <c r="I735" s="947">
        <f>'VL-DKDD'!$J$154</f>
        <v>29692.98</v>
      </c>
      <c r="J735" s="947">
        <f>'TB-DKDD'!$M$84*1.3</f>
        <v>14290.068000000001</v>
      </c>
      <c r="K735" s="947">
        <f>'NL-DKDD'!$J$60*1.3</f>
        <v>30363.606</v>
      </c>
      <c r="L735" s="893" t="e">
        <f t="shared" si="148"/>
        <v>#VALUE!</v>
      </c>
      <c r="M735" s="893" t="e">
        <f>L735*'He so chung'!$D$17/100</f>
        <v>#VALUE!</v>
      </c>
      <c r="N735" s="893" t="e">
        <f t="shared" si="149"/>
        <v>#VALUE!</v>
      </c>
      <c r="O735" s="947"/>
      <c r="P735" s="947">
        <f>P743+P744+P745+P747+P748+P753+P756+P758+P761+P763+P766+P768+P769+P770+P773+P774+P775+P776+P777+P778</f>
        <v>61050.403846153858</v>
      </c>
      <c r="Q735" s="948"/>
      <c r="R735" s="948"/>
      <c r="S735" s="949"/>
      <c r="T735" s="845">
        <f>'[1]1,DG-capmoi'!N724</f>
        <v>2220092.995270492</v>
      </c>
      <c r="U735" s="845" t="e">
        <f t="shared" si="137"/>
        <v>#VALUE!</v>
      </c>
    </row>
    <row r="736" spans="1:21" s="950" customFormat="1" ht="26.45" customHeight="1">
      <c r="A736" s="1127"/>
      <c r="B736" s="1125"/>
      <c r="C736" s="1124"/>
      <c r="D736" s="382">
        <v>2</v>
      </c>
      <c r="E736" s="947" t="e">
        <f>E743+E744+E745+E747+E749+E753+E756+E758+E761+E763+E766+E768+E769+E770+E773+E774+E775+E776+E777+E778</f>
        <v>#VALUE!</v>
      </c>
      <c r="F736" s="947">
        <f>F743+F744+F745+F747+F749+F753+F756+F758+F761+F763+F764+F766+F768+F769+F770+F773+F774+F775+F776+F777+F778</f>
        <v>0</v>
      </c>
      <c r="G736" s="947"/>
      <c r="H736" s="947">
        <f>'Dcu-DKDD'!$L$149*1.3</f>
        <v>16579.821234375002</v>
      </c>
      <c r="I736" s="947">
        <f>'VL-DKDD'!$J$154</f>
        <v>29692.98</v>
      </c>
      <c r="J736" s="947">
        <f>'TB-DKDD'!$M$84*1.3</f>
        <v>14290.068000000001</v>
      </c>
      <c r="K736" s="947">
        <f>'NL-DKDD'!$J$60*1.3</f>
        <v>30363.606</v>
      </c>
      <c r="L736" s="893" t="e">
        <f t="shared" si="148"/>
        <v>#VALUE!</v>
      </c>
      <c r="M736" s="893" t="e">
        <f>L736*'He so chung'!$D$17/100</f>
        <v>#VALUE!</v>
      </c>
      <c r="N736" s="893" t="e">
        <f t="shared" si="149"/>
        <v>#VALUE!</v>
      </c>
      <c r="O736" s="947"/>
      <c r="P736" s="947">
        <f>P743+P744+P745+P747+P749+P753+P756+P758+P761+P763+P766+P768+P769+P770+P773+P774+P775+P776+P777+P778</f>
        <v>62648.903846153858</v>
      </c>
      <c r="Q736" s="948"/>
      <c r="R736" s="948"/>
      <c r="S736" s="949"/>
      <c r="T736" s="845">
        <f>'[1]1,DG-capmoi'!N725</f>
        <v>2276699.4768954925</v>
      </c>
      <c r="U736" s="845" t="e">
        <f t="shared" si="137"/>
        <v>#VALUE!</v>
      </c>
    </row>
    <row r="737" spans="1:21" s="950" customFormat="1" ht="26.45" customHeight="1">
      <c r="A737" s="1127"/>
      <c r="B737" s="1125"/>
      <c r="C737" s="1124"/>
      <c r="D737" s="382">
        <v>3</v>
      </c>
      <c r="E737" s="947" t="e">
        <f>E743+E744+E745+E747+E750+E753+E756+E758+E761+E763+E766+E768+E769+E770+E773+E774+E775+E776+E777+E778</f>
        <v>#VALUE!</v>
      </c>
      <c r="F737" s="947">
        <f>F743+F744+F745+F747+F750+F753+F756+F758+F761+F763+F764+F766+F768+F769+F770+F773+F774+F775+F776+F777+F778</f>
        <v>0</v>
      </c>
      <c r="G737" s="947"/>
      <c r="H737" s="947">
        <f>'Dcu-DKDD'!$L$149*1.3</f>
        <v>16579.821234375002</v>
      </c>
      <c r="I737" s="947">
        <f>'VL-DKDD'!$J$154</f>
        <v>29692.98</v>
      </c>
      <c r="J737" s="947">
        <f>'TB-DKDD'!$M$84*1.3</f>
        <v>14290.068000000001</v>
      </c>
      <c r="K737" s="947">
        <f>'NL-DKDD'!$J$60*1.3</f>
        <v>30363.606</v>
      </c>
      <c r="L737" s="893" t="e">
        <f t="shared" si="148"/>
        <v>#VALUE!</v>
      </c>
      <c r="M737" s="893" t="e">
        <f>L737*'He so chung'!$D$17/100</f>
        <v>#VALUE!</v>
      </c>
      <c r="N737" s="893" t="e">
        <f t="shared" si="149"/>
        <v>#VALUE!</v>
      </c>
      <c r="O737" s="947"/>
      <c r="P737" s="947">
        <f>P743+P744+P745+P747+P750+P753+P756+P758+P761+P763+P766+P768+P769+P770+P773+P774+P775+P776+P777+P778</f>
        <v>64407.25384615385</v>
      </c>
      <c r="Q737" s="948"/>
      <c r="R737" s="948"/>
      <c r="S737" s="949"/>
      <c r="T737" s="845">
        <f>'[1]1,DG-capmoi'!N726</f>
        <v>2338966.6066829921</v>
      </c>
      <c r="U737" s="845" t="e">
        <f t="shared" si="137"/>
        <v>#VALUE!</v>
      </c>
    </row>
    <row r="738" spans="1:21" s="950" customFormat="1" ht="26.45" customHeight="1">
      <c r="A738" s="1127"/>
      <c r="B738" s="1125"/>
      <c r="C738" s="1124"/>
      <c r="D738" s="382">
        <v>4</v>
      </c>
      <c r="E738" s="947" t="e">
        <f>E743+E744+E745+E747+E751+E753+E756+E758+E761+E763+E766+E768+E769+E770+E773+E774+E775+E776+E777+E778</f>
        <v>#VALUE!</v>
      </c>
      <c r="F738" s="947">
        <f>F743+F744+F745+F747+F751+F753+F756+F758+F761+F763+F764+F766+F768+F769+F770+F773+F774+F775+F776+F777+F778</f>
        <v>0</v>
      </c>
      <c r="G738" s="947"/>
      <c r="H738" s="947">
        <f>'Dcu-DKDD'!$L$149*1.3</f>
        <v>16579.821234375002</v>
      </c>
      <c r="I738" s="947">
        <f>'VL-DKDD'!$J$154</f>
        <v>29692.98</v>
      </c>
      <c r="J738" s="947">
        <f>'TB-DKDD'!$M$84*1.3</f>
        <v>14290.068000000001</v>
      </c>
      <c r="K738" s="947">
        <f>'NL-DKDD'!$J$60*1.3</f>
        <v>30363.606</v>
      </c>
      <c r="L738" s="893" t="e">
        <f t="shared" si="148"/>
        <v>#VALUE!</v>
      </c>
      <c r="M738" s="893" t="e">
        <f>L738*'He so chung'!$D$17/100</f>
        <v>#VALUE!</v>
      </c>
      <c r="N738" s="893" t="e">
        <f t="shared" si="149"/>
        <v>#VALUE!</v>
      </c>
      <c r="O738" s="947"/>
      <c r="P738" s="947">
        <f>P743+P744+P745+P747+P751+P753+P756+P758+P761+P763+P766+P768+P769+P770+P773+P774+P775+P776+P777+P778</f>
        <v>66337.75</v>
      </c>
      <c r="Q738" s="948"/>
      <c r="R738" s="948"/>
      <c r="S738" s="949"/>
      <c r="T738" s="845">
        <f>'[1]1,DG-capmoi'!N727</f>
        <v>2407329.8191070305</v>
      </c>
      <c r="U738" s="845" t="e">
        <f t="shared" si="137"/>
        <v>#VALUE!</v>
      </c>
    </row>
    <row r="739" spans="1:21" s="950" customFormat="1" ht="26.45" customHeight="1">
      <c r="A739" s="1128"/>
      <c r="B739" s="1125"/>
      <c r="C739" s="1124"/>
      <c r="D739" s="382">
        <v>5</v>
      </c>
      <c r="E739" s="947" t="e">
        <f>E743+E744+E745+E747+E752+E753+E756+E758+E761+E763+E766+E768+E769+E770+E773+E774+E775+E776+E777+E778</f>
        <v>#VALUE!</v>
      </c>
      <c r="F739" s="947">
        <f>F743+F744+F745+F747+F752+F753+F756+F758+F761+F763+F764+F766+F768+F769+F770+F773+F774+F775+F776+F777+F778</f>
        <v>0</v>
      </c>
      <c r="G739" s="947"/>
      <c r="H739" s="947">
        <f>'Dcu-DKDD'!$L$149*1.3</f>
        <v>16579.821234375002</v>
      </c>
      <c r="I739" s="947">
        <f>'VL-DKDD'!$J$154</f>
        <v>29692.98</v>
      </c>
      <c r="J739" s="947">
        <f>'TB-DKDD'!$M$84*1.3</f>
        <v>14290.068000000001</v>
      </c>
      <c r="K739" s="947">
        <f>'NL-DKDD'!$J$60*1.3</f>
        <v>30363.606</v>
      </c>
      <c r="L739" s="893" t="e">
        <f t="shared" si="148"/>
        <v>#VALUE!</v>
      </c>
      <c r="M739" s="893" t="e">
        <f>L739*'He so chung'!$D$17/100</f>
        <v>#VALUE!</v>
      </c>
      <c r="N739" s="893" t="e">
        <f t="shared" si="149"/>
        <v>#VALUE!</v>
      </c>
      <c r="O739" s="947"/>
      <c r="P739" s="947">
        <f>P743+P744+P745+P747+P752+P753+P756+P758+P761+P763+P766+P768+P769+P770+P773+P774+P775+P776+P777+P778</f>
        <v>68428.096153846156</v>
      </c>
      <c r="Q739" s="948"/>
      <c r="R739" s="948"/>
      <c r="S739" s="949"/>
      <c r="T739" s="845">
        <f>'[1]1,DG-capmoi'!N728</f>
        <v>2481353.6796935694</v>
      </c>
      <c r="U739" s="845" t="e">
        <f t="shared" si="137"/>
        <v>#VALUE!</v>
      </c>
    </row>
    <row r="740" spans="1:21" s="950" customFormat="1" ht="26.45" customHeight="1">
      <c r="A740" s="829"/>
      <c r="B740" s="829"/>
      <c r="C740" s="833"/>
      <c r="D740" s="382"/>
      <c r="E740" s="947"/>
      <c r="F740" s="947"/>
      <c r="G740" s="947"/>
      <c r="H740" s="947"/>
      <c r="I740" s="947"/>
      <c r="J740" s="947"/>
      <c r="K740" s="947"/>
      <c r="L740" s="893"/>
      <c r="M740" s="893"/>
      <c r="N740" s="893"/>
      <c r="O740" s="947"/>
      <c r="P740" s="947"/>
      <c r="Q740" s="948"/>
      <c r="R740" s="948"/>
      <c r="S740" s="949"/>
      <c r="T740" s="845">
        <f>'[1]1,DG-capmoi'!N729</f>
        <v>0</v>
      </c>
      <c r="U740" s="845">
        <f t="shared" si="137"/>
        <v>0</v>
      </c>
    </row>
    <row r="741" spans="1:21" s="950" customFormat="1" ht="21" customHeight="1">
      <c r="A741" s="832">
        <v>1</v>
      </c>
      <c r="B741" s="827" t="s">
        <v>31</v>
      </c>
      <c r="C741" s="832"/>
      <c r="D741" s="951"/>
      <c r="E741" s="952"/>
      <c r="F741" s="952"/>
      <c r="G741" s="952"/>
      <c r="H741" s="952"/>
      <c r="I741" s="952"/>
      <c r="J741" s="952"/>
      <c r="K741" s="952"/>
      <c r="L741" s="952"/>
      <c r="M741" s="925"/>
      <c r="N741" s="952"/>
      <c r="O741" s="952"/>
      <c r="P741" s="952"/>
      <c r="Q741" s="948"/>
      <c r="R741" s="948"/>
      <c r="S741" s="949"/>
      <c r="T741" s="845">
        <f>'[1]1,DG-capmoi'!N730</f>
        <v>0</v>
      </c>
      <c r="U741" s="845">
        <f t="shared" si="137"/>
        <v>0</v>
      </c>
    </row>
    <row r="742" spans="1:21" s="950" customFormat="1" ht="26.25" customHeight="1">
      <c r="A742" s="832" t="s">
        <v>891</v>
      </c>
      <c r="B742" s="827" t="s">
        <v>33</v>
      </c>
      <c r="C742" s="832" t="s">
        <v>281</v>
      </c>
      <c r="D742" s="901" t="s">
        <v>881</v>
      </c>
      <c r="E742" s="952" t="e">
        <f>NC_DKDD!H481</f>
        <v>#VALUE!</v>
      </c>
      <c r="F742" s="952"/>
      <c r="G742" s="952"/>
      <c r="H742" s="952"/>
      <c r="I742" s="952"/>
      <c r="J742" s="952"/>
      <c r="K742" s="952"/>
      <c r="L742" s="952"/>
      <c r="M742" s="925"/>
      <c r="N742" s="952"/>
      <c r="O742" s="952"/>
      <c r="P742" s="952">
        <f>Q742+R742</f>
        <v>1598.5</v>
      </c>
      <c r="Q742" s="856">
        <f t="shared" ref="Q742:Q748" si="150">S742*$Q$579</f>
        <v>1390</v>
      </c>
      <c r="R742" s="856">
        <f>S742*$R$579</f>
        <v>208.5</v>
      </c>
      <c r="S742" s="954">
        <f>NC_DKDD!G481</f>
        <v>0.26</v>
      </c>
      <c r="T742" s="845">
        <f>'[1]1,DG-capmoi'!N731</f>
        <v>0</v>
      </c>
      <c r="U742" s="845">
        <f t="shared" si="137"/>
        <v>0</v>
      </c>
    </row>
    <row r="743" spans="1:21" s="950" customFormat="1" ht="26.25" customHeight="1">
      <c r="A743" s="832" t="s">
        <v>899</v>
      </c>
      <c r="B743" s="827" t="s">
        <v>36</v>
      </c>
      <c r="C743" s="832" t="s">
        <v>281</v>
      </c>
      <c r="D743" s="901" t="s">
        <v>881</v>
      </c>
      <c r="E743" s="952" t="e">
        <f>NC_DKDD!H482</f>
        <v>#VALUE!</v>
      </c>
      <c r="F743" s="952"/>
      <c r="G743" s="952"/>
      <c r="H743" s="952"/>
      <c r="I743" s="952"/>
      <c r="J743" s="952"/>
      <c r="K743" s="952"/>
      <c r="L743" s="952"/>
      <c r="M743" s="925"/>
      <c r="N743" s="952"/>
      <c r="O743" s="952"/>
      <c r="P743" s="952">
        <f t="shared" ref="P743:P782" si="151">Q743+R743</f>
        <v>1168.1346153846152</v>
      </c>
      <c r="Q743" s="856">
        <f t="shared" si="150"/>
        <v>1015.7692307692307</v>
      </c>
      <c r="R743" s="856">
        <f t="shared" ref="R743:R782" si="152">S743*$R$579</f>
        <v>152.36538461538461</v>
      </c>
      <c r="S743" s="954">
        <f>NC_DKDD!G482</f>
        <v>0.19</v>
      </c>
      <c r="T743" s="845">
        <f>'[1]1,DG-capmoi'!N732</f>
        <v>0</v>
      </c>
      <c r="U743" s="845">
        <f t="shared" si="137"/>
        <v>0</v>
      </c>
    </row>
    <row r="744" spans="1:21" s="950" customFormat="1" ht="42.75">
      <c r="A744" s="832">
        <v>2</v>
      </c>
      <c r="B744" s="827" t="s">
        <v>37</v>
      </c>
      <c r="C744" s="832" t="s">
        <v>281</v>
      </c>
      <c r="D744" s="901" t="s">
        <v>881</v>
      </c>
      <c r="E744" s="952" t="e">
        <f>NC_DKDD!H483</f>
        <v>#VALUE!</v>
      </c>
      <c r="F744" s="952"/>
      <c r="G744" s="952"/>
      <c r="H744" s="952"/>
      <c r="I744" s="952"/>
      <c r="J744" s="952"/>
      <c r="K744" s="952"/>
      <c r="L744" s="952"/>
      <c r="M744" s="925"/>
      <c r="N744" s="952"/>
      <c r="O744" s="952"/>
      <c r="P744" s="952">
        <f t="shared" si="151"/>
        <v>3996.25</v>
      </c>
      <c r="Q744" s="856">
        <f t="shared" si="150"/>
        <v>3475</v>
      </c>
      <c r="R744" s="856">
        <f t="shared" si="152"/>
        <v>521.25</v>
      </c>
      <c r="S744" s="954">
        <f>NC_DKDD!G483</f>
        <v>0.65</v>
      </c>
      <c r="T744" s="845">
        <f>'[1]1,DG-capmoi'!N733</f>
        <v>0</v>
      </c>
      <c r="U744" s="845">
        <f t="shared" si="137"/>
        <v>0</v>
      </c>
    </row>
    <row r="745" spans="1:21" s="950" customFormat="1" ht="37.5" customHeight="1">
      <c r="A745" s="832">
        <v>3</v>
      </c>
      <c r="B745" s="827" t="s">
        <v>1078</v>
      </c>
      <c r="C745" s="832" t="s">
        <v>523</v>
      </c>
      <c r="D745" s="901" t="s">
        <v>881</v>
      </c>
      <c r="E745" s="952" t="e">
        <f>NC_DKDD!H484</f>
        <v>#VALUE!</v>
      </c>
      <c r="F745" s="952"/>
      <c r="G745" s="952"/>
      <c r="H745" s="952"/>
      <c r="I745" s="952"/>
      <c r="J745" s="952"/>
      <c r="K745" s="952"/>
      <c r="L745" s="952"/>
      <c r="M745" s="925"/>
      <c r="N745" s="952"/>
      <c r="O745" s="952"/>
      <c r="P745" s="952">
        <f t="shared" si="151"/>
        <v>1026.728846153846</v>
      </c>
      <c r="Q745" s="856">
        <f t="shared" si="150"/>
        <v>892.80769230769226</v>
      </c>
      <c r="R745" s="856">
        <f t="shared" si="152"/>
        <v>133.92115384615386</v>
      </c>
      <c r="S745" s="954">
        <f>NC_DKDD!G484</f>
        <v>0.16700000000000001</v>
      </c>
      <c r="T745" s="845">
        <f>'[1]1,DG-capmoi'!N734</f>
        <v>0</v>
      </c>
      <c r="U745" s="845">
        <f t="shared" si="137"/>
        <v>0</v>
      </c>
    </row>
    <row r="746" spans="1:21" s="950" customFormat="1" ht="49.5" customHeight="1">
      <c r="A746" s="832">
        <v>4</v>
      </c>
      <c r="B746" s="827" t="s">
        <v>1079</v>
      </c>
      <c r="C746" s="832"/>
      <c r="D746" s="832"/>
      <c r="E746" s="952">
        <f>NC_DKDD!H485</f>
        <v>0</v>
      </c>
      <c r="F746" s="952"/>
      <c r="G746" s="952"/>
      <c r="H746" s="952"/>
      <c r="I746" s="952"/>
      <c r="J746" s="952"/>
      <c r="K746" s="952"/>
      <c r="L746" s="952"/>
      <c r="M746" s="925"/>
      <c r="N746" s="952"/>
      <c r="O746" s="952"/>
      <c r="P746" s="952">
        <f t="shared" si="151"/>
        <v>0</v>
      </c>
      <c r="Q746" s="856">
        <f t="shared" si="150"/>
        <v>0</v>
      </c>
      <c r="R746" s="856">
        <f t="shared" si="152"/>
        <v>0</v>
      </c>
      <c r="S746" s="954">
        <f>NC_DKDD!G485</f>
        <v>0</v>
      </c>
      <c r="T746" s="845">
        <f>'[1]1,DG-capmoi'!N735</f>
        <v>0</v>
      </c>
      <c r="U746" s="845">
        <f t="shared" si="137"/>
        <v>0</v>
      </c>
    </row>
    <row r="747" spans="1:21" s="950" customFormat="1" ht="34.5" customHeight="1">
      <c r="A747" s="832" t="s">
        <v>251</v>
      </c>
      <c r="B747" s="827" t="s">
        <v>1080</v>
      </c>
      <c r="C747" s="832" t="s">
        <v>281</v>
      </c>
      <c r="D747" s="901" t="s">
        <v>881</v>
      </c>
      <c r="E747" s="952" t="e">
        <f>NC_DKDD!H486</f>
        <v>#VALUE!</v>
      </c>
      <c r="F747" s="952"/>
      <c r="G747" s="952"/>
      <c r="H747" s="952"/>
      <c r="I747" s="952"/>
      <c r="J747" s="952"/>
      <c r="K747" s="952"/>
      <c r="L747" s="952"/>
      <c r="M747" s="925"/>
      <c r="N747" s="952"/>
      <c r="O747" s="952"/>
      <c r="P747" s="952">
        <f t="shared" si="151"/>
        <v>15985</v>
      </c>
      <c r="Q747" s="856">
        <f t="shared" si="150"/>
        <v>13900</v>
      </c>
      <c r="R747" s="856">
        <f t="shared" si="152"/>
        <v>2085</v>
      </c>
      <c r="S747" s="954">
        <f>NC_DKDD!G486</f>
        <v>2.6</v>
      </c>
      <c r="T747" s="845">
        <f>'[1]1,DG-capmoi'!N736</f>
        <v>0</v>
      </c>
      <c r="U747" s="845">
        <f t="shared" si="137"/>
        <v>0</v>
      </c>
    </row>
    <row r="748" spans="1:21" s="950" customFormat="1" ht="15">
      <c r="A748" s="1133" t="s">
        <v>252</v>
      </c>
      <c r="B748" s="1130" t="s">
        <v>1081</v>
      </c>
      <c r="C748" s="1116" t="s">
        <v>281</v>
      </c>
      <c r="D748" s="832">
        <v>1</v>
      </c>
      <c r="E748" s="952" t="e">
        <f>NC_DKDD!H487</f>
        <v>#VALUE!</v>
      </c>
      <c r="F748" s="952"/>
      <c r="G748" s="952"/>
      <c r="H748" s="952"/>
      <c r="I748" s="952"/>
      <c r="J748" s="952"/>
      <c r="K748" s="952"/>
      <c r="L748" s="952"/>
      <c r="M748" s="925"/>
      <c r="N748" s="952"/>
      <c r="O748" s="952"/>
      <c r="P748" s="952">
        <f t="shared" si="151"/>
        <v>15985</v>
      </c>
      <c r="Q748" s="856">
        <f t="shared" si="150"/>
        <v>13900</v>
      </c>
      <c r="R748" s="856">
        <f>S748*$R$579</f>
        <v>2085</v>
      </c>
      <c r="S748" s="954">
        <f>NC_DKDD!G487</f>
        <v>2.6</v>
      </c>
      <c r="T748" s="845">
        <f>'[1]1,DG-capmoi'!N737</f>
        <v>0</v>
      </c>
      <c r="U748" s="845">
        <f t="shared" si="137"/>
        <v>0</v>
      </c>
    </row>
    <row r="749" spans="1:21" s="950" customFormat="1" ht="18.75" customHeight="1">
      <c r="A749" s="1134"/>
      <c r="B749" s="1131"/>
      <c r="C749" s="1116"/>
      <c r="D749" s="832">
        <v>2</v>
      </c>
      <c r="E749" s="952" t="e">
        <f>NC_DKDD!H488</f>
        <v>#VALUE!</v>
      </c>
      <c r="F749" s="952"/>
      <c r="G749" s="952"/>
      <c r="H749" s="952"/>
      <c r="I749" s="952"/>
      <c r="J749" s="952"/>
      <c r="K749" s="952"/>
      <c r="L749" s="952"/>
      <c r="M749" s="925"/>
      <c r="N749" s="952"/>
      <c r="O749" s="952"/>
      <c r="P749" s="952">
        <f t="shared" si="151"/>
        <v>17583.5</v>
      </c>
      <c r="Q749" s="856">
        <f t="shared" ref="Q749:Q782" si="153">S749*$Q$579</f>
        <v>15289.999999999998</v>
      </c>
      <c r="R749" s="856">
        <f t="shared" si="152"/>
        <v>2293.5</v>
      </c>
      <c r="S749" s="954">
        <f>NC_DKDD!G488</f>
        <v>2.86</v>
      </c>
      <c r="T749" s="845">
        <f>'[1]1,DG-capmoi'!N738</f>
        <v>0</v>
      </c>
      <c r="U749" s="845">
        <f t="shared" si="137"/>
        <v>0</v>
      </c>
    </row>
    <row r="750" spans="1:21" s="950" customFormat="1" ht="18.75" customHeight="1">
      <c r="A750" s="1134"/>
      <c r="B750" s="1131"/>
      <c r="C750" s="1116"/>
      <c r="D750" s="832">
        <v>3</v>
      </c>
      <c r="E750" s="952" t="e">
        <f>NC_DKDD!H489</f>
        <v>#VALUE!</v>
      </c>
      <c r="F750" s="952"/>
      <c r="G750" s="952"/>
      <c r="H750" s="952"/>
      <c r="I750" s="952"/>
      <c r="J750" s="952"/>
      <c r="K750" s="952"/>
      <c r="L750" s="952"/>
      <c r="M750" s="925"/>
      <c r="N750" s="952"/>
      <c r="O750" s="952"/>
      <c r="P750" s="952">
        <f t="shared" si="151"/>
        <v>19341.849999999999</v>
      </c>
      <c r="Q750" s="856">
        <f t="shared" si="153"/>
        <v>16819</v>
      </c>
      <c r="R750" s="856">
        <f t="shared" si="152"/>
        <v>2522.85</v>
      </c>
      <c r="S750" s="954">
        <f>NC_DKDD!G489</f>
        <v>3.1459999999999999</v>
      </c>
      <c r="T750" s="845">
        <f>'[1]1,DG-capmoi'!N739</f>
        <v>0</v>
      </c>
      <c r="U750" s="845">
        <f t="shared" si="137"/>
        <v>0</v>
      </c>
    </row>
    <row r="751" spans="1:21" s="950" customFormat="1" ht="18.75" customHeight="1">
      <c r="A751" s="1134"/>
      <c r="B751" s="1131"/>
      <c r="C751" s="1116"/>
      <c r="D751" s="832">
        <v>4</v>
      </c>
      <c r="E751" s="952" t="e">
        <f>NC_DKDD!H490</f>
        <v>#VALUE!</v>
      </c>
      <c r="F751" s="952"/>
      <c r="G751" s="952"/>
      <c r="H751" s="952"/>
      <c r="I751" s="952"/>
      <c r="J751" s="952"/>
      <c r="K751" s="952"/>
      <c r="L751" s="952"/>
      <c r="M751" s="925"/>
      <c r="N751" s="952"/>
      <c r="O751" s="952"/>
      <c r="P751" s="952">
        <f t="shared" si="151"/>
        <v>21272.346153846152</v>
      </c>
      <c r="Q751" s="856">
        <f t="shared" si="153"/>
        <v>18497.692307692305</v>
      </c>
      <c r="R751" s="856">
        <f t="shared" si="152"/>
        <v>2774.6538461538462</v>
      </c>
      <c r="S751" s="954">
        <f>NC_DKDD!G490</f>
        <v>3.46</v>
      </c>
      <c r="T751" s="845">
        <f>'[1]1,DG-capmoi'!N740</f>
        <v>0</v>
      </c>
      <c r="U751" s="845">
        <f t="shared" si="137"/>
        <v>0</v>
      </c>
    </row>
    <row r="752" spans="1:21" s="950" customFormat="1" ht="18.75" customHeight="1">
      <c r="A752" s="1135"/>
      <c r="B752" s="1132"/>
      <c r="C752" s="1116"/>
      <c r="D752" s="832">
        <v>5</v>
      </c>
      <c r="E752" s="952" t="e">
        <f>NC_DKDD!H491</f>
        <v>#VALUE!</v>
      </c>
      <c r="F752" s="952"/>
      <c r="G752" s="952"/>
      <c r="H752" s="952"/>
      <c r="I752" s="952"/>
      <c r="J752" s="952"/>
      <c r="K752" s="952"/>
      <c r="L752" s="952"/>
      <c r="M752" s="925"/>
      <c r="N752" s="952"/>
      <c r="O752" s="952"/>
      <c r="P752" s="952">
        <f t="shared" si="151"/>
        <v>23362.692307692305</v>
      </c>
      <c r="Q752" s="856">
        <f t="shared" si="153"/>
        <v>20315.384615384613</v>
      </c>
      <c r="R752" s="856">
        <f t="shared" si="152"/>
        <v>3047.3076923076919</v>
      </c>
      <c r="S752" s="954">
        <f>NC_DKDD!G491</f>
        <v>3.8</v>
      </c>
      <c r="T752" s="845">
        <f>'[1]1,DG-capmoi'!N741</f>
        <v>0</v>
      </c>
      <c r="U752" s="845">
        <f t="shared" si="137"/>
        <v>0</v>
      </c>
    </row>
    <row r="753" spans="1:21" s="950" customFormat="1" ht="31.5" customHeight="1">
      <c r="A753" s="832" t="s">
        <v>1082</v>
      </c>
      <c r="B753" s="827" t="s">
        <v>1083</v>
      </c>
      <c r="C753" s="832" t="s">
        <v>523</v>
      </c>
      <c r="D753" s="901" t="s">
        <v>881</v>
      </c>
      <c r="E753" s="952" t="e">
        <f>NC_DKDD!H492</f>
        <v>#VALUE!</v>
      </c>
      <c r="F753" s="952"/>
      <c r="G753" s="952"/>
      <c r="H753" s="952"/>
      <c r="I753" s="952"/>
      <c r="J753" s="952"/>
      <c r="K753" s="952"/>
      <c r="L753" s="952"/>
      <c r="M753" s="925"/>
      <c r="N753" s="952"/>
      <c r="O753" s="952"/>
      <c r="P753" s="952">
        <f t="shared" si="151"/>
        <v>18.444230769230767</v>
      </c>
      <c r="Q753" s="856">
        <f t="shared" si="153"/>
        <v>16.038461538461537</v>
      </c>
      <c r="R753" s="856">
        <f t="shared" si="152"/>
        <v>2.4057692307692307</v>
      </c>
      <c r="S753" s="954">
        <f>NC_DKDD!G492</f>
        <v>3.0000000000000001E-3</v>
      </c>
      <c r="T753" s="845">
        <f>'[1]1,DG-capmoi'!N742</f>
        <v>0</v>
      </c>
      <c r="U753" s="845">
        <f t="shared" si="137"/>
        <v>0</v>
      </c>
    </row>
    <row r="754" spans="1:21" s="950" customFormat="1" ht="31.5" customHeight="1">
      <c r="A754" s="832" t="s">
        <v>1084</v>
      </c>
      <c r="B754" s="827" t="s">
        <v>1085</v>
      </c>
      <c r="C754" s="832"/>
      <c r="D754" s="832"/>
      <c r="E754" s="952">
        <f>NC_DKDD!H493</f>
        <v>0</v>
      </c>
      <c r="F754" s="952"/>
      <c r="G754" s="952"/>
      <c r="H754" s="952"/>
      <c r="I754" s="952"/>
      <c r="J754" s="952"/>
      <c r="K754" s="952"/>
      <c r="L754" s="952"/>
      <c r="M754" s="925"/>
      <c r="N754" s="952"/>
      <c r="O754" s="952"/>
      <c r="P754" s="952">
        <f t="shared" si="151"/>
        <v>0</v>
      </c>
      <c r="Q754" s="856">
        <f t="shared" si="153"/>
        <v>0</v>
      </c>
      <c r="R754" s="856">
        <f t="shared" si="152"/>
        <v>0</v>
      </c>
      <c r="S754" s="954">
        <f>NC_DKDD!G493</f>
        <v>0</v>
      </c>
      <c r="T754" s="845">
        <f>'[1]1,DG-capmoi'!N743</f>
        <v>0</v>
      </c>
      <c r="U754" s="845">
        <f t="shared" si="137"/>
        <v>0</v>
      </c>
    </row>
    <row r="755" spans="1:21" s="950" customFormat="1" ht="29.25" customHeight="1">
      <c r="A755" s="832" t="s">
        <v>1086</v>
      </c>
      <c r="B755" s="827" t="s">
        <v>33</v>
      </c>
      <c r="C755" s="832" t="s">
        <v>281</v>
      </c>
      <c r="D755" s="901" t="s">
        <v>881</v>
      </c>
      <c r="E755" s="952" t="e">
        <f>NC_DKDD!H494</f>
        <v>#VALUE!</v>
      </c>
      <c r="F755" s="952"/>
      <c r="G755" s="952"/>
      <c r="H755" s="952"/>
      <c r="I755" s="952"/>
      <c r="J755" s="952"/>
      <c r="K755" s="952"/>
      <c r="L755" s="952"/>
      <c r="M755" s="925"/>
      <c r="N755" s="952"/>
      <c r="O755" s="952"/>
      <c r="P755" s="952">
        <f t="shared" si="151"/>
        <v>7992.5</v>
      </c>
      <c r="Q755" s="856">
        <f t="shared" si="153"/>
        <v>6950</v>
      </c>
      <c r="R755" s="856">
        <f t="shared" si="152"/>
        <v>1042.5</v>
      </c>
      <c r="S755" s="954">
        <f>NC_DKDD!G494</f>
        <v>1.3</v>
      </c>
      <c r="T755" s="845">
        <f>'[1]1,DG-capmoi'!N744</f>
        <v>0</v>
      </c>
      <c r="U755" s="845">
        <f t="shared" si="137"/>
        <v>0</v>
      </c>
    </row>
    <row r="756" spans="1:21" s="950" customFormat="1" ht="29.25" customHeight="1">
      <c r="A756" s="832" t="s">
        <v>1087</v>
      </c>
      <c r="B756" s="827" t="s">
        <v>1088</v>
      </c>
      <c r="C756" s="832" t="s">
        <v>281</v>
      </c>
      <c r="D756" s="901" t="s">
        <v>881</v>
      </c>
      <c r="E756" s="952" t="e">
        <f>NC_DKDD!H495</f>
        <v>#VALUE!</v>
      </c>
      <c r="F756" s="952"/>
      <c r="G756" s="952"/>
      <c r="H756" s="952"/>
      <c r="I756" s="952"/>
      <c r="J756" s="952"/>
      <c r="K756" s="952"/>
      <c r="L756" s="952"/>
      <c r="M756" s="925"/>
      <c r="N756" s="952"/>
      <c r="O756" s="952"/>
      <c r="P756" s="952">
        <f t="shared" si="151"/>
        <v>7992.5</v>
      </c>
      <c r="Q756" s="856">
        <f t="shared" si="153"/>
        <v>6950</v>
      </c>
      <c r="R756" s="856">
        <f t="shared" si="152"/>
        <v>1042.5</v>
      </c>
      <c r="S756" s="954">
        <f>NC_DKDD!G495</f>
        <v>1.3</v>
      </c>
      <c r="T756" s="845">
        <f>'[1]1,DG-capmoi'!N745</f>
        <v>0</v>
      </c>
      <c r="U756" s="845">
        <f t="shared" si="137"/>
        <v>0</v>
      </c>
    </row>
    <row r="757" spans="1:21" s="950" customFormat="1" ht="57">
      <c r="A757" s="832" t="s">
        <v>1089</v>
      </c>
      <c r="B757" s="827" t="s">
        <v>1090</v>
      </c>
      <c r="C757" s="832"/>
      <c r="D757" s="832"/>
      <c r="E757" s="952">
        <f>NC_DKDD!H496</f>
        <v>0</v>
      </c>
      <c r="F757" s="952"/>
      <c r="G757" s="952"/>
      <c r="H757" s="952"/>
      <c r="I757" s="952"/>
      <c r="J757" s="952"/>
      <c r="K757" s="952"/>
      <c r="L757" s="952"/>
      <c r="M757" s="925"/>
      <c r="N757" s="952"/>
      <c r="O757" s="952"/>
      <c r="P757" s="952">
        <f t="shared" si="151"/>
        <v>0</v>
      </c>
      <c r="Q757" s="856">
        <f t="shared" si="153"/>
        <v>0</v>
      </c>
      <c r="R757" s="856">
        <f t="shared" si="152"/>
        <v>0</v>
      </c>
      <c r="S757" s="954">
        <f>NC_DKDD!G496</f>
        <v>0</v>
      </c>
      <c r="T757" s="845">
        <f>'[1]1,DG-capmoi'!N746</f>
        <v>0</v>
      </c>
      <c r="U757" s="845">
        <f t="shared" si="137"/>
        <v>0</v>
      </c>
    </row>
    <row r="758" spans="1:21" s="950" customFormat="1" ht="27" customHeight="1">
      <c r="A758" s="832" t="s">
        <v>73</v>
      </c>
      <c r="B758" s="827" t="s">
        <v>770</v>
      </c>
      <c r="C758" s="832" t="s">
        <v>523</v>
      </c>
      <c r="D758" s="901" t="s">
        <v>881</v>
      </c>
      <c r="E758" s="952" t="e">
        <f>NC_DKDD!H497</f>
        <v>#VALUE!</v>
      </c>
      <c r="F758" s="952"/>
      <c r="G758" s="952"/>
      <c r="H758" s="952"/>
      <c r="I758" s="952"/>
      <c r="J758" s="952"/>
      <c r="K758" s="952"/>
      <c r="L758" s="952"/>
      <c r="M758" s="925"/>
      <c r="N758" s="952"/>
      <c r="O758" s="952"/>
      <c r="P758" s="952">
        <f t="shared" si="151"/>
        <v>614.80769230769238</v>
      </c>
      <c r="Q758" s="856">
        <f t="shared" si="153"/>
        <v>534.61538461538464</v>
      </c>
      <c r="R758" s="856">
        <f t="shared" si="152"/>
        <v>80.192307692307693</v>
      </c>
      <c r="S758" s="954">
        <f>NC_DKDD!G497</f>
        <v>0.1</v>
      </c>
      <c r="T758" s="845">
        <f>'[1]1,DG-capmoi'!N747</f>
        <v>0</v>
      </c>
      <c r="U758" s="845">
        <f t="shared" si="137"/>
        <v>0</v>
      </c>
    </row>
    <row r="759" spans="1:21" s="950" customFormat="1" ht="27" customHeight="1">
      <c r="A759" s="832" t="s">
        <v>74</v>
      </c>
      <c r="B759" s="827" t="s">
        <v>771</v>
      </c>
      <c r="C759" s="832" t="s">
        <v>523</v>
      </c>
      <c r="D759" s="901" t="s">
        <v>881</v>
      </c>
      <c r="E759" s="952" t="e">
        <f>NC_DKDD!H498</f>
        <v>#VALUE!</v>
      </c>
      <c r="F759" s="952"/>
      <c r="G759" s="952"/>
      <c r="H759" s="952"/>
      <c r="I759" s="952"/>
      <c r="J759" s="952"/>
      <c r="K759" s="952"/>
      <c r="L759" s="952"/>
      <c r="M759" s="925"/>
      <c r="N759" s="952"/>
      <c r="O759" s="952"/>
      <c r="P759" s="952">
        <f t="shared" si="151"/>
        <v>1229.6153846153848</v>
      </c>
      <c r="Q759" s="856">
        <f t="shared" si="153"/>
        <v>1069.2307692307693</v>
      </c>
      <c r="R759" s="856">
        <f t="shared" si="152"/>
        <v>160.38461538461539</v>
      </c>
      <c r="S759" s="954">
        <f>NC_DKDD!G498</f>
        <v>0.2</v>
      </c>
      <c r="T759" s="845">
        <f>'[1]1,DG-capmoi'!N748</f>
        <v>0</v>
      </c>
      <c r="U759" s="845">
        <f t="shared" si="137"/>
        <v>0</v>
      </c>
    </row>
    <row r="760" spans="1:21" s="950" customFormat="1" ht="42.75">
      <c r="A760" s="832">
        <v>5</v>
      </c>
      <c r="B760" s="827" t="s">
        <v>772</v>
      </c>
      <c r="C760" s="832"/>
      <c r="D760" s="832"/>
      <c r="E760" s="952">
        <f>NC_DKDD!H499</f>
        <v>0</v>
      </c>
      <c r="F760" s="952"/>
      <c r="G760" s="952"/>
      <c r="H760" s="952"/>
      <c r="I760" s="952"/>
      <c r="J760" s="952"/>
      <c r="K760" s="952"/>
      <c r="L760" s="952"/>
      <c r="M760" s="925"/>
      <c r="N760" s="952"/>
      <c r="O760" s="952"/>
      <c r="P760" s="952">
        <f t="shared" si="151"/>
        <v>0</v>
      </c>
      <c r="Q760" s="856">
        <f t="shared" si="153"/>
        <v>0</v>
      </c>
      <c r="R760" s="856">
        <f t="shared" si="152"/>
        <v>0</v>
      </c>
      <c r="S760" s="954">
        <f>NC_DKDD!G499</f>
        <v>0</v>
      </c>
      <c r="T760" s="845">
        <f>'[1]1,DG-capmoi'!N749</f>
        <v>0</v>
      </c>
      <c r="U760" s="845">
        <f t="shared" si="137"/>
        <v>0</v>
      </c>
    </row>
    <row r="761" spans="1:21" s="950" customFormat="1" ht="23.25" customHeight="1">
      <c r="A761" s="832" t="s">
        <v>607</v>
      </c>
      <c r="B761" s="827" t="s">
        <v>773</v>
      </c>
      <c r="C761" s="832" t="s">
        <v>281</v>
      </c>
      <c r="D761" s="901" t="s">
        <v>881</v>
      </c>
      <c r="E761" s="952" t="e">
        <f>NC_DKDD!H500</f>
        <v>#VALUE!</v>
      </c>
      <c r="F761" s="952"/>
      <c r="G761" s="952"/>
      <c r="H761" s="952"/>
      <c r="I761" s="952"/>
      <c r="J761" s="952"/>
      <c r="K761" s="952"/>
      <c r="L761" s="952"/>
      <c r="M761" s="925"/>
      <c r="N761" s="952"/>
      <c r="O761" s="952"/>
      <c r="P761" s="952">
        <f t="shared" si="151"/>
        <v>1998.125</v>
      </c>
      <c r="Q761" s="856">
        <f t="shared" si="153"/>
        <v>1737.5</v>
      </c>
      <c r="R761" s="856">
        <f t="shared" si="152"/>
        <v>260.625</v>
      </c>
      <c r="S761" s="954">
        <f>NC_DKDD!G500</f>
        <v>0.32500000000000001</v>
      </c>
      <c r="T761" s="845">
        <f>'[1]1,DG-capmoi'!N750</f>
        <v>0</v>
      </c>
      <c r="U761" s="845">
        <f t="shared" si="137"/>
        <v>0</v>
      </c>
    </row>
    <row r="762" spans="1:21" s="950" customFormat="1" ht="27.75" customHeight="1">
      <c r="A762" s="832" t="s">
        <v>608</v>
      </c>
      <c r="B762" s="827" t="s">
        <v>774</v>
      </c>
      <c r="C762" s="832" t="s">
        <v>281</v>
      </c>
      <c r="D762" s="901" t="s">
        <v>881</v>
      </c>
      <c r="E762" s="952" t="e">
        <f>NC_DKDD!H501</f>
        <v>#VALUE!</v>
      </c>
      <c r="F762" s="952"/>
      <c r="G762" s="952"/>
      <c r="H762" s="952"/>
      <c r="I762" s="952"/>
      <c r="J762" s="952"/>
      <c r="K762" s="952"/>
      <c r="L762" s="952"/>
      <c r="M762" s="925"/>
      <c r="N762" s="952"/>
      <c r="O762" s="952"/>
      <c r="P762" s="952">
        <f t="shared" si="151"/>
        <v>1598.5</v>
      </c>
      <c r="Q762" s="856">
        <f t="shared" si="153"/>
        <v>1390</v>
      </c>
      <c r="R762" s="856">
        <f t="shared" si="152"/>
        <v>208.5</v>
      </c>
      <c r="S762" s="954">
        <f>NC_DKDD!G501</f>
        <v>0.26</v>
      </c>
      <c r="T762" s="845">
        <f>'[1]1,DG-capmoi'!N751</f>
        <v>0</v>
      </c>
      <c r="U762" s="845">
        <f t="shared" si="137"/>
        <v>0</v>
      </c>
    </row>
    <row r="763" spans="1:21" s="950" customFormat="1" ht="28.5">
      <c r="A763" s="832">
        <v>6</v>
      </c>
      <c r="B763" s="827" t="s">
        <v>211</v>
      </c>
      <c r="C763" s="832" t="s">
        <v>523</v>
      </c>
      <c r="D763" s="901" t="s">
        <v>881</v>
      </c>
      <c r="E763" s="952" t="e">
        <f>NC_DKDD!H502</f>
        <v>#VALUE!</v>
      </c>
      <c r="F763" s="952"/>
      <c r="G763" s="952"/>
      <c r="H763" s="952"/>
      <c r="I763" s="952"/>
      <c r="J763" s="952"/>
      <c r="K763" s="952"/>
      <c r="L763" s="952"/>
      <c r="M763" s="925"/>
      <c r="N763" s="952"/>
      <c r="O763" s="952"/>
      <c r="P763" s="952">
        <f t="shared" si="151"/>
        <v>202.88653846153844</v>
      </c>
      <c r="Q763" s="856">
        <f t="shared" si="153"/>
        <v>176.42307692307691</v>
      </c>
      <c r="R763" s="856">
        <f t="shared" si="152"/>
        <v>26.463461538461541</v>
      </c>
      <c r="S763" s="954">
        <f>NC_DKDD!G502</f>
        <v>3.3000000000000002E-2</v>
      </c>
      <c r="T763" s="845">
        <f>'[1]1,DG-capmoi'!N752</f>
        <v>0</v>
      </c>
      <c r="U763" s="845">
        <f t="shared" si="137"/>
        <v>0</v>
      </c>
    </row>
    <row r="764" spans="1:21" s="950" customFormat="1" ht="22.5" customHeight="1">
      <c r="A764" s="832">
        <v>7</v>
      </c>
      <c r="B764" s="827" t="s">
        <v>978</v>
      </c>
      <c r="C764" s="832" t="s">
        <v>281</v>
      </c>
      <c r="D764" s="901" t="s">
        <v>881</v>
      </c>
      <c r="E764" s="952" t="e">
        <f>NC_DKDD!H503</f>
        <v>#VALUE!</v>
      </c>
      <c r="F764" s="952"/>
      <c r="G764" s="952"/>
      <c r="H764" s="952"/>
      <c r="I764" s="952"/>
      <c r="J764" s="952"/>
      <c r="K764" s="952"/>
      <c r="L764" s="952"/>
      <c r="M764" s="925"/>
      <c r="N764" s="952"/>
      <c r="O764" s="952"/>
      <c r="P764" s="952">
        <f t="shared" si="151"/>
        <v>1229.6153846153848</v>
      </c>
      <c r="Q764" s="856">
        <f t="shared" si="153"/>
        <v>1069.2307692307693</v>
      </c>
      <c r="R764" s="856">
        <f t="shared" si="152"/>
        <v>160.38461538461539</v>
      </c>
      <c r="S764" s="954">
        <f>NC_DKDD!G503</f>
        <v>0.2</v>
      </c>
      <c r="T764" s="845">
        <f>'[1]1,DG-capmoi'!N753</f>
        <v>0</v>
      </c>
      <c r="U764" s="845">
        <f t="shared" si="137"/>
        <v>0</v>
      </c>
    </row>
    <row r="765" spans="1:21" s="950" customFormat="1" ht="22.5" customHeight="1">
      <c r="A765" s="832">
        <v>8</v>
      </c>
      <c r="B765" s="827" t="s">
        <v>213</v>
      </c>
      <c r="C765" s="832"/>
      <c r="D765" s="832"/>
      <c r="E765" s="952">
        <f>NC_DKDD!H504</f>
        <v>0</v>
      </c>
      <c r="F765" s="952"/>
      <c r="G765" s="952"/>
      <c r="H765" s="952"/>
      <c r="I765" s="952"/>
      <c r="J765" s="952"/>
      <c r="K765" s="952"/>
      <c r="L765" s="952"/>
      <c r="M765" s="925"/>
      <c r="N765" s="952"/>
      <c r="O765" s="952"/>
      <c r="P765" s="952">
        <f t="shared" si="151"/>
        <v>0</v>
      </c>
      <c r="Q765" s="856">
        <f t="shared" si="153"/>
        <v>0</v>
      </c>
      <c r="R765" s="856">
        <f t="shared" si="152"/>
        <v>0</v>
      </c>
      <c r="S765" s="954">
        <f>NC_DKDD!G504</f>
        <v>0</v>
      </c>
      <c r="T765" s="845">
        <f>'[1]1,DG-capmoi'!N754</f>
        <v>0</v>
      </c>
      <c r="U765" s="845">
        <f t="shared" si="137"/>
        <v>0</v>
      </c>
    </row>
    <row r="766" spans="1:21" s="950" customFormat="1" ht="22.5" customHeight="1">
      <c r="A766" s="832" t="s">
        <v>374</v>
      </c>
      <c r="B766" s="827" t="s">
        <v>215</v>
      </c>
      <c r="C766" s="832" t="s">
        <v>320</v>
      </c>
      <c r="D766" s="901" t="s">
        <v>881</v>
      </c>
      <c r="E766" s="952" t="e">
        <f>NC_DKDD!H505</f>
        <v>#VALUE!</v>
      </c>
      <c r="F766" s="952"/>
      <c r="G766" s="952"/>
      <c r="H766" s="952"/>
      <c r="I766" s="952"/>
      <c r="J766" s="952"/>
      <c r="K766" s="952"/>
      <c r="L766" s="952"/>
      <c r="M766" s="925"/>
      <c r="N766" s="952"/>
      <c r="O766" s="952"/>
      <c r="P766" s="952">
        <f t="shared" si="151"/>
        <v>614.80769230769238</v>
      </c>
      <c r="Q766" s="856">
        <f t="shared" si="153"/>
        <v>534.61538461538464</v>
      </c>
      <c r="R766" s="856">
        <f t="shared" si="152"/>
        <v>80.192307692307693</v>
      </c>
      <c r="S766" s="954">
        <f>NC_DKDD!G505</f>
        <v>0.1</v>
      </c>
      <c r="T766" s="845">
        <f>'[1]1,DG-capmoi'!N755</f>
        <v>0</v>
      </c>
      <c r="U766" s="845">
        <f t="shared" ref="U766:U782" si="154">T766-N766</f>
        <v>0</v>
      </c>
    </row>
    <row r="767" spans="1:21" s="950" customFormat="1" ht="22.5" customHeight="1">
      <c r="A767" s="832" t="s">
        <v>375</v>
      </c>
      <c r="B767" s="827" t="s">
        <v>217</v>
      </c>
      <c r="C767" s="832" t="s">
        <v>320</v>
      </c>
      <c r="D767" s="901" t="s">
        <v>881</v>
      </c>
      <c r="E767" s="952" t="e">
        <f>NC_DKDD!H506</f>
        <v>#VALUE!</v>
      </c>
      <c r="F767" s="952"/>
      <c r="G767" s="952"/>
      <c r="H767" s="952"/>
      <c r="I767" s="952"/>
      <c r="J767" s="952"/>
      <c r="K767" s="952"/>
      <c r="L767" s="952"/>
      <c r="M767" s="925"/>
      <c r="N767" s="952"/>
      <c r="O767" s="952"/>
      <c r="P767" s="952">
        <f t="shared" si="151"/>
        <v>1229.6153846153848</v>
      </c>
      <c r="Q767" s="856">
        <f t="shared" si="153"/>
        <v>1069.2307692307693</v>
      </c>
      <c r="R767" s="856">
        <f t="shared" si="152"/>
        <v>160.38461538461539</v>
      </c>
      <c r="S767" s="954">
        <f>NC_DKDD!G506</f>
        <v>0.2</v>
      </c>
      <c r="T767" s="845">
        <f>'[1]1,DG-capmoi'!N756</f>
        <v>0</v>
      </c>
      <c r="U767" s="845">
        <f t="shared" si="154"/>
        <v>0</v>
      </c>
    </row>
    <row r="768" spans="1:21" s="950" customFormat="1" ht="32.25" customHeight="1">
      <c r="A768" s="832">
        <v>9</v>
      </c>
      <c r="B768" s="827" t="s">
        <v>218</v>
      </c>
      <c r="C768" s="832" t="s">
        <v>281</v>
      </c>
      <c r="D768" s="901" t="s">
        <v>881</v>
      </c>
      <c r="E768" s="952" t="e">
        <f>NC_DKDD!H507</f>
        <v>#VALUE!</v>
      </c>
      <c r="F768" s="952"/>
      <c r="G768" s="952"/>
      <c r="H768" s="952"/>
      <c r="I768" s="952"/>
      <c r="J768" s="952"/>
      <c r="K768" s="952"/>
      <c r="L768" s="952"/>
      <c r="M768" s="925"/>
      <c r="N768" s="952"/>
      <c r="O768" s="952"/>
      <c r="P768" s="952">
        <f t="shared" si="151"/>
        <v>3996.25</v>
      </c>
      <c r="Q768" s="856">
        <f t="shared" si="153"/>
        <v>3475</v>
      </c>
      <c r="R768" s="856">
        <f t="shared" si="152"/>
        <v>521.25</v>
      </c>
      <c r="S768" s="954">
        <f>NC_DKDD!G507</f>
        <v>0.65</v>
      </c>
      <c r="T768" s="845">
        <f>'[1]1,DG-capmoi'!N757</f>
        <v>0</v>
      </c>
      <c r="U768" s="845">
        <f t="shared" si="154"/>
        <v>0</v>
      </c>
    </row>
    <row r="769" spans="1:21" s="950" customFormat="1" ht="31.5" customHeight="1">
      <c r="A769" s="832">
        <v>10</v>
      </c>
      <c r="B769" s="827" t="s">
        <v>75</v>
      </c>
      <c r="C769" s="832" t="s">
        <v>281</v>
      </c>
      <c r="D769" s="901" t="s">
        <v>881</v>
      </c>
      <c r="E769" s="952" t="e">
        <f>NC_DKDD!H508</f>
        <v>#VALUE!</v>
      </c>
      <c r="F769" s="952"/>
      <c r="G769" s="952"/>
      <c r="H769" s="952"/>
      <c r="I769" s="952"/>
      <c r="J769" s="952"/>
      <c r="K769" s="952"/>
      <c r="L769" s="952"/>
      <c r="M769" s="925"/>
      <c r="N769" s="952"/>
      <c r="O769" s="952"/>
      <c r="P769" s="952">
        <f t="shared" si="151"/>
        <v>3756.4749999999995</v>
      </c>
      <c r="Q769" s="856">
        <f t="shared" si="153"/>
        <v>3266.4999999999995</v>
      </c>
      <c r="R769" s="856">
        <f t="shared" si="152"/>
        <v>489.97499999999997</v>
      </c>
      <c r="S769" s="954">
        <f>NC_DKDD!G508</f>
        <v>0.61099999999999999</v>
      </c>
      <c r="T769" s="845">
        <f>'[1]1,DG-capmoi'!N758</f>
        <v>0</v>
      </c>
      <c r="U769" s="845">
        <f t="shared" si="154"/>
        <v>0</v>
      </c>
    </row>
    <row r="770" spans="1:21" s="950" customFormat="1" ht="29.25" customHeight="1">
      <c r="A770" s="832">
        <v>11</v>
      </c>
      <c r="B770" s="827" t="s">
        <v>220</v>
      </c>
      <c r="C770" s="832" t="s">
        <v>523</v>
      </c>
      <c r="D770" s="901" t="s">
        <v>881</v>
      </c>
      <c r="E770" s="952" t="e">
        <f>NC_DKDD!H509</f>
        <v>#VALUE!</v>
      </c>
      <c r="F770" s="952"/>
      <c r="G770" s="952"/>
      <c r="H770" s="952"/>
      <c r="I770" s="952"/>
      <c r="J770" s="952"/>
      <c r="K770" s="952"/>
      <c r="L770" s="952"/>
      <c r="M770" s="925"/>
      <c r="N770" s="952"/>
      <c r="O770" s="952"/>
      <c r="P770" s="952">
        <f t="shared" si="151"/>
        <v>202.88653846153844</v>
      </c>
      <c r="Q770" s="856">
        <f t="shared" si="153"/>
        <v>176.42307692307691</v>
      </c>
      <c r="R770" s="856">
        <f t="shared" si="152"/>
        <v>26.463461538461541</v>
      </c>
      <c r="S770" s="954">
        <f>NC_DKDD!G509</f>
        <v>3.3000000000000002E-2</v>
      </c>
      <c r="T770" s="845">
        <f>'[1]1,DG-capmoi'!N759</f>
        <v>0</v>
      </c>
      <c r="U770" s="845">
        <f t="shared" si="154"/>
        <v>0</v>
      </c>
    </row>
    <row r="771" spans="1:21" s="950" customFormat="1" ht="29.25" customHeight="1">
      <c r="A771" s="832">
        <v>12</v>
      </c>
      <c r="B771" s="827" t="s">
        <v>221</v>
      </c>
      <c r="C771" s="832"/>
      <c r="D771" s="832"/>
      <c r="E771" s="952">
        <f>NC_DKDD!H510</f>
        <v>0</v>
      </c>
      <c r="F771" s="952"/>
      <c r="G771" s="952"/>
      <c r="H771" s="952"/>
      <c r="I771" s="952"/>
      <c r="J771" s="952"/>
      <c r="K771" s="952"/>
      <c r="L771" s="952"/>
      <c r="M771" s="925"/>
      <c r="N771" s="952"/>
      <c r="O771" s="952"/>
      <c r="P771" s="952">
        <f t="shared" si="151"/>
        <v>0</v>
      </c>
      <c r="Q771" s="856">
        <f t="shared" si="153"/>
        <v>0</v>
      </c>
      <c r="R771" s="856">
        <f t="shared" si="152"/>
        <v>0</v>
      </c>
      <c r="S771" s="954">
        <f>NC_DKDD!G510</f>
        <v>0</v>
      </c>
      <c r="T771" s="845">
        <f>'[1]1,DG-capmoi'!N760</f>
        <v>0</v>
      </c>
      <c r="U771" s="845">
        <f t="shared" si="154"/>
        <v>0</v>
      </c>
    </row>
    <row r="772" spans="1:21" s="950" customFormat="1" ht="34.5" customHeight="1">
      <c r="A772" s="832" t="s">
        <v>76</v>
      </c>
      <c r="B772" s="827" t="s">
        <v>931</v>
      </c>
      <c r="C772" s="832"/>
      <c r="D772" s="832"/>
      <c r="E772" s="952">
        <f>NC_DKDD!H511</f>
        <v>0</v>
      </c>
      <c r="F772" s="952"/>
      <c r="G772" s="952"/>
      <c r="H772" s="952"/>
      <c r="I772" s="952"/>
      <c r="J772" s="952"/>
      <c r="K772" s="952"/>
      <c r="L772" s="952"/>
      <c r="M772" s="925"/>
      <c r="N772" s="952"/>
      <c r="O772" s="952"/>
      <c r="P772" s="952">
        <f t="shared" si="151"/>
        <v>0</v>
      </c>
      <c r="Q772" s="856">
        <f t="shared" si="153"/>
        <v>0</v>
      </c>
      <c r="R772" s="856">
        <f t="shared" si="152"/>
        <v>0</v>
      </c>
      <c r="S772" s="954">
        <f>NC_DKDD!G511</f>
        <v>0</v>
      </c>
      <c r="T772" s="845">
        <f>'[1]1,DG-capmoi'!N761</f>
        <v>0</v>
      </c>
      <c r="U772" s="845">
        <f t="shared" si="154"/>
        <v>0</v>
      </c>
    </row>
    <row r="773" spans="1:21" s="950" customFormat="1" ht="26.25" customHeight="1">
      <c r="A773" s="832" t="s">
        <v>77</v>
      </c>
      <c r="B773" s="827" t="s">
        <v>933</v>
      </c>
      <c r="C773" s="832" t="s">
        <v>525</v>
      </c>
      <c r="D773" s="901" t="s">
        <v>881</v>
      </c>
      <c r="E773" s="952" t="e">
        <f>NC_DKDD!H512</f>
        <v>#VALUE!</v>
      </c>
      <c r="F773" s="952"/>
      <c r="G773" s="952"/>
      <c r="H773" s="952"/>
      <c r="I773" s="952"/>
      <c r="J773" s="952"/>
      <c r="K773" s="952"/>
      <c r="L773" s="952"/>
      <c r="M773" s="925"/>
      <c r="N773" s="952"/>
      <c r="O773" s="952"/>
      <c r="P773" s="952">
        <f t="shared" si="151"/>
        <v>122.96153846153845</v>
      </c>
      <c r="Q773" s="856">
        <f t="shared" si="153"/>
        <v>106.92307692307692</v>
      </c>
      <c r="R773" s="856">
        <f t="shared" si="152"/>
        <v>16.03846153846154</v>
      </c>
      <c r="S773" s="954">
        <f>NC_DKDD!G512</f>
        <v>0.02</v>
      </c>
      <c r="T773" s="845">
        <f>'[1]1,DG-capmoi'!N762</f>
        <v>0</v>
      </c>
      <c r="U773" s="845">
        <f t="shared" si="154"/>
        <v>0</v>
      </c>
    </row>
    <row r="774" spans="1:21" s="950" customFormat="1" ht="26.25" customHeight="1">
      <c r="A774" s="832" t="s">
        <v>78</v>
      </c>
      <c r="B774" s="827" t="s">
        <v>937</v>
      </c>
      <c r="C774" s="832" t="s">
        <v>525</v>
      </c>
      <c r="D774" s="901" t="s">
        <v>881</v>
      </c>
      <c r="E774" s="952" t="e">
        <f>NC_DKDD!H513</f>
        <v>#VALUE!</v>
      </c>
      <c r="F774" s="952"/>
      <c r="G774" s="952"/>
      <c r="H774" s="952"/>
      <c r="I774" s="952"/>
      <c r="J774" s="952"/>
      <c r="K774" s="952"/>
      <c r="L774" s="952"/>
      <c r="M774" s="925"/>
      <c r="N774" s="952"/>
      <c r="O774" s="952"/>
      <c r="P774" s="952">
        <f t="shared" si="151"/>
        <v>61.480769230769226</v>
      </c>
      <c r="Q774" s="856">
        <f t="shared" si="153"/>
        <v>53.46153846153846</v>
      </c>
      <c r="R774" s="856">
        <f t="shared" si="152"/>
        <v>8.0192307692307701</v>
      </c>
      <c r="S774" s="954">
        <f>NC_DKDD!G513</f>
        <v>0.01</v>
      </c>
      <c r="T774" s="845">
        <f>'[1]1,DG-capmoi'!N763</f>
        <v>0</v>
      </c>
      <c r="U774" s="845">
        <f t="shared" si="154"/>
        <v>0</v>
      </c>
    </row>
    <row r="775" spans="1:21" s="950" customFormat="1" ht="30.75" customHeight="1">
      <c r="A775" s="832" t="s">
        <v>79</v>
      </c>
      <c r="B775" s="827" t="s">
        <v>48</v>
      </c>
      <c r="C775" s="832" t="s">
        <v>525</v>
      </c>
      <c r="D775" s="901" t="s">
        <v>881</v>
      </c>
      <c r="E775" s="952" t="e">
        <f>NC_DKDD!H514</f>
        <v>#VALUE!</v>
      </c>
      <c r="F775" s="952"/>
      <c r="G775" s="952"/>
      <c r="H775" s="952"/>
      <c r="I775" s="952"/>
      <c r="J775" s="952"/>
      <c r="K775" s="952"/>
      <c r="L775" s="952"/>
      <c r="M775" s="925"/>
      <c r="N775" s="952"/>
      <c r="O775" s="952"/>
      <c r="P775" s="952">
        <f t="shared" si="151"/>
        <v>30.740384615384613</v>
      </c>
      <c r="Q775" s="856">
        <f t="shared" si="153"/>
        <v>26.73076923076923</v>
      </c>
      <c r="R775" s="856">
        <f t="shared" si="152"/>
        <v>4.009615384615385</v>
      </c>
      <c r="S775" s="954">
        <f>NC_DKDD!G514</f>
        <v>5.0000000000000001E-3</v>
      </c>
      <c r="T775" s="845">
        <f>'[1]1,DG-capmoi'!N764</f>
        <v>0</v>
      </c>
      <c r="U775" s="845">
        <f t="shared" si="154"/>
        <v>0</v>
      </c>
    </row>
    <row r="776" spans="1:21" s="950" customFormat="1" ht="32.25" customHeight="1">
      <c r="A776" s="832" t="s">
        <v>80</v>
      </c>
      <c r="B776" s="827" t="s">
        <v>50</v>
      </c>
      <c r="C776" s="832" t="s">
        <v>523</v>
      </c>
      <c r="D776" s="901" t="s">
        <v>881</v>
      </c>
      <c r="E776" s="952" t="e">
        <f>NC_DKDD!H515</f>
        <v>#VALUE!</v>
      </c>
      <c r="F776" s="952"/>
      <c r="G776" s="952"/>
      <c r="H776" s="952"/>
      <c r="I776" s="952"/>
      <c r="J776" s="952"/>
      <c r="K776" s="952"/>
      <c r="L776" s="952"/>
      <c r="M776" s="925"/>
      <c r="N776" s="952"/>
      <c r="O776" s="952"/>
      <c r="P776" s="952">
        <f t="shared" si="151"/>
        <v>79.924999999999983</v>
      </c>
      <c r="Q776" s="856">
        <f t="shared" si="153"/>
        <v>69.499999999999986</v>
      </c>
      <c r="R776" s="856">
        <f t="shared" si="152"/>
        <v>10.424999999999999</v>
      </c>
      <c r="S776" s="954">
        <f>NC_DKDD!G515</f>
        <v>1.2999999999999999E-2</v>
      </c>
      <c r="T776" s="845">
        <f>'[1]1,DG-capmoi'!N765</f>
        <v>0</v>
      </c>
      <c r="U776" s="845">
        <f t="shared" si="154"/>
        <v>0</v>
      </c>
    </row>
    <row r="777" spans="1:21" s="950" customFormat="1" ht="45.75" customHeight="1">
      <c r="A777" s="832">
        <v>13</v>
      </c>
      <c r="B777" s="827" t="s">
        <v>808</v>
      </c>
      <c r="C777" s="832" t="s">
        <v>281</v>
      </c>
      <c r="D777" s="901" t="s">
        <v>881</v>
      </c>
      <c r="E777" s="952" t="e">
        <f>NC_DKDD!H516</f>
        <v>#VALUE!</v>
      </c>
      <c r="F777" s="952"/>
      <c r="G777" s="952"/>
      <c r="H777" s="952"/>
      <c r="I777" s="952"/>
      <c r="J777" s="952"/>
      <c r="K777" s="952"/>
      <c r="L777" s="952"/>
      <c r="M777" s="925"/>
      <c r="N777" s="952"/>
      <c r="O777" s="952"/>
      <c r="P777" s="952">
        <f t="shared" si="151"/>
        <v>1598.5</v>
      </c>
      <c r="Q777" s="856">
        <f t="shared" si="153"/>
        <v>1390</v>
      </c>
      <c r="R777" s="856">
        <f t="shared" si="152"/>
        <v>208.5</v>
      </c>
      <c r="S777" s="954">
        <f>NC_DKDD!G516</f>
        <v>0.26</v>
      </c>
      <c r="T777" s="845">
        <f>'[1]1,DG-capmoi'!N766</f>
        <v>0</v>
      </c>
      <c r="U777" s="845">
        <f t="shared" si="154"/>
        <v>0</v>
      </c>
    </row>
    <row r="778" spans="1:21" s="950" customFormat="1" ht="28.5">
      <c r="A778" s="832">
        <v>14</v>
      </c>
      <c r="B778" s="827" t="s">
        <v>1072</v>
      </c>
      <c r="C778" s="832" t="s">
        <v>281</v>
      </c>
      <c r="D778" s="901" t="s">
        <v>881</v>
      </c>
      <c r="E778" s="952" t="e">
        <f>NC_DKDD!H517</f>
        <v>#VALUE!</v>
      </c>
      <c r="F778" s="952"/>
      <c r="G778" s="952"/>
      <c r="H778" s="952"/>
      <c r="I778" s="952"/>
      <c r="J778" s="952"/>
      <c r="K778" s="952"/>
      <c r="L778" s="952"/>
      <c r="M778" s="925"/>
      <c r="N778" s="952"/>
      <c r="O778" s="952"/>
      <c r="P778" s="952">
        <f t="shared" si="151"/>
        <v>1598.5</v>
      </c>
      <c r="Q778" s="856">
        <f t="shared" si="153"/>
        <v>1390</v>
      </c>
      <c r="R778" s="856">
        <f t="shared" si="152"/>
        <v>208.5</v>
      </c>
      <c r="S778" s="954">
        <f>NC_DKDD!G517</f>
        <v>0.26</v>
      </c>
      <c r="T778" s="845">
        <f>'[1]1,DG-capmoi'!N767</f>
        <v>0</v>
      </c>
      <c r="U778" s="845">
        <f t="shared" si="154"/>
        <v>0</v>
      </c>
    </row>
    <row r="779" spans="1:21" s="950" customFormat="1" ht="30">
      <c r="A779" s="869" t="s">
        <v>184</v>
      </c>
      <c r="B779" s="868" t="s">
        <v>87</v>
      </c>
      <c r="C779" s="832"/>
      <c r="D779" s="832"/>
      <c r="E779" s="947" t="e">
        <f>E780</f>
        <v>#VALUE!</v>
      </c>
      <c r="F779" s="947"/>
      <c r="G779" s="947"/>
      <c r="H779" s="947"/>
      <c r="I779" s="947"/>
      <c r="J779" s="947"/>
      <c r="K779" s="947"/>
      <c r="L779" s="893" t="e">
        <f>SUM(E779:K779)</f>
        <v>#VALUE!</v>
      </c>
      <c r="M779" s="893" t="e">
        <f>L779*'He so chung'!$D$17/100</f>
        <v>#VALUE!</v>
      </c>
      <c r="N779" s="893" t="e">
        <f>L779+M779</f>
        <v>#VALUE!</v>
      </c>
      <c r="O779" s="947"/>
      <c r="P779" s="947">
        <f>P780</f>
        <v>799.25</v>
      </c>
      <c r="Q779" s="856">
        <f t="shared" si="153"/>
        <v>695</v>
      </c>
      <c r="R779" s="856">
        <f t="shared" si="152"/>
        <v>104.25</v>
      </c>
      <c r="S779" s="947">
        <f>S780</f>
        <v>0.13</v>
      </c>
      <c r="T779" s="845">
        <f>'[1]1,DG-capmoi'!N768</f>
        <v>29931.912499999999</v>
      </c>
      <c r="U779" s="845" t="e">
        <f t="shared" si="154"/>
        <v>#VALUE!</v>
      </c>
    </row>
    <row r="780" spans="1:21" s="950" customFormat="1" ht="21.75" customHeight="1">
      <c r="A780" s="832">
        <v>1</v>
      </c>
      <c r="B780" s="827" t="s">
        <v>809</v>
      </c>
      <c r="C780" s="832" t="s">
        <v>281</v>
      </c>
      <c r="D780" s="901" t="s">
        <v>881</v>
      </c>
      <c r="E780" s="952" t="e">
        <f>NC_DKDD!H519</f>
        <v>#VALUE!</v>
      </c>
      <c r="F780" s="952"/>
      <c r="G780" s="952"/>
      <c r="H780" s="952"/>
      <c r="I780" s="952"/>
      <c r="J780" s="952"/>
      <c r="K780" s="952"/>
      <c r="L780" s="952"/>
      <c r="M780" s="925"/>
      <c r="N780" s="952"/>
      <c r="O780" s="952"/>
      <c r="P780" s="952">
        <f t="shared" si="151"/>
        <v>799.25</v>
      </c>
      <c r="Q780" s="856">
        <f t="shared" si="153"/>
        <v>695</v>
      </c>
      <c r="R780" s="856">
        <f t="shared" si="152"/>
        <v>104.25</v>
      </c>
      <c r="S780" s="954">
        <f>NC_DKDD!G519</f>
        <v>0.13</v>
      </c>
      <c r="T780" s="845">
        <f>'[1]1,DG-capmoi'!N769</f>
        <v>0</v>
      </c>
      <c r="U780" s="845">
        <f t="shared" si="154"/>
        <v>0</v>
      </c>
    </row>
    <row r="781" spans="1:21" s="950" customFormat="1" ht="30">
      <c r="A781" s="869" t="s">
        <v>913</v>
      </c>
      <c r="B781" s="868" t="s">
        <v>88</v>
      </c>
      <c r="C781" s="832"/>
      <c r="D781" s="832"/>
      <c r="E781" s="947" t="e">
        <f>E782</f>
        <v>#VALUE!</v>
      </c>
      <c r="F781" s="947"/>
      <c r="G781" s="947"/>
      <c r="H781" s="947">
        <f>'Dcu-DKDD'!$H$149</f>
        <v>67.276859775641014</v>
      </c>
      <c r="I781" s="947">
        <f>'VL-DKDD'!$F$154</f>
        <v>642.6</v>
      </c>
      <c r="J781" s="947"/>
      <c r="K781" s="947"/>
      <c r="L781" s="893" t="e">
        <f>SUM(E781:K781)</f>
        <v>#VALUE!</v>
      </c>
      <c r="M781" s="893" t="e">
        <f>L781*'He so chung'!$D$17/100</f>
        <v>#VALUE!</v>
      </c>
      <c r="N781" s="893" t="e">
        <f>L781+M781</f>
        <v>#VALUE!</v>
      </c>
      <c r="O781" s="947"/>
      <c r="P781" s="947">
        <f>P782</f>
        <v>319.69999999999993</v>
      </c>
      <c r="Q781" s="856">
        <f t="shared" si="153"/>
        <v>277.99999999999994</v>
      </c>
      <c r="R781" s="856">
        <f t="shared" si="152"/>
        <v>41.699999999999996</v>
      </c>
      <c r="S781" s="947">
        <f>S782</f>
        <v>5.1999999999999998E-2</v>
      </c>
      <c r="T781" s="845">
        <f>'[1]1,DG-capmoi'!N770</f>
        <v>11486.186038741986</v>
      </c>
      <c r="U781" s="845" t="e">
        <f t="shared" si="154"/>
        <v>#VALUE!</v>
      </c>
    </row>
    <row r="782" spans="1:21" s="950" customFormat="1" ht="28.5">
      <c r="A782" s="832">
        <v>1</v>
      </c>
      <c r="B782" s="827" t="s">
        <v>810</v>
      </c>
      <c r="C782" s="832" t="s">
        <v>281</v>
      </c>
      <c r="D782" s="901" t="s">
        <v>881</v>
      </c>
      <c r="E782" s="952" t="e">
        <f>NC_DKDD!H521</f>
        <v>#VALUE!</v>
      </c>
      <c r="F782" s="952"/>
      <c r="G782" s="952"/>
      <c r="H782" s="952"/>
      <c r="I782" s="952"/>
      <c r="J782" s="952"/>
      <c r="K782" s="952"/>
      <c r="L782" s="952"/>
      <c r="M782" s="925"/>
      <c r="N782" s="952"/>
      <c r="O782" s="952"/>
      <c r="P782" s="952">
        <f t="shared" si="151"/>
        <v>319.69999999999993</v>
      </c>
      <c r="Q782" s="856">
        <f t="shared" si="153"/>
        <v>277.99999999999994</v>
      </c>
      <c r="R782" s="856">
        <f t="shared" si="152"/>
        <v>41.699999999999996</v>
      </c>
      <c r="S782" s="954">
        <f>NC_DKDD!G521</f>
        <v>5.1999999999999998E-2</v>
      </c>
      <c r="T782" s="845">
        <f>'[1]1,DG-capmoi'!N771</f>
        <v>0</v>
      </c>
      <c r="U782" s="845">
        <f t="shared" si="154"/>
        <v>0</v>
      </c>
    </row>
    <row r="783" spans="1:21" ht="21" customHeight="1">
      <c r="A783" s="353"/>
      <c r="B783" s="886" t="s">
        <v>282</v>
      </c>
      <c r="C783" s="354"/>
      <c r="D783" s="353"/>
      <c r="E783" s="355"/>
      <c r="F783" s="355"/>
      <c r="G783" s="356"/>
      <c r="H783" s="355"/>
      <c r="I783" s="355"/>
      <c r="J783" s="357"/>
      <c r="K783" s="357"/>
      <c r="L783" s="357"/>
      <c r="M783" s="340"/>
      <c r="N783" s="340"/>
      <c r="O783" s="340"/>
      <c r="P783" s="935"/>
      <c r="Q783" s="332"/>
      <c r="R783" s="332"/>
      <c r="T783" s="845">
        <f>'[1]1,DG-capmoi'!N772</f>
        <v>0</v>
      </c>
    </row>
    <row r="784" spans="1:21" ht="38.450000000000003" customHeight="1">
      <c r="A784" s="358"/>
      <c r="B784" s="1118" t="s">
        <v>1061</v>
      </c>
      <c r="C784" s="1118"/>
      <c r="D784" s="1118"/>
      <c r="E784" s="1118"/>
      <c r="F784" s="1118"/>
      <c r="G784" s="1118"/>
      <c r="H784" s="1118"/>
      <c r="I784" s="1118"/>
      <c r="J784" s="1118"/>
      <c r="K784" s="1118"/>
      <c r="L784" s="1118"/>
      <c r="M784" s="1118"/>
      <c r="N784" s="1118"/>
      <c r="O784" s="1118"/>
      <c r="P784" s="1118"/>
      <c r="Q784" s="332"/>
      <c r="R784" s="332"/>
      <c r="T784" s="845">
        <f>'[1]1,DG-capmoi'!N773</f>
        <v>0</v>
      </c>
    </row>
    <row r="785" spans="1:20" ht="38.450000000000003" customHeight="1">
      <c r="A785" s="358"/>
      <c r="B785" s="1117" t="s">
        <v>902</v>
      </c>
      <c r="C785" s="1117"/>
      <c r="D785" s="1117"/>
      <c r="E785" s="1117"/>
      <c r="F785" s="1117"/>
      <c r="G785" s="1117"/>
      <c r="H785" s="1117"/>
      <c r="I785" s="1117"/>
      <c r="J785" s="1117"/>
      <c r="K785" s="1117"/>
      <c r="L785" s="1117"/>
      <c r="M785" s="1117"/>
      <c r="N785" s="1117"/>
      <c r="O785" s="1117"/>
      <c r="P785" s="1117"/>
      <c r="Q785" s="332"/>
      <c r="R785" s="332"/>
      <c r="T785" s="845">
        <f>'[1]1,DG-capmoi'!N774</f>
        <v>0</v>
      </c>
    </row>
    <row r="786" spans="1:20" ht="49.9" customHeight="1">
      <c r="A786" s="358"/>
      <c r="B786" s="1118" t="s">
        <v>546</v>
      </c>
      <c r="C786" s="1118"/>
      <c r="D786" s="1118"/>
      <c r="E786" s="1118"/>
      <c r="F786" s="1118"/>
      <c r="G786" s="1118"/>
      <c r="H786" s="1118"/>
      <c r="I786" s="1118"/>
      <c r="J786" s="1118"/>
      <c r="K786" s="1118"/>
      <c r="L786" s="1118"/>
      <c r="M786" s="1118"/>
      <c r="N786" s="1118"/>
      <c r="O786" s="1118"/>
      <c r="P786" s="1118"/>
      <c r="Q786" s="332"/>
      <c r="R786" s="332"/>
      <c r="T786" s="845">
        <f>'[1]1,DG-capmoi'!N775</f>
        <v>0</v>
      </c>
    </row>
    <row r="787" spans="1:20" ht="21.6" customHeight="1">
      <c r="A787" s="358"/>
      <c r="B787" s="821"/>
      <c r="C787" s="821"/>
      <c r="D787" s="961"/>
      <c r="E787" s="821"/>
      <c r="F787" s="821"/>
      <c r="G787" s="821"/>
      <c r="H787" s="821"/>
      <c r="I787" s="821"/>
      <c r="J787" s="821"/>
      <c r="K787" s="821"/>
      <c r="L787" s="821"/>
      <c r="M787" s="821"/>
      <c r="N787" s="821"/>
      <c r="O787" s="821"/>
      <c r="P787" s="821"/>
      <c r="Q787" s="332"/>
      <c r="R787" s="332"/>
    </row>
    <row r="788" spans="1:20" ht="49.9" customHeight="1">
      <c r="A788" s="358"/>
      <c r="B788" s="821"/>
      <c r="C788" s="821"/>
      <c r="D788" s="961"/>
      <c r="E788" s="821"/>
      <c r="F788" s="821"/>
      <c r="G788" s="821"/>
      <c r="H788" s="821"/>
      <c r="I788" s="821"/>
      <c r="J788" s="821"/>
      <c r="K788" s="821"/>
      <c r="L788" s="821"/>
      <c r="M788" s="821"/>
      <c r="N788" s="821"/>
      <c r="O788" s="821"/>
      <c r="P788" s="821"/>
      <c r="Q788" s="332"/>
      <c r="R788" s="332"/>
    </row>
  </sheetData>
  <mergeCells count="291">
    <mergeCell ref="A712:P712"/>
    <mergeCell ref="A3:P3"/>
    <mergeCell ref="A100:P100"/>
    <mergeCell ref="A202:P202"/>
    <mergeCell ref="A261:P261"/>
    <mergeCell ref="C120:C123"/>
    <mergeCell ref="A260:P260"/>
    <mergeCell ref="C236:C240"/>
    <mergeCell ref="C225:C229"/>
    <mergeCell ref="C133:C136"/>
    <mergeCell ref="P384:P385"/>
    <mergeCell ref="A442:P442"/>
    <mergeCell ref="A120:A123"/>
    <mergeCell ref="T8:T9"/>
    <mergeCell ref="U8:U9"/>
    <mergeCell ref="A341:A345"/>
    <mergeCell ref="B341:B345"/>
    <mergeCell ref="B213:B217"/>
    <mergeCell ref="A334:A338"/>
    <mergeCell ref="A326:A327"/>
    <mergeCell ref="C568:C572"/>
    <mergeCell ref="C585:C589"/>
    <mergeCell ref="C466:C470"/>
    <mergeCell ref="B438:P438"/>
    <mergeCell ref="B378:P378"/>
    <mergeCell ref="C449:C453"/>
    <mergeCell ref="E446:L446"/>
    <mergeCell ref="N384:N385"/>
    <mergeCell ref="B379:P379"/>
    <mergeCell ref="O446:O447"/>
    <mergeCell ref="A346:A350"/>
    <mergeCell ref="B346:B350"/>
    <mergeCell ref="C346:C350"/>
    <mergeCell ref="C454:C458"/>
    <mergeCell ref="A357:A361"/>
    <mergeCell ref="A381:P381"/>
    <mergeCell ref="A443:P443"/>
    <mergeCell ref="B357:B361"/>
    <mergeCell ref="B439:P439"/>
    <mergeCell ref="B440:P440"/>
    <mergeCell ref="B786:P786"/>
    <mergeCell ref="B708:P708"/>
    <mergeCell ref="A711:P711"/>
    <mergeCell ref="A715:A716"/>
    <mergeCell ref="B715:B716"/>
    <mergeCell ref="C715:C716"/>
    <mergeCell ref="D715:D716"/>
    <mergeCell ref="A735:A739"/>
    <mergeCell ref="B735:B739"/>
    <mergeCell ref="B748:B752"/>
    <mergeCell ref="A565:A566"/>
    <mergeCell ref="B784:P784"/>
    <mergeCell ref="A748:A752"/>
    <mergeCell ref="C718:C722"/>
    <mergeCell ref="C748:C752"/>
    <mergeCell ref="A718:A722"/>
    <mergeCell ref="A730:A734"/>
    <mergeCell ref="B730:B734"/>
    <mergeCell ref="C580:C584"/>
    <mergeCell ref="A568:A572"/>
    <mergeCell ref="A477:A481"/>
    <mergeCell ref="B568:B572"/>
    <mergeCell ref="A503:A504"/>
    <mergeCell ref="B499:P499"/>
    <mergeCell ref="B497:P497"/>
    <mergeCell ref="B498:P498"/>
    <mergeCell ref="B496:P496"/>
    <mergeCell ref="M565:M566"/>
    <mergeCell ref="B477:B481"/>
    <mergeCell ref="C477:C481"/>
    <mergeCell ref="E715:L715"/>
    <mergeCell ref="P715:P716"/>
    <mergeCell ref="A500:P500"/>
    <mergeCell ref="A580:A584"/>
    <mergeCell ref="B580:B584"/>
    <mergeCell ref="A597:A601"/>
    <mergeCell ref="B597:B601"/>
    <mergeCell ref="B585:B589"/>
    <mergeCell ref="C649:C653"/>
    <mergeCell ref="B649:B653"/>
    <mergeCell ref="M384:M385"/>
    <mergeCell ref="O384:O385"/>
    <mergeCell ref="B318:P318"/>
    <mergeCell ref="B319:P319"/>
    <mergeCell ref="B320:P320"/>
    <mergeCell ref="P326:P327"/>
    <mergeCell ref="A322:P322"/>
    <mergeCell ref="M326:M327"/>
    <mergeCell ref="C326:C327"/>
    <mergeCell ref="D326:D327"/>
    <mergeCell ref="B461:B465"/>
    <mergeCell ref="B466:B470"/>
    <mergeCell ref="A449:A453"/>
    <mergeCell ref="A446:A447"/>
    <mergeCell ref="P446:P447"/>
    <mergeCell ref="M446:M447"/>
    <mergeCell ref="C446:C447"/>
    <mergeCell ref="N446:N447"/>
    <mergeCell ref="B376:P376"/>
    <mergeCell ref="C334:C338"/>
    <mergeCell ref="C329:C333"/>
    <mergeCell ref="B334:B338"/>
    <mergeCell ref="A466:A470"/>
    <mergeCell ref="B449:B453"/>
    <mergeCell ref="B446:B447"/>
    <mergeCell ref="A461:A465"/>
    <mergeCell ref="B454:B458"/>
    <mergeCell ref="A454:A458"/>
    <mergeCell ref="B133:B136"/>
    <mergeCell ref="B329:B333"/>
    <mergeCell ref="B256:P256"/>
    <mergeCell ref="B200:P200"/>
    <mergeCell ref="E205:L205"/>
    <mergeCell ref="B205:B206"/>
    <mergeCell ref="O205:O206"/>
    <mergeCell ref="A323:P323"/>
    <mergeCell ref="N326:N327"/>
    <mergeCell ref="B326:B327"/>
    <mergeCell ref="B377:P377"/>
    <mergeCell ref="E326:L326"/>
    <mergeCell ref="B258:P258"/>
    <mergeCell ref="P263:P264"/>
    <mergeCell ref="N263:N264"/>
    <mergeCell ref="O263:O264"/>
    <mergeCell ref="C357:C361"/>
    <mergeCell ref="O326:O327"/>
    <mergeCell ref="C341:C345"/>
    <mergeCell ref="B317:P317"/>
    <mergeCell ref="E263:L263"/>
    <mergeCell ref="M263:M264"/>
    <mergeCell ref="C220:C224"/>
    <mergeCell ref="C213:C217"/>
    <mergeCell ref="B255:P255"/>
    <mergeCell ref="B225:B229"/>
    <mergeCell ref="B257:P257"/>
    <mergeCell ref="B199:P199"/>
    <mergeCell ref="D205:D206"/>
    <mergeCell ref="A208:A212"/>
    <mergeCell ref="M205:M206"/>
    <mergeCell ref="A236:A240"/>
    <mergeCell ref="B236:B240"/>
    <mergeCell ref="A220:A224"/>
    <mergeCell ref="A225:A229"/>
    <mergeCell ref="B220:B224"/>
    <mergeCell ref="A213:A217"/>
    <mergeCell ref="B197:P197"/>
    <mergeCell ref="B194:P194"/>
    <mergeCell ref="B196:P196"/>
    <mergeCell ref="B195:P195"/>
    <mergeCell ref="C208:C212"/>
    <mergeCell ref="B198:P198"/>
    <mergeCell ref="P205:P206"/>
    <mergeCell ref="B208:B212"/>
    <mergeCell ref="A201:P201"/>
    <mergeCell ref="A205:A206"/>
    <mergeCell ref="N205:N206"/>
    <mergeCell ref="C205:C206"/>
    <mergeCell ref="C14:C16"/>
    <mergeCell ref="A21:A23"/>
    <mergeCell ref="A111:A114"/>
    <mergeCell ref="A103:A104"/>
    <mergeCell ref="A107:A110"/>
    <mergeCell ref="C103:C104"/>
    <mergeCell ref="A99:P99"/>
    <mergeCell ref="B96:P96"/>
    <mergeCell ref="A116:A119"/>
    <mergeCell ref="B120:B123"/>
    <mergeCell ref="N103:N104"/>
    <mergeCell ref="O103:O104"/>
    <mergeCell ref="B21:B23"/>
    <mergeCell ref="C21:C23"/>
    <mergeCell ref="B94:P94"/>
    <mergeCell ref="B95:P95"/>
    <mergeCell ref="C33:C35"/>
    <mergeCell ref="E103:L103"/>
    <mergeCell ref="M103:M104"/>
    <mergeCell ref="B116:B119"/>
    <mergeCell ref="C116:C119"/>
    <mergeCell ref="D103:D104"/>
    <mergeCell ref="P103:P104"/>
    <mergeCell ref="A11:A13"/>
    <mergeCell ref="B11:B13"/>
    <mergeCell ref="C11:C13"/>
    <mergeCell ref="A18:A20"/>
    <mergeCell ref="B18:B20"/>
    <mergeCell ref="C18:C20"/>
    <mergeCell ref="B14:B16"/>
    <mergeCell ref="A14:A16"/>
    <mergeCell ref="O8:O9"/>
    <mergeCell ref="M641:M642"/>
    <mergeCell ref="N641:N642"/>
    <mergeCell ref="C461:C465"/>
    <mergeCell ref="D446:D447"/>
    <mergeCell ref="B97:P97"/>
    <mergeCell ref="C111:C114"/>
    <mergeCell ref="B33:B35"/>
    <mergeCell ref="B92:P92"/>
    <mergeCell ref="B93:P93"/>
    <mergeCell ref="A2:P2"/>
    <mergeCell ref="A5:P5"/>
    <mergeCell ref="A8:A9"/>
    <mergeCell ref="B8:B9"/>
    <mergeCell ref="C8:C9"/>
    <mergeCell ref="D8:D9"/>
    <mergeCell ref="E8:L8"/>
    <mergeCell ref="M8:M9"/>
    <mergeCell ref="N8:N9"/>
    <mergeCell ref="P8:P9"/>
    <mergeCell ref="A672:A676"/>
    <mergeCell ref="C660:C664"/>
    <mergeCell ref="A649:A653"/>
    <mergeCell ref="A660:A664"/>
    <mergeCell ref="B660:B664"/>
    <mergeCell ref="C655:C659"/>
    <mergeCell ref="C672:C676"/>
    <mergeCell ref="A655:A659"/>
    <mergeCell ref="B655:B659"/>
    <mergeCell ref="A644:A648"/>
    <mergeCell ref="C735:C739"/>
    <mergeCell ref="A723:A727"/>
    <mergeCell ref="C730:C734"/>
    <mergeCell ref="B672:B676"/>
    <mergeCell ref="B718:B722"/>
    <mergeCell ref="B723:B727"/>
    <mergeCell ref="C723:C727"/>
    <mergeCell ref="B710:P710"/>
    <mergeCell ref="B709:P709"/>
    <mergeCell ref="C644:C648"/>
    <mergeCell ref="B641:B642"/>
    <mergeCell ref="E641:L641"/>
    <mergeCell ref="C641:C642"/>
    <mergeCell ref="D641:D642"/>
    <mergeCell ref="B644:B648"/>
    <mergeCell ref="N565:N566"/>
    <mergeCell ref="B557:P557"/>
    <mergeCell ref="B565:B566"/>
    <mergeCell ref="C565:C566"/>
    <mergeCell ref="B558:P558"/>
    <mergeCell ref="D565:D566"/>
    <mergeCell ref="E565:L565"/>
    <mergeCell ref="B560:P560"/>
    <mergeCell ref="P565:P566"/>
    <mergeCell ref="P641:P642"/>
    <mergeCell ref="B634:P634"/>
    <mergeCell ref="O641:O642"/>
    <mergeCell ref="A637:P637"/>
    <mergeCell ref="A641:A642"/>
    <mergeCell ref="B633:P633"/>
    <mergeCell ref="B635:P635"/>
    <mergeCell ref="A585:A589"/>
    <mergeCell ref="A573:A577"/>
    <mergeCell ref="O503:O504"/>
    <mergeCell ref="M503:M504"/>
    <mergeCell ref="E503:L503"/>
    <mergeCell ref="A33:A35"/>
    <mergeCell ref="B111:B114"/>
    <mergeCell ref="C107:C110"/>
    <mergeCell ref="B103:B104"/>
    <mergeCell ref="B107:B110"/>
    <mergeCell ref="A133:A136"/>
    <mergeCell ref="B98:P98"/>
    <mergeCell ref="B785:P785"/>
    <mergeCell ref="B441:P441"/>
    <mergeCell ref="O715:O716"/>
    <mergeCell ref="O565:O566"/>
    <mergeCell ref="M715:M716"/>
    <mergeCell ref="B503:B504"/>
    <mergeCell ref="C503:C504"/>
    <mergeCell ref="D503:D504"/>
    <mergeCell ref="P503:P504"/>
    <mergeCell ref="N503:N504"/>
    <mergeCell ref="E384:L384"/>
    <mergeCell ref="C597:C601"/>
    <mergeCell ref="A263:A264"/>
    <mergeCell ref="B263:B264"/>
    <mergeCell ref="C263:C264"/>
    <mergeCell ref="D263:D264"/>
    <mergeCell ref="B573:B577"/>
    <mergeCell ref="C573:C577"/>
    <mergeCell ref="A561:P561"/>
    <mergeCell ref="B559:P559"/>
    <mergeCell ref="C384:C385"/>
    <mergeCell ref="N715:N716"/>
    <mergeCell ref="A329:A333"/>
    <mergeCell ref="A501:P501"/>
    <mergeCell ref="A562:P562"/>
    <mergeCell ref="A638:P638"/>
    <mergeCell ref="A380:P380"/>
    <mergeCell ref="A384:A385"/>
    <mergeCell ref="B384:B385"/>
    <mergeCell ref="D384:D385"/>
  </mergeCells>
  <phoneticPr fontId="45" type="noConversion"/>
  <printOptions horizontalCentered="1"/>
  <pageMargins left="0.46" right="0.2" top="0.34" bottom="0.36" header="0.26" footer="0.2"/>
  <pageSetup paperSize="9" scale="75" firstPageNumber="109" fitToHeight="0" orientation="landscape" useFirstPageNumber="1" r:id="rId1"/>
  <headerFooter alignWithMargins="0">
    <oddFooter>&amp;C&amp;P</oddFooter>
  </headerFooter>
  <rowBreaks count="10" manualBreakCount="10">
    <brk id="98" max="16383" man="1"/>
    <brk id="200" max="16383" man="1"/>
    <brk id="258" max="16383" man="1"/>
    <brk id="321" max="16383" man="1"/>
    <brk id="379" max="16383" man="1"/>
    <brk id="441" max="16383" man="1"/>
    <brk id="499" max="16383" man="1"/>
    <brk id="560" max="16383" man="1"/>
    <brk id="636" max="16383" man="1"/>
    <brk id="710" max="16383" man="1"/>
  </rowBreaks>
  <ignoredErrors>
    <ignoredError sqref="L18"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He so chung</vt:lpstr>
      <vt:lpstr>LUONGNGAY</vt:lpstr>
      <vt:lpstr>BanggiaTB</vt:lpstr>
      <vt:lpstr>BanggiaVL</vt:lpstr>
      <vt:lpstr>BanggiaDC</vt:lpstr>
      <vt:lpstr>TRICH DO-DT</vt:lpstr>
      <vt:lpstr>TRICH DO-NT</vt:lpstr>
      <vt:lpstr>Bang gia</vt:lpstr>
      <vt:lpstr>1,DG-capmoi</vt:lpstr>
      <vt:lpstr>2,DG-capdoi (2)</vt:lpstr>
      <vt:lpstr>2,DG-capdoi</vt:lpstr>
      <vt:lpstr>3,DG-dangkybiendong</vt:lpstr>
      <vt:lpstr>4,DG-trichlucHSDC</vt:lpstr>
      <vt:lpstr>NC_DKDD</vt:lpstr>
      <vt:lpstr>Dcu-DKDD</vt:lpstr>
      <vt:lpstr>VL-DKDD</vt:lpstr>
      <vt:lpstr>TB-DKDD</vt:lpstr>
      <vt:lpstr>NL-DKDD</vt:lpstr>
      <vt:lpstr>Sheet1</vt:lpstr>
      <vt:lpstr>'1,DG-capmoi'!Print_Titles</vt:lpstr>
      <vt:lpstr>'3,DG-dangkybiendong'!Print_Titles</vt:lpstr>
      <vt:lpstr>'4,DG-trichlucHSDC'!Print_Titles</vt:lpstr>
      <vt:lpstr>BanggiaDC!Print_Titles</vt:lpstr>
      <vt:lpstr>BanggiaVL!Print_Titles</vt:lpstr>
    </vt:vector>
  </TitlesOfParts>
  <Company>TTKT TN&amp;MT QUANG TRI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ANH TUAN</dc:creator>
  <cp:lastModifiedBy>HOAI ANH</cp:lastModifiedBy>
  <cp:lastPrinted>2018-10-10T08:01:19Z</cp:lastPrinted>
  <dcterms:created xsi:type="dcterms:W3CDTF">2006-05-07T14:00:12Z</dcterms:created>
  <dcterms:modified xsi:type="dcterms:W3CDTF">2018-11-05T02:21:43Z</dcterms:modified>
</cp:coreProperties>
</file>