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20" windowWidth="11880" windowHeight="4605" tabRatio="946" firstSheet="13" activeTab="14"/>
  </bookViews>
  <sheets>
    <sheet name="L_CBan" sheetId="26" r:id="rId1"/>
    <sheet name="Gia_Tbi" sheetId="47" r:id="rId2"/>
    <sheet name="Gia_Dcu" sheetId="46" r:id="rId3"/>
    <sheet name="Gia_VLieu" sheetId="48" r:id="rId4"/>
    <sheet name="NhanCong_QG" sheetId="82" state="hidden" r:id="rId5"/>
    <sheet name="Thiet-bi_QG" sheetId="85" state="hidden" r:id="rId6"/>
    <sheet name="Dcu_QG" sheetId="83" state="hidden" r:id="rId7"/>
    <sheet name="Vat-lieu_QG" sheetId="84" state="hidden" r:id="rId8"/>
    <sheet name="DonGia_QG" sheetId="86" state="hidden" r:id="rId9"/>
    <sheet name="TinhThu2000-2015_QG" sheetId="87" state="hidden" r:id="rId10"/>
    <sheet name="NhanCong_Xa" sheetId="58" r:id="rId11"/>
    <sheet name="Thiet-bi_Xa" sheetId="63" r:id="rId12"/>
    <sheet name="Dcu_Xa" sheetId="21" r:id="rId13"/>
    <sheet name="Vat-lieu_Xa" sheetId="62" r:id="rId14"/>
    <sheet name="DonGia_Xa" sheetId="68" r:id="rId15"/>
    <sheet name="NhanCong_Huyen" sheetId="69" r:id="rId16"/>
    <sheet name="Thiet-bi_Huyen" sheetId="76" r:id="rId17"/>
    <sheet name="Dcu_Huyen" sheetId="71" r:id="rId18"/>
    <sheet name="Vat-lieu_Huyen" sheetId="73" r:id="rId19"/>
    <sheet name="DonGia_Huyen" sheetId="78" r:id="rId20"/>
    <sheet name="NhanCong_Tinh" sheetId="70" r:id="rId21"/>
    <sheet name="Thiet-bi_Tinh" sheetId="75" r:id="rId22"/>
    <sheet name="Dcu_Tinh" sheetId="72" r:id="rId23"/>
    <sheet name="Vat-lieu_Tinh" sheetId="74" r:id="rId24"/>
    <sheet name="DonGia_Tinh" sheetId="77" r:id="rId25"/>
    <sheet name="TinhThu2000-2015_Tinh" sheetId="79" state="hidden" r:id="rId26"/>
    <sheet name="TinhThu2000-2015_Huyen" sheetId="81" state="hidden" r:id="rId27"/>
    <sheet name="Tbi" sheetId="22" state="hidden" r:id="rId28"/>
    <sheet name="VLieu" sheetId="45" state="hidden" r:id="rId29"/>
    <sheet name="DoiTuongQL" sheetId="52" state="hidden" r:id="rId30"/>
    <sheet name="Metadata" sheetId="54" state="hidden" r:id="rId31"/>
    <sheet name="ChitietNhapTin" sheetId="51" state="hidden" r:id="rId32"/>
    <sheet name="ChiTietBangBieu1" sheetId="66" state="hidden" r:id="rId33"/>
    <sheet name="TinhThu2000-2015_Xa" sheetId="64" state="hidden" r:id="rId34"/>
    <sheet name="Chitietbangbieu" sheetId="67" state="hidden" r:id="rId35"/>
    <sheet name="TinhThuVLAP" sheetId="65" state="hidden" r:id="rId36"/>
    <sheet name="DuToan1huyen" sheetId="88" state="hidden" r:id="rId37"/>
  </sheets>
  <externalReferences>
    <externalReference r:id="rId38"/>
    <externalReference r:id="rId39"/>
  </externalReferences>
  <definedNames>
    <definedName name="_1">#N/A</definedName>
    <definedName name="_1000A01">#N/A</definedName>
    <definedName name="_2">#N/A</definedName>
    <definedName name="_CON1" localSheetId="17">#REF!</definedName>
    <definedName name="_CON1" localSheetId="6">#REF!</definedName>
    <definedName name="_CON1" localSheetId="22">#REF!</definedName>
    <definedName name="_CON1" localSheetId="19">#REF!</definedName>
    <definedName name="_CON1" localSheetId="24">#REF!</definedName>
    <definedName name="_CON1" localSheetId="15">#REF!</definedName>
    <definedName name="_CON1" localSheetId="4">#REF!</definedName>
    <definedName name="_CON1" localSheetId="20">#REF!</definedName>
    <definedName name="_CON1" localSheetId="16">#REF!</definedName>
    <definedName name="_CON1" localSheetId="21">#REF!</definedName>
    <definedName name="_CON1" localSheetId="26">#REF!</definedName>
    <definedName name="_CON1" localSheetId="25">#REF!</definedName>
    <definedName name="_CON1" localSheetId="18">#REF!</definedName>
    <definedName name="_CON1" localSheetId="23">#REF!</definedName>
    <definedName name="_CON1">#REF!</definedName>
    <definedName name="_CON2" localSheetId="17">#REF!</definedName>
    <definedName name="_CON2" localSheetId="6">#REF!</definedName>
    <definedName name="_CON2" localSheetId="22">#REF!</definedName>
    <definedName name="_CON2" localSheetId="19">#REF!</definedName>
    <definedName name="_CON2" localSheetId="24">#REF!</definedName>
    <definedName name="_CON2" localSheetId="15">#REF!</definedName>
    <definedName name="_CON2" localSheetId="4">#REF!</definedName>
    <definedName name="_CON2" localSheetId="20">#REF!</definedName>
    <definedName name="_CON2" localSheetId="16">#REF!</definedName>
    <definedName name="_CON2" localSheetId="21">#REF!</definedName>
    <definedName name="_CON2" localSheetId="26">#REF!</definedName>
    <definedName name="_CON2" localSheetId="25">#REF!</definedName>
    <definedName name="_CON2" localSheetId="18">#REF!</definedName>
    <definedName name="_CON2" localSheetId="23">#REF!</definedName>
    <definedName name="_CON2">#REF!</definedName>
    <definedName name="_Fill" localSheetId="31" hidden="1">#REF!</definedName>
    <definedName name="_Fill" localSheetId="17" hidden="1">#REF!</definedName>
    <definedName name="_Fill" localSheetId="6" hidden="1">#REF!</definedName>
    <definedName name="_Fill" localSheetId="22" hidden="1">#REF!</definedName>
    <definedName name="_Fill" localSheetId="19" hidden="1">#REF!</definedName>
    <definedName name="_Fill" localSheetId="24" hidden="1">#REF!</definedName>
    <definedName name="_Fill" localSheetId="15" hidden="1">#REF!</definedName>
    <definedName name="_Fill" localSheetId="4" hidden="1">#REF!</definedName>
    <definedName name="_Fill" localSheetId="20" hidden="1">#REF!</definedName>
    <definedName name="_Fill" localSheetId="16" hidden="1">#REF!</definedName>
    <definedName name="_Fill" localSheetId="21" hidden="1">#REF!</definedName>
    <definedName name="_Fill" localSheetId="26" hidden="1">#REF!</definedName>
    <definedName name="_Fill" localSheetId="25" hidden="1">#REF!</definedName>
    <definedName name="_Fill" localSheetId="18" hidden="1">#REF!</definedName>
    <definedName name="_Fill" localSheetId="23" hidden="1">#REF!</definedName>
    <definedName name="_Fill" hidden="1">#REF!</definedName>
    <definedName name="_xlnm._FilterDatabase" localSheetId="17">#REF!</definedName>
    <definedName name="_xlnm._FilterDatabase" localSheetId="6">#REF!</definedName>
    <definedName name="_xlnm._FilterDatabase" localSheetId="22">#REF!</definedName>
    <definedName name="_xlnm._FilterDatabase" localSheetId="19">#REF!</definedName>
    <definedName name="_xlnm._FilterDatabase" localSheetId="24">#REF!</definedName>
    <definedName name="_xlnm._FilterDatabase" localSheetId="15">#REF!</definedName>
    <definedName name="_xlnm._FilterDatabase" localSheetId="4">#REF!</definedName>
    <definedName name="_xlnm._FilterDatabase" localSheetId="20">#REF!</definedName>
    <definedName name="_xlnm._FilterDatabase" localSheetId="16" hidden="1">'Thiet-bi_Huyen'!$A$3:$K$165</definedName>
    <definedName name="_xlnm._FilterDatabase" localSheetId="5" hidden="1">'Thiet-bi_QG'!$A$3:$M$121</definedName>
    <definedName name="_xlnm._FilterDatabase" localSheetId="21" hidden="1">'Thiet-bi_Tinh'!$A$3:$L$164</definedName>
    <definedName name="_xlnm._FilterDatabase" localSheetId="11" hidden="1">'Thiet-bi_Xa'!$A$3:$K$157</definedName>
    <definedName name="_xlnm._FilterDatabase" localSheetId="26">#REF!</definedName>
    <definedName name="_xlnm._FilterDatabase" localSheetId="25">#REF!</definedName>
    <definedName name="_xlnm._FilterDatabase" localSheetId="18">#REF!</definedName>
    <definedName name="_xlnm._FilterDatabase" localSheetId="23">#REF!</definedName>
    <definedName name="_xlnm._FilterDatabase">#REF!</definedName>
    <definedName name="_Key1" localSheetId="17" hidden="1">#REF!</definedName>
    <definedName name="_Key1" localSheetId="6" hidden="1">#REF!</definedName>
    <definedName name="_Key1" localSheetId="22" hidden="1">#REF!</definedName>
    <definedName name="_Key1" localSheetId="19" hidden="1">#REF!</definedName>
    <definedName name="_Key1" localSheetId="24" hidden="1">#REF!</definedName>
    <definedName name="_Key1" localSheetId="15" hidden="1">#REF!</definedName>
    <definedName name="_Key1" localSheetId="4" hidden="1">#REF!</definedName>
    <definedName name="_Key1" localSheetId="20" hidden="1">#REF!</definedName>
    <definedName name="_Key1" localSheetId="16" hidden="1">#REF!</definedName>
    <definedName name="_Key1" localSheetId="21" hidden="1">#REF!</definedName>
    <definedName name="_Key1" localSheetId="26" hidden="1">#REF!</definedName>
    <definedName name="_Key1" localSheetId="25" hidden="1">#REF!</definedName>
    <definedName name="_Key1" localSheetId="18" hidden="1">#REF!</definedName>
    <definedName name="_Key1" localSheetId="23" hidden="1">#REF!</definedName>
    <definedName name="_Key1" hidden="1">#REF!</definedName>
    <definedName name="_Key2" localSheetId="17" hidden="1">#REF!</definedName>
    <definedName name="_Key2" localSheetId="6" hidden="1">#REF!</definedName>
    <definedName name="_Key2" localSheetId="22" hidden="1">#REF!</definedName>
    <definedName name="_Key2" localSheetId="19" hidden="1">#REF!</definedName>
    <definedName name="_Key2" localSheetId="24" hidden="1">#REF!</definedName>
    <definedName name="_Key2" localSheetId="15" hidden="1">#REF!</definedName>
    <definedName name="_Key2" localSheetId="4" hidden="1">#REF!</definedName>
    <definedName name="_Key2" localSheetId="20" hidden="1">#REF!</definedName>
    <definedName name="_Key2" localSheetId="16" hidden="1">#REF!</definedName>
    <definedName name="_Key2" localSheetId="21" hidden="1">#REF!</definedName>
    <definedName name="_Key2" localSheetId="26" hidden="1">#REF!</definedName>
    <definedName name="_Key2" localSheetId="25" hidden="1">#REF!</definedName>
    <definedName name="_Key2" localSheetId="18" hidden="1">#REF!</definedName>
    <definedName name="_Key2" localSheetId="23" hidden="1">#REF!</definedName>
    <definedName name="_Key2" hidden="1">#REF!</definedName>
    <definedName name="_lap1" localSheetId="17">#REF!</definedName>
    <definedName name="_lap1" localSheetId="6">#REF!</definedName>
    <definedName name="_lap1" localSheetId="22">#REF!</definedName>
    <definedName name="_lap1" localSheetId="19">#REF!</definedName>
    <definedName name="_lap1" localSheetId="24">#REF!</definedName>
    <definedName name="_lap1" localSheetId="15">#REF!</definedName>
    <definedName name="_lap1" localSheetId="4">#REF!</definedName>
    <definedName name="_lap1" localSheetId="20">#REF!</definedName>
    <definedName name="_lap1" localSheetId="16">#REF!</definedName>
    <definedName name="_lap1" localSheetId="21">#REF!</definedName>
    <definedName name="_lap1" localSheetId="26">#REF!</definedName>
    <definedName name="_lap1" localSheetId="25">#REF!</definedName>
    <definedName name="_lap1" localSheetId="18">#REF!</definedName>
    <definedName name="_lap1" localSheetId="23">#REF!</definedName>
    <definedName name="_lap1">#REF!</definedName>
    <definedName name="_lap2" localSheetId="17">#REF!</definedName>
    <definedName name="_lap2" localSheetId="6">#REF!</definedName>
    <definedName name="_lap2" localSheetId="22">#REF!</definedName>
    <definedName name="_lap2" localSheetId="19">#REF!</definedName>
    <definedName name="_lap2" localSheetId="24">#REF!</definedName>
    <definedName name="_lap2" localSheetId="15">#REF!</definedName>
    <definedName name="_lap2" localSheetId="4">#REF!</definedName>
    <definedName name="_lap2" localSheetId="20">#REF!</definedName>
    <definedName name="_lap2" localSheetId="16">#REF!</definedName>
    <definedName name="_lap2" localSheetId="21">#REF!</definedName>
    <definedName name="_lap2" localSheetId="26">#REF!</definedName>
    <definedName name="_lap2" localSheetId="25">#REF!</definedName>
    <definedName name="_lap2" localSheetId="18">#REF!</definedName>
    <definedName name="_lap2" localSheetId="23">#REF!</definedName>
    <definedName name="_lap2">#REF!</definedName>
    <definedName name="_NET2" localSheetId="17">#REF!</definedName>
    <definedName name="_NET2" localSheetId="6">#REF!</definedName>
    <definedName name="_NET2" localSheetId="22">#REF!</definedName>
    <definedName name="_NET2" localSheetId="19">#REF!</definedName>
    <definedName name="_NET2" localSheetId="24">#REF!</definedName>
    <definedName name="_NET2" localSheetId="15">#REF!</definedName>
    <definedName name="_NET2" localSheetId="4">#REF!</definedName>
    <definedName name="_NET2" localSheetId="20">#REF!</definedName>
    <definedName name="_NET2" localSheetId="16">#REF!</definedName>
    <definedName name="_NET2" localSheetId="21">#REF!</definedName>
    <definedName name="_NET2" localSheetId="26">#REF!</definedName>
    <definedName name="_NET2" localSheetId="25">#REF!</definedName>
    <definedName name="_NET2" localSheetId="18">#REF!</definedName>
    <definedName name="_NET2" localSheetId="23">#REF!</definedName>
    <definedName name="_NET2">#REF!</definedName>
    <definedName name="_Order1" hidden="1">255</definedName>
    <definedName name="_Order2" hidden="1">255</definedName>
    <definedName name="_Sort" localSheetId="17" hidden="1">#REF!</definedName>
    <definedName name="_Sort" localSheetId="6" hidden="1">#REF!</definedName>
    <definedName name="_Sort" localSheetId="22" hidden="1">#REF!</definedName>
    <definedName name="_Sort" localSheetId="19" hidden="1">#REF!</definedName>
    <definedName name="_Sort" localSheetId="24" hidden="1">#REF!</definedName>
    <definedName name="_Sort" localSheetId="15" hidden="1">#REF!</definedName>
    <definedName name="_Sort" localSheetId="4" hidden="1">#REF!</definedName>
    <definedName name="_Sort" localSheetId="20" hidden="1">#REF!</definedName>
    <definedName name="_Sort" localSheetId="16" hidden="1">#REF!</definedName>
    <definedName name="_Sort" localSheetId="21" hidden="1">#REF!</definedName>
    <definedName name="_Sort" localSheetId="26" hidden="1">#REF!</definedName>
    <definedName name="_Sort" localSheetId="25" hidden="1">#REF!</definedName>
    <definedName name="_Sort" localSheetId="18" hidden="1">#REF!</definedName>
    <definedName name="_Sort" localSheetId="23"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7">#REF!</definedName>
    <definedName name="AA" localSheetId="6">#REF!</definedName>
    <definedName name="AA" localSheetId="22">#REF!</definedName>
    <definedName name="AA" localSheetId="19">#REF!</definedName>
    <definedName name="AA" localSheetId="24">#REF!</definedName>
    <definedName name="AA" localSheetId="15">#REF!</definedName>
    <definedName name="AA" localSheetId="4">#REF!</definedName>
    <definedName name="AA" localSheetId="20">#REF!</definedName>
    <definedName name="AA" localSheetId="16">#REF!</definedName>
    <definedName name="AA" localSheetId="21">#REF!</definedName>
    <definedName name="AA" localSheetId="26">#REF!</definedName>
    <definedName name="AA" localSheetId="25">#REF!</definedName>
    <definedName name="AA" localSheetId="18">#REF!</definedName>
    <definedName name="AA" localSheetId="23">#REF!</definedName>
    <definedName name="AA">#REF!</definedName>
    <definedName name="All_Item" localSheetId="17">#REF!</definedName>
    <definedName name="All_Item" localSheetId="6">#REF!</definedName>
    <definedName name="All_Item" localSheetId="22">#REF!</definedName>
    <definedName name="All_Item" localSheetId="19">#REF!</definedName>
    <definedName name="All_Item" localSheetId="24">#REF!</definedName>
    <definedName name="All_Item" localSheetId="15">#REF!</definedName>
    <definedName name="All_Item" localSheetId="4">#REF!</definedName>
    <definedName name="All_Item" localSheetId="20">#REF!</definedName>
    <definedName name="All_Item" localSheetId="16">#REF!</definedName>
    <definedName name="All_Item" localSheetId="21">#REF!</definedName>
    <definedName name="All_Item" localSheetId="26">#REF!</definedName>
    <definedName name="All_Item" localSheetId="25">#REF!</definedName>
    <definedName name="All_Item" localSheetId="18">#REF!</definedName>
    <definedName name="All_Item" localSheetId="23">#REF!</definedName>
    <definedName name="All_Item">#REF!</definedName>
    <definedName name="ALPIN">#N/A</definedName>
    <definedName name="ALPJYOU">#N/A</definedName>
    <definedName name="ALPTOI">#N/A</definedName>
    <definedName name="BB" localSheetId="17">#REF!</definedName>
    <definedName name="BB" localSheetId="6">#REF!</definedName>
    <definedName name="BB" localSheetId="22">#REF!</definedName>
    <definedName name="BB" localSheetId="19">#REF!</definedName>
    <definedName name="BB" localSheetId="24">#REF!</definedName>
    <definedName name="BB" localSheetId="15">#REF!</definedName>
    <definedName name="BB" localSheetId="4">#REF!</definedName>
    <definedName name="BB" localSheetId="20">#REF!</definedName>
    <definedName name="BB" localSheetId="16">#REF!</definedName>
    <definedName name="BB" localSheetId="21">#REF!</definedName>
    <definedName name="BB" localSheetId="26">#REF!</definedName>
    <definedName name="BB" localSheetId="25">#REF!</definedName>
    <definedName name="BB" localSheetId="18">#REF!</definedName>
    <definedName name="BB" localSheetId="23">#REF!</definedName>
    <definedName name="BB">#REF!</definedName>
    <definedName name="Bgiang" localSheetId="29" hidden="1">{"'Sheet1'!$L$16"}</definedName>
    <definedName name="Bgiang" localSheetId="16" hidden="1">{"'Sheet1'!$L$16"}</definedName>
    <definedName name="Bgiang" localSheetId="21" hidden="1">{"'Sheet1'!$L$16"}</definedName>
    <definedName name="Bgiang" localSheetId="11" hidden="1">{"'Sheet1'!$L$16"}</definedName>
    <definedName name="Bgiang" localSheetId="18" hidden="1">{"'Sheet1'!$L$16"}</definedName>
    <definedName name="Bgiang" localSheetId="23" hidden="1">{"'Sheet1'!$L$16"}</definedName>
    <definedName name="Bgiang" localSheetId="13" hidden="1">{"'Sheet1'!$L$16"}</definedName>
    <definedName name="Bgiang" hidden="1">{"'Sheet1'!$L$16"}</definedName>
    <definedName name="BOQ" localSheetId="17">#REF!</definedName>
    <definedName name="BOQ" localSheetId="6">#REF!</definedName>
    <definedName name="BOQ" localSheetId="22">#REF!</definedName>
    <definedName name="BOQ" localSheetId="19">#REF!</definedName>
    <definedName name="BOQ" localSheetId="24">#REF!</definedName>
    <definedName name="BOQ" localSheetId="15">#REF!</definedName>
    <definedName name="BOQ" localSheetId="4">#REF!</definedName>
    <definedName name="BOQ" localSheetId="20">#REF!</definedName>
    <definedName name="BOQ" localSheetId="16">#REF!</definedName>
    <definedName name="BOQ" localSheetId="21">#REF!</definedName>
    <definedName name="BOQ" localSheetId="26">#REF!</definedName>
    <definedName name="BOQ" localSheetId="25">#REF!</definedName>
    <definedName name="BOQ" localSheetId="18">#REF!</definedName>
    <definedName name="BOQ" localSheetId="23">#REF!</definedName>
    <definedName name="BOQ">#REF!</definedName>
    <definedName name="BVCISUMMARY" localSheetId="17">#REF!</definedName>
    <definedName name="BVCISUMMARY" localSheetId="6">#REF!</definedName>
    <definedName name="BVCISUMMARY" localSheetId="22">#REF!</definedName>
    <definedName name="BVCISUMMARY" localSheetId="19">#REF!</definedName>
    <definedName name="BVCISUMMARY" localSheetId="24">#REF!</definedName>
    <definedName name="BVCISUMMARY" localSheetId="15">#REF!</definedName>
    <definedName name="BVCISUMMARY" localSheetId="4">#REF!</definedName>
    <definedName name="BVCISUMMARY" localSheetId="20">#REF!</definedName>
    <definedName name="BVCISUMMARY" localSheetId="16">#REF!</definedName>
    <definedName name="BVCISUMMARY" localSheetId="21">#REF!</definedName>
    <definedName name="BVCISUMMARY" localSheetId="26">#REF!</definedName>
    <definedName name="BVCISUMMARY" localSheetId="25">#REF!</definedName>
    <definedName name="BVCISUMMARY" localSheetId="18">#REF!</definedName>
    <definedName name="BVCISUMMARY" localSheetId="23">#REF!</definedName>
    <definedName name="BVCISUMMARY">#REF!</definedName>
    <definedName name="cap" localSheetId="17">#REF!</definedName>
    <definedName name="cap" localSheetId="6">#REF!</definedName>
    <definedName name="cap" localSheetId="22">#REF!</definedName>
    <definedName name="cap" localSheetId="19">#REF!</definedName>
    <definedName name="cap" localSheetId="24">#REF!</definedName>
    <definedName name="cap" localSheetId="15">#REF!</definedName>
    <definedName name="cap" localSheetId="4">#REF!</definedName>
    <definedName name="cap" localSheetId="20">#REF!</definedName>
    <definedName name="cap" localSheetId="16">#REF!</definedName>
    <definedName name="cap" localSheetId="21">#REF!</definedName>
    <definedName name="cap" localSheetId="26">#REF!</definedName>
    <definedName name="cap" localSheetId="25">#REF!</definedName>
    <definedName name="cap" localSheetId="18">#REF!</definedName>
    <definedName name="cap" localSheetId="23">#REF!</definedName>
    <definedName name="cap">#REF!</definedName>
    <definedName name="cap0.7" localSheetId="17">#REF!</definedName>
    <definedName name="cap0.7" localSheetId="6">#REF!</definedName>
    <definedName name="cap0.7" localSheetId="22">#REF!</definedName>
    <definedName name="cap0.7" localSheetId="19">#REF!</definedName>
    <definedName name="cap0.7" localSheetId="24">#REF!</definedName>
    <definedName name="cap0.7" localSheetId="15">#REF!</definedName>
    <definedName name="cap0.7" localSheetId="4">#REF!</definedName>
    <definedName name="cap0.7" localSheetId="20">#REF!</definedName>
    <definedName name="cap0.7" localSheetId="16">#REF!</definedName>
    <definedName name="cap0.7" localSheetId="21">#REF!</definedName>
    <definedName name="cap0.7" localSheetId="26">#REF!</definedName>
    <definedName name="cap0.7" localSheetId="25">#REF!</definedName>
    <definedName name="cap0.7" localSheetId="18">#REF!</definedName>
    <definedName name="cap0.7" localSheetId="23">#REF!</definedName>
    <definedName name="cap0.7">#REF!</definedName>
    <definedName name="Category_All" localSheetId="17">#REF!</definedName>
    <definedName name="Category_All" localSheetId="6">#REF!</definedName>
    <definedName name="Category_All" localSheetId="22">#REF!</definedName>
    <definedName name="Category_All" localSheetId="19">#REF!</definedName>
    <definedName name="Category_All" localSheetId="24">#REF!</definedName>
    <definedName name="Category_All" localSheetId="15">#REF!</definedName>
    <definedName name="Category_All" localSheetId="4">#REF!</definedName>
    <definedName name="Category_All" localSheetId="20">#REF!</definedName>
    <definedName name="Category_All" localSheetId="16">#REF!</definedName>
    <definedName name="Category_All" localSheetId="21">#REF!</definedName>
    <definedName name="Category_All" localSheetId="26">#REF!</definedName>
    <definedName name="Category_All" localSheetId="25">#REF!</definedName>
    <definedName name="Category_All" localSheetId="18">#REF!</definedName>
    <definedName name="Category_All" localSheetId="23">#REF!</definedName>
    <definedName name="Category_All">#REF!</definedName>
    <definedName name="CATIN">#N/A</definedName>
    <definedName name="CATJYOU">#N/A</definedName>
    <definedName name="CATREC">#N/A</definedName>
    <definedName name="CATSYU">#N/A</definedName>
    <definedName name="CL" localSheetId="17">#REF!</definedName>
    <definedName name="CL" localSheetId="6">#REF!</definedName>
    <definedName name="CL" localSheetId="22">#REF!</definedName>
    <definedName name="CL" localSheetId="19">#REF!</definedName>
    <definedName name="CL" localSheetId="24">#REF!</definedName>
    <definedName name="CL" localSheetId="15">#REF!</definedName>
    <definedName name="CL" localSheetId="4">#REF!</definedName>
    <definedName name="CL" localSheetId="20">#REF!</definedName>
    <definedName name="CL" localSheetId="16">#REF!</definedName>
    <definedName name="CL" localSheetId="21">#REF!</definedName>
    <definedName name="CL" localSheetId="26">#REF!</definedName>
    <definedName name="CL" localSheetId="25">#REF!</definedName>
    <definedName name="CL" localSheetId="18">#REF!</definedName>
    <definedName name="CL" localSheetId="23">#REF!</definedName>
    <definedName name="CL">#REF!</definedName>
    <definedName name="COMMON" localSheetId="17">#REF!</definedName>
    <definedName name="COMMON" localSheetId="6">#REF!</definedName>
    <definedName name="COMMON" localSheetId="22">#REF!</definedName>
    <definedName name="COMMON" localSheetId="19">#REF!</definedName>
    <definedName name="COMMON" localSheetId="24">#REF!</definedName>
    <definedName name="COMMON" localSheetId="15">#REF!</definedName>
    <definedName name="COMMON" localSheetId="4">#REF!</definedName>
    <definedName name="COMMON" localSheetId="20">#REF!</definedName>
    <definedName name="COMMON" localSheetId="16">#REF!</definedName>
    <definedName name="COMMON" localSheetId="21">#REF!</definedName>
    <definedName name="COMMON" localSheetId="26">#REF!</definedName>
    <definedName name="COMMON" localSheetId="25">#REF!</definedName>
    <definedName name="COMMON" localSheetId="18">#REF!</definedName>
    <definedName name="COMMON" localSheetId="23">#REF!</definedName>
    <definedName name="COMMON">#REF!</definedName>
    <definedName name="CON_EQP_COS" localSheetId="17">#REF!</definedName>
    <definedName name="CON_EQP_COS" localSheetId="6">#REF!</definedName>
    <definedName name="CON_EQP_COS" localSheetId="22">#REF!</definedName>
    <definedName name="CON_EQP_COS" localSheetId="19">#REF!</definedName>
    <definedName name="CON_EQP_COS" localSheetId="24">#REF!</definedName>
    <definedName name="CON_EQP_COS" localSheetId="15">#REF!</definedName>
    <definedName name="CON_EQP_COS" localSheetId="4">#REF!</definedName>
    <definedName name="CON_EQP_COS" localSheetId="20">#REF!</definedName>
    <definedName name="CON_EQP_COS" localSheetId="16">#REF!</definedName>
    <definedName name="CON_EQP_COS" localSheetId="21">#REF!</definedName>
    <definedName name="CON_EQP_COS" localSheetId="26">#REF!</definedName>
    <definedName name="CON_EQP_COS" localSheetId="25">#REF!</definedName>
    <definedName name="CON_EQP_COS" localSheetId="18">#REF!</definedName>
    <definedName name="CON_EQP_COS" localSheetId="23">#REF!</definedName>
    <definedName name="CON_EQP_COS">#REF!</definedName>
    <definedName name="CON_EQP_COST" localSheetId="17">#REF!</definedName>
    <definedName name="CON_EQP_COST" localSheetId="6">#REF!</definedName>
    <definedName name="CON_EQP_COST" localSheetId="22">#REF!</definedName>
    <definedName name="CON_EQP_COST" localSheetId="19">#REF!</definedName>
    <definedName name="CON_EQP_COST" localSheetId="24">#REF!</definedName>
    <definedName name="CON_EQP_COST" localSheetId="15">#REF!</definedName>
    <definedName name="CON_EQP_COST" localSheetId="4">#REF!</definedName>
    <definedName name="CON_EQP_COST" localSheetId="20">#REF!</definedName>
    <definedName name="CON_EQP_COST" localSheetId="16">#REF!</definedName>
    <definedName name="CON_EQP_COST" localSheetId="21">#REF!</definedName>
    <definedName name="CON_EQP_COST" localSheetId="26">#REF!</definedName>
    <definedName name="CON_EQP_COST" localSheetId="25">#REF!</definedName>
    <definedName name="CON_EQP_COST" localSheetId="18">#REF!</definedName>
    <definedName name="CON_EQP_COST" localSheetId="23">#REF!</definedName>
    <definedName name="CON_EQP_COST">#REF!</definedName>
    <definedName name="CONST_EQ" localSheetId="17">#REF!</definedName>
    <definedName name="CONST_EQ" localSheetId="6">#REF!</definedName>
    <definedName name="CONST_EQ" localSheetId="22">#REF!</definedName>
    <definedName name="CONST_EQ" localSheetId="19">#REF!</definedName>
    <definedName name="CONST_EQ" localSheetId="24">#REF!</definedName>
    <definedName name="CONST_EQ" localSheetId="15">#REF!</definedName>
    <definedName name="CONST_EQ" localSheetId="4">#REF!</definedName>
    <definedName name="CONST_EQ" localSheetId="20">#REF!</definedName>
    <definedName name="CONST_EQ" localSheetId="16">#REF!</definedName>
    <definedName name="CONST_EQ" localSheetId="21">#REF!</definedName>
    <definedName name="CONST_EQ" localSheetId="26">#REF!</definedName>
    <definedName name="CONST_EQ" localSheetId="25">#REF!</definedName>
    <definedName name="CONST_EQ" localSheetId="18">#REF!</definedName>
    <definedName name="CONST_EQ" localSheetId="23">#REF!</definedName>
    <definedName name="CONST_EQ">#REF!</definedName>
    <definedName name="COVER" localSheetId="17">#REF!</definedName>
    <definedName name="COVER" localSheetId="6">#REF!</definedName>
    <definedName name="COVER" localSheetId="22">#REF!</definedName>
    <definedName name="COVER" localSheetId="19">#REF!</definedName>
    <definedName name="COVER" localSheetId="24">#REF!</definedName>
    <definedName name="COVER" localSheetId="15">#REF!</definedName>
    <definedName name="COVER" localSheetId="4">#REF!</definedName>
    <definedName name="COVER" localSheetId="20">#REF!</definedName>
    <definedName name="COVER" localSheetId="16">#REF!</definedName>
    <definedName name="COVER" localSheetId="21">#REF!</definedName>
    <definedName name="COVER" localSheetId="26">#REF!</definedName>
    <definedName name="COVER" localSheetId="25">#REF!</definedName>
    <definedName name="COVER" localSheetId="18">#REF!</definedName>
    <definedName name="COVER" localSheetId="23">#REF!</definedName>
    <definedName name="COVER">#REF!</definedName>
    <definedName name="CRITINST" localSheetId="17">#REF!</definedName>
    <definedName name="CRITINST" localSheetId="6">#REF!</definedName>
    <definedName name="CRITINST" localSheetId="22">#REF!</definedName>
    <definedName name="CRITINST" localSheetId="19">#REF!</definedName>
    <definedName name="CRITINST" localSheetId="24">#REF!</definedName>
    <definedName name="CRITINST" localSheetId="15">#REF!</definedName>
    <definedName name="CRITINST" localSheetId="4">#REF!</definedName>
    <definedName name="CRITINST" localSheetId="20">#REF!</definedName>
    <definedName name="CRITINST" localSheetId="16">#REF!</definedName>
    <definedName name="CRITINST" localSheetId="21">#REF!</definedName>
    <definedName name="CRITINST" localSheetId="26">#REF!</definedName>
    <definedName name="CRITINST" localSheetId="25">#REF!</definedName>
    <definedName name="CRITINST" localSheetId="18">#REF!</definedName>
    <definedName name="CRITINST" localSheetId="23">#REF!</definedName>
    <definedName name="CRITINST">#REF!</definedName>
    <definedName name="CRITPURC" localSheetId="17">#REF!</definedName>
    <definedName name="CRITPURC" localSheetId="6">#REF!</definedName>
    <definedName name="CRITPURC" localSheetId="22">#REF!</definedName>
    <definedName name="CRITPURC" localSheetId="19">#REF!</definedName>
    <definedName name="CRITPURC" localSheetId="24">#REF!</definedName>
    <definedName name="CRITPURC" localSheetId="15">#REF!</definedName>
    <definedName name="CRITPURC" localSheetId="4">#REF!</definedName>
    <definedName name="CRITPURC" localSheetId="20">#REF!</definedName>
    <definedName name="CRITPURC" localSheetId="16">#REF!</definedName>
    <definedName name="CRITPURC" localSheetId="21">#REF!</definedName>
    <definedName name="CRITPURC" localSheetId="26">#REF!</definedName>
    <definedName name="CRITPURC" localSheetId="25">#REF!</definedName>
    <definedName name="CRITPURC" localSheetId="18">#REF!</definedName>
    <definedName name="CRITPURC" localSheetId="23">#REF!</definedName>
    <definedName name="CRITPURC">#REF!</definedName>
    <definedName name="CS_10" localSheetId="17">#REF!</definedName>
    <definedName name="CS_10" localSheetId="6">#REF!</definedName>
    <definedName name="CS_10" localSheetId="22">#REF!</definedName>
    <definedName name="CS_10" localSheetId="19">#REF!</definedName>
    <definedName name="CS_10" localSheetId="24">#REF!</definedName>
    <definedName name="CS_10" localSheetId="15">#REF!</definedName>
    <definedName name="CS_10" localSheetId="4">#REF!</definedName>
    <definedName name="CS_10" localSheetId="20">#REF!</definedName>
    <definedName name="CS_10" localSheetId="16">#REF!</definedName>
    <definedName name="CS_10" localSheetId="21">#REF!</definedName>
    <definedName name="CS_10" localSheetId="26">#REF!</definedName>
    <definedName name="CS_10" localSheetId="25">#REF!</definedName>
    <definedName name="CS_10" localSheetId="18">#REF!</definedName>
    <definedName name="CS_10" localSheetId="23">#REF!</definedName>
    <definedName name="CS_10">#REF!</definedName>
    <definedName name="CS_100" localSheetId="17">#REF!</definedName>
    <definedName name="CS_100" localSheetId="6">#REF!</definedName>
    <definedName name="CS_100" localSheetId="22">#REF!</definedName>
    <definedName name="CS_100" localSheetId="19">#REF!</definedName>
    <definedName name="CS_100" localSheetId="24">#REF!</definedName>
    <definedName name="CS_100" localSheetId="15">#REF!</definedName>
    <definedName name="CS_100" localSheetId="4">#REF!</definedName>
    <definedName name="CS_100" localSheetId="20">#REF!</definedName>
    <definedName name="CS_100" localSheetId="16">#REF!</definedName>
    <definedName name="CS_100" localSheetId="21">#REF!</definedName>
    <definedName name="CS_100" localSheetId="26">#REF!</definedName>
    <definedName name="CS_100" localSheetId="25">#REF!</definedName>
    <definedName name="CS_100" localSheetId="18">#REF!</definedName>
    <definedName name="CS_100" localSheetId="23">#REF!</definedName>
    <definedName name="CS_100">#REF!</definedName>
    <definedName name="CS_10S" localSheetId="17">#REF!</definedName>
    <definedName name="CS_10S" localSheetId="6">#REF!</definedName>
    <definedName name="CS_10S" localSheetId="22">#REF!</definedName>
    <definedName name="CS_10S" localSheetId="19">#REF!</definedName>
    <definedName name="CS_10S" localSheetId="24">#REF!</definedName>
    <definedName name="CS_10S" localSheetId="15">#REF!</definedName>
    <definedName name="CS_10S" localSheetId="4">#REF!</definedName>
    <definedName name="CS_10S" localSheetId="20">#REF!</definedName>
    <definedName name="CS_10S" localSheetId="16">#REF!</definedName>
    <definedName name="CS_10S" localSheetId="21">#REF!</definedName>
    <definedName name="CS_10S" localSheetId="26">#REF!</definedName>
    <definedName name="CS_10S" localSheetId="25">#REF!</definedName>
    <definedName name="CS_10S" localSheetId="18">#REF!</definedName>
    <definedName name="CS_10S" localSheetId="23">#REF!</definedName>
    <definedName name="CS_10S">#REF!</definedName>
    <definedName name="CS_120" localSheetId="17">#REF!</definedName>
    <definedName name="CS_120" localSheetId="6">#REF!</definedName>
    <definedName name="CS_120" localSheetId="22">#REF!</definedName>
    <definedName name="CS_120" localSheetId="19">#REF!</definedName>
    <definedName name="CS_120" localSheetId="24">#REF!</definedName>
    <definedName name="CS_120" localSheetId="15">#REF!</definedName>
    <definedName name="CS_120" localSheetId="4">#REF!</definedName>
    <definedName name="CS_120" localSheetId="20">#REF!</definedName>
    <definedName name="CS_120" localSheetId="16">#REF!</definedName>
    <definedName name="CS_120" localSheetId="21">#REF!</definedName>
    <definedName name="CS_120" localSheetId="26">#REF!</definedName>
    <definedName name="CS_120" localSheetId="25">#REF!</definedName>
    <definedName name="CS_120" localSheetId="18">#REF!</definedName>
    <definedName name="CS_120" localSheetId="23">#REF!</definedName>
    <definedName name="CS_120">#REF!</definedName>
    <definedName name="CS_140" localSheetId="17">#REF!</definedName>
    <definedName name="CS_140" localSheetId="6">#REF!</definedName>
    <definedName name="CS_140" localSheetId="22">#REF!</definedName>
    <definedName name="CS_140" localSheetId="19">#REF!</definedName>
    <definedName name="CS_140" localSheetId="24">#REF!</definedName>
    <definedName name="CS_140" localSheetId="15">#REF!</definedName>
    <definedName name="CS_140" localSheetId="4">#REF!</definedName>
    <definedName name="CS_140" localSheetId="20">#REF!</definedName>
    <definedName name="CS_140" localSheetId="16">#REF!</definedName>
    <definedName name="CS_140" localSheetId="21">#REF!</definedName>
    <definedName name="CS_140" localSheetId="26">#REF!</definedName>
    <definedName name="CS_140" localSheetId="25">#REF!</definedName>
    <definedName name="CS_140" localSheetId="18">#REF!</definedName>
    <definedName name="CS_140" localSheetId="23">#REF!</definedName>
    <definedName name="CS_140">#REF!</definedName>
    <definedName name="CS_160" localSheetId="17">#REF!</definedName>
    <definedName name="CS_160" localSheetId="6">#REF!</definedName>
    <definedName name="CS_160" localSheetId="22">#REF!</definedName>
    <definedName name="CS_160" localSheetId="19">#REF!</definedName>
    <definedName name="CS_160" localSheetId="24">#REF!</definedName>
    <definedName name="CS_160" localSheetId="15">#REF!</definedName>
    <definedName name="CS_160" localSheetId="4">#REF!</definedName>
    <definedName name="CS_160" localSheetId="20">#REF!</definedName>
    <definedName name="CS_160" localSheetId="16">#REF!</definedName>
    <definedName name="CS_160" localSheetId="21">#REF!</definedName>
    <definedName name="CS_160" localSheetId="26">#REF!</definedName>
    <definedName name="CS_160" localSheetId="25">#REF!</definedName>
    <definedName name="CS_160" localSheetId="18">#REF!</definedName>
    <definedName name="CS_160" localSheetId="23">#REF!</definedName>
    <definedName name="CS_160">#REF!</definedName>
    <definedName name="CS_20" localSheetId="17">#REF!</definedName>
    <definedName name="CS_20" localSheetId="6">#REF!</definedName>
    <definedName name="CS_20" localSheetId="22">#REF!</definedName>
    <definedName name="CS_20" localSheetId="19">#REF!</definedName>
    <definedName name="CS_20" localSheetId="24">#REF!</definedName>
    <definedName name="CS_20" localSheetId="15">#REF!</definedName>
    <definedName name="CS_20" localSheetId="4">#REF!</definedName>
    <definedName name="CS_20" localSheetId="20">#REF!</definedName>
    <definedName name="CS_20" localSheetId="16">#REF!</definedName>
    <definedName name="CS_20" localSheetId="21">#REF!</definedName>
    <definedName name="CS_20" localSheetId="26">#REF!</definedName>
    <definedName name="CS_20" localSheetId="25">#REF!</definedName>
    <definedName name="CS_20" localSheetId="18">#REF!</definedName>
    <definedName name="CS_20" localSheetId="23">#REF!</definedName>
    <definedName name="CS_20">#REF!</definedName>
    <definedName name="CS_30" localSheetId="17">#REF!</definedName>
    <definedName name="CS_30" localSheetId="6">#REF!</definedName>
    <definedName name="CS_30" localSheetId="22">#REF!</definedName>
    <definedName name="CS_30" localSheetId="19">#REF!</definedName>
    <definedName name="CS_30" localSheetId="24">#REF!</definedName>
    <definedName name="CS_30" localSheetId="15">#REF!</definedName>
    <definedName name="CS_30" localSheetId="4">#REF!</definedName>
    <definedName name="CS_30" localSheetId="20">#REF!</definedName>
    <definedName name="CS_30" localSheetId="16">#REF!</definedName>
    <definedName name="CS_30" localSheetId="21">#REF!</definedName>
    <definedName name="CS_30" localSheetId="26">#REF!</definedName>
    <definedName name="CS_30" localSheetId="25">#REF!</definedName>
    <definedName name="CS_30" localSheetId="18">#REF!</definedName>
    <definedName name="CS_30" localSheetId="23">#REF!</definedName>
    <definedName name="CS_30">#REF!</definedName>
    <definedName name="CS_40" localSheetId="17">#REF!</definedName>
    <definedName name="CS_40" localSheetId="6">#REF!</definedName>
    <definedName name="CS_40" localSheetId="22">#REF!</definedName>
    <definedName name="CS_40" localSheetId="19">#REF!</definedName>
    <definedName name="CS_40" localSheetId="24">#REF!</definedName>
    <definedName name="CS_40" localSheetId="15">#REF!</definedName>
    <definedName name="CS_40" localSheetId="4">#REF!</definedName>
    <definedName name="CS_40" localSheetId="20">#REF!</definedName>
    <definedName name="CS_40" localSheetId="16">#REF!</definedName>
    <definedName name="CS_40" localSheetId="21">#REF!</definedName>
    <definedName name="CS_40" localSheetId="26">#REF!</definedName>
    <definedName name="CS_40" localSheetId="25">#REF!</definedName>
    <definedName name="CS_40" localSheetId="18">#REF!</definedName>
    <definedName name="CS_40" localSheetId="23">#REF!</definedName>
    <definedName name="CS_40">#REF!</definedName>
    <definedName name="CS_40S" localSheetId="17">#REF!</definedName>
    <definedName name="CS_40S" localSheetId="6">#REF!</definedName>
    <definedName name="CS_40S" localSheetId="22">#REF!</definedName>
    <definedName name="CS_40S" localSheetId="19">#REF!</definedName>
    <definedName name="CS_40S" localSheetId="24">#REF!</definedName>
    <definedName name="CS_40S" localSheetId="15">#REF!</definedName>
    <definedName name="CS_40S" localSheetId="4">#REF!</definedName>
    <definedName name="CS_40S" localSheetId="20">#REF!</definedName>
    <definedName name="CS_40S" localSheetId="16">#REF!</definedName>
    <definedName name="CS_40S" localSheetId="21">#REF!</definedName>
    <definedName name="CS_40S" localSheetId="26">#REF!</definedName>
    <definedName name="CS_40S" localSheetId="25">#REF!</definedName>
    <definedName name="CS_40S" localSheetId="18">#REF!</definedName>
    <definedName name="CS_40S" localSheetId="23">#REF!</definedName>
    <definedName name="CS_40S">#REF!</definedName>
    <definedName name="CS_5S" localSheetId="17">#REF!</definedName>
    <definedName name="CS_5S" localSheetId="6">#REF!</definedName>
    <definedName name="CS_5S" localSheetId="22">#REF!</definedName>
    <definedName name="CS_5S" localSheetId="19">#REF!</definedName>
    <definedName name="CS_5S" localSheetId="24">#REF!</definedName>
    <definedName name="CS_5S" localSheetId="15">#REF!</definedName>
    <definedName name="CS_5S" localSheetId="4">#REF!</definedName>
    <definedName name="CS_5S" localSheetId="20">#REF!</definedName>
    <definedName name="CS_5S" localSheetId="16">#REF!</definedName>
    <definedName name="CS_5S" localSheetId="21">#REF!</definedName>
    <definedName name="CS_5S" localSheetId="26">#REF!</definedName>
    <definedName name="CS_5S" localSheetId="25">#REF!</definedName>
    <definedName name="CS_5S" localSheetId="18">#REF!</definedName>
    <definedName name="CS_5S" localSheetId="23">#REF!</definedName>
    <definedName name="CS_5S">#REF!</definedName>
    <definedName name="CS_60" localSheetId="17">#REF!</definedName>
    <definedName name="CS_60" localSheetId="6">#REF!</definedName>
    <definedName name="CS_60" localSheetId="22">#REF!</definedName>
    <definedName name="CS_60" localSheetId="19">#REF!</definedName>
    <definedName name="CS_60" localSheetId="24">#REF!</definedName>
    <definedName name="CS_60" localSheetId="15">#REF!</definedName>
    <definedName name="CS_60" localSheetId="4">#REF!</definedName>
    <definedName name="CS_60" localSheetId="20">#REF!</definedName>
    <definedName name="CS_60" localSheetId="16">#REF!</definedName>
    <definedName name="CS_60" localSheetId="21">#REF!</definedName>
    <definedName name="CS_60" localSheetId="26">#REF!</definedName>
    <definedName name="CS_60" localSheetId="25">#REF!</definedName>
    <definedName name="CS_60" localSheetId="18">#REF!</definedName>
    <definedName name="CS_60" localSheetId="23">#REF!</definedName>
    <definedName name="CS_60">#REF!</definedName>
    <definedName name="CS_80" localSheetId="17">#REF!</definedName>
    <definedName name="CS_80" localSheetId="6">#REF!</definedName>
    <definedName name="CS_80" localSheetId="22">#REF!</definedName>
    <definedName name="CS_80" localSheetId="19">#REF!</definedName>
    <definedName name="CS_80" localSheetId="24">#REF!</definedName>
    <definedName name="CS_80" localSheetId="15">#REF!</definedName>
    <definedName name="CS_80" localSheetId="4">#REF!</definedName>
    <definedName name="CS_80" localSheetId="20">#REF!</definedName>
    <definedName name="CS_80" localSheetId="16">#REF!</definedName>
    <definedName name="CS_80" localSheetId="21">#REF!</definedName>
    <definedName name="CS_80" localSheetId="26">#REF!</definedName>
    <definedName name="CS_80" localSheetId="25">#REF!</definedName>
    <definedName name="CS_80" localSheetId="18">#REF!</definedName>
    <definedName name="CS_80" localSheetId="23">#REF!</definedName>
    <definedName name="CS_80">#REF!</definedName>
    <definedName name="CS_80S" localSheetId="17">#REF!</definedName>
    <definedName name="CS_80S" localSheetId="6">#REF!</definedName>
    <definedName name="CS_80S" localSheetId="22">#REF!</definedName>
    <definedName name="CS_80S" localSheetId="19">#REF!</definedName>
    <definedName name="CS_80S" localSheetId="24">#REF!</definedName>
    <definedName name="CS_80S" localSheetId="15">#REF!</definedName>
    <definedName name="CS_80S" localSheetId="4">#REF!</definedName>
    <definedName name="CS_80S" localSheetId="20">#REF!</definedName>
    <definedName name="CS_80S" localSheetId="16">#REF!</definedName>
    <definedName name="CS_80S" localSheetId="21">#REF!</definedName>
    <definedName name="CS_80S" localSheetId="26">#REF!</definedName>
    <definedName name="CS_80S" localSheetId="25">#REF!</definedName>
    <definedName name="CS_80S" localSheetId="18">#REF!</definedName>
    <definedName name="CS_80S" localSheetId="23">#REF!</definedName>
    <definedName name="CS_80S">#REF!</definedName>
    <definedName name="CS_STD" localSheetId="17">#REF!</definedName>
    <definedName name="CS_STD" localSheetId="6">#REF!</definedName>
    <definedName name="CS_STD" localSheetId="22">#REF!</definedName>
    <definedName name="CS_STD" localSheetId="19">#REF!</definedName>
    <definedName name="CS_STD" localSheetId="24">#REF!</definedName>
    <definedName name="CS_STD" localSheetId="15">#REF!</definedName>
    <definedName name="CS_STD" localSheetId="4">#REF!</definedName>
    <definedName name="CS_STD" localSheetId="20">#REF!</definedName>
    <definedName name="CS_STD" localSheetId="16">#REF!</definedName>
    <definedName name="CS_STD" localSheetId="21">#REF!</definedName>
    <definedName name="CS_STD" localSheetId="26">#REF!</definedName>
    <definedName name="CS_STD" localSheetId="25">#REF!</definedName>
    <definedName name="CS_STD" localSheetId="18">#REF!</definedName>
    <definedName name="CS_STD" localSheetId="23">#REF!</definedName>
    <definedName name="CS_STD">#REF!</definedName>
    <definedName name="CS_XS" localSheetId="17">#REF!</definedName>
    <definedName name="CS_XS" localSheetId="6">#REF!</definedName>
    <definedName name="CS_XS" localSheetId="22">#REF!</definedName>
    <definedName name="CS_XS" localSheetId="19">#REF!</definedName>
    <definedName name="CS_XS" localSheetId="24">#REF!</definedName>
    <definedName name="CS_XS" localSheetId="15">#REF!</definedName>
    <definedName name="CS_XS" localSheetId="4">#REF!</definedName>
    <definedName name="CS_XS" localSheetId="20">#REF!</definedName>
    <definedName name="CS_XS" localSheetId="16">#REF!</definedName>
    <definedName name="CS_XS" localSheetId="21">#REF!</definedName>
    <definedName name="CS_XS" localSheetId="26">#REF!</definedName>
    <definedName name="CS_XS" localSheetId="25">#REF!</definedName>
    <definedName name="CS_XS" localSheetId="18">#REF!</definedName>
    <definedName name="CS_XS" localSheetId="23">#REF!</definedName>
    <definedName name="CS_XS">#REF!</definedName>
    <definedName name="CS_XXS" localSheetId="17">#REF!</definedName>
    <definedName name="CS_XXS" localSheetId="6">#REF!</definedName>
    <definedName name="CS_XXS" localSheetId="22">#REF!</definedName>
    <definedName name="CS_XXS" localSheetId="19">#REF!</definedName>
    <definedName name="CS_XXS" localSheetId="24">#REF!</definedName>
    <definedName name="CS_XXS" localSheetId="15">#REF!</definedName>
    <definedName name="CS_XXS" localSheetId="4">#REF!</definedName>
    <definedName name="CS_XXS" localSheetId="20">#REF!</definedName>
    <definedName name="CS_XXS" localSheetId="16">#REF!</definedName>
    <definedName name="CS_XXS" localSheetId="21">#REF!</definedName>
    <definedName name="CS_XXS" localSheetId="26">#REF!</definedName>
    <definedName name="CS_XXS" localSheetId="25">#REF!</definedName>
    <definedName name="CS_XXS" localSheetId="18">#REF!</definedName>
    <definedName name="CS_XXS" localSheetId="23">#REF!</definedName>
    <definedName name="CS_XXS">#REF!</definedName>
    <definedName name="ctdn9697" localSheetId="17">#REF!</definedName>
    <definedName name="ctdn9697" localSheetId="6">#REF!</definedName>
    <definedName name="ctdn9697" localSheetId="22">#REF!</definedName>
    <definedName name="ctdn9697" localSheetId="19">#REF!</definedName>
    <definedName name="ctdn9697" localSheetId="24">#REF!</definedName>
    <definedName name="ctdn9697" localSheetId="15">#REF!</definedName>
    <definedName name="ctdn9697" localSheetId="4">#REF!</definedName>
    <definedName name="ctdn9697" localSheetId="20">#REF!</definedName>
    <definedName name="ctdn9697" localSheetId="16">#REF!</definedName>
    <definedName name="ctdn9697" localSheetId="21">#REF!</definedName>
    <definedName name="ctdn9697" localSheetId="26">#REF!</definedName>
    <definedName name="ctdn9697" localSheetId="25">#REF!</definedName>
    <definedName name="ctdn9697" localSheetId="18">#REF!</definedName>
    <definedName name="ctdn9697" localSheetId="23">#REF!</definedName>
    <definedName name="ctdn9697">#REF!</definedName>
    <definedName name="CURRENCY" localSheetId="17">#REF!</definedName>
    <definedName name="CURRENCY" localSheetId="6">#REF!</definedName>
    <definedName name="CURRENCY" localSheetId="22">#REF!</definedName>
    <definedName name="CURRENCY" localSheetId="19">#REF!</definedName>
    <definedName name="CURRENCY" localSheetId="24">#REF!</definedName>
    <definedName name="CURRENCY" localSheetId="15">#REF!</definedName>
    <definedName name="CURRENCY" localSheetId="4">#REF!</definedName>
    <definedName name="CURRENCY" localSheetId="20">#REF!</definedName>
    <definedName name="CURRENCY" localSheetId="16">#REF!</definedName>
    <definedName name="CURRENCY" localSheetId="21">#REF!</definedName>
    <definedName name="CURRENCY" localSheetId="26">#REF!</definedName>
    <definedName name="CURRENCY" localSheetId="25">#REF!</definedName>
    <definedName name="CURRENCY" localSheetId="18">#REF!</definedName>
    <definedName name="CURRENCY" localSheetId="23">#REF!</definedName>
    <definedName name="CURRENCY">#REF!</definedName>
    <definedName name="d" localSheetId="17">#REF!</definedName>
    <definedName name="d" localSheetId="6">#REF!</definedName>
    <definedName name="d" localSheetId="22">#REF!</definedName>
    <definedName name="d" localSheetId="19">#REF!</definedName>
    <definedName name="d" localSheetId="24">#REF!</definedName>
    <definedName name="d" localSheetId="15">#REF!</definedName>
    <definedName name="d" localSheetId="4">#REF!</definedName>
    <definedName name="d" localSheetId="20">#REF!</definedName>
    <definedName name="d" localSheetId="16">#REF!</definedName>
    <definedName name="d" localSheetId="21">#REF!</definedName>
    <definedName name="d" localSheetId="26">#REF!</definedName>
    <definedName name="d" localSheetId="25">#REF!</definedName>
    <definedName name="d" localSheetId="18">#REF!</definedName>
    <definedName name="d" localSheetId="23">#REF!</definedName>
    <definedName name="d">#REF!</definedName>
    <definedName name="D_7101A_B" localSheetId="17">#REF!</definedName>
    <definedName name="D_7101A_B" localSheetId="6">#REF!</definedName>
    <definedName name="D_7101A_B" localSheetId="22">#REF!</definedName>
    <definedName name="D_7101A_B" localSheetId="19">#REF!</definedName>
    <definedName name="D_7101A_B" localSheetId="24">#REF!</definedName>
    <definedName name="D_7101A_B" localSheetId="15">#REF!</definedName>
    <definedName name="D_7101A_B" localSheetId="4">#REF!</definedName>
    <definedName name="D_7101A_B" localSheetId="20">#REF!</definedName>
    <definedName name="D_7101A_B" localSheetId="16">#REF!</definedName>
    <definedName name="D_7101A_B" localSheetId="21">#REF!</definedName>
    <definedName name="D_7101A_B" localSheetId="26">#REF!</definedName>
    <definedName name="D_7101A_B" localSheetId="25">#REF!</definedName>
    <definedName name="D_7101A_B" localSheetId="18">#REF!</definedName>
    <definedName name="D_7101A_B" localSheetId="23">#REF!</definedName>
    <definedName name="D_7101A_B">#REF!</definedName>
    <definedName name="_xlnm.Database" localSheetId="17">#REF!</definedName>
    <definedName name="_xlnm.Database" localSheetId="6">#REF!</definedName>
    <definedName name="_xlnm.Database" localSheetId="22">#REF!</definedName>
    <definedName name="_xlnm.Database" localSheetId="19">#REF!</definedName>
    <definedName name="_xlnm.Database" localSheetId="24">#REF!</definedName>
    <definedName name="_xlnm.Database" localSheetId="15">#REF!</definedName>
    <definedName name="_xlnm.Database" localSheetId="4">#REF!</definedName>
    <definedName name="_xlnm.Database" localSheetId="20">#REF!</definedName>
    <definedName name="_xlnm.Database" localSheetId="16">#REF!</definedName>
    <definedName name="_xlnm.Database" localSheetId="21">#REF!</definedName>
    <definedName name="_xlnm.Database" localSheetId="26">#REF!</definedName>
    <definedName name="_xlnm.Database" localSheetId="25">#REF!</definedName>
    <definedName name="_xlnm.Database" localSheetId="18">#REF!</definedName>
    <definedName name="_xlnm.Database" localSheetId="23">#REF!</definedName>
    <definedName name="_xlnm.Database">#REF!</definedName>
    <definedName name="DMGT" localSheetId="17">#REF!</definedName>
    <definedName name="DMGT" localSheetId="6">#REF!</definedName>
    <definedName name="DMGT" localSheetId="22">#REF!</definedName>
    <definedName name="DMGT" localSheetId="19">#REF!</definedName>
    <definedName name="DMGT" localSheetId="24">#REF!</definedName>
    <definedName name="DMGT" localSheetId="15">#REF!</definedName>
    <definedName name="DMGT" localSheetId="4">#REF!</definedName>
    <definedName name="DMGT" localSheetId="20">#REF!</definedName>
    <definedName name="DMGT" localSheetId="16">#REF!</definedName>
    <definedName name="DMGT" localSheetId="21">#REF!</definedName>
    <definedName name="DMGT" localSheetId="26">#REF!</definedName>
    <definedName name="DMGT" localSheetId="25">#REF!</definedName>
    <definedName name="DMGT" localSheetId="18">#REF!</definedName>
    <definedName name="DMGT" localSheetId="23">#REF!</definedName>
    <definedName name="DMGT">#REF!</definedName>
    <definedName name="DMTL" localSheetId="17">#REF!</definedName>
    <definedName name="DMTL" localSheetId="6">#REF!</definedName>
    <definedName name="DMTL" localSheetId="22">#REF!</definedName>
    <definedName name="DMTL" localSheetId="19">#REF!</definedName>
    <definedName name="DMTL" localSheetId="24">#REF!</definedName>
    <definedName name="DMTL" localSheetId="15">#REF!</definedName>
    <definedName name="DMTL" localSheetId="4">#REF!</definedName>
    <definedName name="DMTL" localSheetId="20">#REF!</definedName>
    <definedName name="DMTL" localSheetId="16">#REF!</definedName>
    <definedName name="DMTL" localSheetId="21">#REF!</definedName>
    <definedName name="DMTL" localSheetId="26">#REF!</definedName>
    <definedName name="DMTL" localSheetId="25">#REF!</definedName>
    <definedName name="DMTL" localSheetId="18">#REF!</definedName>
    <definedName name="DMTL" localSheetId="23">#REF!</definedName>
    <definedName name="DMTL">#REF!</definedName>
    <definedName name="dobt" localSheetId="17">#REF!</definedName>
    <definedName name="dobt" localSheetId="6">#REF!</definedName>
    <definedName name="dobt" localSheetId="22">#REF!</definedName>
    <definedName name="dobt" localSheetId="19">#REF!</definedName>
    <definedName name="dobt" localSheetId="24">#REF!</definedName>
    <definedName name="dobt" localSheetId="15">#REF!</definedName>
    <definedName name="dobt" localSheetId="4">#REF!</definedName>
    <definedName name="dobt" localSheetId="20">#REF!</definedName>
    <definedName name="dobt" localSheetId="16">#REF!</definedName>
    <definedName name="dobt" localSheetId="21">#REF!</definedName>
    <definedName name="dobt" localSheetId="26">#REF!</definedName>
    <definedName name="dobt" localSheetId="25">#REF!</definedName>
    <definedName name="dobt" localSheetId="18">#REF!</definedName>
    <definedName name="dobt" localSheetId="23">#REF!</definedName>
    <definedName name="dobt">#REF!</definedName>
    <definedName name="DSUMDATA" localSheetId="17">#REF!</definedName>
    <definedName name="DSUMDATA" localSheetId="6">#REF!</definedName>
    <definedName name="DSUMDATA" localSheetId="22">#REF!</definedName>
    <definedName name="DSUMDATA" localSheetId="19">#REF!</definedName>
    <definedName name="DSUMDATA" localSheetId="24">#REF!</definedName>
    <definedName name="DSUMDATA" localSheetId="15">#REF!</definedName>
    <definedName name="DSUMDATA" localSheetId="4">#REF!</definedName>
    <definedName name="DSUMDATA" localSheetId="20">#REF!</definedName>
    <definedName name="DSUMDATA" localSheetId="16">#REF!</definedName>
    <definedName name="DSUMDATA" localSheetId="21">#REF!</definedName>
    <definedName name="DSUMDATA" localSheetId="26">#REF!</definedName>
    <definedName name="DSUMDATA" localSheetId="25">#REF!</definedName>
    <definedName name="DSUMDATA" localSheetId="18">#REF!</definedName>
    <definedName name="DSUMDATA" localSheetId="23">#REF!</definedName>
    <definedName name="DSUMDATA">#REF!</definedName>
    <definedName name="End_1" localSheetId="17">#REF!</definedName>
    <definedName name="End_1" localSheetId="6">#REF!</definedName>
    <definedName name="End_1" localSheetId="22">#REF!</definedName>
    <definedName name="End_1" localSheetId="19">#REF!</definedName>
    <definedName name="End_1" localSheetId="24">#REF!</definedName>
    <definedName name="End_1" localSheetId="15">#REF!</definedName>
    <definedName name="End_1" localSheetId="4">#REF!</definedName>
    <definedName name="End_1" localSheetId="20">#REF!</definedName>
    <definedName name="End_1" localSheetId="16">#REF!</definedName>
    <definedName name="End_1" localSheetId="21">#REF!</definedName>
    <definedName name="End_1" localSheetId="26">#REF!</definedName>
    <definedName name="End_1" localSheetId="25">#REF!</definedName>
    <definedName name="End_1" localSheetId="18">#REF!</definedName>
    <definedName name="End_1" localSheetId="23">#REF!</definedName>
    <definedName name="End_1">#REF!</definedName>
    <definedName name="End_10" localSheetId="17">#REF!</definedName>
    <definedName name="End_10" localSheetId="6">#REF!</definedName>
    <definedName name="End_10" localSheetId="22">#REF!</definedName>
    <definedName name="End_10" localSheetId="19">#REF!</definedName>
    <definedName name="End_10" localSheetId="24">#REF!</definedName>
    <definedName name="End_10" localSheetId="15">#REF!</definedName>
    <definedName name="End_10" localSheetId="4">#REF!</definedName>
    <definedName name="End_10" localSheetId="20">#REF!</definedName>
    <definedName name="End_10" localSheetId="16">#REF!</definedName>
    <definedName name="End_10" localSheetId="21">#REF!</definedName>
    <definedName name="End_10" localSheetId="26">#REF!</definedName>
    <definedName name="End_10" localSheetId="25">#REF!</definedName>
    <definedName name="End_10" localSheetId="18">#REF!</definedName>
    <definedName name="End_10" localSheetId="23">#REF!</definedName>
    <definedName name="End_10">#REF!</definedName>
    <definedName name="End_11" localSheetId="17">#REF!</definedName>
    <definedName name="End_11" localSheetId="6">#REF!</definedName>
    <definedName name="End_11" localSheetId="22">#REF!</definedName>
    <definedName name="End_11" localSheetId="19">#REF!</definedName>
    <definedName name="End_11" localSheetId="24">#REF!</definedName>
    <definedName name="End_11" localSheetId="15">#REF!</definedName>
    <definedName name="End_11" localSheetId="4">#REF!</definedName>
    <definedName name="End_11" localSheetId="20">#REF!</definedName>
    <definedName name="End_11" localSheetId="16">#REF!</definedName>
    <definedName name="End_11" localSheetId="21">#REF!</definedName>
    <definedName name="End_11" localSheetId="26">#REF!</definedName>
    <definedName name="End_11" localSheetId="25">#REF!</definedName>
    <definedName name="End_11" localSheetId="18">#REF!</definedName>
    <definedName name="End_11" localSheetId="23">#REF!</definedName>
    <definedName name="End_11">#REF!</definedName>
    <definedName name="End_12" localSheetId="17">#REF!</definedName>
    <definedName name="End_12" localSheetId="6">#REF!</definedName>
    <definedName name="End_12" localSheetId="22">#REF!</definedName>
    <definedName name="End_12" localSheetId="19">#REF!</definedName>
    <definedName name="End_12" localSheetId="24">#REF!</definedName>
    <definedName name="End_12" localSheetId="15">#REF!</definedName>
    <definedName name="End_12" localSheetId="4">#REF!</definedName>
    <definedName name="End_12" localSheetId="20">#REF!</definedName>
    <definedName name="End_12" localSheetId="16">#REF!</definedName>
    <definedName name="End_12" localSheetId="21">#REF!</definedName>
    <definedName name="End_12" localSheetId="26">#REF!</definedName>
    <definedName name="End_12" localSheetId="25">#REF!</definedName>
    <definedName name="End_12" localSheetId="18">#REF!</definedName>
    <definedName name="End_12" localSheetId="23">#REF!</definedName>
    <definedName name="End_12">#REF!</definedName>
    <definedName name="End_13" localSheetId="17">#REF!</definedName>
    <definedName name="End_13" localSheetId="6">#REF!</definedName>
    <definedName name="End_13" localSheetId="22">#REF!</definedName>
    <definedName name="End_13" localSheetId="19">#REF!</definedName>
    <definedName name="End_13" localSheetId="24">#REF!</definedName>
    <definedName name="End_13" localSheetId="15">#REF!</definedName>
    <definedName name="End_13" localSheetId="4">#REF!</definedName>
    <definedName name="End_13" localSheetId="20">#REF!</definedName>
    <definedName name="End_13" localSheetId="16">#REF!</definedName>
    <definedName name="End_13" localSheetId="21">#REF!</definedName>
    <definedName name="End_13" localSheetId="26">#REF!</definedName>
    <definedName name="End_13" localSheetId="25">#REF!</definedName>
    <definedName name="End_13" localSheetId="18">#REF!</definedName>
    <definedName name="End_13" localSheetId="23">#REF!</definedName>
    <definedName name="End_13">#REF!</definedName>
    <definedName name="End_2" localSheetId="17">#REF!</definedName>
    <definedName name="End_2" localSheetId="6">#REF!</definedName>
    <definedName name="End_2" localSheetId="22">#REF!</definedName>
    <definedName name="End_2" localSheetId="19">#REF!</definedName>
    <definedName name="End_2" localSheetId="24">#REF!</definedName>
    <definedName name="End_2" localSheetId="15">#REF!</definedName>
    <definedName name="End_2" localSheetId="4">#REF!</definedName>
    <definedName name="End_2" localSheetId="20">#REF!</definedName>
    <definedName name="End_2" localSheetId="16">#REF!</definedName>
    <definedName name="End_2" localSheetId="21">#REF!</definedName>
    <definedName name="End_2" localSheetId="26">#REF!</definedName>
    <definedName name="End_2" localSheetId="25">#REF!</definedName>
    <definedName name="End_2" localSheetId="18">#REF!</definedName>
    <definedName name="End_2" localSheetId="23">#REF!</definedName>
    <definedName name="End_2">#REF!</definedName>
    <definedName name="End_3" localSheetId="17">#REF!</definedName>
    <definedName name="End_3" localSheetId="6">#REF!</definedName>
    <definedName name="End_3" localSheetId="22">#REF!</definedName>
    <definedName name="End_3" localSheetId="19">#REF!</definedName>
    <definedName name="End_3" localSheetId="24">#REF!</definedName>
    <definedName name="End_3" localSheetId="15">#REF!</definedName>
    <definedName name="End_3" localSheetId="4">#REF!</definedName>
    <definedName name="End_3" localSheetId="20">#REF!</definedName>
    <definedName name="End_3" localSheetId="16">#REF!</definedName>
    <definedName name="End_3" localSheetId="21">#REF!</definedName>
    <definedName name="End_3" localSheetId="26">#REF!</definedName>
    <definedName name="End_3" localSheetId="25">#REF!</definedName>
    <definedName name="End_3" localSheetId="18">#REF!</definedName>
    <definedName name="End_3" localSheetId="23">#REF!</definedName>
    <definedName name="End_3">#REF!</definedName>
    <definedName name="End_4" localSheetId="17">#REF!</definedName>
    <definedName name="End_4" localSheetId="6">#REF!</definedName>
    <definedName name="End_4" localSheetId="22">#REF!</definedName>
    <definedName name="End_4" localSheetId="19">#REF!</definedName>
    <definedName name="End_4" localSheetId="24">#REF!</definedName>
    <definedName name="End_4" localSheetId="15">#REF!</definedName>
    <definedName name="End_4" localSheetId="4">#REF!</definedName>
    <definedName name="End_4" localSheetId="20">#REF!</definedName>
    <definedName name="End_4" localSheetId="16">#REF!</definedName>
    <definedName name="End_4" localSheetId="21">#REF!</definedName>
    <definedName name="End_4" localSheetId="26">#REF!</definedName>
    <definedName name="End_4" localSheetId="25">#REF!</definedName>
    <definedName name="End_4" localSheetId="18">#REF!</definedName>
    <definedName name="End_4" localSheetId="23">#REF!</definedName>
    <definedName name="End_4">#REF!</definedName>
    <definedName name="End_5" localSheetId="17">#REF!</definedName>
    <definedName name="End_5" localSheetId="6">#REF!</definedName>
    <definedName name="End_5" localSheetId="22">#REF!</definedName>
    <definedName name="End_5" localSheetId="19">#REF!</definedName>
    <definedName name="End_5" localSheetId="24">#REF!</definedName>
    <definedName name="End_5" localSheetId="15">#REF!</definedName>
    <definedName name="End_5" localSheetId="4">#REF!</definedName>
    <definedName name="End_5" localSheetId="20">#REF!</definedName>
    <definedName name="End_5" localSheetId="16">#REF!</definedName>
    <definedName name="End_5" localSheetId="21">#REF!</definedName>
    <definedName name="End_5" localSheetId="26">#REF!</definedName>
    <definedName name="End_5" localSheetId="25">#REF!</definedName>
    <definedName name="End_5" localSheetId="18">#REF!</definedName>
    <definedName name="End_5" localSheetId="23">#REF!</definedName>
    <definedName name="End_5">#REF!</definedName>
    <definedName name="End_6" localSheetId="17">#REF!</definedName>
    <definedName name="End_6" localSheetId="6">#REF!</definedName>
    <definedName name="End_6" localSheetId="22">#REF!</definedName>
    <definedName name="End_6" localSheetId="19">#REF!</definedName>
    <definedName name="End_6" localSheetId="24">#REF!</definedName>
    <definedName name="End_6" localSheetId="15">#REF!</definedName>
    <definedName name="End_6" localSheetId="4">#REF!</definedName>
    <definedName name="End_6" localSheetId="20">#REF!</definedName>
    <definedName name="End_6" localSheetId="16">#REF!</definedName>
    <definedName name="End_6" localSheetId="21">#REF!</definedName>
    <definedName name="End_6" localSheetId="26">#REF!</definedName>
    <definedName name="End_6" localSheetId="25">#REF!</definedName>
    <definedName name="End_6" localSheetId="18">#REF!</definedName>
    <definedName name="End_6" localSheetId="23">#REF!</definedName>
    <definedName name="End_6">#REF!</definedName>
    <definedName name="End_7" localSheetId="17">#REF!</definedName>
    <definedName name="End_7" localSheetId="6">#REF!</definedName>
    <definedName name="End_7" localSheetId="22">#REF!</definedName>
    <definedName name="End_7" localSheetId="19">#REF!</definedName>
    <definedName name="End_7" localSheetId="24">#REF!</definedName>
    <definedName name="End_7" localSheetId="15">#REF!</definedName>
    <definedName name="End_7" localSheetId="4">#REF!</definedName>
    <definedName name="End_7" localSheetId="20">#REF!</definedName>
    <definedName name="End_7" localSheetId="16">#REF!</definedName>
    <definedName name="End_7" localSheetId="21">#REF!</definedName>
    <definedName name="End_7" localSheetId="26">#REF!</definedName>
    <definedName name="End_7" localSheetId="25">#REF!</definedName>
    <definedName name="End_7" localSheetId="18">#REF!</definedName>
    <definedName name="End_7" localSheetId="23">#REF!</definedName>
    <definedName name="End_7">#REF!</definedName>
    <definedName name="End_8" localSheetId="17">#REF!</definedName>
    <definedName name="End_8" localSheetId="6">#REF!</definedName>
    <definedName name="End_8" localSheetId="22">#REF!</definedName>
    <definedName name="End_8" localSheetId="19">#REF!</definedName>
    <definedName name="End_8" localSheetId="24">#REF!</definedName>
    <definedName name="End_8" localSheetId="15">#REF!</definedName>
    <definedName name="End_8" localSheetId="4">#REF!</definedName>
    <definedName name="End_8" localSheetId="20">#REF!</definedName>
    <definedName name="End_8" localSheetId="16">#REF!</definedName>
    <definedName name="End_8" localSheetId="21">#REF!</definedName>
    <definedName name="End_8" localSheetId="26">#REF!</definedName>
    <definedName name="End_8" localSheetId="25">#REF!</definedName>
    <definedName name="End_8" localSheetId="18">#REF!</definedName>
    <definedName name="End_8" localSheetId="23">#REF!</definedName>
    <definedName name="End_8">#REF!</definedName>
    <definedName name="End_9" localSheetId="17">#REF!</definedName>
    <definedName name="End_9" localSheetId="6">#REF!</definedName>
    <definedName name="End_9" localSheetId="22">#REF!</definedName>
    <definedName name="End_9" localSheetId="19">#REF!</definedName>
    <definedName name="End_9" localSheetId="24">#REF!</definedName>
    <definedName name="End_9" localSheetId="15">#REF!</definedName>
    <definedName name="End_9" localSheetId="4">#REF!</definedName>
    <definedName name="End_9" localSheetId="20">#REF!</definedName>
    <definedName name="End_9" localSheetId="16">#REF!</definedName>
    <definedName name="End_9" localSheetId="21">#REF!</definedName>
    <definedName name="End_9" localSheetId="26">#REF!</definedName>
    <definedName name="End_9" localSheetId="25">#REF!</definedName>
    <definedName name="End_9" localSheetId="18">#REF!</definedName>
    <definedName name="End_9" localSheetId="23">#REF!</definedName>
    <definedName name="End_9">#REF!</definedName>
    <definedName name="FACTOR" localSheetId="17">#REF!</definedName>
    <definedName name="FACTOR" localSheetId="6">#REF!</definedName>
    <definedName name="FACTOR" localSheetId="22">#REF!</definedName>
    <definedName name="FACTOR" localSheetId="19">#REF!</definedName>
    <definedName name="FACTOR" localSheetId="24">#REF!</definedName>
    <definedName name="FACTOR" localSheetId="15">#REF!</definedName>
    <definedName name="FACTOR" localSheetId="4">#REF!</definedName>
    <definedName name="FACTOR" localSheetId="20">#REF!</definedName>
    <definedName name="FACTOR" localSheetId="16">#REF!</definedName>
    <definedName name="FACTOR" localSheetId="21">#REF!</definedName>
    <definedName name="FACTOR" localSheetId="26">#REF!</definedName>
    <definedName name="FACTOR" localSheetId="25">#REF!</definedName>
    <definedName name="FACTOR" localSheetId="18">#REF!</definedName>
    <definedName name="FACTOR" localSheetId="23">#REF!</definedName>
    <definedName name="FACTOR">#REF!</definedName>
    <definedName name="G0.7_Total" localSheetId="31">#REF!</definedName>
    <definedName name="G0.7_Total" localSheetId="17">#REF!</definedName>
    <definedName name="G0.7_Total" localSheetId="6">#REF!</definedName>
    <definedName name="G0.7_Total" localSheetId="22">#REF!</definedName>
    <definedName name="G0.7_Total" localSheetId="19">#REF!</definedName>
    <definedName name="G0.7_Total" localSheetId="24">#REF!</definedName>
    <definedName name="G0.7_Total" localSheetId="15">#REF!</definedName>
    <definedName name="G0.7_Total" localSheetId="4">#REF!</definedName>
    <definedName name="G0.7_Total" localSheetId="20">#REF!</definedName>
    <definedName name="G0.7_Total" localSheetId="16">#REF!</definedName>
    <definedName name="G0.7_Total" localSheetId="21">#REF!</definedName>
    <definedName name="G0.7_Total" localSheetId="26">#REF!</definedName>
    <definedName name="G0.7_Total" localSheetId="25">#REF!</definedName>
    <definedName name="G0.7_Total" localSheetId="18">#REF!</definedName>
    <definedName name="G0.7_Total" localSheetId="23">#REF!</definedName>
    <definedName name="G0.7_Total">#REF!</definedName>
    <definedName name="Gt" localSheetId="17">#REF!</definedName>
    <definedName name="Gt" localSheetId="6">#REF!</definedName>
    <definedName name="Gt" localSheetId="22">#REF!</definedName>
    <definedName name="Gt" localSheetId="19">#REF!</definedName>
    <definedName name="Gt" localSheetId="24">#REF!</definedName>
    <definedName name="Gt" localSheetId="15">#REF!</definedName>
    <definedName name="Gt" localSheetId="4">#REF!</definedName>
    <definedName name="Gt" localSheetId="20">#REF!</definedName>
    <definedName name="Gt" localSheetId="16">#REF!</definedName>
    <definedName name="Gt" localSheetId="21">#REF!</definedName>
    <definedName name="Gt" localSheetId="26">#REF!</definedName>
    <definedName name="Gt" localSheetId="25">#REF!</definedName>
    <definedName name="Gt" localSheetId="18">#REF!</definedName>
    <definedName name="Gt" localSheetId="23">#REF!</definedName>
    <definedName name="Gt">#REF!</definedName>
    <definedName name="HHTON" localSheetId="31">#REF!</definedName>
    <definedName name="HHTON" localSheetId="17">#REF!</definedName>
    <definedName name="HHTON" localSheetId="6">#REF!</definedName>
    <definedName name="HHTON" localSheetId="22">#REF!</definedName>
    <definedName name="HHTON" localSheetId="19">#REF!</definedName>
    <definedName name="HHTON" localSheetId="24">#REF!</definedName>
    <definedName name="HHTON" localSheetId="15">#REF!</definedName>
    <definedName name="HHTON" localSheetId="4">#REF!</definedName>
    <definedName name="HHTON" localSheetId="20">#REF!</definedName>
    <definedName name="HHTON" localSheetId="16">#REF!</definedName>
    <definedName name="HHTON" localSheetId="21">#REF!</definedName>
    <definedName name="HHTON" localSheetId="26">#REF!</definedName>
    <definedName name="HHTON" localSheetId="25">#REF!</definedName>
    <definedName name="HHTON" localSheetId="18">#REF!</definedName>
    <definedName name="HHTON" localSheetId="23">#REF!</definedName>
    <definedName name="HHTON">#REF!</definedName>
    <definedName name="HOME_MANP" localSheetId="17">#REF!</definedName>
    <definedName name="HOME_MANP" localSheetId="6">#REF!</definedName>
    <definedName name="HOME_MANP" localSheetId="22">#REF!</definedName>
    <definedName name="HOME_MANP" localSheetId="19">#REF!</definedName>
    <definedName name="HOME_MANP" localSheetId="24">#REF!</definedName>
    <definedName name="HOME_MANP" localSheetId="15">#REF!</definedName>
    <definedName name="HOME_MANP" localSheetId="4">#REF!</definedName>
    <definedName name="HOME_MANP" localSheetId="20">#REF!</definedName>
    <definedName name="HOME_MANP" localSheetId="16">#REF!</definedName>
    <definedName name="HOME_MANP" localSheetId="21">#REF!</definedName>
    <definedName name="HOME_MANP" localSheetId="26">#REF!</definedName>
    <definedName name="HOME_MANP" localSheetId="25">#REF!</definedName>
    <definedName name="HOME_MANP" localSheetId="18">#REF!</definedName>
    <definedName name="HOME_MANP" localSheetId="23">#REF!</definedName>
    <definedName name="HOME_MANP">#REF!</definedName>
    <definedName name="HOMEOFFICE_COST" localSheetId="17">#REF!</definedName>
    <definedName name="HOMEOFFICE_COST" localSheetId="6">#REF!</definedName>
    <definedName name="HOMEOFFICE_COST" localSheetId="22">#REF!</definedName>
    <definedName name="HOMEOFFICE_COST" localSheetId="19">#REF!</definedName>
    <definedName name="HOMEOFFICE_COST" localSheetId="24">#REF!</definedName>
    <definedName name="HOMEOFFICE_COST" localSheetId="15">#REF!</definedName>
    <definedName name="HOMEOFFICE_COST" localSheetId="4">#REF!</definedName>
    <definedName name="HOMEOFFICE_COST" localSheetId="20">#REF!</definedName>
    <definedName name="HOMEOFFICE_COST" localSheetId="16">#REF!</definedName>
    <definedName name="HOMEOFFICE_COST" localSheetId="21">#REF!</definedName>
    <definedName name="HOMEOFFICE_COST" localSheetId="26">#REF!</definedName>
    <definedName name="HOMEOFFICE_COST" localSheetId="25">#REF!</definedName>
    <definedName name="HOMEOFFICE_COST" localSheetId="18">#REF!</definedName>
    <definedName name="HOMEOFFICE_COST" localSheetId="23">#REF!</definedName>
    <definedName name="HOMEOFFICE_COST">#REF!</definedName>
    <definedName name="ht" localSheetId="29" hidden="1">{"'Sheet1'!$L$16"}</definedName>
    <definedName name="ht" localSheetId="16" hidden="1">{"'Sheet1'!$L$16"}</definedName>
    <definedName name="ht" localSheetId="21" hidden="1">{"'Sheet1'!$L$16"}</definedName>
    <definedName name="ht" localSheetId="11" hidden="1">{"'Sheet1'!$L$16"}</definedName>
    <definedName name="ht" localSheetId="18" hidden="1">{"'Sheet1'!$L$16"}</definedName>
    <definedName name="ht" localSheetId="23" hidden="1">{"'Sheet1'!$L$16"}</definedName>
    <definedName name="ht" localSheetId="13" hidden="1">{"'Sheet1'!$L$16"}</definedName>
    <definedName name="ht" hidden="1">{"'Sheet1'!$L$16"}</definedName>
    <definedName name="HTML_CodePage" hidden="1">950</definedName>
    <definedName name="HTML_Control" localSheetId="29" hidden="1">{"'Sheet1'!$L$16"}</definedName>
    <definedName name="HTML_Control" localSheetId="16" hidden="1">{"'Sheet1'!$L$16"}</definedName>
    <definedName name="HTML_Control" localSheetId="21" hidden="1">{"'Sheet1'!$L$16"}</definedName>
    <definedName name="HTML_Control" localSheetId="11" hidden="1">{"'Sheet1'!$L$16"}</definedName>
    <definedName name="HTML_Control" localSheetId="18" hidden="1">{"'Sheet1'!$L$16"}</definedName>
    <definedName name="HTML_Control" localSheetId="23" hidden="1">{"'Sheet1'!$L$16"}</definedName>
    <definedName name="HTML_Control" localSheetId="1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7">#REF!</definedName>
    <definedName name="IDLAB_COST" localSheetId="6">#REF!</definedName>
    <definedName name="IDLAB_COST" localSheetId="22">#REF!</definedName>
    <definedName name="IDLAB_COST" localSheetId="19">#REF!</definedName>
    <definedName name="IDLAB_COST" localSheetId="24">#REF!</definedName>
    <definedName name="IDLAB_COST" localSheetId="15">#REF!</definedName>
    <definedName name="IDLAB_COST" localSheetId="4">#REF!</definedName>
    <definedName name="IDLAB_COST" localSheetId="20">#REF!</definedName>
    <definedName name="IDLAB_COST" localSheetId="16">#REF!</definedName>
    <definedName name="IDLAB_COST" localSheetId="21">#REF!</definedName>
    <definedName name="IDLAB_COST" localSheetId="26">#REF!</definedName>
    <definedName name="IDLAB_COST" localSheetId="25">#REF!</definedName>
    <definedName name="IDLAB_COST" localSheetId="18">#REF!</definedName>
    <definedName name="IDLAB_COST" localSheetId="23">#REF!</definedName>
    <definedName name="IDLAB_COST">#REF!</definedName>
    <definedName name="IND_LAB" localSheetId="17">#REF!</definedName>
    <definedName name="IND_LAB" localSheetId="6">#REF!</definedName>
    <definedName name="IND_LAB" localSheetId="22">#REF!</definedName>
    <definedName name="IND_LAB" localSheetId="19">#REF!</definedName>
    <definedName name="IND_LAB" localSheetId="24">#REF!</definedName>
    <definedName name="IND_LAB" localSheetId="15">#REF!</definedName>
    <definedName name="IND_LAB" localSheetId="4">#REF!</definedName>
    <definedName name="IND_LAB" localSheetId="20">#REF!</definedName>
    <definedName name="IND_LAB" localSheetId="16">#REF!</definedName>
    <definedName name="IND_LAB" localSheetId="21">#REF!</definedName>
    <definedName name="IND_LAB" localSheetId="26">#REF!</definedName>
    <definedName name="IND_LAB" localSheetId="25">#REF!</definedName>
    <definedName name="IND_LAB" localSheetId="18">#REF!</definedName>
    <definedName name="IND_LAB" localSheetId="23">#REF!</definedName>
    <definedName name="IND_LAB">#REF!</definedName>
    <definedName name="INDMANP" localSheetId="17">#REF!</definedName>
    <definedName name="INDMANP" localSheetId="6">#REF!</definedName>
    <definedName name="INDMANP" localSheetId="22">#REF!</definedName>
    <definedName name="INDMANP" localSheetId="19">#REF!</definedName>
    <definedName name="INDMANP" localSheetId="24">#REF!</definedName>
    <definedName name="INDMANP" localSheetId="15">#REF!</definedName>
    <definedName name="INDMANP" localSheetId="4">#REF!</definedName>
    <definedName name="INDMANP" localSheetId="20">#REF!</definedName>
    <definedName name="INDMANP" localSheetId="16">#REF!</definedName>
    <definedName name="INDMANP" localSheetId="21">#REF!</definedName>
    <definedName name="INDMANP" localSheetId="26">#REF!</definedName>
    <definedName name="INDMANP" localSheetId="25">#REF!</definedName>
    <definedName name="INDMANP" localSheetId="18">#REF!</definedName>
    <definedName name="INDMANP" localSheetId="23">#REF!</definedName>
    <definedName name="INDMANP">#REF!</definedName>
    <definedName name="K" localSheetId="17">#REF!</definedName>
    <definedName name="K" localSheetId="6">#REF!</definedName>
    <definedName name="K" localSheetId="22">#REF!</definedName>
    <definedName name="K" localSheetId="19">#REF!</definedName>
    <definedName name="K" localSheetId="24">#REF!</definedName>
    <definedName name="K" localSheetId="15">#REF!</definedName>
    <definedName name="K" localSheetId="4">#REF!</definedName>
    <definedName name="K" localSheetId="20">#REF!</definedName>
    <definedName name="K" localSheetId="16">#REF!</definedName>
    <definedName name="K" localSheetId="21">#REF!</definedName>
    <definedName name="K" localSheetId="26">#REF!</definedName>
    <definedName name="K" localSheetId="25">#REF!</definedName>
    <definedName name="K" localSheetId="18">#REF!</definedName>
    <definedName name="K" localSheetId="23">#REF!</definedName>
    <definedName name="K">#REF!</definedName>
    <definedName name="KVC" localSheetId="17">#REF!</definedName>
    <definedName name="KVC" localSheetId="6">#REF!</definedName>
    <definedName name="KVC" localSheetId="22">#REF!</definedName>
    <definedName name="KVC" localSheetId="19">#REF!</definedName>
    <definedName name="KVC" localSheetId="24">#REF!</definedName>
    <definedName name="KVC" localSheetId="15">#REF!</definedName>
    <definedName name="KVC" localSheetId="4">#REF!</definedName>
    <definedName name="KVC" localSheetId="20">#REF!</definedName>
    <definedName name="KVC" localSheetId="16">#REF!</definedName>
    <definedName name="KVC" localSheetId="21">#REF!</definedName>
    <definedName name="KVC" localSheetId="26">#REF!</definedName>
    <definedName name="KVC" localSheetId="25">#REF!</definedName>
    <definedName name="KVC" localSheetId="18">#REF!</definedName>
    <definedName name="KVC" localSheetId="23">#REF!</definedName>
    <definedName name="KVC">#REF!</definedName>
    <definedName name="L" localSheetId="17">#REF!</definedName>
    <definedName name="L" localSheetId="6">#REF!</definedName>
    <definedName name="L" localSheetId="22">#REF!</definedName>
    <definedName name="L" localSheetId="19">#REF!</definedName>
    <definedName name="L" localSheetId="24">#REF!</definedName>
    <definedName name="L" localSheetId="15">#REF!</definedName>
    <definedName name="L" localSheetId="4">#REF!</definedName>
    <definedName name="L" localSheetId="20">#REF!</definedName>
    <definedName name="L" localSheetId="16">#REF!</definedName>
    <definedName name="L" localSheetId="21">#REF!</definedName>
    <definedName name="L" localSheetId="26">#REF!</definedName>
    <definedName name="L" localSheetId="25">#REF!</definedName>
    <definedName name="L" localSheetId="18">#REF!</definedName>
    <definedName name="L" localSheetId="23">#REF!</definedName>
    <definedName name="L">#REF!</definedName>
    <definedName name="lVC" localSheetId="17">#REF!</definedName>
    <definedName name="lVC" localSheetId="6">#REF!</definedName>
    <definedName name="lVC" localSheetId="22">#REF!</definedName>
    <definedName name="lVC" localSheetId="19">#REF!</definedName>
    <definedName name="lVC" localSheetId="24">#REF!</definedName>
    <definedName name="lVC" localSheetId="15">#REF!</definedName>
    <definedName name="lVC" localSheetId="4">#REF!</definedName>
    <definedName name="lVC" localSheetId="20">#REF!</definedName>
    <definedName name="lVC" localSheetId="16">#REF!</definedName>
    <definedName name="lVC" localSheetId="21">#REF!</definedName>
    <definedName name="lVC" localSheetId="26">#REF!</definedName>
    <definedName name="lVC" localSheetId="25">#REF!</definedName>
    <definedName name="lVC" localSheetId="18">#REF!</definedName>
    <definedName name="lVC" localSheetId="23">#REF!</definedName>
    <definedName name="lVC">#REF!</definedName>
    <definedName name="MAJ_CON_EQP" localSheetId="17">#REF!</definedName>
    <definedName name="MAJ_CON_EQP" localSheetId="6">#REF!</definedName>
    <definedName name="MAJ_CON_EQP" localSheetId="22">#REF!</definedName>
    <definedName name="MAJ_CON_EQP" localSheetId="19">#REF!</definedName>
    <definedName name="MAJ_CON_EQP" localSheetId="24">#REF!</definedName>
    <definedName name="MAJ_CON_EQP" localSheetId="15">#REF!</definedName>
    <definedName name="MAJ_CON_EQP" localSheetId="4">#REF!</definedName>
    <definedName name="MAJ_CON_EQP" localSheetId="20">#REF!</definedName>
    <definedName name="MAJ_CON_EQP" localSheetId="16">#REF!</definedName>
    <definedName name="MAJ_CON_EQP" localSheetId="21">#REF!</definedName>
    <definedName name="MAJ_CON_EQP" localSheetId="26">#REF!</definedName>
    <definedName name="MAJ_CON_EQP" localSheetId="25">#REF!</definedName>
    <definedName name="MAJ_CON_EQP" localSheetId="18">#REF!</definedName>
    <definedName name="MAJ_CON_EQP" localSheetId="23">#REF!</definedName>
    <definedName name="MAJ_CON_EQP">#REF!</definedName>
    <definedName name="MG_A" localSheetId="17">#REF!</definedName>
    <definedName name="MG_A" localSheetId="6">#REF!</definedName>
    <definedName name="MG_A" localSheetId="22">#REF!</definedName>
    <definedName name="MG_A" localSheetId="19">#REF!</definedName>
    <definedName name="MG_A" localSheetId="24">#REF!</definedName>
    <definedName name="MG_A" localSheetId="15">#REF!</definedName>
    <definedName name="MG_A" localSheetId="4">#REF!</definedName>
    <definedName name="MG_A" localSheetId="20">#REF!</definedName>
    <definedName name="MG_A" localSheetId="16">#REF!</definedName>
    <definedName name="MG_A" localSheetId="21">#REF!</definedName>
    <definedName name="MG_A" localSheetId="26">#REF!</definedName>
    <definedName name="MG_A" localSheetId="25">#REF!</definedName>
    <definedName name="MG_A" localSheetId="18">#REF!</definedName>
    <definedName name="MG_A" localSheetId="23">#REF!</definedName>
    <definedName name="MG_A">#REF!</definedName>
    <definedName name="NCcap0.7" localSheetId="17">#REF!</definedName>
    <definedName name="NCcap0.7" localSheetId="6">#REF!</definedName>
    <definedName name="NCcap0.7" localSheetId="22">#REF!</definedName>
    <definedName name="NCcap0.7" localSheetId="19">#REF!</definedName>
    <definedName name="NCcap0.7" localSheetId="24">#REF!</definedName>
    <definedName name="NCcap0.7" localSheetId="15">#REF!</definedName>
    <definedName name="NCcap0.7" localSheetId="4">#REF!</definedName>
    <definedName name="NCcap0.7" localSheetId="20">#REF!</definedName>
    <definedName name="NCcap0.7" localSheetId="16">#REF!</definedName>
    <definedName name="NCcap0.7" localSheetId="21">#REF!</definedName>
    <definedName name="NCcap0.7" localSheetId="26">#REF!</definedName>
    <definedName name="NCcap0.7" localSheetId="25">#REF!</definedName>
    <definedName name="NCcap0.7" localSheetId="18">#REF!</definedName>
    <definedName name="NCcap0.7" localSheetId="23">#REF!</definedName>
    <definedName name="NCcap0.7">#REF!</definedName>
    <definedName name="NCcap1" localSheetId="17">#REF!</definedName>
    <definedName name="NCcap1" localSheetId="6">#REF!</definedName>
    <definedName name="NCcap1" localSheetId="22">#REF!</definedName>
    <definedName name="NCcap1" localSheetId="19">#REF!</definedName>
    <definedName name="NCcap1" localSheetId="24">#REF!</definedName>
    <definedName name="NCcap1" localSheetId="15">#REF!</definedName>
    <definedName name="NCcap1" localSheetId="4">#REF!</definedName>
    <definedName name="NCcap1" localSheetId="20">#REF!</definedName>
    <definedName name="NCcap1" localSheetId="16">#REF!</definedName>
    <definedName name="NCcap1" localSheetId="21">#REF!</definedName>
    <definedName name="NCcap1" localSheetId="26">#REF!</definedName>
    <definedName name="NCcap1" localSheetId="25">#REF!</definedName>
    <definedName name="NCcap1" localSheetId="18">#REF!</definedName>
    <definedName name="NCcap1" localSheetId="23">#REF!</definedName>
    <definedName name="NCcap1">#REF!</definedName>
    <definedName name="NET" localSheetId="17">#REF!</definedName>
    <definedName name="NET" localSheetId="6">#REF!</definedName>
    <definedName name="NET" localSheetId="22">#REF!</definedName>
    <definedName name="NET" localSheetId="19">#REF!</definedName>
    <definedName name="NET" localSheetId="24">#REF!</definedName>
    <definedName name="NET" localSheetId="15">#REF!</definedName>
    <definedName name="NET" localSheetId="4">#REF!</definedName>
    <definedName name="NET" localSheetId="20">#REF!</definedName>
    <definedName name="NET" localSheetId="16">#REF!</definedName>
    <definedName name="NET" localSheetId="21">#REF!</definedName>
    <definedName name="NET" localSheetId="26">#REF!</definedName>
    <definedName name="NET" localSheetId="25">#REF!</definedName>
    <definedName name="NET" localSheetId="18">#REF!</definedName>
    <definedName name="NET" localSheetId="23">#REF!</definedName>
    <definedName name="NET">#REF!</definedName>
    <definedName name="NET_1" localSheetId="17">#REF!</definedName>
    <definedName name="NET_1" localSheetId="6">#REF!</definedName>
    <definedName name="NET_1" localSheetId="22">#REF!</definedName>
    <definedName name="NET_1" localSheetId="19">#REF!</definedName>
    <definedName name="NET_1" localSheetId="24">#REF!</definedName>
    <definedName name="NET_1" localSheetId="15">#REF!</definedName>
    <definedName name="NET_1" localSheetId="4">#REF!</definedName>
    <definedName name="NET_1" localSheetId="20">#REF!</definedName>
    <definedName name="NET_1" localSheetId="16">#REF!</definedName>
    <definedName name="NET_1" localSheetId="21">#REF!</definedName>
    <definedName name="NET_1" localSheetId="26">#REF!</definedName>
    <definedName name="NET_1" localSheetId="25">#REF!</definedName>
    <definedName name="NET_1" localSheetId="18">#REF!</definedName>
    <definedName name="NET_1" localSheetId="23">#REF!</definedName>
    <definedName name="NET_1">#REF!</definedName>
    <definedName name="NET_ANA" localSheetId="17">#REF!</definedName>
    <definedName name="NET_ANA" localSheetId="6">#REF!</definedName>
    <definedName name="NET_ANA" localSheetId="22">#REF!</definedName>
    <definedName name="NET_ANA" localSheetId="19">#REF!</definedName>
    <definedName name="NET_ANA" localSheetId="24">#REF!</definedName>
    <definedName name="NET_ANA" localSheetId="15">#REF!</definedName>
    <definedName name="NET_ANA" localSheetId="4">#REF!</definedName>
    <definedName name="NET_ANA" localSheetId="20">#REF!</definedName>
    <definedName name="NET_ANA" localSheetId="16">#REF!</definedName>
    <definedName name="NET_ANA" localSheetId="21">#REF!</definedName>
    <definedName name="NET_ANA" localSheetId="26">#REF!</definedName>
    <definedName name="NET_ANA" localSheetId="25">#REF!</definedName>
    <definedName name="NET_ANA" localSheetId="18">#REF!</definedName>
    <definedName name="NET_ANA" localSheetId="23">#REF!</definedName>
    <definedName name="NET_ANA">#REF!</definedName>
    <definedName name="NET_ANA_1" localSheetId="17">#REF!</definedName>
    <definedName name="NET_ANA_1" localSheetId="6">#REF!</definedName>
    <definedName name="NET_ANA_1" localSheetId="22">#REF!</definedName>
    <definedName name="NET_ANA_1" localSheetId="19">#REF!</definedName>
    <definedName name="NET_ANA_1" localSheetId="24">#REF!</definedName>
    <definedName name="NET_ANA_1" localSheetId="15">#REF!</definedName>
    <definedName name="NET_ANA_1" localSheetId="4">#REF!</definedName>
    <definedName name="NET_ANA_1" localSheetId="20">#REF!</definedName>
    <definedName name="NET_ANA_1" localSheetId="16">#REF!</definedName>
    <definedName name="NET_ANA_1" localSheetId="21">#REF!</definedName>
    <definedName name="NET_ANA_1" localSheetId="26">#REF!</definedName>
    <definedName name="NET_ANA_1" localSheetId="25">#REF!</definedName>
    <definedName name="NET_ANA_1" localSheetId="18">#REF!</definedName>
    <definedName name="NET_ANA_1" localSheetId="23">#REF!</definedName>
    <definedName name="NET_ANA_1">#REF!</definedName>
    <definedName name="NET_ANA_2" localSheetId="17">#REF!</definedName>
    <definedName name="NET_ANA_2" localSheetId="6">#REF!</definedName>
    <definedName name="NET_ANA_2" localSheetId="22">#REF!</definedName>
    <definedName name="NET_ANA_2" localSheetId="19">#REF!</definedName>
    <definedName name="NET_ANA_2" localSheetId="24">#REF!</definedName>
    <definedName name="NET_ANA_2" localSheetId="15">#REF!</definedName>
    <definedName name="NET_ANA_2" localSheetId="4">#REF!</definedName>
    <definedName name="NET_ANA_2" localSheetId="20">#REF!</definedName>
    <definedName name="NET_ANA_2" localSheetId="16">#REF!</definedName>
    <definedName name="NET_ANA_2" localSheetId="21">#REF!</definedName>
    <definedName name="NET_ANA_2" localSheetId="26">#REF!</definedName>
    <definedName name="NET_ANA_2" localSheetId="25">#REF!</definedName>
    <definedName name="NET_ANA_2" localSheetId="18">#REF!</definedName>
    <definedName name="NET_ANA_2" localSheetId="23">#REF!</definedName>
    <definedName name="NET_ANA_2">#REF!</definedName>
    <definedName name="O" localSheetId="17">#REF!</definedName>
    <definedName name="O" localSheetId="6">#REF!</definedName>
    <definedName name="O" localSheetId="22">#REF!</definedName>
    <definedName name="O" localSheetId="19">#REF!</definedName>
    <definedName name="O" localSheetId="24">#REF!</definedName>
    <definedName name="O" localSheetId="15">#REF!</definedName>
    <definedName name="O" localSheetId="4">#REF!</definedName>
    <definedName name="O" localSheetId="20">#REF!</definedName>
    <definedName name="O" localSheetId="16">#REF!</definedName>
    <definedName name="O" localSheetId="21">#REF!</definedName>
    <definedName name="O" localSheetId="26">#REF!</definedName>
    <definedName name="O" localSheetId="25">#REF!</definedName>
    <definedName name="O" localSheetId="18">#REF!</definedName>
    <definedName name="O" localSheetId="23">#REF!</definedName>
    <definedName name="O">#REF!</definedName>
    <definedName name="PRICE" localSheetId="17">#REF!</definedName>
    <definedName name="PRICE" localSheetId="6">#REF!</definedName>
    <definedName name="PRICE" localSheetId="22">#REF!</definedName>
    <definedName name="PRICE" localSheetId="19">#REF!</definedName>
    <definedName name="PRICE" localSheetId="24">#REF!</definedName>
    <definedName name="PRICE" localSheetId="15">#REF!</definedName>
    <definedName name="PRICE" localSheetId="4">#REF!</definedName>
    <definedName name="PRICE" localSheetId="20">#REF!</definedName>
    <definedName name="PRICE" localSheetId="16">#REF!</definedName>
    <definedName name="PRICE" localSheetId="21">#REF!</definedName>
    <definedName name="PRICE" localSheetId="26">#REF!</definedName>
    <definedName name="PRICE" localSheetId="25">#REF!</definedName>
    <definedName name="PRICE" localSheetId="18">#REF!</definedName>
    <definedName name="PRICE" localSheetId="23">#REF!</definedName>
    <definedName name="PRICE">#REF!</definedName>
    <definedName name="PRICE1" localSheetId="17">#REF!</definedName>
    <definedName name="PRICE1" localSheetId="6">#REF!</definedName>
    <definedName name="PRICE1" localSheetId="22">#REF!</definedName>
    <definedName name="PRICE1" localSheetId="19">#REF!</definedName>
    <definedName name="PRICE1" localSheetId="24">#REF!</definedName>
    <definedName name="PRICE1" localSheetId="15">#REF!</definedName>
    <definedName name="PRICE1" localSheetId="4">#REF!</definedName>
    <definedName name="PRICE1" localSheetId="20">#REF!</definedName>
    <definedName name="PRICE1" localSheetId="16">#REF!</definedName>
    <definedName name="PRICE1" localSheetId="21">#REF!</definedName>
    <definedName name="PRICE1" localSheetId="26">#REF!</definedName>
    <definedName name="PRICE1" localSheetId="25">#REF!</definedName>
    <definedName name="PRICE1" localSheetId="18">#REF!</definedName>
    <definedName name="PRICE1" localSheetId="23">#REF!</definedName>
    <definedName name="PRICE1">#REF!</definedName>
    <definedName name="_xlnm.Print_Area" localSheetId="17">Dcu_Huyen!$B$1:$H$81</definedName>
    <definedName name="_xlnm.Print_Area" localSheetId="6">#REF!</definedName>
    <definedName name="_xlnm.Print_Area" localSheetId="22">Dcu_Tinh!$B$1:$H$78</definedName>
    <definedName name="_xlnm.Print_Area" localSheetId="19">DonGia_Huyen!$A$1:$L$46</definedName>
    <definedName name="_xlnm.Print_Area" localSheetId="8">DonGia_QG!$A$1:$R$47</definedName>
    <definedName name="_xlnm.Print_Area" localSheetId="24">DonGia_Tinh!$A$1:$L$46</definedName>
    <definedName name="_xlnm.Print_Area" localSheetId="14">DonGia_Xa!$A$1:$P$46</definedName>
    <definedName name="_xlnm.Print_Area" localSheetId="4">#REF!</definedName>
    <definedName name="_xlnm.Print_Area" localSheetId="20">NhanCong_Tinh!$B$1:$H$49</definedName>
    <definedName name="_xlnm.Print_Area" localSheetId="10">NhanCong_Xa!$B$1:$H$46</definedName>
    <definedName name="_xlnm.Print_Area" localSheetId="21">'Thiet-bi_Tinh'!$B$1:$K$164</definedName>
    <definedName name="_xlnm.Print_Area" localSheetId="26">#REF!</definedName>
    <definedName name="_xlnm.Print_Area" localSheetId="25">#REF!</definedName>
    <definedName name="_xlnm.Print_Area" localSheetId="18">'Vat-lieu_Huyen'!$B$1:$G$88</definedName>
    <definedName name="_xlnm.Print_Area" localSheetId="23">'Vat-lieu_Tinh'!$A$1:$F$86</definedName>
    <definedName name="_xlnm.Print_Area">#REF!</definedName>
    <definedName name="_xlnm.Print_Titles" localSheetId="17">Dcu_Huyen!$3:$3</definedName>
    <definedName name="_xlnm.Print_Titles" localSheetId="6">Dcu_QG!$3:$3</definedName>
    <definedName name="_xlnm.Print_Titles" localSheetId="29">DoiTuongQL!$2:$4</definedName>
    <definedName name="_xlnm.Print_Titles" localSheetId="19">DonGia_Huyen!$3:$5</definedName>
    <definedName name="_xlnm.Print_Titles" localSheetId="8">DonGia_QG!$3:$4</definedName>
    <definedName name="_xlnm.Print_Titles" localSheetId="24">DonGia_Tinh!$3:$5</definedName>
    <definedName name="_xlnm.Print_Titles" localSheetId="14">DonGia_Xa!$3:$5</definedName>
    <definedName name="_xlnm.Print_Titles" localSheetId="2">Gia_Dcu!$3:$3</definedName>
    <definedName name="_xlnm.Print_Titles" localSheetId="1">Gia_Tbi!$3:$3</definedName>
    <definedName name="_xlnm.Print_Titles" localSheetId="3">Gia_VLieu!$3:$3</definedName>
    <definedName name="_xlnm.Print_Titles" localSheetId="0">L_CBan!$3:$6</definedName>
    <definedName name="_xlnm.Print_Titles" localSheetId="30">Metadata!$6:$7</definedName>
    <definedName name="_xlnm.Print_Titles" localSheetId="4">#REF!</definedName>
    <definedName name="_xlnm.Print_Titles" localSheetId="10">NhanCong_Xa!$3:$3</definedName>
    <definedName name="_xlnm.Print_Titles" localSheetId="27">Tbi!$3:$3</definedName>
    <definedName name="_xlnm.Print_Titles" localSheetId="26">#REF!</definedName>
    <definedName name="_xlnm.Print_Titles" localSheetId="25">#REF!</definedName>
    <definedName name="_xlnm.Print_Titles" localSheetId="28">VLieu!$3:$3</definedName>
    <definedName name="_xlnm.Print_Titles">#REF!</definedName>
    <definedName name="Print_Titles_MI" localSheetId="17">#REF!</definedName>
    <definedName name="Print_Titles_MI" localSheetId="6">#REF!</definedName>
    <definedName name="Print_Titles_MI" localSheetId="22">#REF!</definedName>
    <definedName name="Print_Titles_MI" localSheetId="19">#REF!</definedName>
    <definedName name="Print_Titles_MI" localSheetId="24">#REF!</definedName>
    <definedName name="Print_Titles_MI" localSheetId="15">#REF!</definedName>
    <definedName name="Print_Titles_MI" localSheetId="4">#REF!</definedName>
    <definedName name="Print_Titles_MI" localSheetId="20">#REF!</definedName>
    <definedName name="Print_Titles_MI" localSheetId="16">#REF!</definedName>
    <definedName name="Print_Titles_MI" localSheetId="21">#REF!</definedName>
    <definedName name="Print_Titles_MI" localSheetId="26">#REF!</definedName>
    <definedName name="Print_Titles_MI" localSheetId="25">#REF!</definedName>
    <definedName name="Print_Titles_MI" localSheetId="18">#REF!</definedName>
    <definedName name="Print_Titles_MI" localSheetId="23">#REF!</definedName>
    <definedName name="Print_Titles_MI">#REF!</definedName>
    <definedName name="PRINTA" localSheetId="17">#REF!</definedName>
    <definedName name="PRINTA" localSheetId="6">#REF!</definedName>
    <definedName name="PRINTA" localSheetId="22">#REF!</definedName>
    <definedName name="PRINTA" localSheetId="19">#REF!</definedName>
    <definedName name="PRINTA" localSheetId="24">#REF!</definedName>
    <definedName name="PRINTA" localSheetId="15">#REF!</definedName>
    <definedName name="PRINTA" localSheetId="4">#REF!</definedName>
    <definedName name="PRINTA" localSheetId="20">#REF!</definedName>
    <definedName name="PRINTA" localSheetId="16">#REF!</definedName>
    <definedName name="PRINTA" localSheetId="21">#REF!</definedName>
    <definedName name="PRINTA" localSheetId="26">#REF!</definedName>
    <definedName name="PRINTA" localSheetId="25">#REF!</definedName>
    <definedName name="PRINTA" localSheetId="18">#REF!</definedName>
    <definedName name="PRINTA" localSheetId="23">#REF!</definedName>
    <definedName name="PRINTA">#REF!</definedName>
    <definedName name="PRINTB" localSheetId="17">#REF!</definedName>
    <definedName name="PRINTB" localSheetId="6">#REF!</definedName>
    <definedName name="PRINTB" localSheetId="22">#REF!</definedName>
    <definedName name="PRINTB" localSheetId="19">#REF!</definedName>
    <definedName name="PRINTB" localSheetId="24">#REF!</definedName>
    <definedName name="PRINTB" localSheetId="15">#REF!</definedName>
    <definedName name="PRINTB" localSheetId="4">#REF!</definedName>
    <definedName name="PRINTB" localSheetId="20">#REF!</definedName>
    <definedName name="PRINTB" localSheetId="16">#REF!</definedName>
    <definedName name="PRINTB" localSheetId="21">#REF!</definedName>
    <definedName name="PRINTB" localSheetId="26">#REF!</definedName>
    <definedName name="PRINTB" localSheetId="25">#REF!</definedName>
    <definedName name="PRINTB" localSheetId="18">#REF!</definedName>
    <definedName name="PRINTB" localSheetId="23">#REF!</definedName>
    <definedName name="PRINTB">#REF!</definedName>
    <definedName name="PRINTC" localSheetId="17">#REF!</definedName>
    <definedName name="PRINTC" localSheetId="6">#REF!</definedName>
    <definedName name="PRINTC" localSheetId="22">#REF!</definedName>
    <definedName name="PRINTC" localSheetId="19">#REF!</definedName>
    <definedName name="PRINTC" localSheetId="24">#REF!</definedName>
    <definedName name="PRINTC" localSheetId="15">#REF!</definedName>
    <definedName name="PRINTC" localSheetId="4">#REF!</definedName>
    <definedName name="PRINTC" localSheetId="20">#REF!</definedName>
    <definedName name="PRINTC" localSheetId="16">#REF!</definedName>
    <definedName name="PRINTC" localSheetId="21">#REF!</definedName>
    <definedName name="PRINTC" localSheetId="26">#REF!</definedName>
    <definedName name="PRINTC" localSheetId="25">#REF!</definedName>
    <definedName name="PRINTC" localSheetId="18">#REF!</definedName>
    <definedName name="PRINTC" localSheetId="23">#REF!</definedName>
    <definedName name="PRINTC">#REF!</definedName>
    <definedName name="PROPOSAL" localSheetId="17">#REF!</definedName>
    <definedName name="PROPOSAL" localSheetId="6">#REF!</definedName>
    <definedName name="PROPOSAL" localSheetId="22">#REF!</definedName>
    <definedName name="PROPOSAL" localSheetId="19">#REF!</definedName>
    <definedName name="PROPOSAL" localSheetId="24">#REF!</definedName>
    <definedName name="PROPOSAL" localSheetId="15">#REF!</definedName>
    <definedName name="PROPOSAL" localSheetId="4">#REF!</definedName>
    <definedName name="PROPOSAL" localSheetId="20">#REF!</definedName>
    <definedName name="PROPOSAL" localSheetId="16">#REF!</definedName>
    <definedName name="PROPOSAL" localSheetId="21">#REF!</definedName>
    <definedName name="PROPOSAL" localSheetId="26">#REF!</definedName>
    <definedName name="PROPOSAL" localSheetId="25">#REF!</definedName>
    <definedName name="PROPOSAL" localSheetId="18">#REF!</definedName>
    <definedName name="PROPOSAL" localSheetId="23">#REF!</definedName>
    <definedName name="PROPOSAL">#REF!</definedName>
    <definedName name="RECOUT">#N/A</definedName>
    <definedName name="RFP003A" localSheetId="17">#REF!</definedName>
    <definedName name="RFP003A" localSheetId="6">#REF!</definedName>
    <definedName name="RFP003A" localSheetId="22">#REF!</definedName>
    <definedName name="RFP003A" localSheetId="19">#REF!</definedName>
    <definedName name="RFP003A" localSheetId="24">#REF!</definedName>
    <definedName name="RFP003A" localSheetId="15">#REF!</definedName>
    <definedName name="RFP003A" localSheetId="4">#REF!</definedName>
    <definedName name="RFP003A" localSheetId="20">#REF!</definedName>
    <definedName name="RFP003A" localSheetId="16">#REF!</definedName>
    <definedName name="RFP003A" localSheetId="21">#REF!</definedName>
    <definedName name="RFP003A" localSheetId="26">#REF!</definedName>
    <definedName name="RFP003A" localSheetId="25">#REF!</definedName>
    <definedName name="RFP003A" localSheetId="18">#REF!</definedName>
    <definedName name="RFP003A" localSheetId="23">#REF!</definedName>
    <definedName name="RFP003A">#REF!</definedName>
    <definedName name="RFP003B" localSheetId="17">#REF!</definedName>
    <definedName name="RFP003B" localSheetId="6">#REF!</definedName>
    <definedName name="RFP003B" localSheetId="22">#REF!</definedName>
    <definedName name="RFP003B" localSheetId="19">#REF!</definedName>
    <definedName name="RFP003B" localSheetId="24">#REF!</definedName>
    <definedName name="RFP003B" localSheetId="15">#REF!</definedName>
    <definedName name="RFP003B" localSheetId="4">#REF!</definedName>
    <definedName name="RFP003B" localSheetId="20">#REF!</definedName>
    <definedName name="RFP003B" localSheetId="16">#REF!</definedName>
    <definedName name="RFP003B" localSheetId="21">#REF!</definedName>
    <definedName name="RFP003B" localSheetId="26">#REF!</definedName>
    <definedName name="RFP003B" localSheetId="25">#REF!</definedName>
    <definedName name="RFP003B" localSheetId="18">#REF!</definedName>
    <definedName name="RFP003B" localSheetId="23">#REF!</definedName>
    <definedName name="RFP003B">#REF!</definedName>
    <definedName name="RFP003C" localSheetId="17">#REF!</definedName>
    <definedName name="RFP003C" localSheetId="6">#REF!</definedName>
    <definedName name="RFP003C" localSheetId="22">#REF!</definedName>
    <definedName name="RFP003C" localSheetId="19">#REF!</definedName>
    <definedName name="RFP003C" localSheetId="24">#REF!</definedName>
    <definedName name="RFP003C" localSheetId="15">#REF!</definedName>
    <definedName name="RFP003C" localSheetId="4">#REF!</definedName>
    <definedName name="RFP003C" localSheetId="20">#REF!</definedName>
    <definedName name="RFP003C" localSheetId="16">#REF!</definedName>
    <definedName name="RFP003C" localSheetId="21">#REF!</definedName>
    <definedName name="RFP003C" localSheetId="26">#REF!</definedName>
    <definedName name="RFP003C" localSheetId="25">#REF!</definedName>
    <definedName name="RFP003C" localSheetId="18">#REF!</definedName>
    <definedName name="RFP003C" localSheetId="23">#REF!</definedName>
    <definedName name="RFP003C">#REF!</definedName>
    <definedName name="RFP003D" localSheetId="17">#REF!</definedName>
    <definedName name="RFP003D" localSheetId="6">#REF!</definedName>
    <definedName name="RFP003D" localSheetId="22">#REF!</definedName>
    <definedName name="RFP003D" localSheetId="19">#REF!</definedName>
    <definedName name="RFP003D" localSheetId="24">#REF!</definedName>
    <definedName name="RFP003D" localSheetId="15">#REF!</definedName>
    <definedName name="RFP003D" localSheetId="4">#REF!</definedName>
    <definedName name="RFP003D" localSheetId="20">#REF!</definedName>
    <definedName name="RFP003D" localSheetId="16">#REF!</definedName>
    <definedName name="RFP003D" localSheetId="21">#REF!</definedName>
    <definedName name="RFP003D" localSheetId="26">#REF!</definedName>
    <definedName name="RFP003D" localSheetId="25">#REF!</definedName>
    <definedName name="RFP003D" localSheetId="18">#REF!</definedName>
    <definedName name="RFP003D" localSheetId="23">#REF!</definedName>
    <definedName name="RFP003D">#REF!</definedName>
    <definedName name="RFP003E" localSheetId="17">#REF!</definedName>
    <definedName name="RFP003E" localSheetId="6">#REF!</definedName>
    <definedName name="RFP003E" localSheetId="22">#REF!</definedName>
    <definedName name="RFP003E" localSheetId="19">#REF!</definedName>
    <definedName name="RFP003E" localSheetId="24">#REF!</definedName>
    <definedName name="RFP003E" localSheetId="15">#REF!</definedName>
    <definedName name="RFP003E" localSheetId="4">#REF!</definedName>
    <definedName name="RFP003E" localSheetId="20">#REF!</definedName>
    <definedName name="RFP003E" localSheetId="16">#REF!</definedName>
    <definedName name="RFP003E" localSheetId="21">#REF!</definedName>
    <definedName name="RFP003E" localSheetId="26">#REF!</definedName>
    <definedName name="RFP003E" localSheetId="25">#REF!</definedName>
    <definedName name="RFP003E" localSheetId="18">#REF!</definedName>
    <definedName name="RFP003E" localSheetId="23">#REF!</definedName>
    <definedName name="RFP003E">#REF!</definedName>
    <definedName name="RFP003F" localSheetId="17">#REF!</definedName>
    <definedName name="RFP003F" localSheetId="6">#REF!</definedName>
    <definedName name="RFP003F" localSheetId="22">#REF!</definedName>
    <definedName name="RFP003F" localSheetId="19">#REF!</definedName>
    <definedName name="RFP003F" localSheetId="24">#REF!</definedName>
    <definedName name="RFP003F" localSheetId="15">#REF!</definedName>
    <definedName name="RFP003F" localSheetId="4">#REF!</definedName>
    <definedName name="RFP003F" localSheetId="20">#REF!</definedName>
    <definedName name="RFP003F" localSheetId="16">#REF!</definedName>
    <definedName name="RFP003F" localSheetId="21">#REF!</definedName>
    <definedName name="RFP003F" localSheetId="26">#REF!</definedName>
    <definedName name="RFP003F" localSheetId="25">#REF!</definedName>
    <definedName name="RFP003F" localSheetId="18">#REF!</definedName>
    <definedName name="RFP003F" localSheetId="23">#REF!</definedName>
    <definedName name="RFP003F">#REF!</definedName>
    <definedName name="SCH" localSheetId="17">#REF!</definedName>
    <definedName name="SCH" localSheetId="6">#REF!</definedName>
    <definedName name="SCH" localSheetId="22">#REF!</definedName>
    <definedName name="SCH" localSheetId="19">#REF!</definedName>
    <definedName name="SCH" localSheetId="24">#REF!</definedName>
    <definedName name="SCH" localSheetId="15">#REF!</definedName>
    <definedName name="SCH" localSheetId="4">#REF!</definedName>
    <definedName name="SCH" localSheetId="20">#REF!</definedName>
    <definedName name="SCH" localSheetId="16">#REF!</definedName>
    <definedName name="SCH" localSheetId="21">#REF!</definedName>
    <definedName name="SCH" localSheetId="26">#REF!</definedName>
    <definedName name="SCH" localSheetId="25">#REF!</definedName>
    <definedName name="SCH" localSheetId="18">#REF!</definedName>
    <definedName name="SCH" localSheetId="23">#REF!</definedName>
    <definedName name="SCH">#REF!</definedName>
    <definedName name="SIZE" localSheetId="17">#REF!</definedName>
    <definedName name="SIZE" localSheetId="6">#REF!</definedName>
    <definedName name="SIZE" localSheetId="22">#REF!</definedName>
    <definedName name="SIZE" localSheetId="19">#REF!</definedName>
    <definedName name="SIZE" localSheetId="24">#REF!</definedName>
    <definedName name="SIZE" localSheetId="15">#REF!</definedName>
    <definedName name="SIZE" localSheetId="4">#REF!</definedName>
    <definedName name="SIZE" localSheetId="20">#REF!</definedName>
    <definedName name="SIZE" localSheetId="16">#REF!</definedName>
    <definedName name="SIZE" localSheetId="21">#REF!</definedName>
    <definedName name="SIZE" localSheetId="26">#REF!</definedName>
    <definedName name="SIZE" localSheetId="25">#REF!</definedName>
    <definedName name="SIZE" localSheetId="18">#REF!</definedName>
    <definedName name="SIZE" localSheetId="23">#REF!</definedName>
    <definedName name="SIZE">#REF!</definedName>
    <definedName name="SORT" localSheetId="17">#REF!</definedName>
    <definedName name="SORT" localSheetId="6">#REF!</definedName>
    <definedName name="SORT" localSheetId="22">#REF!</definedName>
    <definedName name="SORT" localSheetId="19">#REF!</definedName>
    <definedName name="SORT" localSheetId="24">#REF!</definedName>
    <definedName name="SORT" localSheetId="15">#REF!</definedName>
    <definedName name="SORT" localSheetId="4">#REF!</definedName>
    <definedName name="SORT" localSheetId="20">#REF!</definedName>
    <definedName name="SORT" localSheetId="16">#REF!</definedName>
    <definedName name="SORT" localSheetId="21">#REF!</definedName>
    <definedName name="SORT" localSheetId="26">#REF!</definedName>
    <definedName name="SORT" localSheetId="25">#REF!</definedName>
    <definedName name="SORT" localSheetId="18">#REF!</definedName>
    <definedName name="SORT" localSheetId="23">#REF!</definedName>
    <definedName name="SORT">#REF!</definedName>
    <definedName name="SPEC" localSheetId="17">#REF!</definedName>
    <definedName name="SPEC" localSheetId="6">#REF!</definedName>
    <definedName name="SPEC" localSheetId="22">#REF!</definedName>
    <definedName name="SPEC" localSheetId="19">#REF!</definedName>
    <definedName name="SPEC" localSheetId="24">#REF!</definedName>
    <definedName name="SPEC" localSheetId="15">#REF!</definedName>
    <definedName name="SPEC" localSheetId="4">#REF!</definedName>
    <definedName name="SPEC" localSheetId="20">#REF!</definedName>
    <definedName name="SPEC" localSheetId="16">#REF!</definedName>
    <definedName name="SPEC" localSheetId="21">#REF!</definedName>
    <definedName name="SPEC" localSheetId="26">#REF!</definedName>
    <definedName name="SPEC" localSheetId="25">#REF!</definedName>
    <definedName name="SPEC" localSheetId="18">#REF!</definedName>
    <definedName name="SPEC" localSheetId="23">#REF!</definedName>
    <definedName name="SPEC">#REF!</definedName>
    <definedName name="SPECSUMMARY" localSheetId="17">#REF!</definedName>
    <definedName name="SPECSUMMARY" localSheetId="6">#REF!</definedName>
    <definedName name="SPECSUMMARY" localSheetId="22">#REF!</definedName>
    <definedName name="SPECSUMMARY" localSheetId="19">#REF!</definedName>
    <definedName name="SPECSUMMARY" localSheetId="24">#REF!</definedName>
    <definedName name="SPECSUMMARY" localSheetId="15">#REF!</definedName>
    <definedName name="SPECSUMMARY" localSheetId="4">#REF!</definedName>
    <definedName name="SPECSUMMARY" localSheetId="20">#REF!</definedName>
    <definedName name="SPECSUMMARY" localSheetId="16">#REF!</definedName>
    <definedName name="SPECSUMMARY" localSheetId="21">#REF!</definedName>
    <definedName name="SPECSUMMARY" localSheetId="26">#REF!</definedName>
    <definedName name="SPECSUMMARY" localSheetId="25">#REF!</definedName>
    <definedName name="SPECSUMMARY" localSheetId="18">#REF!</definedName>
    <definedName name="SPECSUMMARY" localSheetId="23">#REF!</definedName>
    <definedName name="SPECSUMMARY">#REF!</definedName>
    <definedName name="Start_1" localSheetId="17">#REF!</definedName>
    <definedName name="Start_1" localSheetId="6">#REF!</definedName>
    <definedName name="Start_1" localSheetId="22">#REF!</definedName>
    <definedName name="Start_1" localSheetId="19">#REF!</definedName>
    <definedName name="Start_1" localSheetId="24">#REF!</definedName>
    <definedName name="Start_1" localSheetId="15">#REF!</definedName>
    <definedName name="Start_1" localSheetId="4">#REF!</definedName>
    <definedName name="Start_1" localSheetId="20">#REF!</definedName>
    <definedName name="Start_1" localSheetId="16">#REF!</definedName>
    <definedName name="Start_1" localSheetId="21">#REF!</definedName>
    <definedName name="Start_1" localSheetId="26">#REF!</definedName>
    <definedName name="Start_1" localSheetId="25">#REF!</definedName>
    <definedName name="Start_1" localSheetId="18">#REF!</definedName>
    <definedName name="Start_1" localSheetId="23">#REF!</definedName>
    <definedName name="Start_1">#REF!</definedName>
    <definedName name="Start_10" localSheetId="17">#REF!</definedName>
    <definedName name="Start_10" localSheetId="6">#REF!</definedName>
    <definedName name="Start_10" localSheetId="22">#REF!</definedName>
    <definedName name="Start_10" localSheetId="19">#REF!</definedName>
    <definedName name="Start_10" localSheetId="24">#REF!</definedName>
    <definedName name="Start_10" localSheetId="15">#REF!</definedName>
    <definedName name="Start_10" localSheetId="4">#REF!</definedName>
    <definedName name="Start_10" localSheetId="20">#REF!</definedName>
    <definedName name="Start_10" localSheetId="16">#REF!</definedName>
    <definedName name="Start_10" localSheetId="21">#REF!</definedName>
    <definedName name="Start_10" localSheetId="26">#REF!</definedName>
    <definedName name="Start_10" localSheetId="25">#REF!</definedName>
    <definedName name="Start_10" localSheetId="18">#REF!</definedName>
    <definedName name="Start_10" localSheetId="23">#REF!</definedName>
    <definedName name="Start_10">#REF!</definedName>
    <definedName name="Start_11" localSheetId="17">#REF!</definedName>
    <definedName name="Start_11" localSheetId="6">#REF!</definedName>
    <definedName name="Start_11" localSheetId="22">#REF!</definedName>
    <definedName name="Start_11" localSheetId="19">#REF!</definedName>
    <definedName name="Start_11" localSheetId="24">#REF!</definedName>
    <definedName name="Start_11" localSheetId="15">#REF!</definedName>
    <definedName name="Start_11" localSheetId="4">#REF!</definedName>
    <definedName name="Start_11" localSheetId="20">#REF!</definedName>
    <definedName name="Start_11" localSheetId="16">#REF!</definedName>
    <definedName name="Start_11" localSheetId="21">#REF!</definedName>
    <definedName name="Start_11" localSheetId="26">#REF!</definedName>
    <definedName name="Start_11" localSheetId="25">#REF!</definedName>
    <definedName name="Start_11" localSheetId="18">#REF!</definedName>
    <definedName name="Start_11" localSheetId="23">#REF!</definedName>
    <definedName name="Start_11">#REF!</definedName>
    <definedName name="Start_12" localSheetId="17">#REF!</definedName>
    <definedName name="Start_12" localSheetId="6">#REF!</definedName>
    <definedName name="Start_12" localSheetId="22">#REF!</definedName>
    <definedName name="Start_12" localSheetId="19">#REF!</definedName>
    <definedName name="Start_12" localSheetId="24">#REF!</definedName>
    <definedName name="Start_12" localSheetId="15">#REF!</definedName>
    <definedName name="Start_12" localSheetId="4">#REF!</definedName>
    <definedName name="Start_12" localSheetId="20">#REF!</definedName>
    <definedName name="Start_12" localSheetId="16">#REF!</definedName>
    <definedName name="Start_12" localSheetId="21">#REF!</definedName>
    <definedName name="Start_12" localSheetId="26">#REF!</definedName>
    <definedName name="Start_12" localSheetId="25">#REF!</definedName>
    <definedName name="Start_12" localSheetId="18">#REF!</definedName>
    <definedName name="Start_12" localSheetId="23">#REF!</definedName>
    <definedName name="Start_12">#REF!</definedName>
    <definedName name="Start_13" localSheetId="17">#REF!</definedName>
    <definedName name="Start_13" localSheetId="6">#REF!</definedName>
    <definedName name="Start_13" localSheetId="22">#REF!</definedName>
    <definedName name="Start_13" localSheetId="19">#REF!</definedName>
    <definedName name="Start_13" localSheetId="24">#REF!</definedName>
    <definedName name="Start_13" localSheetId="15">#REF!</definedName>
    <definedName name="Start_13" localSheetId="4">#REF!</definedName>
    <definedName name="Start_13" localSheetId="20">#REF!</definedName>
    <definedName name="Start_13" localSheetId="16">#REF!</definedName>
    <definedName name="Start_13" localSheetId="21">#REF!</definedName>
    <definedName name="Start_13" localSheetId="26">#REF!</definedName>
    <definedName name="Start_13" localSheetId="25">#REF!</definedName>
    <definedName name="Start_13" localSheetId="18">#REF!</definedName>
    <definedName name="Start_13" localSheetId="23">#REF!</definedName>
    <definedName name="Start_13">#REF!</definedName>
    <definedName name="Start_2" localSheetId="17">#REF!</definedName>
    <definedName name="Start_2" localSheetId="6">#REF!</definedName>
    <definedName name="Start_2" localSheetId="22">#REF!</definedName>
    <definedName name="Start_2" localSheetId="19">#REF!</definedName>
    <definedName name="Start_2" localSheetId="24">#REF!</definedName>
    <definedName name="Start_2" localSheetId="15">#REF!</definedName>
    <definedName name="Start_2" localSheetId="4">#REF!</definedName>
    <definedName name="Start_2" localSheetId="20">#REF!</definedName>
    <definedName name="Start_2" localSheetId="16">#REF!</definedName>
    <definedName name="Start_2" localSheetId="21">#REF!</definedName>
    <definedName name="Start_2" localSheetId="26">#REF!</definedName>
    <definedName name="Start_2" localSheetId="25">#REF!</definedName>
    <definedName name="Start_2" localSheetId="18">#REF!</definedName>
    <definedName name="Start_2" localSheetId="23">#REF!</definedName>
    <definedName name="Start_2">#REF!</definedName>
    <definedName name="Start_3" localSheetId="17">#REF!</definedName>
    <definedName name="Start_3" localSheetId="6">#REF!</definedName>
    <definedName name="Start_3" localSheetId="22">#REF!</definedName>
    <definedName name="Start_3" localSheetId="19">#REF!</definedName>
    <definedName name="Start_3" localSheetId="24">#REF!</definedName>
    <definedName name="Start_3" localSheetId="15">#REF!</definedName>
    <definedName name="Start_3" localSheetId="4">#REF!</definedName>
    <definedName name="Start_3" localSheetId="20">#REF!</definedName>
    <definedName name="Start_3" localSheetId="16">#REF!</definedName>
    <definedName name="Start_3" localSheetId="21">#REF!</definedName>
    <definedName name="Start_3" localSheetId="26">#REF!</definedName>
    <definedName name="Start_3" localSheetId="25">#REF!</definedName>
    <definedName name="Start_3" localSheetId="18">#REF!</definedName>
    <definedName name="Start_3" localSheetId="23">#REF!</definedName>
    <definedName name="Start_3">#REF!</definedName>
    <definedName name="Start_4" localSheetId="17">#REF!</definedName>
    <definedName name="Start_4" localSheetId="6">#REF!</definedName>
    <definedName name="Start_4" localSheetId="22">#REF!</definedName>
    <definedName name="Start_4" localSheetId="19">#REF!</definedName>
    <definedName name="Start_4" localSheetId="24">#REF!</definedName>
    <definedName name="Start_4" localSheetId="15">#REF!</definedName>
    <definedName name="Start_4" localSheetId="4">#REF!</definedName>
    <definedName name="Start_4" localSheetId="20">#REF!</definedName>
    <definedName name="Start_4" localSheetId="16">#REF!</definedName>
    <definedName name="Start_4" localSheetId="21">#REF!</definedName>
    <definedName name="Start_4" localSheetId="26">#REF!</definedName>
    <definedName name="Start_4" localSheetId="25">#REF!</definedName>
    <definedName name="Start_4" localSheetId="18">#REF!</definedName>
    <definedName name="Start_4" localSheetId="23">#REF!</definedName>
    <definedName name="Start_4">#REF!</definedName>
    <definedName name="Start_5" localSheetId="17">#REF!</definedName>
    <definedName name="Start_5" localSheetId="6">#REF!</definedName>
    <definedName name="Start_5" localSheetId="22">#REF!</definedName>
    <definedName name="Start_5" localSheetId="19">#REF!</definedName>
    <definedName name="Start_5" localSheetId="24">#REF!</definedName>
    <definedName name="Start_5" localSheetId="15">#REF!</definedName>
    <definedName name="Start_5" localSheetId="4">#REF!</definedName>
    <definedName name="Start_5" localSheetId="20">#REF!</definedName>
    <definedName name="Start_5" localSheetId="16">#REF!</definedName>
    <definedName name="Start_5" localSheetId="21">#REF!</definedName>
    <definedName name="Start_5" localSheetId="26">#REF!</definedName>
    <definedName name="Start_5" localSheetId="25">#REF!</definedName>
    <definedName name="Start_5" localSheetId="18">#REF!</definedName>
    <definedName name="Start_5" localSheetId="23">#REF!</definedName>
    <definedName name="Start_5">#REF!</definedName>
    <definedName name="Start_6" localSheetId="17">#REF!</definedName>
    <definedName name="Start_6" localSheetId="6">#REF!</definedName>
    <definedName name="Start_6" localSheetId="22">#REF!</definedName>
    <definedName name="Start_6" localSheetId="19">#REF!</definedName>
    <definedName name="Start_6" localSheetId="24">#REF!</definedName>
    <definedName name="Start_6" localSheetId="15">#REF!</definedName>
    <definedName name="Start_6" localSheetId="4">#REF!</definedName>
    <definedName name="Start_6" localSheetId="20">#REF!</definedName>
    <definedName name="Start_6" localSheetId="16">#REF!</definedName>
    <definedName name="Start_6" localSheetId="21">#REF!</definedName>
    <definedName name="Start_6" localSheetId="26">#REF!</definedName>
    <definedName name="Start_6" localSheetId="25">#REF!</definedName>
    <definedName name="Start_6" localSheetId="18">#REF!</definedName>
    <definedName name="Start_6" localSheetId="23">#REF!</definedName>
    <definedName name="Start_6">#REF!</definedName>
    <definedName name="Start_7" localSheetId="17">#REF!</definedName>
    <definedName name="Start_7" localSheetId="6">#REF!</definedName>
    <definedName name="Start_7" localSheetId="22">#REF!</definedName>
    <definedName name="Start_7" localSheetId="19">#REF!</definedName>
    <definedName name="Start_7" localSheetId="24">#REF!</definedName>
    <definedName name="Start_7" localSheetId="15">#REF!</definedName>
    <definedName name="Start_7" localSheetId="4">#REF!</definedName>
    <definedName name="Start_7" localSheetId="20">#REF!</definedName>
    <definedName name="Start_7" localSheetId="16">#REF!</definedName>
    <definedName name="Start_7" localSheetId="21">#REF!</definedName>
    <definedName name="Start_7" localSheetId="26">#REF!</definedName>
    <definedName name="Start_7" localSheetId="25">#REF!</definedName>
    <definedName name="Start_7" localSheetId="18">#REF!</definedName>
    <definedName name="Start_7" localSheetId="23">#REF!</definedName>
    <definedName name="Start_7">#REF!</definedName>
    <definedName name="Start_8" localSheetId="17">#REF!</definedName>
    <definedName name="Start_8" localSheetId="6">#REF!</definedName>
    <definedName name="Start_8" localSheetId="22">#REF!</definedName>
    <definedName name="Start_8" localSheetId="19">#REF!</definedName>
    <definedName name="Start_8" localSheetId="24">#REF!</definedName>
    <definedName name="Start_8" localSheetId="15">#REF!</definedName>
    <definedName name="Start_8" localSheetId="4">#REF!</definedName>
    <definedName name="Start_8" localSheetId="20">#REF!</definedName>
    <definedName name="Start_8" localSheetId="16">#REF!</definedName>
    <definedName name="Start_8" localSheetId="21">#REF!</definedName>
    <definedName name="Start_8" localSheetId="26">#REF!</definedName>
    <definedName name="Start_8" localSheetId="25">#REF!</definedName>
    <definedName name="Start_8" localSheetId="18">#REF!</definedName>
    <definedName name="Start_8" localSheetId="23">#REF!</definedName>
    <definedName name="Start_8">#REF!</definedName>
    <definedName name="Start_9" localSheetId="17">#REF!</definedName>
    <definedName name="Start_9" localSheetId="6">#REF!</definedName>
    <definedName name="Start_9" localSheetId="22">#REF!</definedName>
    <definedName name="Start_9" localSheetId="19">#REF!</definedName>
    <definedName name="Start_9" localSheetId="24">#REF!</definedName>
    <definedName name="Start_9" localSheetId="15">#REF!</definedName>
    <definedName name="Start_9" localSheetId="4">#REF!</definedName>
    <definedName name="Start_9" localSheetId="20">#REF!</definedName>
    <definedName name="Start_9" localSheetId="16">#REF!</definedName>
    <definedName name="Start_9" localSheetId="21">#REF!</definedName>
    <definedName name="Start_9" localSheetId="26">#REF!</definedName>
    <definedName name="Start_9" localSheetId="25">#REF!</definedName>
    <definedName name="Start_9" localSheetId="18">#REF!</definedName>
    <definedName name="Start_9" localSheetId="23">#REF!</definedName>
    <definedName name="Start_9">#REF!</definedName>
    <definedName name="SUMMARY" localSheetId="17">#REF!</definedName>
    <definedName name="SUMMARY" localSheetId="6">#REF!</definedName>
    <definedName name="SUMMARY" localSheetId="22">#REF!</definedName>
    <definedName name="SUMMARY" localSheetId="19">#REF!</definedName>
    <definedName name="SUMMARY" localSheetId="24">#REF!</definedName>
    <definedName name="SUMMARY" localSheetId="15">#REF!</definedName>
    <definedName name="SUMMARY" localSheetId="4">#REF!</definedName>
    <definedName name="SUMMARY" localSheetId="20">#REF!</definedName>
    <definedName name="SUMMARY" localSheetId="16">#REF!</definedName>
    <definedName name="SUMMARY" localSheetId="21">#REF!</definedName>
    <definedName name="SUMMARY" localSheetId="26">#REF!</definedName>
    <definedName name="SUMMARY" localSheetId="25">#REF!</definedName>
    <definedName name="SUMMARY" localSheetId="18">#REF!</definedName>
    <definedName name="SUMMARY" localSheetId="23">#REF!</definedName>
    <definedName name="SUMMARY">#REF!</definedName>
    <definedName name="TG" localSheetId="31">#REF!</definedName>
    <definedName name="TG" localSheetId="17">#REF!</definedName>
    <definedName name="TG" localSheetId="6">#REF!</definedName>
    <definedName name="TG" localSheetId="22">#REF!</definedName>
    <definedName name="TG" localSheetId="19">#REF!</definedName>
    <definedName name="TG" localSheetId="24">#REF!</definedName>
    <definedName name="TG" localSheetId="15">#REF!</definedName>
    <definedName name="TG" localSheetId="4">#REF!</definedName>
    <definedName name="TG" localSheetId="20">#REF!</definedName>
    <definedName name="TG" localSheetId="16">#REF!</definedName>
    <definedName name="TG" localSheetId="21">#REF!</definedName>
    <definedName name="TG" localSheetId="26">#REF!</definedName>
    <definedName name="TG" localSheetId="25">#REF!</definedName>
    <definedName name="TG" localSheetId="18">#REF!</definedName>
    <definedName name="TG" localSheetId="23">#REF!</definedName>
    <definedName name="TG">#REF!</definedName>
    <definedName name="th" localSheetId="17">#REF!</definedName>
    <definedName name="th" localSheetId="6">#REF!</definedName>
    <definedName name="th" localSheetId="22">#REF!</definedName>
    <definedName name="th" localSheetId="19">#REF!</definedName>
    <definedName name="th" localSheetId="24">#REF!</definedName>
    <definedName name="th" localSheetId="15">#REF!</definedName>
    <definedName name="th" localSheetId="4">#REF!</definedName>
    <definedName name="th" localSheetId="20">#REF!</definedName>
    <definedName name="th" localSheetId="16">#REF!</definedName>
    <definedName name="th" localSheetId="21">#REF!</definedName>
    <definedName name="th" localSheetId="26">#REF!</definedName>
    <definedName name="th" localSheetId="25">#REF!</definedName>
    <definedName name="th" localSheetId="18">#REF!</definedName>
    <definedName name="th" localSheetId="23">#REF!</definedName>
    <definedName name="th">#REF!</definedName>
    <definedName name="THI" localSheetId="17">#REF!</definedName>
    <definedName name="THI" localSheetId="6">#REF!</definedName>
    <definedName name="THI" localSheetId="22">#REF!</definedName>
    <definedName name="THI" localSheetId="19">#REF!</definedName>
    <definedName name="THI" localSheetId="24">#REF!</definedName>
    <definedName name="THI" localSheetId="15">#REF!</definedName>
    <definedName name="THI" localSheetId="4">#REF!</definedName>
    <definedName name="THI" localSheetId="20">#REF!</definedName>
    <definedName name="THI" localSheetId="16">#REF!</definedName>
    <definedName name="THI" localSheetId="21">#REF!</definedName>
    <definedName name="THI" localSheetId="26">#REF!</definedName>
    <definedName name="THI" localSheetId="25">#REF!</definedName>
    <definedName name="THI" localSheetId="18">#REF!</definedName>
    <definedName name="THI" localSheetId="23">#REF!</definedName>
    <definedName name="THI">#REF!</definedName>
    <definedName name="TITAN" localSheetId="17">#REF!</definedName>
    <definedName name="TITAN" localSheetId="6">#REF!</definedName>
    <definedName name="TITAN" localSheetId="22">#REF!</definedName>
    <definedName name="TITAN" localSheetId="19">#REF!</definedName>
    <definedName name="TITAN" localSheetId="24">#REF!</definedName>
    <definedName name="TITAN" localSheetId="15">#REF!</definedName>
    <definedName name="TITAN" localSheetId="4">#REF!</definedName>
    <definedName name="TITAN" localSheetId="20">#REF!</definedName>
    <definedName name="TITAN" localSheetId="16">#REF!</definedName>
    <definedName name="TITAN" localSheetId="21">#REF!</definedName>
    <definedName name="TITAN" localSheetId="26">#REF!</definedName>
    <definedName name="TITAN" localSheetId="25">#REF!</definedName>
    <definedName name="TITAN" localSheetId="18">#REF!</definedName>
    <definedName name="TITAN" localSheetId="23">#REF!</definedName>
    <definedName name="TITAN">#REF!</definedName>
    <definedName name="TPLRP" localSheetId="17">#REF!</definedName>
    <definedName name="TPLRP" localSheetId="6">#REF!</definedName>
    <definedName name="TPLRP" localSheetId="22">#REF!</definedName>
    <definedName name="TPLRP" localSheetId="19">#REF!</definedName>
    <definedName name="TPLRP" localSheetId="24">#REF!</definedName>
    <definedName name="TPLRP" localSheetId="15">#REF!</definedName>
    <definedName name="TPLRP" localSheetId="4">#REF!</definedName>
    <definedName name="TPLRP" localSheetId="20">#REF!</definedName>
    <definedName name="TPLRP" localSheetId="16">#REF!</definedName>
    <definedName name="TPLRP" localSheetId="21">#REF!</definedName>
    <definedName name="TPLRP" localSheetId="26">#REF!</definedName>
    <definedName name="TPLRP" localSheetId="25">#REF!</definedName>
    <definedName name="TPLRP" localSheetId="18">#REF!</definedName>
    <definedName name="TPLRP" localSheetId="23">#REF!</definedName>
    <definedName name="TPLRP">#REF!</definedName>
    <definedName name="TRADE2" localSheetId="17">#REF!</definedName>
    <definedName name="TRADE2" localSheetId="6">#REF!</definedName>
    <definedName name="TRADE2" localSheetId="22">#REF!</definedName>
    <definedName name="TRADE2" localSheetId="19">#REF!</definedName>
    <definedName name="TRADE2" localSheetId="24">#REF!</definedName>
    <definedName name="TRADE2" localSheetId="15">#REF!</definedName>
    <definedName name="TRADE2" localSheetId="4">#REF!</definedName>
    <definedName name="TRADE2" localSheetId="20">#REF!</definedName>
    <definedName name="TRADE2" localSheetId="16">#REF!</definedName>
    <definedName name="TRADE2" localSheetId="21">#REF!</definedName>
    <definedName name="TRADE2" localSheetId="26">#REF!</definedName>
    <definedName name="TRADE2" localSheetId="25">#REF!</definedName>
    <definedName name="TRADE2" localSheetId="18">#REF!</definedName>
    <definedName name="TRADE2" localSheetId="23">#REF!</definedName>
    <definedName name="TRADE2">#REF!</definedName>
    <definedName name="ttbt" localSheetId="17">#REF!</definedName>
    <definedName name="ttbt" localSheetId="6">#REF!</definedName>
    <definedName name="ttbt" localSheetId="22">#REF!</definedName>
    <definedName name="ttbt" localSheetId="19">#REF!</definedName>
    <definedName name="ttbt" localSheetId="24">#REF!</definedName>
    <definedName name="ttbt" localSheetId="15">#REF!</definedName>
    <definedName name="ttbt" localSheetId="4">#REF!</definedName>
    <definedName name="ttbt" localSheetId="20">#REF!</definedName>
    <definedName name="ttbt" localSheetId="16">#REF!</definedName>
    <definedName name="ttbt" localSheetId="21">#REF!</definedName>
    <definedName name="ttbt" localSheetId="26">#REF!</definedName>
    <definedName name="ttbt" localSheetId="25">#REF!</definedName>
    <definedName name="ttbt" localSheetId="18">#REF!</definedName>
    <definedName name="ttbt" localSheetId="23">#REF!</definedName>
    <definedName name="ttbt">#REF!</definedName>
    <definedName name="VARIINST" localSheetId="17">#REF!</definedName>
    <definedName name="VARIINST" localSheetId="6">#REF!</definedName>
    <definedName name="VARIINST" localSheetId="22">#REF!</definedName>
    <definedName name="VARIINST" localSheetId="19">#REF!</definedName>
    <definedName name="VARIINST" localSheetId="24">#REF!</definedName>
    <definedName name="VARIINST" localSheetId="15">#REF!</definedName>
    <definedName name="VARIINST" localSheetId="4">#REF!</definedName>
    <definedName name="VARIINST" localSheetId="20">#REF!</definedName>
    <definedName name="VARIINST" localSheetId="16">#REF!</definedName>
    <definedName name="VARIINST" localSheetId="21">#REF!</definedName>
    <definedName name="VARIINST" localSheetId="26">#REF!</definedName>
    <definedName name="VARIINST" localSheetId="25">#REF!</definedName>
    <definedName name="VARIINST" localSheetId="18">#REF!</definedName>
    <definedName name="VARIINST" localSheetId="23">#REF!</definedName>
    <definedName name="VARIINST">#REF!</definedName>
    <definedName name="VARIPURC" localSheetId="17">#REF!</definedName>
    <definedName name="VARIPURC" localSheetId="6">#REF!</definedName>
    <definedName name="VARIPURC" localSheetId="22">#REF!</definedName>
    <definedName name="VARIPURC" localSheetId="19">#REF!</definedName>
    <definedName name="VARIPURC" localSheetId="24">#REF!</definedName>
    <definedName name="VARIPURC" localSheetId="15">#REF!</definedName>
    <definedName name="VARIPURC" localSheetId="4">#REF!</definedName>
    <definedName name="VARIPURC" localSheetId="20">#REF!</definedName>
    <definedName name="VARIPURC" localSheetId="16">#REF!</definedName>
    <definedName name="VARIPURC" localSheetId="21">#REF!</definedName>
    <definedName name="VARIPURC" localSheetId="26">#REF!</definedName>
    <definedName name="VARIPURC" localSheetId="25">#REF!</definedName>
    <definedName name="VARIPURC" localSheetId="18">#REF!</definedName>
    <definedName name="VARIPURC" localSheetId="23">#REF!</definedName>
    <definedName name="VARIPURC">#REF!</definedName>
    <definedName name="vccot" localSheetId="17">#REF!</definedName>
    <definedName name="vccot" localSheetId="6">#REF!</definedName>
    <definedName name="vccot" localSheetId="22">#REF!</definedName>
    <definedName name="vccot" localSheetId="19">#REF!</definedName>
    <definedName name="vccot" localSheetId="24">#REF!</definedName>
    <definedName name="vccot" localSheetId="15">#REF!</definedName>
    <definedName name="vccot" localSheetId="4">#REF!</definedName>
    <definedName name="vccot" localSheetId="20">#REF!</definedName>
    <definedName name="vccot" localSheetId="16">#REF!</definedName>
    <definedName name="vccot" localSheetId="21">#REF!</definedName>
    <definedName name="vccot" localSheetId="26">#REF!</definedName>
    <definedName name="vccot" localSheetId="25">#REF!</definedName>
    <definedName name="vccot" localSheetId="18">#REF!</definedName>
    <definedName name="vccot" localSheetId="23">#REF!</definedName>
    <definedName name="vccot">#REF!</definedName>
    <definedName name="vctb" localSheetId="17">#REF!</definedName>
    <definedName name="vctb" localSheetId="6">#REF!</definedName>
    <definedName name="vctb" localSheetId="22">#REF!</definedName>
    <definedName name="vctb" localSheetId="19">#REF!</definedName>
    <definedName name="vctb" localSheetId="24">#REF!</definedName>
    <definedName name="vctb" localSheetId="15">#REF!</definedName>
    <definedName name="vctb" localSheetId="4">#REF!</definedName>
    <definedName name="vctb" localSheetId="20">#REF!</definedName>
    <definedName name="vctb" localSheetId="16">#REF!</definedName>
    <definedName name="vctb" localSheetId="21">#REF!</definedName>
    <definedName name="vctb" localSheetId="26">#REF!</definedName>
    <definedName name="vctb" localSheetId="25">#REF!</definedName>
    <definedName name="vctb" localSheetId="18">#REF!</definedName>
    <definedName name="vctb" localSheetId="23">#REF!</definedName>
    <definedName name="vctb">#REF!</definedName>
    <definedName name="VI" localSheetId="17">#REF!</definedName>
    <definedName name="VI" localSheetId="6">#REF!</definedName>
    <definedName name="VI" localSheetId="22">#REF!</definedName>
    <definedName name="VI" localSheetId="19">#REF!</definedName>
    <definedName name="VI" localSheetId="24">#REF!</definedName>
    <definedName name="VI" localSheetId="15">#REF!</definedName>
    <definedName name="VI" localSheetId="4">#REF!</definedName>
    <definedName name="VI" localSheetId="20">#REF!</definedName>
    <definedName name="VI" localSheetId="16">#REF!</definedName>
    <definedName name="VI" localSheetId="21">#REF!</definedName>
    <definedName name="VI" localSheetId="26">#REF!</definedName>
    <definedName name="VI" localSheetId="25">#REF!</definedName>
    <definedName name="VI" localSheetId="18">#REF!</definedName>
    <definedName name="VI" localSheetId="23">#REF!</definedName>
    <definedName name="VI">#REF!</definedName>
    <definedName name="Vlcap0.7" localSheetId="17">#REF!</definedName>
    <definedName name="Vlcap0.7" localSheetId="6">#REF!</definedName>
    <definedName name="Vlcap0.7" localSheetId="22">#REF!</definedName>
    <definedName name="Vlcap0.7" localSheetId="19">#REF!</definedName>
    <definedName name="Vlcap0.7" localSheetId="24">#REF!</definedName>
    <definedName name="Vlcap0.7" localSheetId="15">#REF!</definedName>
    <definedName name="Vlcap0.7" localSheetId="4">#REF!</definedName>
    <definedName name="Vlcap0.7" localSheetId="20">#REF!</definedName>
    <definedName name="Vlcap0.7" localSheetId="16">#REF!</definedName>
    <definedName name="Vlcap0.7" localSheetId="21">#REF!</definedName>
    <definedName name="Vlcap0.7" localSheetId="26">#REF!</definedName>
    <definedName name="Vlcap0.7" localSheetId="25">#REF!</definedName>
    <definedName name="Vlcap0.7" localSheetId="18">#REF!</definedName>
    <definedName name="Vlcap0.7" localSheetId="23">#REF!</definedName>
    <definedName name="Vlcap0.7">#REF!</definedName>
    <definedName name="VLcap1" localSheetId="17">#REF!</definedName>
    <definedName name="VLcap1" localSheetId="6">#REF!</definedName>
    <definedName name="VLcap1" localSheetId="22">#REF!</definedName>
    <definedName name="VLcap1" localSheetId="19">#REF!</definedName>
    <definedName name="VLcap1" localSheetId="24">#REF!</definedName>
    <definedName name="VLcap1" localSheetId="15">#REF!</definedName>
    <definedName name="VLcap1" localSheetId="4">#REF!</definedName>
    <definedName name="VLcap1" localSheetId="20">#REF!</definedName>
    <definedName name="VLcap1" localSheetId="16">#REF!</definedName>
    <definedName name="VLcap1" localSheetId="21">#REF!</definedName>
    <definedName name="VLcap1" localSheetId="26">#REF!</definedName>
    <definedName name="VLcap1" localSheetId="25">#REF!</definedName>
    <definedName name="VLcap1" localSheetId="18">#REF!</definedName>
    <definedName name="VLcap1" localSheetId="23">#REF!</definedName>
    <definedName name="VLcap1">#REF!</definedName>
    <definedName name="W" localSheetId="17">#REF!</definedName>
    <definedName name="W" localSheetId="6">#REF!</definedName>
    <definedName name="W" localSheetId="22">#REF!</definedName>
    <definedName name="W" localSheetId="19">#REF!</definedName>
    <definedName name="W" localSheetId="24">#REF!</definedName>
    <definedName name="W" localSheetId="15">#REF!</definedName>
    <definedName name="W" localSheetId="4">#REF!</definedName>
    <definedName name="W" localSheetId="20">#REF!</definedName>
    <definedName name="W" localSheetId="16">#REF!</definedName>
    <definedName name="W" localSheetId="21">#REF!</definedName>
    <definedName name="W" localSheetId="26">#REF!</definedName>
    <definedName name="W" localSheetId="25">#REF!</definedName>
    <definedName name="W" localSheetId="18">#REF!</definedName>
    <definedName name="W" localSheetId="23">#REF!</definedName>
    <definedName name="W">#REF!</definedName>
    <definedName name="X" localSheetId="17">#REF!</definedName>
    <definedName name="X" localSheetId="6">#REF!</definedName>
    <definedName name="X" localSheetId="22">#REF!</definedName>
    <definedName name="X" localSheetId="19">#REF!</definedName>
    <definedName name="X" localSheetId="24">#REF!</definedName>
    <definedName name="X" localSheetId="15">#REF!</definedName>
    <definedName name="X" localSheetId="4">#REF!</definedName>
    <definedName name="X" localSheetId="20">#REF!</definedName>
    <definedName name="X" localSheetId="16">#REF!</definedName>
    <definedName name="X" localSheetId="21">#REF!</definedName>
    <definedName name="X" localSheetId="26">#REF!</definedName>
    <definedName name="X" localSheetId="25">#REF!</definedName>
    <definedName name="X" localSheetId="18">#REF!</definedName>
    <definedName name="X" localSheetId="23">#REF!</definedName>
    <definedName name="X">#REF!</definedName>
    <definedName name="Z_457B4A5C_60EC_4783_AB10_E739ECA1DFA0_.wvu.Cols" localSheetId="30" hidden="1">Metadata!$A:$A,Metadata!$J:$K</definedName>
    <definedName name="Z_457B4A5C_60EC_4783_AB10_E739ECA1DFA0_.wvu.PrintTitles" localSheetId="30" hidden="1">Metadata!$6:$7</definedName>
    <definedName name="Z_E273B3E6_B7DB_469F_B24E_B89990ECB8B4_.wvu.Cols" localSheetId="30" hidden="1">Metadata!$H:$K</definedName>
    <definedName name="Z_E273B3E6_B7DB_469F_B24E_B89990ECB8B4_.wvu.PrintTitles" localSheetId="30" hidden="1">Metadata!$6:$7</definedName>
    <definedName name="Z_EB72BD68_CC4A_4983_BE5E_2FDBF48559B1_.wvu.Cols" localSheetId="30" hidden="1">Metadata!$A:$A,Metadata!$J:$K</definedName>
    <definedName name="Z_EB72BD68_CC4A_4983_BE5E_2FDBF48559B1_.wvu.PrintTitles" localSheetId="30" hidden="1">Metadata!$6:$7</definedName>
    <definedName name="ZYX" localSheetId="17">#REF!</definedName>
    <definedName name="ZYX" localSheetId="6">#REF!</definedName>
    <definedName name="ZYX" localSheetId="22">#REF!</definedName>
    <definedName name="ZYX" localSheetId="19">#REF!</definedName>
    <definedName name="ZYX" localSheetId="24">#REF!</definedName>
    <definedName name="ZYX" localSheetId="15">#REF!</definedName>
    <definedName name="ZYX" localSheetId="4">#REF!</definedName>
    <definedName name="ZYX" localSheetId="20">#REF!</definedName>
    <definedName name="ZYX" localSheetId="16">#REF!</definedName>
    <definedName name="ZYX" localSheetId="21">#REF!</definedName>
    <definedName name="ZYX" localSheetId="26">#REF!</definedName>
    <definedName name="ZYX" localSheetId="25">#REF!</definedName>
    <definedName name="ZYX" localSheetId="18">#REF!</definedName>
    <definedName name="ZYX" localSheetId="23">#REF!</definedName>
    <definedName name="ZYX">#REF!</definedName>
    <definedName name="ZZZ" localSheetId="17">#REF!</definedName>
    <definedName name="ZZZ" localSheetId="6">#REF!</definedName>
    <definedName name="ZZZ" localSheetId="22">#REF!</definedName>
    <definedName name="ZZZ" localSheetId="19">#REF!</definedName>
    <definedName name="ZZZ" localSheetId="24">#REF!</definedName>
    <definedName name="ZZZ" localSheetId="15">#REF!</definedName>
    <definedName name="ZZZ" localSheetId="4">#REF!</definedName>
    <definedName name="ZZZ" localSheetId="20">#REF!</definedName>
    <definedName name="ZZZ" localSheetId="16">#REF!</definedName>
    <definedName name="ZZZ" localSheetId="21">#REF!</definedName>
    <definedName name="ZZZ" localSheetId="26">#REF!</definedName>
    <definedName name="ZZZ" localSheetId="25">#REF!</definedName>
    <definedName name="ZZZ" localSheetId="18">#REF!</definedName>
    <definedName name="ZZZ" localSheetId="23">#REF!</definedName>
    <definedName name="ZZZ">#REF!</definedName>
  </definedNames>
  <calcPr calcId="145621"/>
</workbook>
</file>

<file path=xl/calcChain.xml><?xml version="1.0" encoding="utf-8"?>
<calcChain xmlns="http://schemas.openxmlformats.org/spreadsheetml/2006/main">
  <c r="N8" i="78" l="1"/>
  <c r="N9" i="78"/>
  <c r="N11" i="78"/>
  <c r="I8" i="63" l="1"/>
  <c r="F14" i="46"/>
  <c r="G13" i="47"/>
  <c r="G9" i="47" l="1"/>
  <c r="G5" i="26" l="1"/>
  <c r="F11" i="74" l="1"/>
  <c r="F12" i="74"/>
  <c r="F4" i="74"/>
  <c r="J139" i="75"/>
  <c r="G4" i="47"/>
  <c r="E139" i="75"/>
  <c r="J129" i="75"/>
  <c r="I140" i="76"/>
  <c r="M140" i="76"/>
  <c r="D19" i="21" l="1"/>
  <c r="C7" i="47" l="1"/>
  <c r="D7" i="47"/>
  <c r="E7" i="47"/>
  <c r="F7" i="47"/>
  <c r="B7" i="47"/>
  <c r="F37" i="69" l="1"/>
  <c r="E66" i="72" l="1"/>
  <c r="H66" i="72" s="1"/>
  <c r="E57" i="72"/>
  <c r="E24" i="72"/>
  <c r="E60" i="21" l="1"/>
  <c r="G35" i="21"/>
  <c r="H35" i="21" s="1"/>
  <c r="F41" i="70" l="1"/>
  <c r="H37" i="26" l="1"/>
  <c r="F29" i="62" l="1"/>
  <c r="B9" i="77" l="1"/>
  <c r="U26" i="78" l="1"/>
  <c r="D51" i="74" l="1"/>
  <c r="D52" i="74"/>
  <c r="D50" i="74"/>
  <c r="E53" i="62"/>
  <c r="E52" i="62"/>
  <c r="E51" i="62"/>
  <c r="C14" i="77" l="1"/>
  <c r="W48" i="68" l="1"/>
  <c r="E8" i="68"/>
  <c r="F8" i="68"/>
  <c r="E9" i="68"/>
  <c r="F9" i="68"/>
  <c r="E11" i="68"/>
  <c r="F11" i="68"/>
  <c r="E12" i="68"/>
  <c r="F12" i="68"/>
  <c r="E14" i="68"/>
  <c r="F14" i="68"/>
  <c r="E15" i="68"/>
  <c r="F15" i="68"/>
  <c r="E18" i="68"/>
  <c r="F18" i="68"/>
  <c r="E19" i="68"/>
  <c r="F19" i="68"/>
  <c r="E20" i="68"/>
  <c r="F20" i="68"/>
  <c r="E21" i="68"/>
  <c r="F21" i="68"/>
  <c r="E23" i="68"/>
  <c r="F23" i="68"/>
  <c r="E24" i="68"/>
  <c r="F24" i="68"/>
  <c r="E30" i="68"/>
  <c r="F30" i="68"/>
  <c r="E33" i="68"/>
  <c r="F33" i="68"/>
  <c r="E34" i="68"/>
  <c r="F34" i="68"/>
  <c r="E35" i="68"/>
  <c r="F35" i="68"/>
  <c r="E37" i="68"/>
  <c r="F37" i="68"/>
  <c r="E38" i="68"/>
  <c r="F38" i="68"/>
  <c r="E40" i="68"/>
  <c r="F40" i="68"/>
  <c r="E41" i="68"/>
  <c r="F41" i="68"/>
  <c r="E43" i="68"/>
  <c r="F43" i="68"/>
  <c r="E44" i="68"/>
  <c r="F44" i="68"/>
  <c r="E45" i="68"/>
  <c r="F45" i="68"/>
  <c r="U13" i="68"/>
  <c r="U42" i="68"/>
  <c r="C70" i="63" l="1"/>
  <c r="G10" i="47"/>
  <c r="H38" i="26"/>
  <c r="H39" i="26"/>
  <c r="H40" i="26"/>
  <c r="H41" i="26"/>
  <c r="H42" i="26"/>
  <c r="H43" i="26"/>
  <c r="H44" i="26"/>
  <c r="H46" i="26"/>
  <c r="H47" i="26"/>
  <c r="H48" i="26"/>
  <c r="H49" i="26"/>
  <c r="H50" i="26"/>
  <c r="H51" i="26"/>
  <c r="H52" i="26"/>
  <c r="H53" i="26"/>
  <c r="H54" i="26"/>
  <c r="H55" i="26"/>
  <c r="H56" i="26"/>
  <c r="H57" i="26"/>
  <c r="F28" i="77" l="1"/>
  <c r="F29" i="77"/>
  <c r="F27" i="77"/>
  <c r="E28" i="77"/>
  <c r="E29" i="77"/>
  <c r="E27" i="77"/>
  <c r="H80" i="76" l="1"/>
  <c r="G80" i="76"/>
  <c r="G81" i="75"/>
  <c r="H80" i="75"/>
  <c r="G80" i="75"/>
  <c r="G79" i="75"/>
  <c r="G85" i="75" s="1"/>
  <c r="H79" i="75"/>
  <c r="H85" i="75" s="1"/>
  <c r="H81" i="75"/>
  <c r="H82" i="75"/>
  <c r="H86" i="75" s="1"/>
  <c r="H83" i="75"/>
  <c r="H87" i="75" s="1"/>
  <c r="I83" i="75"/>
  <c r="J83" i="75" s="1"/>
  <c r="K78" i="75" s="1"/>
  <c r="H28" i="77" s="1"/>
  <c r="G82" i="75"/>
  <c r="G86" i="75" s="1"/>
  <c r="H73" i="75"/>
  <c r="H74" i="75"/>
  <c r="H75" i="75"/>
  <c r="H76" i="75"/>
  <c r="H77" i="75"/>
  <c r="I77" i="75"/>
  <c r="G76" i="75"/>
  <c r="G75" i="75"/>
  <c r="G74" i="75"/>
  <c r="G73" i="75"/>
  <c r="M56" i="78"/>
  <c r="I87" i="75" l="1"/>
  <c r="J87" i="75" s="1"/>
  <c r="K84" i="75" s="1"/>
  <c r="H29" i="77" s="1"/>
  <c r="J77" i="75"/>
  <c r="K72" i="75" s="1"/>
  <c r="H27" i="77" s="1"/>
  <c r="F29" i="78"/>
  <c r="E28" i="78"/>
  <c r="E29" i="78"/>
  <c r="E27" i="78"/>
  <c r="I77" i="76" l="1"/>
  <c r="J77" i="76" s="1"/>
  <c r="K72" i="76" s="1"/>
  <c r="H27" i="78" s="1"/>
  <c r="I69" i="76"/>
  <c r="J69" i="76" s="1"/>
  <c r="H76" i="76"/>
  <c r="H82" i="76" s="1"/>
  <c r="H86" i="76" s="1"/>
  <c r="H73" i="76"/>
  <c r="H79" i="76" s="1"/>
  <c r="H85" i="76" s="1"/>
  <c r="H74" i="76"/>
  <c r="H75" i="76"/>
  <c r="H81" i="76" s="1"/>
  <c r="G74" i="76"/>
  <c r="G75" i="76"/>
  <c r="G81" i="76" s="1"/>
  <c r="G76" i="76"/>
  <c r="G82" i="76" s="1"/>
  <c r="G86" i="76" s="1"/>
  <c r="G87" i="76"/>
  <c r="G73" i="76"/>
  <c r="G79" i="76" s="1"/>
  <c r="G85" i="76" s="1"/>
  <c r="D20" i="76"/>
  <c r="F42" i="78"/>
  <c r="F28" i="78"/>
  <c r="F27" i="78"/>
  <c r="S11" i="68"/>
  <c r="S14" i="68" s="1"/>
  <c r="S12" i="68"/>
  <c r="S38" i="68" s="1"/>
  <c r="S18" i="68"/>
  <c r="S19" i="68"/>
  <c r="S23" i="68" s="1"/>
  <c r="S20" i="68"/>
  <c r="S21" i="68"/>
  <c r="S30" i="68"/>
  <c r="S33" i="68" s="1"/>
  <c r="S40" i="68"/>
  <c r="I83" i="76" l="1"/>
  <c r="S37" i="68"/>
  <c r="S34" i="68"/>
  <c r="S24" i="68"/>
  <c r="S15" i="68"/>
  <c r="S35" i="68"/>
  <c r="K28" i="68"/>
  <c r="K29" i="68"/>
  <c r="K27" i="68"/>
  <c r="J28" i="68"/>
  <c r="J29" i="68"/>
  <c r="J27" i="68"/>
  <c r="H79" i="63"/>
  <c r="I79" i="63"/>
  <c r="J79" i="63" s="1"/>
  <c r="K76" i="63" s="1"/>
  <c r="I29" i="68" s="1"/>
  <c r="H78" i="63"/>
  <c r="G78" i="63"/>
  <c r="H77" i="63"/>
  <c r="G77" i="63"/>
  <c r="E79" i="63"/>
  <c r="E78" i="63"/>
  <c r="E77" i="63"/>
  <c r="B70" i="63"/>
  <c r="B64" i="63"/>
  <c r="C64" i="63"/>
  <c r="G75" i="63"/>
  <c r="H72" i="63"/>
  <c r="G72" i="63"/>
  <c r="H69" i="63"/>
  <c r="H75" i="63" s="1"/>
  <c r="I69" i="63"/>
  <c r="J69" i="63" s="1"/>
  <c r="K64" i="63" s="1"/>
  <c r="I27" i="68" s="1"/>
  <c r="H68" i="63"/>
  <c r="H74" i="63" s="1"/>
  <c r="G68" i="63"/>
  <c r="G74" i="63" s="1"/>
  <c r="H67" i="63"/>
  <c r="H73" i="63" s="1"/>
  <c r="G67" i="63"/>
  <c r="G73" i="63" s="1"/>
  <c r="H66" i="63"/>
  <c r="G66" i="63"/>
  <c r="H65" i="63"/>
  <c r="G65" i="63"/>
  <c r="C76" i="63"/>
  <c r="B76" i="63"/>
  <c r="C63" i="63"/>
  <c r="B63" i="63"/>
  <c r="I87" i="76" l="1"/>
  <c r="J87" i="76" s="1"/>
  <c r="K84" i="76" s="1"/>
  <c r="H29" i="78" s="1"/>
  <c r="J83" i="76"/>
  <c r="K78" i="76" s="1"/>
  <c r="H28" i="78" s="1"/>
  <c r="I75" i="63"/>
  <c r="J75" i="63" s="1"/>
  <c r="K70" i="63" l="1"/>
  <c r="I28" i="68" s="1"/>
  <c r="C16" i="68" l="1"/>
  <c r="A7" i="68" l="1"/>
  <c r="A8" i="68"/>
  <c r="A9" i="68"/>
  <c r="A10" i="68"/>
  <c r="A11" i="68"/>
  <c r="A12" i="68"/>
  <c r="A13" i="68"/>
  <c r="A14" i="68"/>
  <c r="A15" i="68"/>
  <c r="F66" i="62" l="1"/>
  <c r="F6" i="46" l="1"/>
  <c r="G29" i="21" s="1"/>
  <c r="H29" i="21" s="1"/>
  <c r="D20" i="75" l="1"/>
  <c r="G5" i="47" l="1"/>
  <c r="I30" i="63" s="1"/>
  <c r="G12" i="47"/>
  <c r="G6" i="47"/>
  <c r="H30" i="63"/>
  <c r="D21" i="63"/>
  <c r="D20" i="63"/>
  <c r="I76" i="75" l="1"/>
  <c r="J76" i="75" s="1"/>
  <c r="I82" i="75"/>
  <c r="I76" i="76"/>
  <c r="I78" i="63"/>
  <c r="J78" i="63" s="1"/>
  <c r="I68" i="63"/>
  <c r="I79" i="75"/>
  <c r="I73" i="75"/>
  <c r="J73" i="75" s="1"/>
  <c r="I73" i="76"/>
  <c r="I77" i="63"/>
  <c r="J77" i="63" s="1"/>
  <c r="I65" i="63"/>
  <c r="J65" i="63" s="1"/>
  <c r="F24" i="69"/>
  <c r="F24" i="70" s="1"/>
  <c r="F25" i="69"/>
  <c r="F25" i="70" s="1"/>
  <c r="F26" i="69"/>
  <c r="F26" i="70" s="1"/>
  <c r="E24" i="69"/>
  <c r="E25" i="69"/>
  <c r="E25" i="70" s="1"/>
  <c r="E26" i="69"/>
  <c r="E26" i="70" s="1"/>
  <c r="H7" i="70"/>
  <c r="H10" i="70"/>
  <c r="H10" i="69"/>
  <c r="D42" i="78" s="1"/>
  <c r="H7" i="69"/>
  <c r="H44" i="58"/>
  <c r="H29" i="58"/>
  <c r="H28" i="58"/>
  <c r="H23" i="58"/>
  <c r="H22" i="58"/>
  <c r="H19" i="58"/>
  <c r="H10" i="58"/>
  <c r="H7" i="58"/>
  <c r="J76" i="63" l="1"/>
  <c r="H29" i="68" s="1"/>
  <c r="J68" i="63"/>
  <c r="I74" i="63"/>
  <c r="J74" i="63" s="1"/>
  <c r="I79" i="76"/>
  <c r="J73" i="76"/>
  <c r="J79" i="75"/>
  <c r="I85" i="75"/>
  <c r="J85" i="75" s="1"/>
  <c r="I86" i="75"/>
  <c r="J86" i="75" s="1"/>
  <c r="J82" i="75"/>
  <c r="J76" i="76"/>
  <c r="I82" i="76"/>
  <c r="F34" i="26"/>
  <c r="F33" i="26"/>
  <c r="F32" i="26"/>
  <c r="F31" i="26"/>
  <c r="F29" i="26"/>
  <c r="F28" i="26"/>
  <c r="F27" i="26"/>
  <c r="F26" i="26"/>
  <c r="F25" i="26"/>
  <c r="F24" i="26"/>
  <c r="F23" i="26"/>
  <c r="F22" i="26"/>
  <c r="F21" i="26"/>
  <c r="F20" i="26"/>
  <c r="F19" i="26"/>
  <c r="F18" i="26"/>
  <c r="F16" i="26"/>
  <c r="F15" i="26"/>
  <c r="F14" i="26"/>
  <c r="F13" i="26"/>
  <c r="F12" i="26"/>
  <c r="F11" i="26"/>
  <c r="F10" i="26"/>
  <c r="F9" i="26"/>
  <c r="C21" i="26"/>
  <c r="C22" i="26" s="1"/>
  <c r="C23" i="26" s="1"/>
  <c r="C24" i="26" s="1"/>
  <c r="C25" i="26" s="1"/>
  <c r="C26" i="26" s="1"/>
  <c r="C27" i="26" s="1"/>
  <c r="C28" i="26" s="1"/>
  <c r="C29" i="26" s="1"/>
  <c r="C19" i="26"/>
  <c r="C18" i="26" s="1"/>
  <c r="C10" i="26"/>
  <c r="C11" i="26" s="1"/>
  <c r="C12" i="26" s="1"/>
  <c r="C13" i="26" s="1"/>
  <c r="C14" i="26" s="1"/>
  <c r="C15" i="26" s="1"/>
  <c r="C16" i="26" s="1"/>
  <c r="C49" i="26"/>
  <c r="C50" i="26" s="1"/>
  <c r="C51" i="26" s="1"/>
  <c r="C52" i="26" s="1"/>
  <c r="C53" i="26" s="1"/>
  <c r="C54" i="26" s="1"/>
  <c r="C55" i="26" s="1"/>
  <c r="C56" i="26" s="1"/>
  <c r="C57" i="26" s="1"/>
  <c r="C47" i="26"/>
  <c r="C46" i="26" s="1"/>
  <c r="C38" i="26"/>
  <c r="C39" i="26" s="1"/>
  <c r="C40" i="26" s="1"/>
  <c r="C41" i="26" s="1"/>
  <c r="C42" i="26" s="1"/>
  <c r="C43" i="26" s="1"/>
  <c r="C44" i="26" s="1"/>
  <c r="J84" i="75" l="1"/>
  <c r="G29" i="77" s="1"/>
  <c r="I86" i="76"/>
  <c r="J86" i="76" s="1"/>
  <c r="J82" i="76"/>
  <c r="I85" i="76"/>
  <c r="J85" i="76" s="1"/>
  <c r="J79" i="76"/>
  <c r="L51" i="84"/>
  <c r="L52" i="84"/>
  <c r="L53" i="84"/>
  <c r="L54" i="84"/>
  <c r="L55" i="84"/>
  <c r="L56" i="84"/>
  <c r="L57" i="84"/>
  <c r="L50" i="84"/>
  <c r="L25" i="84"/>
  <c r="L26" i="84"/>
  <c r="L27" i="84"/>
  <c r="L28" i="84"/>
  <c r="L29" i="84"/>
  <c r="L30" i="84"/>
  <c r="L31" i="84"/>
  <c r="L24" i="84"/>
  <c r="L5" i="84"/>
  <c r="L6" i="84"/>
  <c r="L7" i="84"/>
  <c r="L8" i="84"/>
  <c r="L9" i="84"/>
  <c r="L10" i="84"/>
  <c r="L11" i="84"/>
  <c r="L4" i="84"/>
  <c r="N53" i="83"/>
  <c r="N54" i="83"/>
  <c r="N55" i="83"/>
  <c r="N56" i="83"/>
  <c r="N57" i="83"/>
  <c r="N58" i="83"/>
  <c r="N52" i="83"/>
  <c r="M24" i="83"/>
  <c r="M25" i="83"/>
  <c r="M26" i="83"/>
  <c r="M27" i="83"/>
  <c r="M28" i="83"/>
  <c r="M29" i="83"/>
  <c r="M23" i="83"/>
  <c r="M5" i="83"/>
  <c r="M6" i="83"/>
  <c r="M7" i="83"/>
  <c r="M8" i="83"/>
  <c r="M9" i="83"/>
  <c r="M10" i="83"/>
  <c r="M4" i="83"/>
  <c r="J84" i="76" l="1"/>
  <c r="G29" i="78" s="1"/>
  <c r="L25" i="86"/>
  <c r="L24" i="86"/>
  <c r="L23" i="86"/>
  <c r="M25" i="86" l="1"/>
  <c r="N25" i="86" s="1"/>
  <c r="O25" i="86" s="1"/>
  <c r="M24" i="86"/>
  <c r="N24" i="86" s="1"/>
  <c r="O24" i="86" s="1"/>
  <c r="M23" i="86"/>
  <c r="N23" i="86" s="1"/>
  <c r="O23" i="86" s="1"/>
  <c r="X36" i="67" l="1"/>
  <c r="T36" i="67"/>
  <c r="AB31" i="67"/>
  <c r="X35" i="67"/>
  <c r="T35" i="67"/>
  <c r="Q24" i="86" l="1"/>
  <c r="Q23" i="86"/>
  <c r="E74" i="62"/>
  <c r="D74" i="62"/>
  <c r="E73" i="62"/>
  <c r="D73" i="62"/>
  <c r="E72" i="62"/>
  <c r="D72" i="62"/>
  <c r="E71" i="62"/>
  <c r="D71" i="62"/>
  <c r="E70" i="62"/>
  <c r="D70" i="62"/>
  <c r="E69" i="62"/>
  <c r="D69" i="62"/>
  <c r="E68" i="62"/>
  <c r="D68" i="62"/>
  <c r="E67" i="62"/>
  <c r="G67" i="62" s="1"/>
  <c r="D67" i="62"/>
  <c r="E37" i="62"/>
  <c r="D37" i="62"/>
  <c r="E36" i="62"/>
  <c r="D36" i="62"/>
  <c r="E35" i="62"/>
  <c r="D35" i="62"/>
  <c r="E34" i="62"/>
  <c r="D34" i="62"/>
  <c r="E33" i="62"/>
  <c r="D33" i="62"/>
  <c r="E32" i="62"/>
  <c r="D32" i="62"/>
  <c r="E31" i="62"/>
  <c r="D31" i="62"/>
  <c r="E30" i="62"/>
  <c r="G30" i="62" s="1"/>
  <c r="D30" i="62"/>
  <c r="E11" i="62"/>
  <c r="D11" i="62"/>
  <c r="E10" i="62"/>
  <c r="D10" i="62"/>
  <c r="E9" i="62"/>
  <c r="D9" i="62"/>
  <c r="E8" i="62"/>
  <c r="D8" i="62"/>
  <c r="E7" i="62"/>
  <c r="D7" i="62"/>
  <c r="E6" i="62"/>
  <c r="D6" i="62"/>
  <c r="E5" i="62"/>
  <c r="D5" i="62"/>
  <c r="E4" i="62"/>
  <c r="D4" i="62"/>
  <c r="F74" i="73"/>
  <c r="D74" i="73"/>
  <c r="F73" i="73"/>
  <c r="D73" i="73"/>
  <c r="F72" i="73"/>
  <c r="D72" i="73"/>
  <c r="F71" i="73"/>
  <c r="D71" i="73"/>
  <c r="F70" i="73"/>
  <c r="D70" i="73"/>
  <c r="F69" i="73"/>
  <c r="D69" i="73"/>
  <c r="F68" i="73"/>
  <c r="D68" i="73"/>
  <c r="F67" i="73"/>
  <c r="D67" i="73"/>
  <c r="F37" i="73"/>
  <c r="D37" i="73"/>
  <c r="F36" i="73"/>
  <c r="D36" i="73"/>
  <c r="F35" i="73"/>
  <c r="G35" i="73" s="1"/>
  <c r="D35" i="73"/>
  <c r="F34" i="73"/>
  <c r="D34" i="73"/>
  <c r="F33" i="73"/>
  <c r="D33" i="73"/>
  <c r="F32" i="73"/>
  <c r="D32" i="73"/>
  <c r="F31" i="73"/>
  <c r="D31" i="73"/>
  <c r="F30" i="73"/>
  <c r="D30" i="73"/>
  <c r="F11" i="73"/>
  <c r="D11" i="73"/>
  <c r="F10" i="73"/>
  <c r="D10" i="73"/>
  <c r="F9" i="73"/>
  <c r="D9" i="73"/>
  <c r="F8" i="73"/>
  <c r="D8" i="73"/>
  <c r="F7" i="73"/>
  <c r="D7" i="73"/>
  <c r="F6" i="73"/>
  <c r="D6" i="73"/>
  <c r="F5" i="73"/>
  <c r="D5" i="73"/>
  <c r="F4" i="73"/>
  <c r="G4" i="73" s="1"/>
  <c r="D4" i="73"/>
  <c r="F57" i="84"/>
  <c r="E57" i="84"/>
  <c r="F56" i="84"/>
  <c r="E56" i="84"/>
  <c r="F55" i="84"/>
  <c r="E55" i="84"/>
  <c r="F54" i="84"/>
  <c r="E54" i="84"/>
  <c r="F53" i="84"/>
  <c r="E53" i="84"/>
  <c r="F52" i="84"/>
  <c r="E52" i="84"/>
  <c r="F51" i="84"/>
  <c r="E51" i="84"/>
  <c r="F50" i="84"/>
  <c r="E50" i="84"/>
  <c r="F31" i="84"/>
  <c r="E31" i="84"/>
  <c r="F30" i="84"/>
  <c r="E30" i="84"/>
  <c r="F29" i="84"/>
  <c r="E29" i="84"/>
  <c r="F28" i="84"/>
  <c r="E28" i="84"/>
  <c r="F27" i="84"/>
  <c r="E27" i="84"/>
  <c r="F26" i="84"/>
  <c r="E26" i="84"/>
  <c r="F25" i="84"/>
  <c r="E25" i="84"/>
  <c r="F24" i="84"/>
  <c r="E24" i="84"/>
  <c r="E73" i="74"/>
  <c r="C73" i="74"/>
  <c r="E72" i="74"/>
  <c r="C72" i="74"/>
  <c r="E71" i="74"/>
  <c r="C71" i="74"/>
  <c r="E70" i="74"/>
  <c r="C70" i="74"/>
  <c r="E69" i="74"/>
  <c r="C69" i="74"/>
  <c r="E68" i="74"/>
  <c r="C68" i="74"/>
  <c r="E67" i="74"/>
  <c r="C67" i="74"/>
  <c r="E66" i="74"/>
  <c r="C66" i="74"/>
  <c r="E37" i="74"/>
  <c r="C37" i="74"/>
  <c r="E36" i="74"/>
  <c r="C36" i="74"/>
  <c r="E35" i="74"/>
  <c r="C35" i="74"/>
  <c r="E34" i="74"/>
  <c r="C34" i="74"/>
  <c r="E33" i="74"/>
  <c r="C33" i="74"/>
  <c r="E32" i="74"/>
  <c r="C32" i="74"/>
  <c r="E31" i="74"/>
  <c r="C31" i="74"/>
  <c r="E30" i="74"/>
  <c r="C30" i="74"/>
  <c r="E11" i="74"/>
  <c r="C11" i="74"/>
  <c r="E10" i="74"/>
  <c r="C10" i="74"/>
  <c r="E9" i="74"/>
  <c r="C9" i="74"/>
  <c r="E8" i="74"/>
  <c r="C8" i="74"/>
  <c r="E7" i="74"/>
  <c r="C7" i="74"/>
  <c r="E6" i="74"/>
  <c r="C6" i="74"/>
  <c r="E5" i="74"/>
  <c r="C5" i="74"/>
  <c r="E4" i="74"/>
  <c r="C4" i="74"/>
  <c r="E11" i="84"/>
  <c r="E10" i="84"/>
  <c r="E9" i="84"/>
  <c r="E8" i="84"/>
  <c r="E7" i="84"/>
  <c r="E6" i="84"/>
  <c r="E5" i="84"/>
  <c r="E4" i="84"/>
  <c r="F11" i="84"/>
  <c r="F10" i="84"/>
  <c r="F9" i="84"/>
  <c r="F8" i="84"/>
  <c r="F7" i="84"/>
  <c r="F6" i="84"/>
  <c r="F5" i="84"/>
  <c r="F4" i="84"/>
  <c r="D116" i="85" l="1"/>
  <c r="D108" i="85"/>
  <c r="D102" i="85"/>
  <c r="D97" i="85"/>
  <c r="D92" i="85"/>
  <c r="D87" i="85"/>
  <c r="D80" i="85"/>
  <c r="D76" i="85"/>
  <c r="D67" i="85"/>
  <c r="D60" i="85"/>
  <c r="D56" i="85"/>
  <c r="D47" i="85"/>
  <c r="D42" i="85"/>
  <c r="D38" i="85"/>
  <c r="D27" i="85"/>
  <c r="D15" i="85"/>
  <c r="D10" i="85"/>
  <c r="D6" i="85"/>
  <c r="D164" i="75"/>
  <c r="D156" i="75"/>
  <c r="D147" i="75"/>
  <c r="D142" i="75"/>
  <c r="D137" i="75"/>
  <c r="D132" i="75"/>
  <c r="D123" i="75"/>
  <c r="D119" i="75"/>
  <c r="D114" i="75"/>
  <c r="D107" i="75"/>
  <c r="D100" i="75"/>
  <c r="D94" i="75"/>
  <c r="D69" i="75"/>
  <c r="D65" i="75"/>
  <c r="D60" i="75"/>
  <c r="D56" i="75"/>
  <c r="D49" i="75"/>
  <c r="D40" i="75"/>
  <c r="D31" i="75"/>
  <c r="D21" i="75"/>
  <c r="D12" i="75"/>
  <c r="D8" i="75"/>
  <c r="D158" i="75"/>
  <c r="D150" i="75"/>
  <c r="D144" i="75"/>
  <c r="D139" i="75"/>
  <c r="D134" i="75"/>
  <c r="D129" i="75"/>
  <c r="D121" i="75"/>
  <c r="D117" i="75"/>
  <c r="D109" i="75"/>
  <c r="D102" i="75"/>
  <c r="D98" i="75"/>
  <c r="D89" i="75"/>
  <c r="D67" i="75"/>
  <c r="D63" i="75"/>
  <c r="D58" i="75"/>
  <c r="D54" i="75"/>
  <c r="D42" i="75"/>
  <c r="D33" i="75"/>
  <c r="D24" i="75"/>
  <c r="D15" i="75"/>
  <c r="D10" i="75"/>
  <c r="D6" i="75"/>
  <c r="D19" i="75"/>
  <c r="D159" i="76"/>
  <c r="D151" i="76"/>
  <c r="D145" i="76"/>
  <c r="D140" i="76"/>
  <c r="D135" i="76"/>
  <c r="D130" i="76"/>
  <c r="D121" i="76"/>
  <c r="D117" i="76"/>
  <c r="D109" i="76"/>
  <c r="D102" i="76"/>
  <c r="D98" i="76"/>
  <c r="D89" i="76"/>
  <c r="D67" i="76"/>
  <c r="D63" i="76"/>
  <c r="D58" i="76"/>
  <c r="D54" i="76"/>
  <c r="D42" i="76"/>
  <c r="D33" i="76"/>
  <c r="D24" i="76"/>
  <c r="D15" i="76"/>
  <c r="D10" i="76"/>
  <c r="D6" i="76"/>
  <c r="D19" i="76"/>
  <c r="D109" i="63"/>
  <c r="D94" i="63"/>
  <c r="D90" i="63"/>
  <c r="D81" i="63"/>
  <c r="D55" i="63"/>
  <c r="D46" i="63"/>
  <c r="D38" i="63"/>
  <c r="D29" i="63"/>
  <c r="D24" i="63"/>
  <c r="D61" i="63"/>
  <c r="D52" i="63"/>
  <c r="C33" i="84" l="1"/>
  <c r="C59" i="84" s="1"/>
  <c r="C23" i="84"/>
  <c r="C49" i="84" s="1"/>
  <c r="C31" i="83"/>
  <c r="C60" i="83" s="1"/>
  <c r="C35" i="85"/>
  <c r="C83" i="85" s="1"/>
  <c r="D68" i="71"/>
  <c r="I51" i="83" l="1"/>
  <c r="G49" i="84" s="1"/>
  <c r="I22" i="83"/>
  <c r="G23" i="84" s="1"/>
  <c r="I3" i="83"/>
  <c r="G3" i="84" s="1"/>
  <c r="C51" i="76"/>
  <c r="C127" i="76"/>
  <c r="F127" i="76"/>
  <c r="B41" i="74"/>
  <c r="B77" i="74"/>
  <c r="B29" i="74"/>
  <c r="B65" i="74" s="1"/>
  <c r="D65" i="74"/>
  <c r="D29" i="74"/>
  <c r="D3" i="74"/>
  <c r="F32" i="72"/>
  <c r="F31" i="72"/>
  <c r="F30" i="72"/>
  <c r="F29" i="72"/>
  <c r="F28" i="72"/>
  <c r="F27" i="72"/>
  <c r="F9" i="72"/>
  <c r="F8" i="72"/>
  <c r="F7" i="72"/>
  <c r="F6" i="72"/>
  <c r="F5" i="72"/>
  <c r="F4" i="72"/>
  <c r="C126" i="75"/>
  <c r="C51" i="75"/>
  <c r="C119" i="63"/>
  <c r="C43" i="63"/>
  <c r="F51" i="76" l="1"/>
  <c r="E66" i="73"/>
  <c r="E29" i="73"/>
  <c r="C14" i="71"/>
  <c r="D94" i="76"/>
  <c r="D100" i="76" s="1"/>
  <c r="D60" i="76"/>
  <c r="F3" i="62" l="1"/>
  <c r="D113" i="63"/>
  <c r="D92" i="63"/>
  <c r="D86" i="63"/>
  <c r="D59" i="63"/>
  <c r="D50" i="63"/>
  <c r="D48" i="63"/>
  <c r="D41" i="63"/>
  <c r="D36" i="63"/>
  <c r="D27" i="63"/>
  <c r="D17" i="63"/>
  <c r="D12" i="63"/>
  <c r="D8" i="63"/>
  <c r="J23" i="84" l="1"/>
  <c r="J3" i="84"/>
  <c r="C151" i="63" l="1"/>
  <c r="C145" i="63"/>
  <c r="C143" i="63"/>
  <c r="C137" i="63"/>
  <c r="C132" i="63"/>
  <c r="C127" i="63"/>
  <c r="C122" i="63"/>
  <c r="C113" i="63"/>
  <c r="C109" i="63"/>
  <c r="C102" i="63"/>
  <c r="C101" i="63"/>
  <c r="C95" i="63"/>
  <c r="C94" i="63"/>
  <c r="C82" i="63"/>
  <c r="C81" i="63"/>
  <c r="C59" i="63"/>
  <c r="C55" i="63"/>
  <c r="C50" i="63"/>
  <c r="C46" i="63"/>
  <c r="C38" i="63"/>
  <c r="C32" i="63"/>
  <c r="C29" i="63"/>
  <c r="C24" i="63"/>
  <c r="C15" i="63"/>
  <c r="C10" i="63"/>
  <c r="C6" i="63"/>
  <c r="A45" i="68" l="1"/>
  <c r="A44" i="68"/>
  <c r="A43" i="68"/>
  <c r="A42" i="68"/>
  <c r="A41" i="68"/>
  <c r="A40" i="68"/>
  <c r="A39" i="68"/>
  <c r="A38" i="68"/>
  <c r="A37" i="68"/>
  <c r="A36" i="68"/>
  <c r="A35" i="68"/>
  <c r="A34" i="68"/>
  <c r="A33" i="68"/>
  <c r="A32" i="68"/>
  <c r="A31" i="68"/>
  <c r="A30" i="68"/>
  <c r="A29" i="68"/>
  <c r="A26" i="68"/>
  <c r="A25" i="68"/>
  <c r="A24" i="68"/>
  <c r="A23" i="68"/>
  <c r="A22" i="68"/>
  <c r="A21" i="68"/>
  <c r="A20" i="68"/>
  <c r="A19" i="68"/>
  <c r="A18" i="68"/>
  <c r="A17" i="68"/>
  <c r="A87" i="62"/>
  <c r="A86" i="62"/>
  <c r="A85" i="62"/>
  <c r="A84" i="62"/>
  <c r="A83" i="62"/>
  <c r="A82" i="62"/>
  <c r="A81" i="62"/>
  <c r="A80" i="62"/>
  <c r="A62" i="62"/>
  <c r="A61" i="62"/>
  <c r="A60" i="62"/>
  <c r="A59" i="62"/>
  <c r="A58" i="62"/>
  <c r="A57" i="62"/>
  <c r="A56" i="62"/>
  <c r="A55" i="62"/>
  <c r="A54" i="62"/>
  <c r="A53" i="62"/>
  <c r="A50" i="62"/>
  <c r="A49" i="62"/>
  <c r="A48" i="62"/>
  <c r="A47" i="62"/>
  <c r="A46" i="62"/>
  <c r="A45" i="62"/>
  <c r="A44" i="62"/>
  <c r="A43" i="62"/>
  <c r="A25" i="62"/>
  <c r="A24" i="62"/>
  <c r="A23" i="62"/>
  <c r="A22" i="62"/>
  <c r="A21" i="62"/>
  <c r="A20" i="62"/>
  <c r="A19" i="62"/>
  <c r="A18" i="62"/>
  <c r="A17" i="62"/>
  <c r="A16" i="62"/>
  <c r="A82" i="21"/>
  <c r="A81" i="21"/>
  <c r="A80" i="21"/>
  <c r="A79" i="21"/>
  <c r="A78" i="21"/>
  <c r="A77" i="21"/>
  <c r="A76" i="21"/>
  <c r="A75" i="21"/>
  <c r="A59" i="21"/>
  <c r="A58" i="21"/>
  <c r="A57" i="21"/>
  <c r="A56" i="21"/>
  <c r="A55" i="21"/>
  <c r="A54" i="21"/>
  <c r="A53" i="21"/>
  <c r="A52" i="21"/>
  <c r="A51" i="21"/>
  <c r="A46" i="21"/>
  <c r="A45" i="21"/>
  <c r="A44" i="21"/>
  <c r="A43" i="21"/>
  <c r="A42" i="21"/>
  <c r="A41" i="21"/>
  <c r="A40" i="21"/>
  <c r="A24" i="21"/>
  <c r="A23" i="21"/>
  <c r="A22" i="21"/>
  <c r="A21" i="21"/>
  <c r="A20" i="21"/>
  <c r="A19" i="21"/>
  <c r="A18" i="21"/>
  <c r="A17" i="21"/>
  <c r="A16" i="21"/>
  <c r="A15" i="21"/>
  <c r="A150" i="63"/>
  <c r="A142" i="63"/>
  <c r="C141" i="63"/>
  <c r="B141" i="63"/>
  <c r="A136" i="63"/>
  <c r="A131" i="63"/>
  <c r="A126" i="63"/>
  <c r="A121" i="63"/>
  <c r="A120" i="63"/>
  <c r="C120" i="63"/>
  <c r="B120" i="63"/>
  <c r="A112" i="63"/>
  <c r="A108" i="63"/>
  <c r="A107" i="63"/>
  <c r="A100" i="63"/>
  <c r="A93" i="63"/>
  <c r="A89" i="63"/>
  <c r="A88" i="63"/>
  <c r="A87" i="63"/>
  <c r="A80" i="63"/>
  <c r="A62" i="63"/>
  <c r="A58" i="63"/>
  <c r="A54" i="63"/>
  <c r="A53" i="63"/>
  <c r="A49" i="63"/>
  <c r="A45" i="63"/>
  <c r="A44" i="63"/>
  <c r="A37" i="63"/>
  <c r="A28" i="63"/>
  <c r="A23" i="63"/>
  <c r="A22" i="63"/>
  <c r="A18" i="63"/>
  <c r="A14" i="63"/>
  <c r="A13" i="63"/>
  <c r="A9" i="63"/>
  <c r="A5" i="63"/>
  <c r="A4" i="63"/>
  <c r="B19" i="62"/>
  <c r="B20" i="62"/>
  <c r="F24" i="86" l="1"/>
  <c r="F25" i="86"/>
  <c r="F23" i="86"/>
  <c r="C36" i="86"/>
  <c r="B36" i="86"/>
  <c r="C127" i="75" l="1"/>
  <c r="A6" i="75"/>
  <c r="A7" i="75"/>
  <c r="A8" i="75"/>
  <c r="A10" i="75"/>
  <c r="A11" i="75"/>
  <c r="A12" i="75"/>
  <c r="A54" i="75"/>
  <c r="A55" i="75"/>
  <c r="A56" i="75"/>
  <c r="A58" i="75"/>
  <c r="A59" i="75"/>
  <c r="A60" i="75"/>
  <c r="A63" i="75"/>
  <c r="A64" i="75"/>
  <c r="A65" i="75"/>
  <c r="A67" i="75"/>
  <c r="A68" i="75"/>
  <c r="A69" i="75"/>
  <c r="A126" i="75"/>
  <c r="A129" i="75"/>
  <c r="A130" i="75"/>
  <c r="A131" i="75"/>
  <c r="A132" i="75"/>
  <c r="A134" i="75"/>
  <c r="A135" i="75"/>
  <c r="A136" i="75"/>
  <c r="A137" i="75"/>
  <c r="A139" i="75"/>
  <c r="A140" i="75"/>
  <c r="A141" i="75"/>
  <c r="A142" i="75"/>
  <c r="A144" i="75"/>
  <c r="A145" i="75"/>
  <c r="A146" i="75"/>
  <c r="A147" i="75"/>
  <c r="A150" i="75"/>
  <c r="A151" i="75"/>
  <c r="A152" i="75"/>
  <c r="A153" i="75"/>
  <c r="A154" i="75"/>
  <c r="A155" i="75"/>
  <c r="A156" i="75"/>
  <c r="A158" i="75"/>
  <c r="A159" i="75"/>
  <c r="A160" i="75"/>
  <c r="A161" i="75"/>
  <c r="A162" i="75"/>
  <c r="A163" i="75"/>
  <c r="A164" i="75"/>
  <c r="A89" i="75"/>
  <c r="A90" i="75"/>
  <c r="A91" i="75"/>
  <c r="A92" i="75"/>
  <c r="A93" i="75"/>
  <c r="A94" i="75"/>
  <c r="A98" i="75"/>
  <c r="A99" i="75"/>
  <c r="A100" i="75"/>
  <c r="A102" i="75"/>
  <c r="A103" i="75"/>
  <c r="A104" i="75"/>
  <c r="A105" i="75"/>
  <c r="A106" i="75"/>
  <c r="A107" i="75"/>
  <c r="A109" i="75"/>
  <c r="A110" i="75"/>
  <c r="A111" i="75"/>
  <c r="A112" i="75"/>
  <c r="A113" i="75"/>
  <c r="A114" i="75"/>
  <c r="A117" i="75"/>
  <c r="A118" i="75"/>
  <c r="A119" i="75"/>
  <c r="A121" i="75"/>
  <c r="A122" i="75"/>
  <c r="A123" i="75"/>
  <c r="A15" i="75"/>
  <c r="A16" i="75"/>
  <c r="A17" i="75"/>
  <c r="A19" i="75"/>
  <c r="A20" i="75"/>
  <c r="A21" i="75"/>
  <c r="A24" i="75"/>
  <c r="A25" i="75"/>
  <c r="A26" i="75"/>
  <c r="A27" i="75"/>
  <c r="A28" i="75"/>
  <c r="A29" i="75"/>
  <c r="A30" i="75"/>
  <c r="A31" i="75"/>
  <c r="A33" i="75"/>
  <c r="A34" i="75"/>
  <c r="A35" i="75"/>
  <c r="A36" i="75"/>
  <c r="A37" i="75"/>
  <c r="A38" i="75"/>
  <c r="A39" i="75"/>
  <c r="A40" i="75"/>
  <c r="A4" i="75"/>
  <c r="C128" i="76"/>
  <c r="G31" i="85" l="1"/>
  <c r="F31" i="85"/>
  <c r="E31" i="85"/>
  <c r="D31" i="85"/>
  <c r="F30" i="85"/>
  <c r="E30" i="85"/>
  <c r="D30" i="85"/>
  <c r="C30" i="85"/>
  <c r="G29" i="85"/>
  <c r="F29" i="85"/>
  <c r="E29" i="85"/>
  <c r="D29" i="85"/>
  <c r="C29" i="85"/>
  <c r="H28" i="85"/>
  <c r="G28" i="85"/>
  <c r="F28" i="85"/>
  <c r="E28" i="85"/>
  <c r="D28" i="85"/>
  <c r="G21" i="85"/>
  <c r="F21" i="85"/>
  <c r="E21" i="85"/>
  <c r="D21" i="85"/>
  <c r="C21" i="85"/>
  <c r="G69" i="85"/>
  <c r="F69" i="85"/>
  <c r="E69" i="85"/>
  <c r="D69" i="85"/>
  <c r="C69" i="85"/>
  <c r="G62" i="85"/>
  <c r="F62" i="85"/>
  <c r="E62" i="85"/>
  <c r="D62" i="85"/>
  <c r="C62" i="85"/>
  <c r="G49" i="85"/>
  <c r="F49" i="85"/>
  <c r="E49" i="85"/>
  <c r="D49" i="85"/>
  <c r="C49" i="85"/>
  <c r="F118" i="85"/>
  <c r="E118" i="85"/>
  <c r="D118" i="85"/>
  <c r="C118" i="85"/>
  <c r="F111" i="85"/>
  <c r="E111" i="85"/>
  <c r="D111" i="85"/>
  <c r="C111" i="85"/>
  <c r="F109" i="85"/>
  <c r="E109" i="85"/>
  <c r="D109" i="85"/>
  <c r="C109" i="85"/>
  <c r="F103" i="85"/>
  <c r="E103" i="85"/>
  <c r="D103" i="85"/>
  <c r="C103" i="85"/>
  <c r="F98" i="85"/>
  <c r="E98" i="85"/>
  <c r="D98" i="85"/>
  <c r="C98" i="85"/>
  <c r="F93" i="85"/>
  <c r="E93" i="85"/>
  <c r="D93" i="85"/>
  <c r="C93" i="85"/>
  <c r="F88" i="85"/>
  <c r="E88" i="85"/>
  <c r="D88" i="85"/>
  <c r="C88" i="85"/>
  <c r="H46" i="75"/>
  <c r="G46" i="75"/>
  <c r="E46" i="75"/>
  <c r="D46" i="75"/>
  <c r="G45" i="75"/>
  <c r="E45" i="75"/>
  <c r="D45" i="75"/>
  <c r="C45" i="75"/>
  <c r="H44" i="75"/>
  <c r="G44" i="75"/>
  <c r="E44" i="75"/>
  <c r="D44" i="75"/>
  <c r="C44" i="75"/>
  <c r="I43" i="75"/>
  <c r="H43" i="75"/>
  <c r="G43" i="75"/>
  <c r="E43" i="75"/>
  <c r="D43" i="75"/>
  <c r="G38" i="75"/>
  <c r="E38" i="75"/>
  <c r="D38" i="75"/>
  <c r="C38" i="75"/>
  <c r="H37" i="75"/>
  <c r="G37" i="75"/>
  <c r="E37" i="75"/>
  <c r="D37" i="75"/>
  <c r="C37" i="75"/>
  <c r="G27" i="75"/>
  <c r="E27" i="75"/>
  <c r="D27" i="75"/>
  <c r="C27" i="75"/>
  <c r="H28" i="75"/>
  <c r="G28" i="75"/>
  <c r="E28" i="75"/>
  <c r="D28" i="75"/>
  <c r="H26" i="75"/>
  <c r="G26" i="75"/>
  <c r="E26" i="75"/>
  <c r="D26" i="75"/>
  <c r="C26" i="75"/>
  <c r="I25" i="75"/>
  <c r="H25" i="75"/>
  <c r="G25" i="75"/>
  <c r="E25" i="75"/>
  <c r="D25" i="75"/>
  <c r="H111" i="75"/>
  <c r="G111" i="75"/>
  <c r="E111" i="75"/>
  <c r="D111" i="75"/>
  <c r="C111" i="75"/>
  <c r="H104" i="75"/>
  <c r="G104" i="75"/>
  <c r="E104" i="75"/>
  <c r="D104" i="75"/>
  <c r="C104" i="75"/>
  <c r="H91" i="75"/>
  <c r="G91" i="75"/>
  <c r="E91" i="75"/>
  <c r="D91" i="75"/>
  <c r="C91" i="75"/>
  <c r="I90" i="75"/>
  <c r="H90" i="75"/>
  <c r="G90" i="75"/>
  <c r="E90" i="75"/>
  <c r="D90" i="75"/>
  <c r="G159" i="75"/>
  <c r="E159" i="75"/>
  <c r="D159" i="75"/>
  <c r="C159" i="75"/>
  <c r="G161" i="75"/>
  <c r="E161" i="75"/>
  <c r="D161" i="75"/>
  <c r="C161" i="75"/>
  <c r="G153" i="75"/>
  <c r="E153" i="75"/>
  <c r="D153" i="75"/>
  <c r="C153" i="75"/>
  <c r="G151" i="75"/>
  <c r="E151" i="75"/>
  <c r="D151" i="75"/>
  <c r="C151" i="75"/>
  <c r="G145" i="75"/>
  <c r="E145" i="75"/>
  <c r="D145" i="75"/>
  <c r="C145" i="75"/>
  <c r="G140" i="75"/>
  <c r="E140" i="75"/>
  <c r="D140" i="75"/>
  <c r="C140" i="75"/>
  <c r="G135" i="75"/>
  <c r="E135" i="75"/>
  <c r="D135" i="75"/>
  <c r="C135" i="75"/>
  <c r="G130" i="75"/>
  <c r="E130" i="75"/>
  <c r="D130" i="75"/>
  <c r="C130" i="75"/>
  <c r="G47" i="76" l="1"/>
  <c r="E47" i="76"/>
  <c r="D47" i="76"/>
  <c r="C47" i="76"/>
  <c r="H46" i="76"/>
  <c r="G46" i="76"/>
  <c r="E46" i="76"/>
  <c r="D46" i="76"/>
  <c r="C46" i="76"/>
  <c r="G38" i="76"/>
  <c r="E38" i="76"/>
  <c r="D38" i="76"/>
  <c r="C38" i="76"/>
  <c r="H37" i="76"/>
  <c r="G37" i="76"/>
  <c r="E37" i="76"/>
  <c r="D37" i="76"/>
  <c r="C37" i="76"/>
  <c r="G29" i="76"/>
  <c r="E29" i="76"/>
  <c r="D29" i="76"/>
  <c r="C29" i="76"/>
  <c r="H28" i="76"/>
  <c r="G28" i="76"/>
  <c r="E28" i="76"/>
  <c r="D28" i="76"/>
  <c r="C28" i="76"/>
  <c r="H111" i="76"/>
  <c r="G111" i="76"/>
  <c r="E111" i="76"/>
  <c r="D111" i="76"/>
  <c r="C111" i="76"/>
  <c r="I110" i="76"/>
  <c r="H110" i="76"/>
  <c r="G110" i="76"/>
  <c r="E110" i="76"/>
  <c r="D110" i="76"/>
  <c r="H104" i="76"/>
  <c r="G104" i="76"/>
  <c r="E104" i="76"/>
  <c r="D104" i="76"/>
  <c r="C104" i="76"/>
  <c r="I103" i="76"/>
  <c r="H103" i="76"/>
  <c r="G103" i="76"/>
  <c r="E103" i="76"/>
  <c r="D103" i="76"/>
  <c r="H91" i="76"/>
  <c r="G91" i="76"/>
  <c r="E91" i="76"/>
  <c r="D91" i="76"/>
  <c r="C91" i="76"/>
  <c r="G160" i="76"/>
  <c r="E160" i="76"/>
  <c r="D160" i="76"/>
  <c r="C160" i="76"/>
  <c r="G162" i="76"/>
  <c r="E162" i="76"/>
  <c r="D162" i="76"/>
  <c r="C162" i="76"/>
  <c r="G154" i="76"/>
  <c r="E154" i="76"/>
  <c r="D154" i="76"/>
  <c r="C154" i="76"/>
  <c r="G152" i="76"/>
  <c r="E152" i="76"/>
  <c r="D152" i="76"/>
  <c r="C152" i="76"/>
  <c r="G146" i="76"/>
  <c r="E146" i="76"/>
  <c r="D146" i="76"/>
  <c r="C146" i="76"/>
  <c r="G141" i="76"/>
  <c r="E141" i="76"/>
  <c r="D141" i="76"/>
  <c r="C141" i="76"/>
  <c r="G136" i="76"/>
  <c r="E136" i="76"/>
  <c r="D136" i="76"/>
  <c r="C136" i="76"/>
  <c r="G131" i="76"/>
  <c r="E131" i="76"/>
  <c r="D131" i="76"/>
  <c r="C131" i="76"/>
  <c r="G34" i="63" l="1"/>
  <c r="E34" i="63"/>
  <c r="D34" i="63"/>
  <c r="C34" i="63"/>
  <c r="H33" i="63"/>
  <c r="G33" i="63"/>
  <c r="E33" i="63"/>
  <c r="D33" i="63"/>
  <c r="C33" i="63"/>
  <c r="H103" i="63"/>
  <c r="G103" i="63"/>
  <c r="E103" i="63"/>
  <c r="D103" i="63"/>
  <c r="C103" i="63"/>
  <c r="H96" i="63"/>
  <c r="G96" i="63"/>
  <c r="E96" i="63"/>
  <c r="D96" i="63"/>
  <c r="C96" i="63"/>
  <c r="H83" i="63"/>
  <c r="G83" i="63"/>
  <c r="E83" i="63"/>
  <c r="D83" i="63"/>
  <c r="C83" i="63"/>
  <c r="G154" i="63"/>
  <c r="E154" i="63"/>
  <c r="D154" i="63"/>
  <c r="C154" i="63"/>
  <c r="G152" i="63"/>
  <c r="E152" i="63"/>
  <c r="D152" i="63"/>
  <c r="C152" i="63"/>
  <c r="G146" i="63"/>
  <c r="E146" i="63"/>
  <c r="D146" i="63"/>
  <c r="C146" i="63"/>
  <c r="G144" i="63"/>
  <c r="E144" i="63"/>
  <c r="D144" i="63"/>
  <c r="C144" i="63"/>
  <c r="G138" i="63"/>
  <c r="E138" i="63"/>
  <c r="D138" i="63"/>
  <c r="C138" i="63"/>
  <c r="G133" i="63"/>
  <c r="E133" i="63"/>
  <c r="D133" i="63"/>
  <c r="C133" i="63"/>
  <c r="G128" i="63"/>
  <c r="E128" i="63"/>
  <c r="D128" i="63"/>
  <c r="C128" i="63"/>
  <c r="G123" i="63"/>
  <c r="E123" i="63"/>
  <c r="D123" i="63"/>
  <c r="C123" i="63"/>
  <c r="F16" i="47"/>
  <c r="F15" i="47"/>
  <c r="H154" i="63" s="1"/>
  <c r="G14" i="47"/>
  <c r="H69" i="85" l="1"/>
  <c r="H49" i="85"/>
  <c r="I26" i="75"/>
  <c r="I104" i="75"/>
  <c r="H21" i="85"/>
  <c r="H62" i="85"/>
  <c r="H29" i="85"/>
  <c r="I44" i="75"/>
  <c r="I37" i="75"/>
  <c r="I111" i="75"/>
  <c r="I91" i="75"/>
  <c r="I111" i="76"/>
  <c r="I46" i="76"/>
  <c r="I37" i="76"/>
  <c r="I28" i="76"/>
  <c r="I91" i="76"/>
  <c r="I104" i="76"/>
  <c r="I103" i="63"/>
  <c r="G16" i="47"/>
  <c r="H159" i="75"/>
  <c r="G103" i="85"/>
  <c r="G93" i="85"/>
  <c r="H151" i="75"/>
  <c r="H140" i="75"/>
  <c r="H130" i="75"/>
  <c r="G109" i="85"/>
  <c r="G98" i="85"/>
  <c r="G88" i="85"/>
  <c r="H145" i="75"/>
  <c r="H135" i="75"/>
  <c r="H160" i="76"/>
  <c r="H146" i="76"/>
  <c r="H136" i="76"/>
  <c r="H152" i="76"/>
  <c r="H141" i="76"/>
  <c r="H131" i="76"/>
  <c r="H128" i="63"/>
  <c r="H138" i="63"/>
  <c r="H146" i="63"/>
  <c r="I96" i="63"/>
  <c r="I33" i="63"/>
  <c r="G15" i="47"/>
  <c r="G111" i="85"/>
  <c r="H45" i="75"/>
  <c r="H161" i="75"/>
  <c r="G30" i="85"/>
  <c r="G118" i="85"/>
  <c r="H38" i="75"/>
  <c r="H27" i="75"/>
  <c r="H153" i="75"/>
  <c r="H47" i="76"/>
  <c r="H38" i="76"/>
  <c r="H29" i="76"/>
  <c r="H154" i="76"/>
  <c r="H162" i="76"/>
  <c r="H123" i="63"/>
  <c r="H133" i="63"/>
  <c r="H144" i="63"/>
  <c r="H152" i="63"/>
  <c r="H34" i="63"/>
  <c r="I83" i="63"/>
  <c r="G68" i="62"/>
  <c r="G69" i="62"/>
  <c r="G70" i="62"/>
  <c r="G71" i="62"/>
  <c r="G72" i="62"/>
  <c r="G73" i="62"/>
  <c r="G74" i="62"/>
  <c r="G31" i="62"/>
  <c r="G32" i="62"/>
  <c r="G33" i="62"/>
  <c r="G34" i="62"/>
  <c r="G35" i="62"/>
  <c r="G36" i="62"/>
  <c r="G37" i="62"/>
  <c r="G4" i="62"/>
  <c r="G5" i="62"/>
  <c r="G6" i="62"/>
  <c r="G7" i="62"/>
  <c r="G8" i="62"/>
  <c r="G9" i="62"/>
  <c r="G10" i="62"/>
  <c r="G11" i="62"/>
  <c r="G67" i="73"/>
  <c r="G68" i="73"/>
  <c r="G69" i="73"/>
  <c r="G70" i="73"/>
  <c r="G71" i="73"/>
  <c r="G72" i="73"/>
  <c r="G73" i="73"/>
  <c r="G74" i="73"/>
  <c r="G5" i="73"/>
  <c r="G6" i="73"/>
  <c r="G7" i="73"/>
  <c r="G8" i="73"/>
  <c r="G9" i="73"/>
  <c r="G10" i="73"/>
  <c r="G11" i="73"/>
  <c r="G30" i="73"/>
  <c r="G31" i="73"/>
  <c r="G32" i="73"/>
  <c r="G33" i="73"/>
  <c r="G34" i="73"/>
  <c r="G36" i="73"/>
  <c r="G37" i="73"/>
  <c r="F66" i="74"/>
  <c r="F70" i="74"/>
  <c r="F68" i="74"/>
  <c r="F37" i="74"/>
  <c r="F36" i="74"/>
  <c r="F35" i="74"/>
  <c r="F33" i="74"/>
  <c r="F31" i="74"/>
  <c r="F30" i="74"/>
  <c r="F32" i="74"/>
  <c r="F34" i="74"/>
  <c r="F10" i="74"/>
  <c r="F9" i="74"/>
  <c r="F8" i="74"/>
  <c r="F7" i="74"/>
  <c r="F6" i="74"/>
  <c r="F5" i="74"/>
  <c r="D21" i="84"/>
  <c r="D18" i="84"/>
  <c r="D62" i="84"/>
  <c r="D41" i="84"/>
  <c r="C17" i="84"/>
  <c r="B17" i="84"/>
  <c r="H50" i="84"/>
  <c r="H51" i="84"/>
  <c r="H52" i="84"/>
  <c r="H53" i="84"/>
  <c r="H54" i="84"/>
  <c r="H55" i="84"/>
  <c r="H56" i="84"/>
  <c r="H57" i="84"/>
  <c r="H24" i="84"/>
  <c r="H25" i="84"/>
  <c r="H26" i="84"/>
  <c r="H27" i="84"/>
  <c r="H28" i="84"/>
  <c r="H29" i="84"/>
  <c r="H30" i="84"/>
  <c r="H31" i="84"/>
  <c r="H11" i="84"/>
  <c r="H5" i="84"/>
  <c r="H4" i="84"/>
  <c r="H6" i="84"/>
  <c r="H7" i="84"/>
  <c r="H8" i="84"/>
  <c r="H9" i="84"/>
  <c r="H10" i="84"/>
  <c r="E49" i="83"/>
  <c r="E40" i="83"/>
  <c r="E43" i="83"/>
  <c r="E44" i="83"/>
  <c r="E45" i="83"/>
  <c r="E48" i="83"/>
  <c r="E63" i="83"/>
  <c r="G57" i="83"/>
  <c r="F57" i="83"/>
  <c r="G56" i="83"/>
  <c r="F56" i="83"/>
  <c r="G55" i="83"/>
  <c r="F55" i="83"/>
  <c r="G54" i="83"/>
  <c r="F54" i="83"/>
  <c r="G53" i="83"/>
  <c r="F53" i="83"/>
  <c r="G52" i="83"/>
  <c r="F52" i="83"/>
  <c r="E33" i="83"/>
  <c r="E34" i="83"/>
  <c r="G28" i="83"/>
  <c r="F28" i="83"/>
  <c r="G27" i="83"/>
  <c r="F27" i="83"/>
  <c r="G26" i="83"/>
  <c r="F26" i="83"/>
  <c r="G25" i="83"/>
  <c r="F25" i="83"/>
  <c r="G24" i="83"/>
  <c r="F24" i="83"/>
  <c r="G23" i="83"/>
  <c r="F23" i="83"/>
  <c r="F9" i="83"/>
  <c r="F8" i="83"/>
  <c r="F7" i="83"/>
  <c r="F6" i="83"/>
  <c r="F5" i="83"/>
  <c r="F4" i="83"/>
  <c r="G9" i="83"/>
  <c r="G8" i="83"/>
  <c r="G7" i="83"/>
  <c r="G6" i="83"/>
  <c r="G5" i="83"/>
  <c r="G4" i="83"/>
  <c r="E14" i="83"/>
  <c r="E15" i="83"/>
  <c r="E17" i="83"/>
  <c r="E18" i="83"/>
  <c r="E20" i="83"/>
  <c r="C16" i="83"/>
  <c r="B16" i="83"/>
  <c r="C13" i="85"/>
  <c r="B13" i="85"/>
  <c r="B84" i="85"/>
  <c r="D49" i="82"/>
  <c r="D69" i="83" s="1"/>
  <c r="D48" i="82"/>
  <c r="C18" i="87" s="1"/>
  <c r="D47" i="82"/>
  <c r="D68" i="83" s="1"/>
  <c r="D46" i="82"/>
  <c r="D45" i="82"/>
  <c r="C15" i="87" s="1"/>
  <c r="D44" i="82"/>
  <c r="D15" i="86" s="1"/>
  <c r="D10" i="82"/>
  <c r="D20" i="83" s="1"/>
  <c r="D8" i="82"/>
  <c r="D7" i="82"/>
  <c r="C33" i="87" s="1"/>
  <c r="D5" i="82"/>
  <c r="D15" i="83" s="1"/>
  <c r="E69" i="21"/>
  <c r="E34" i="21"/>
  <c r="E9" i="21"/>
  <c r="D65" i="72"/>
  <c r="D64" i="72"/>
  <c r="D63" i="72"/>
  <c r="D62" i="72"/>
  <c r="D61" i="72"/>
  <c r="D60" i="72"/>
  <c r="D32" i="72"/>
  <c r="D31" i="72"/>
  <c r="D30" i="72"/>
  <c r="D29" i="72"/>
  <c r="D28" i="72"/>
  <c r="D27" i="72"/>
  <c r="F65" i="72"/>
  <c r="D9" i="72"/>
  <c r="F64" i="72"/>
  <c r="D8" i="72"/>
  <c r="F63" i="72"/>
  <c r="D7" i="72"/>
  <c r="F62" i="72"/>
  <c r="D6" i="72"/>
  <c r="F61" i="72"/>
  <c r="D5" i="72"/>
  <c r="F60" i="72"/>
  <c r="D4" i="72"/>
  <c r="F16" i="82"/>
  <c r="E67" i="71"/>
  <c r="D67" i="71"/>
  <c r="E66" i="71"/>
  <c r="D66" i="71"/>
  <c r="E65" i="71"/>
  <c r="D65" i="71"/>
  <c r="E64" i="71"/>
  <c r="D64" i="71"/>
  <c r="E63" i="71"/>
  <c r="D63" i="71"/>
  <c r="E62" i="71"/>
  <c r="D62" i="71"/>
  <c r="E33" i="71"/>
  <c r="D33" i="71"/>
  <c r="E32" i="71"/>
  <c r="D32" i="71"/>
  <c r="E31" i="71"/>
  <c r="D31" i="71"/>
  <c r="E30" i="71"/>
  <c r="D30" i="71"/>
  <c r="E29" i="71"/>
  <c r="D29" i="71"/>
  <c r="E28" i="71"/>
  <c r="D28" i="71"/>
  <c r="E9" i="71"/>
  <c r="E8" i="71"/>
  <c r="E7" i="71"/>
  <c r="E6" i="71"/>
  <c r="E5" i="71"/>
  <c r="E4" i="71"/>
  <c r="D9" i="71"/>
  <c r="D8" i="71"/>
  <c r="D7" i="71"/>
  <c r="D6" i="71"/>
  <c r="D5" i="71"/>
  <c r="D4" i="71"/>
  <c r="C45" i="68"/>
  <c r="C44" i="68"/>
  <c r="C43" i="68"/>
  <c r="C41" i="68"/>
  <c r="C40" i="68"/>
  <c r="C38" i="68"/>
  <c r="C37" i="68"/>
  <c r="C35" i="68"/>
  <c r="C34" i="68"/>
  <c r="C33" i="68"/>
  <c r="C30" i="68"/>
  <c r="C24" i="68"/>
  <c r="C23" i="68"/>
  <c r="C21" i="68"/>
  <c r="C20" i="68"/>
  <c r="C19" i="68"/>
  <c r="C18" i="68"/>
  <c r="C15" i="68"/>
  <c r="C14" i="68"/>
  <c r="C12" i="68"/>
  <c r="C11" i="68"/>
  <c r="C9" i="68"/>
  <c r="C8" i="68"/>
  <c r="C17" i="62"/>
  <c r="C18" i="62"/>
  <c r="C43" i="62"/>
  <c r="C44" i="62"/>
  <c r="C45" i="62"/>
  <c r="C46" i="62"/>
  <c r="C47" i="62"/>
  <c r="C48" i="62"/>
  <c r="C80" i="62"/>
  <c r="C81" i="62"/>
  <c r="C82" i="62"/>
  <c r="C83" i="62"/>
  <c r="C84" i="62"/>
  <c r="C85" i="62"/>
  <c r="C86" i="62"/>
  <c r="C87" i="62"/>
  <c r="C49" i="62"/>
  <c r="C50" i="62"/>
  <c r="C51" i="62"/>
  <c r="C52" i="62"/>
  <c r="C53" i="62"/>
  <c r="C54" i="62"/>
  <c r="C55" i="62"/>
  <c r="C56" i="62"/>
  <c r="C57" i="62"/>
  <c r="C58" i="62"/>
  <c r="C59" i="62"/>
  <c r="C60" i="62"/>
  <c r="C61" i="62"/>
  <c r="C62" i="62"/>
  <c r="C19" i="62"/>
  <c r="C20" i="62"/>
  <c r="C21" i="62"/>
  <c r="C22" i="62"/>
  <c r="C23" i="62"/>
  <c r="C24" i="62"/>
  <c r="C25" i="62"/>
  <c r="C16" i="21"/>
  <c r="C17" i="21"/>
  <c r="C40" i="21"/>
  <c r="D16" i="21"/>
  <c r="D29" i="21"/>
  <c r="E29" i="21"/>
  <c r="D30" i="21"/>
  <c r="E30" i="21"/>
  <c r="D31" i="21"/>
  <c r="E31" i="21"/>
  <c r="D32" i="21"/>
  <c r="E32" i="21"/>
  <c r="D33" i="21"/>
  <c r="E33" i="21"/>
  <c r="D34" i="21"/>
  <c r="C41" i="21"/>
  <c r="D41" i="21"/>
  <c r="C42" i="21"/>
  <c r="D42" i="21"/>
  <c r="C43" i="21"/>
  <c r="C44" i="21"/>
  <c r="D44" i="21"/>
  <c r="C45" i="21"/>
  <c r="D45" i="21"/>
  <c r="D64" i="21"/>
  <c r="E64" i="21"/>
  <c r="D65" i="21"/>
  <c r="E65" i="21"/>
  <c r="D66" i="21"/>
  <c r="E66" i="21"/>
  <c r="D67" i="21"/>
  <c r="E67" i="21"/>
  <c r="D68" i="21"/>
  <c r="E68" i="21"/>
  <c r="D69" i="21"/>
  <c r="C75" i="21"/>
  <c r="C76" i="21"/>
  <c r="D76" i="21"/>
  <c r="C77" i="21"/>
  <c r="D77" i="21"/>
  <c r="C78" i="21"/>
  <c r="C79" i="21"/>
  <c r="C80" i="21"/>
  <c r="C81" i="21"/>
  <c r="C82" i="21"/>
  <c r="C46" i="21"/>
  <c r="C51" i="21"/>
  <c r="D51" i="21"/>
  <c r="C52" i="21"/>
  <c r="C53" i="21"/>
  <c r="C54" i="21"/>
  <c r="D54" i="21"/>
  <c r="C55" i="21"/>
  <c r="D55" i="21"/>
  <c r="C56" i="21"/>
  <c r="D56" i="21"/>
  <c r="C57" i="21"/>
  <c r="D57" i="21"/>
  <c r="C58" i="21"/>
  <c r="D58" i="21"/>
  <c r="C59" i="21"/>
  <c r="D59" i="21"/>
  <c r="C18" i="21"/>
  <c r="C19" i="21"/>
  <c r="C20" i="21"/>
  <c r="C21" i="21"/>
  <c r="C22" i="21"/>
  <c r="C23" i="21"/>
  <c r="C24" i="21"/>
  <c r="B8" i="68"/>
  <c r="B9" i="68"/>
  <c r="B16" i="21"/>
  <c r="D13" i="58"/>
  <c r="D24" i="21" s="1"/>
  <c r="D12" i="58"/>
  <c r="D23" i="21" s="1"/>
  <c r="D11" i="58"/>
  <c r="D22" i="71" s="1"/>
  <c r="D9" i="58"/>
  <c r="D20" i="21" s="1"/>
  <c r="D9" i="21"/>
  <c r="D8" i="21"/>
  <c r="D7" i="21"/>
  <c r="D6" i="21"/>
  <c r="D5" i="21"/>
  <c r="D4" i="21"/>
  <c r="E8" i="21"/>
  <c r="E7" i="21"/>
  <c r="E6" i="21"/>
  <c r="E5" i="21"/>
  <c r="E4" i="21"/>
  <c r="D6" i="58"/>
  <c r="D17" i="21" s="1"/>
  <c r="B87" i="63"/>
  <c r="B62" i="63"/>
  <c r="B53" i="63"/>
  <c r="B44" i="63"/>
  <c r="D39" i="69"/>
  <c r="D43" i="70" s="1"/>
  <c r="Q14" i="86"/>
  <c r="M21" i="77"/>
  <c r="M24" i="77" s="1"/>
  <c r="M20" i="77"/>
  <c r="M19" i="77"/>
  <c r="M24" i="78"/>
  <c r="M23" i="78"/>
  <c r="M21" i="78"/>
  <c r="M20" i="78"/>
  <c r="D46" i="58"/>
  <c r="D45" i="58"/>
  <c r="D81" i="21" s="1"/>
  <c r="D43" i="58"/>
  <c r="D79" i="21" s="1"/>
  <c r="D42" i="58"/>
  <c r="D78" i="21" s="1"/>
  <c r="E63" i="76"/>
  <c r="E64" i="76"/>
  <c r="E89" i="76"/>
  <c r="E93" i="76"/>
  <c r="Q11" i="86"/>
  <c r="Q17" i="86" s="1"/>
  <c r="Q10" i="86"/>
  <c r="Q34" i="86" s="1"/>
  <c r="G25" i="82"/>
  <c r="G18" i="82"/>
  <c r="D35" i="84" s="1"/>
  <c r="G19" i="82"/>
  <c r="D36" i="84" s="1"/>
  <c r="G4" i="82"/>
  <c r="D15" i="84" s="1"/>
  <c r="G30" i="82"/>
  <c r="G8" i="82"/>
  <c r="D19" i="84" s="1"/>
  <c r="E60" i="85"/>
  <c r="E64" i="85"/>
  <c r="E67" i="85"/>
  <c r="E71" i="85"/>
  <c r="E6" i="85"/>
  <c r="E7" i="85"/>
  <c r="E10" i="85"/>
  <c r="E11" i="85"/>
  <c r="E38" i="85"/>
  <c r="E39" i="85"/>
  <c r="E42" i="85"/>
  <c r="E43" i="85"/>
  <c r="G43" i="82"/>
  <c r="E87" i="85"/>
  <c r="E89" i="85"/>
  <c r="E80" i="85"/>
  <c r="E81" i="85"/>
  <c r="G7" i="82"/>
  <c r="E15" i="85"/>
  <c r="E16" i="85"/>
  <c r="E19" i="85"/>
  <c r="E23" i="85"/>
  <c r="G10" i="82"/>
  <c r="B40" i="86"/>
  <c r="B20" i="83"/>
  <c r="B21" i="84"/>
  <c r="B26" i="85"/>
  <c r="E27" i="85"/>
  <c r="E32" i="85"/>
  <c r="E33" i="85"/>
  <c r="F35" i="86"/>
  <c r="E35" i="86"/>
  <c r="F34" i="86"/>
  <c r="E34" i="86"/>
  <c r="D34" i="86"/>
  <c r="D35" i="86"/>
  <c r="C34" i="86"/>
  <c r="C35" i="86"/>
  <c r="B34" i="86"/>
  <c r="B35" i="86"/>
  <c r="F11" i="86"/>
  <c r="F10" i="86"/>
  <c r="C46" i="84"/>
  <c r="C47" i="84"/>
  <c r="B46" i="84"/>
  <c r="B47" i="84"/>
  <c r="G5" i="82"/>
  <c r="D16" i="84" s="1"/>
  <c r="G29" i="82"/>
  <c r="D42" i="84" s="1"/>
  <c r="C48" i="83"/>
  <c r="D48" i="83"/>
  <c r="C49" i="83"/>
  <c r="D49" i="83"/>
  <c r="B48" i="83"/>
  <c r="B49" i="83"/>
  <c r="C79" i="85"/>
  <c r="C75" i="85"/>
  <c r="B79" i="85"/>
  <c r="B75" i="85"/>
  <c r="G82" i="85"/>
  <c r="D104" i="85"/>
  <c r="G81" i="85"/>
  <c r="F81" i="85"/>
  <c r="D81" i="85"/>
  <c r="G80" i="85"/>
  <c r="F80" i="85"/>
  <c r="G34" i="82"/>
  <c r="D47" i="84" s="1"/>
  <c r="G33" i="82"/>
  <c r="D46" i="84" s="1"/>
  <c r="G44" i="85"/>
  <c r="G43" i="85"/>
  <c r="F43" i="85"/>
  <c r="D43" i="85"/>
  <c r="G42" i="85"/>
  <c r="F42" i="85"/>
  <c r="F19" i="75"/>
  <c r="F20" i="75" s="1"/>
  <c r="M11" i="77"/>
  <c r="M14" i="77" s="1"/>
  <c r="M12" i="77"/>
  <c r="M15" i="77" s="1"/>
  <c r="M30" i="77"/>
  <c r="M35" i="77" s="1"/>
  <c r="M40" i="77"/>
  <c r="B37" i="77"/>
  <c r="C37" i="77"/>
  <c r="B38" i="77"/>
  <c r="C38" i="77"/>
  <c r="B14" i="77"/>
  <c r="B15" i="77"/>
  <c r="C15" i="77"/>
  <c r="B11" i="77"/>
  <c r="C11" i="77"/>
  <c r="B12" i="77"/>
  <c r="C12" i="77"/>
  <c r="B60" i="74"/>
  <c r="B61" i="74"/>
  <c r="A60" i="74"/>
  <c r="A61" i="74"/>
  <c r="B46" i="74"/>
  <c r="B47" i="74"/>
  <c r="A46" i="74"/>
  <c r="A47" i="74"/>
  <c r="B43" i="74"/>
  <c r="B44" i="74"/>
  <c r="A43" i="74"/>
  <c r="A44" i="74"/>
  <c r="C55" i="72"/>
  <c r="D55" i="72"/>
  <c r="C56" i="72"/>
  <c r="D56" i="72"/>
  <c r="B55" i="72"/>
  <c r="B56" i="72"/>
  <c r="D41" i="72"/>
  <c r="D42" i="72"/>
  <c r="C42" i="72"/>
  <c r="C41" i="72"/>
  <c r="B41" i="72"/>
  <c r="B42" i="72"/>
  <c r="C38" i="72"/>
  <c r="D38" i="72"/>
  <c r="C39" i="72"/>
  <c r="D39" i="72"/>
  <c r="B38" i="72"/>
  <c r="B39" i="72"/>
  <c r="E121" i="75"/>
  <c r="E122" i="75"/>
  <c r="H123" i="75"/>
  <c r="D141" i="75"/>
  <c r="H122" i="75"/>
  <c r="G122" i="75"/>
  <c r="D122" i="75"/>
  <c r="H121" i="75"/>
  <c r="G121" i="75"/>
  <c r="E67" i="75"/>
  <c r="E68" i="75"/>
  <c r="E63" i="75"/>
  <c r="E64" i="75"/>
  <c r="H69" i="75"/>
  <c r="D59" i="75"/>
  <c r="H68" i="75"/>
  <c r="G68" i="75"/>
  <c r="H67" i="75"/>
  <c r="G67" i="75"/>
  <c r="E58" i="75"/>
  <c r="E59" i="75"/>
  <c r="E54" i="75"/>
  <c r="E55" i="75"/>
  <c r="H60" i="75"/>
  <c r="H59" i="75"/>
  <c r="G59" i="75"/>
  <c r="H58" i="75"/>
  <c r="G58" i="75"/>
  <c r="E35" i="70"/>
  <c r="D35" i="70"/>
  <c r="C35" i="70"/>
  <c r="C120" i="75" s="1"/>
  <c r="B35" i="70"/>
  <c r="B120" i="75" s="1"/>
  <c r="E34" i="70"/>
  <c r="D34" i="70"/>
  <c r="C34" i="70"/>
  <c r="C116" i="75" s="1"/>
  <c r="B34" i="70"/>
  <c r="B116" i="75" s="1"/>
  <c r="E21" i="70"/>
  <c r="D21" i="70"/>
  <c r="C21" i="70"/>
  <c r="C66" i="75" s="1"/>
  <c r="B21" i="70"/>
  <c r="B66" i="75" s="1"/>
  <c r="E20" i="70"/>
  <c r="D20" i="70"/>
  <c r="C20" i="70"/>
  <c r="C62" i="75" s="1"/>
  <c r="B20" i="70"/>
  <c r="B62" i="75" s="1"/>
  <c r="E18" i="70"/>
  <c r="E19" i="82" s="1"/>
  <c r="E11" i="86" s="1"/>
  <c r="D18" i="70"/>
  <c r="C18" i="70"/>
  <c r="C19" i="82" s="1"/>
  <c r="B18" i="70"/>
  <c r="B19" i="82" s="1"/>
  <c r="E17" i="70"/>
  <c r="E18" i="82" s="1"/>
  <c r="E10" i="86" s="1"/>
  <c r="D17" i="70"/>
  <c r="C17" i="70"/>
  <c r="C18" i="82" s="1"/>
  <c r="C37" i="85" s="1"/>
  <c r="B17" i="70"/>
  <c r="B18" i="82" s="1"/>
  <c r="B35" i="84" s="1"/>
  <c r="D6" i="70"/>
  <c r="D8" i="70" s="1"/>
  <c r="D12" i="70" s="1"/>
  <c r="E58" i="76"/>
  <c r="E59" i="76"/>
  <c r="M40" i="78"/>
  <c r="M12" i="78"/>
  <c r="M38" i="78" s="1"/>
  <c r="M11" i="78"/>
  <c r="M37" i="78" s="1"/>
  <c r="M30" i="78"/>
  <c r="M34" i="78" s="1"/>
  <c r="E17" i="69"/>
  <c r="C60" i="73"/>
  <c r="C61" i="73"/>
  <c r="B60" i="73"/>
  <c r="B61" i="73"/>
  <c r="C46" i="73"/>
  <c r="C47" i="73"/>
  <c r="B46" i="73"/>
  <c r="B47" i="73"/>
  <c r="C43" i="73"/>
  <c r="C44" i="73"/>
  <c r="B43" i="73"/>
  <c r="B44" i="73"/>
  <c r="D57" i="71"/>
  <c r="D58" i="71"/>
  <c r="C57" i="71"/>
  <c r="C58" i="71"/>
  <c r="B57" i="71"/>
  <c r="B58" i="71"/>
  <c r="D43" i="71"/>
  <c r="D44" i="71"/>
  <c r="C43" i="71"/>
  <c r="C44" i="71"/>
  <c r="B43" i="71"/>
  <c r="B44" i="71"/>
  <c r="D40" i="71"/>
  <c r="D41" i="71"/>
  <c r="C40" i="71"/>
  <c r="C41" i="71"/>
  <c r="B40" i="71"/>
  <c r="B41" i="71"/>
  <c r="E121" i="76"/>
  <c r="E122" i="76"/>
  <c r="H123" i="76"/>
  <c r="D142" i="76"/>
  <c r="H122" i="76"/>
  <c r="G122" i="76"/>
  <c r="D122" i="76"/>
  <c r="H121" i="76"/>
  <c r="G121" i="76"/>
  <c r="E67" i="76"/>
  <c r="E68" i="76"/>
  <c r="H69" i="76"/>
  <c r="H77" i="76" s="1"/>
  <c r="H83" i="76" s="1"/>
  <c r="H87" i="76" s="1"/>
  <c r="D59" i="76"/>
  <c r="H68" i="76"/>
  <c r="G68" i="76"/>
  <c r="D68" i="76"/>
  <c r="H67" i="76"/>
  <c r="G67" i="76"/>
  <c r="E54" i="76"/>
  <c r="E55" i="76"/>
  <c r="H60" i="76"/>
  <c r="H59" i="76"/>
  <c r="G59" i="76"/>
  <c r="H58" i="76"/>
  <c r="G58" i="76"/>
  <c r="D8" i="69"/>
  <c r="D9" i="69" s="1"/>
  <c r="D6" i="69"/>
  <c r="C9" i="78" s="1"/>
  <c r="F39" i="69"/>
  <c r="E34" i="69"/>
  <c r="E35" i="69"/>
  <c r="C34" i="69"/>
  <c r="C116" i="76" s="1"/>
  <c r="D34" i="69"/>
  <c r="C37" i="78" s="1"/>
  <c r="C35" i="69"/>
  <c r="B38" i="78" s="1"/>
  <c r="D35" i="69"/>
  <c r="C38" i="78" s="1"/>
  <c r="B34" i="69"/>
  <c r="B116" i="76" s="1"/>
  <c r="B35" i="69"/>
  <c r="E20" i="69"/>
  <c r="E21" i="69"/>
  <c r="C20" i="69"/>
  <c r="C62" i="76" s="1"/>
  <c r="D20" i="69"/>
  <c r="C14" i="78" s="1"/>
  <c r="C21" i="69"/>
  <c r="B15" i="78" s="1"/>
  <c r="D21" i="69"/>
  <c r="C15" i="78" s="1"/>
  <c r="B20" i="69"/>
  <c r="B62" i="76" s="1"/>
  <c r="B21" i="69"/>
  <c r="B66" i="76" s="1"/>
  <c r="E18" i="69"/>
  <c r="C17" i="69"/>
  <c r="B11" i="78" s="1"/>
  <c r="D17" i="69"/>
  <c r="C11" i="78" s="1"/>
  <c r="C18" i="69"/>
  <c r="B12" i="78" s="1"/>
  <c r="D18" i="69"/>
  <c r="C12" i="78" s="1"/>
  <c r="B17" i="69"/>
  <c r="B18" i="69"/>
  <c r="B57" i="76" s="1"/>
  <c r="B11" i="68"/>
  <c r="B12" i="68"/>
  <c r="B14" i="68"/>
  <c r="B15" i="68"/>
  <c r="B18" i="68"/>
  <c r="B19" i="68"/>
  <c r="B20" i="68"/>
  <c r="B21" i="68"/>
  <c r="B23" i="68"/>
  <c r="B24" i="68"/>
  <c r="B30" i="68"/>
  <c r="B33" i="68"/>
  <c r="B34" i="68"/>
  <c r="B35" i="68"/>
  <c r="B37" i="68"/>
  <c r="E109" i="63"/>
  <c r="E110" i="63"/>
  <c r="B38" i="68"/>
  <c r="B40" i="68"/>
  <c r="B41" i="68"/>
  <c r="B43" i="68"/>
  <c r="B44" i="68"/>
  <c r="B45" i="68"/>
  <c r="D37" i="68"/>
  <c r="D38" i="68"/>
  <c r="D14" i="68"/>
  <c r="D15" i="68"/>
  <c r="D12" i="68"/>
  <c r="D11" i="68"/>
  <c r="B61" i="62"/>
  <c r="B62" i="62"/>
  <c r="B47" i="62"/>
  <c r="B48" i="62"/>
  <c r="B44" i="62"/>
  <c r="B45" i="62"/>
  <c r="B58" i="21"/>
  <c r="B59" i="21"/>
  <c r="B44" i="21"/>
  <c r="B45" i="21"/>
  <c r="B41" i="21"/>
  <c r="B42" i="21"/>
  <c r="C112" i="63"/>
  <c r="C108" i="63"/>
  <c r="B112" i="63"/>
  <c r="B108" i="63"/>
  <c r="E113" i="63"/>
  <c r="E114" i="63"/>
  <c r="H115" i="63"/>
  <c r="D127" i="63"/>
  <c r="D134" i="63" s="1"/>
  <c r="H114" i="63"/>
  <c r="G114" i="63"/>
  <c r="D132" i="63"/>
  <c r="D114" i="63" s="1"/>
  <c r="H113" i="63"/>
  <c r="G113" i="63"/>
  <c r="E59" i="63"/>
  <c r="E60" i="63"/>
  <c r="E55" i="63"/>
  <c r="E56" i="63"/>
  <c r="C58" i="63"/>
  <c r="C54" i="63"/>
  <c r="B58" i="63"/>
  <c r="B54" i="63"/>
  <c r="H61" i="63"/>
  <c r="D51" i="63"/>
  <c r="H60" i="63"/>
  <c r="G60" i="63"/>
  <c r="D60" i="63"/>
  <c r="H59" i="63"/>
  <c r="H71" i="63" s="1"/>
  <c r="G59" i="63"/>
  <c r="G71" i="63" s="1"/>
  <c r="E50" i="63"/>
  <c r="E51" i="63"/>
  <c r="C49" i="63"/>
  <c r="C45" i="63"/>
  <c r="B49" i="63"/>
  <c r="B45" i="63"/>
  <c r="H52" i="63"/>
  <c r="H51" i="63"/>
  <c r="G51" i="63"/>
  <c r="H50" i="63"/>
  <c r="G50" i="63"/>
  <c r="B17" i="62"/>
  <c r="B5" i="63"/>
  <c r="E6" i="63"/>
  <c r="E7" i="63"/>
  <c r="B17" i="21"/>
  <c r="B18" i="62"/>
  <c r="B9" i="63"/>
  <c r="E10" i="63"/>
  <c r="E11" i="63"/>
  <c r="B10" i="68"/>
  <c r="B40" i="21"/>
  <c r="B43" i="62"/>
  <c r="E46" i="63"/>
  <c r="E47" i="63"/>
  <c r="B13" i="68"/>
  <c r="B43" i="21"/>
  <c r="B46" i="62"/>
  <c r="B121" i="63"/>
  <c r="E122" i="63"/>
  <c r="E124" i="63"/>
  <c r="B126" i="63"/>
  <c r="E127" i="63"/>
  <c r="E129" i="63"/>
  <c r="B131" i="63"/>
  <c r="E132" i="63"/>
  <c r="E134" i="63"/>
  <c r="B136" i="63"/>
  <c r="E137" i="63"/>
  <c r="E139" i="63"/>
  <c r="B142" i="63"/>
  <c r="E143" i="63"/>
  <c r="E148" i="63"/>
  <c r="B150" i="63"/>
  <c r="E151" i="63"/>
  <c r="E156" i="63"/>
  <c r="B46" i="21"/>
  <c r="B52" i="21"/>
  <c r="B53" i="21"/>
  <c r="B54" i="21"/>
  <c r="B55" i="21"/>
  <c r="B56" i="21"/>
  <c r="B57" i="21"/>
  <c r="B18" i="21"/>
  <c r="B19" i="21"/>
  <c r="B20" i="21"/>
  <c r="B21" i="21"/>
  <c r="B22" i="21"/>
  <c r="B23" i="21"/>
  <c r="B24" i="21"/>
  <c r="B49" i="62"/>
  <c r="B50" i="62"/>
  <c r="B51" i="62"/>
  <c r="B52" i="62"/>
  <c r="B53" i="62"/>
  <c r="B55" i="62"/>
  <c r="B56" i="62"/>
  <c r="B57" i="62"/>
  <c r="B58" i="62"/>
  <c r="B59" i="62"/>
  <c r="B60" i="62"/>
  <c r="B21" i="62"/>
  <c r="B22" i="62"/>
  <c r="B23" i="62"/>
  <c r="B24" i="62"/>
  <c r="B25" i="62"/>
  <c r="B80" i="63"/>
  <c r="E81" i="63"/>
  <c r="E85" i="63"/>
  <c r="B88" i="63"/>
  <c r="B89" i="63"/>
  <c r="E90" i="63"/>
  <c r="E91" i="63"/>
  <c r="B93" i="63"/>
  <c r="E94" i="63"/>
  <c r="E98" i="63"/>
  <c r="B100" i="63"/>
  <c r="E101" i="63"/>
  <c r="E105" i="63"/>
  <c r="B36" i="68"/>
  <c r="B107" i="63"/>
  <c r="B13" i="63"/>
  <c r="B14" i="63"/>
  <c r="E15" i="63"/>
  <c r="E16" i="63"/>
  <c r="B18" i="63"/>
  <c r="E19" i="63"/>
  <c r="E20" i="63"/>
  <c r="B22" i="63"/>
  <c r="B23" i="63"/>
  <c r="E24" i="63"/>
  <c r="E25" i="63"/>
  <c r="E26" i="63"/>
  <c r="B28" i="63"/>
  <c r="E29" i="63"/>
  <c r="E30" i="63"/>
  <c r="E31" i="63"/>
  <c r="E32" i="63"/>
  <c r="E35" i="63"/>
  <c r="B5" i="69"/>
  <c r="B5" i="70" s="1"/>
  <c r="B6" i="69"/>
  <c r="B6" i="70" s="1"/>
  <c r="B5" i="82" s="1"/>
  <c r="B8" i="86" s="1"/>
  <c r="B16" i="69"/>
  <c r="B52" i="76" s="1"/>
  <c r="B19" i="69"/>
  <c r="B61" i="76" s="1"/>
  <c r="B14" i="86"/>
  <c r="B15" i="86"/>
  <c r="B16" i="86"/>
  <c r="B17" i="86"/>
  <c r="B19" i="86"/>
  <c r="B20" i="86"/>
  <c r="B26" i="86"/>
  <c r="B29" i="86"/>
  <c r="G28" i="82"/>
  <c r="B30" i="86"/>
  <c r="B31" i="86"/>
  <c r="B33" i="86"/>
  <c r="B37" i="86"/>
  <c r="B38" i="86"/>
  <c r="B15" i="72"/>
  <c r="B16" i="72"/>
  <c r="B37" i="72"/>
  <c r="B40" i="72"/>
  <c r="B70" i="72"/>
  <c r="B71" i="72"/>
  <c r="C15" i="72"/>
  <c r="D15" i="72"/>
  <c r="C16" i="72"/>
  <c r="C37" i="72"/>
  <c r="C40" i="72"/>
  <c r="C70" i="72"/>
  <c r="C71" i="72"/>
  <c r="D71" i="72"/>
  <c r="B72" i="72"/>
  <c r="C72" i="72"/>
  <c r="D72" i="72"/>
  <c r="B73" i="72"/>
  <c r="C73" i="72"/>
  <c r="B74" i="72"/>
  <c r="C74" i="72"/>
  <c r="B75" i="72"/>
  <c r="C75" i="72"/>
  <c r="B76" i="72"/>
  <c r="C76" i="72"/>
  <c r="B77" i="72"/>
  <c r="C77" i="72"/>
  <c r="B43" i="72"/>
  <c r="C43" i="72"/>
  <c r="D36" i="83"/>
  <c r="D39" i="83"/>
  <c r="B48" i="72"/>
  <c r="C48" i="72"/>
  <c r="D48" i="72"/>
  <c r="B49" i="72"/>
  <c r="C49" i="72"/>
  <c r="B50" i="72"/>
  <c r="C50" i="72"/>
  <c r="B51" i="72"/>
  <c r="C51" i="72"/>
  <c r="D51" i="72"/>
  <c r="B52" i="72"/>
  <c r="C52" i="72"/>
  <c r="D52" i="72"/>
  <c r="B53" i="72"/>
  <c r="C53" i="72"/>
  <c r="D53" i="72"/>
  <c r="B54" i="72"/>
  <c r="C54" i="72"/>
  <c r="D54" i="72"/>
  <c r="B17" i="72"/>
  <c r="C17" i="72"/>
  <c r="B18" i="72"/>
  <c r="C18" i="72"/>
  <c r="D18" i="72"/>
  <c r="B19" i="72"/>
  <c r="C19" i="72"/>
  <c r="B20" i="72"/>
  <c r="C20" i="72"/>
  <c r="B21" i="72"/>
  <c r="C21" i="72"/>
  <c r="B22" i="72"/>
  <c r="C22" i="72"/>
  <c r="B23" i="72"/>
  <c r="C23" i="72"/>
  <c r="A17" i="74"/>
  <c r="A18" i="74"/>
  <c r="A42" i="74"/>
  <c r="A45" i="74"/>
  <c r="A78" i="74"/>
  <c r="A79" i="74"/>
  <c r="A80" i="74"/>
  <c r="A81" i="74"/>
  <c r="A82" i="74"/>
  <c r="A83" i="74"/>
  <c r="A84" i="74"/>
  <c r="A85" i="74"/>
  <c r="A48" i="74"/>
  <c r="B17" i="74"/>
  <c r="B18" i="74"/>
  <c r="B42" i="74"/>
  <c r="B45" i="74"/>
  <c r="B78" i="74"/>
  <c r="B79" i="74"/>
  <c r="B80" i="74"/>
  <c r="B81" i="74"/>
  <c r="B82" i="74"/>
  <c r="B83" i="74"/>
  <c r="B84" i="74"/>
  <c r="B85" i="74"/>
  <c r="B48" i="74"/>
  <c r="A53" i="74"/>
  <c r="B53" i="74"/>
  <c r="A54" i="74"/>
  <c r="B54" i="74"/>
  <c r="A55" i="74"/>
  <c r="B55" i="74"/>
  <c r="A56" i="74"/>
  <c r="B56" i="74"/>
  <c r="A57" i="74"/>
  <c r="B57" i="74"/>
  <c r="A58" i="74"/>
  <c r="B58" i="74"/>
  <c r="A59" i="74"/>
  <c r="B59" i="74"/>
  <c r="A19" i="74"/>
  <c r="B19" i="74"/>
  <c r="A20" i="74"/>
  <c r="B20" i="74"/>
  <c r="A21" i="74"/>
  <c r="B21" i="74"/>
  <c r="A22" i="74"/>
  <c r="B22" i="74"/>
  <c r="A23" i="74"/>
  <c r="B23" i="74"/>
  <c r="A24" i="74"/>
  <c r="B24" i="74"/>
  <c r="A25" i="74"/>
  <c r="B25" i="74"/>
  <c r="B9" i="75"/>
  <c r="A9" i="75" s="1"/>
  <c r="B128" i="75"/>
  <c r="B133" i="75"/>
  <c r="B138" i="75"/>
  <c r="B143" i="75"/>
  <c r="B149" i="75"/>
  <c r="B157" i="75"/>
  <c r="B23" i="69"/>
  <c r="B23" i="70" s="1"/>
  <c r="B88" i="75"/>
  <c r="B96" i="75"/>
  <c r="B97" i="75"/>
  <c r="B101" i="75"/>
  <c r="B108" i="75"/>
  <c r="B13" i="75"/>
  <c r="B14" i="75"/>
  <c r="B18" i="75"/>
  <c r="B22" i="75"/>
  <c r="B23" i="75"/>
  <c r="B32" i="75"/>
  <c r="B41" i="75"/>
  <c r="E6" i="75"/>
  <c r="E7" i="75"/>
  <c r="E10" i="75"/>
  <c r="E11" i="75"/>
  <c r="E129" i="75"/>
  <c r="E131" i="75"/>
  <c r="E134" i="75"/>
  <c r="E136" i="75"/>
  <c r="E141" i="75"/>
  <c r="E144" i="75"/>
  <c r="E146" i="75"/>
  <c r="E150" i="75"/>
  <c r="E155" i="75"/>
  <c r="E158" i="75"/>
  <c r="E163" i="75"/>
  <c r="E89" i="75"/>
  <c r="E93" i="75"/>
  <c r="E98" i="75"/>
  <c r="E99" i="75"/>
  <c r="E102" i="75"/>
  <c r="E106" i="75"/>
  <c r="E109" i="75"/>
  <c r="E113" i="75"/>
  <c r="E117" i="75"/>
  <c r="E118" i="75"/>
  <c r="E15" i="75"/>
  <c r="E16" i="75"/>
  <c r="E19" i="75"/>
  <c r="E20" i="75"/>
  <c r="E24" i="75"/>
  <c r="E29" i="75"/>
  <c r="E30" i="75"/>
  <c r="E33" i="75"/>
  <c r="E34" i="75"/>
  <c r="E35" i="75"/>
  <c r="E36" i="75"/>
  <c r="E39" i="75"/>
  <c r="E42" i="75"/>
  <c r="E47" i="75"/>
  <c r="E48" i="75"/>
  <c r="B38" i="69"/>
  <c r="B39" i="69"/>
  <c r="B43" i="70" s="1"/>
  <c r="B63" i="70" s="1"/>
  <c r="B40" i="69"/>
  <c r="B44" i="70" s="1"/>
  <c r="B64" i="70" s="1"/>
  <c r="B41" i="69"/>
  <c r="B45" i="70" s="1"/>
  <c r="B65" i="70" s="1"/>
  <c r="B42" i="69"/>
  <c r="B46" i="70" s="1"/>
  <c r="B66" i="70" s="1"/>
  <c r="B43" i="69"/>
  <c r="B149" i="76" s="1"/>
  <c r="B44" i="69"/>
  <c r="B48" i="70" s="1"/>
  <c r="B45" i="69"/>
  <c r="B49" i="70" s="1"/>
  <c r="B22" i="69"/>
  <c r="B70" i="76" s="1"/>
  <c r="B24" i="69"/>
  <c r="B24" i="70" s="1"/>
  <c r="B25" i="69"/>
  <c r="B25" i="70" s="1"/>
  <c r="B26" i="69"/>
  <c r="B26" i="70" s="1"/>
  <c r="C5" i="69"/>
  <c r="C5" i="70" s="1"/>
  <c r="C4" i="82" s="1"/>
  <c r="E5" i="69"/>
  <c r="E5" i="70" s="1"/>
  <c r="C6" i="69"/>
  <c r="C6" i="70" s="1"/>
  <c r="C5" i="82" s="1"/>
  <c r="C8" i="86" s="1"/>
  <c r="E6" i="69"/>
  <c r="E6" i="70" s="1"/>
  <c r="C16" i="69"/>
  <c r="C19" i="69"/>
  <c r="C19" i="70" s="1"/>
  <c r="C38" i="69"/>
  <c r="E39" i="69"/>
  <c r="C40" i="69"/>
  <c r="C44" i="70" s="1"/>
  <c r="C64" i="70" s="1"/>
  <c r="D40" i="69"/>
  <c r="D44" i="70" s="1"/>
  <c r="E40" i="69"/>
  <c r="E44" i="70" s="1"/>
  <c r="C41" i="69"/>
  <c r="C45" i="70" s="1"/>
  <c r="C65" i="70" s="1"/>
  <c r="E41" i="69"/>
  <c r="E45" i="70" s="1"/>
  <c r="C42" i="69"/>
  <c r="C46" i="70" s="1"/>
  <c r="C66" i="70" s="1"/>
  <c r="E42" i="69"/>
  <c r="E46" i="70" s="1"/>
  <c r="C43" i="69"/>
  <c r="C149" i="76" s="1"/>
  <c r="C44" i="69"/>
  <c r="C48" i="70" s="1"/>
  <c r="E44" i="69"/>
  <c r="E48" i="70" s="1"/>
  <c r="C45" i="69"/>
  <c r="C49" i="70" s="1"/>
  <c r="E45" i="69"/>
  <c r="E49" i="70" s="1"/>
  <c r="C22" i="69"/>
  <c r="C22" i="70" s="1"/>
  <c r="C23" i="69"/>
  <c r="C23" i="70" s="1"/>
  <c r="D21" i="82"/>
  <c r="C24" i="69"/>
  <c r="C24" i="70" s="1"/>
  <c r="D24" i="69"/>
  <c r="D24" i="70" s="1"/>
  <c r="C25" i="69"/>
  <c r="D25" i="69"/>
  <c r="D25" i="70" s="1"/>
  <c r="C26" i="69"/>
  <c r="C26" i="70" s="1"/>
  <c r="D26" i="70"/>
  <c r="D24" i="82" s="1"/>
  <c r="B27" i="69"/>
  <c r="B27" i="70" s="1"/>
  <c r="C27" i="69"/>
  <c r="C27" i="70" s="1"/>
  <c r="D27" i="69"/>
  <c r="D27" i="70" s="1"/>
  <c r="E27" i="69"/>
  <c r="E27" i="70" s="1"/>
  <c r="B28" i="69"/>
  <c r="B95" i="76" s="1"/>
  <c r="C28" i="69"/>
  <c r="C28" i="70" s="1"/>
  <c r="B29" i="69"/>
  <c r="B29" i="70" s="1"/>
  <c r="C29" i="69"/>
  <c r="C29" i="70" s="1"/>
  <c r="B30" i="69"/>
  <c r="C30" i="69"/>
  <c r="C30" i="70" s="1"/>
  <c r="D30" i="69"/>
  <c r="C33" i="78" s="1"/>
  <c r="E30" i="69"/>
  <c r="E30" i="70" s="1"/>
  <c r="B31" i="69"/>
  <c r="B31" i="70" s="1"/>
  <c r="C31" i="69"/>
  <c r="C31" i="70" s="1"/>
  <c r="D31" i="69"/>
  <c r="D31" i="70" s="1"/>
  <c r="E31" i="69"/>
  <c r="E31" i="70" s="1"/>
  <c r="B32" i="69"/>
  <c r="C32" i="69"/>
  <c r="C32" i="70" s="1"/>
  <c r="D32" i="69"/>
  <c r="C35" i="78" s="1"/>
  <c r="E32" i="69"/>
  <c r="E32" i="70" s="1"/>
  <c r="B33" i="69"/>
  <c r="B115" i="76" s="1"/>
  <c r="C33" i="69"/>
  <c r="C33" i="70" s="1"/>
  <c r="B7" i="69"/>
  <c r="B7" i="70" s="1"/>
  <c r="C7" i="69"/>
  <c r="C7" i="70" s="1"/>
  <c r="B8" i="69"/>
  <c r="C8" i="69"/>
  <c r="C8" i="70" s="1"/>
  <c r="E8" i="69"/>
  <c r="E8" i="70" s="1"/>
  <c r="B9" i="69"/>
  <c r="B9" i="70" s="1"/>
  <c r="C9" i="69"/>
  <c r="C9" i="70" s="1"/>
  <c r="E9" i="69"/>
  <c r="E9" i="70" s="1"/>
  <c r="B10" i="69"/>
  <c r="B10" i="70" s="1"/>
  <c r="C10" i="69"/>
  <c r="C10" i="70" s="1"/>
  <c r="B11" i="69"/>
  <c r="B11" i="70" s="1"/>
  <c r="C11" i="69"/>
  <c r="C11" i="70" s="1"/>
  <c r="E11" i="69"/>
  <c r="E11" i="70" s="1"/>
  <c r="B12" i="69"/>
  <c r="B12" i="70" s="1"/>
  <c r="C12" i="69"/>
  <c r="C12" i="70" s="1"/>
  <c r="E12" i="69"/>
  <c r="E12" i="70" s="1"/>
  <c r="B13" i="69"/>
  <c r="B13" i="70" s="1"/>
  <c r="C13" i="69"/>
  <c r="C13" i="70" s="1"/>
  <c r="E13" i="69"/>
  <c r="E13" i="70" s="1"/>
  <c r="B16" i="71"/>
  <c r="B17" i="73"/>
  <c r="E6" i="76"/>
  <c r="E7" i="76"/>
  <c r="B17" i="71"/>
  <c r="B18" i="73"/>
  <c r="B9" i="76"/>
  <c r="E10" i="76"/>
  <c r="E11" i="76"/>
  <c r="B39" i="71"/>
  <c r="B42" i="73"/>
  <c r="B42" i="71"/>
  <c r="B45" i="73"/>
  <c r="B73" i="71"/>
  <c r="B74" i="71"/>
  <c r="B80" i="73"/>
  <c r="B81" i="73"/>
  <c r="B129" i="76"/>
  <c r="E130" i="76"/>
  <c r="E132" i="76"/>
  <c r="B75" i="71"/>
  <c r="B82" i="73"/>
  <c r="B134" i="76"/>
  <c r="E135" i="76"/>
  <c r="E137" i="76"/>
  <c r="B76" i="71"/>
  <c r="B83" i="73"/>
  <c r="B139" i="76"/>
  <c r="E140" i="76"/>
  <c r="E142" i="76"/>
  <c r="B77" i="71"/>
  <c r="B84" i="73"/>
  <c r="B144" i="76"/>
  <c r="E145" i="76"/>
  <c r="E147" i="76"/>
  <c r="B78" i="71"/>
  <c r="B79" i="71"/>
  <c r="B85" i="73"/>
  <c r="B86" i="73"/>
  <c r="B150" i="76"/>
  <c r="E151" i="76"/>
  <c r="E156" i="76"/>
  <c r="B80" i="71"/>
  <c r="B87" i="73"/>
  <c r="B158" i="76"/>
  <c r="E159" i="76"/>
  <c r="E164" i="76"/>
  <c r="B45" i="71"/>
  <c r="C16" i="71"/>
  <c r="D16" i="71"/>
  <c r="C17" i="71"/>
  <c r="C39" i="71"/>
  <c r="C42" i="71"/>
  <c r="C73" i="71"/>
  <c r="C74" i="71"/>
  <c r="D74" i="71"/>
  <c r="C75" i="71"/>
  <c r="D75" i="71"/>
  <c r="C76" i="71"/>
  <c r="C77" i="71"/>
  <c r="C78" i="71"/>
  <c r="C79" i="71"/>
  <c r="C80" i="71"/>
  <c r="C45" i="71"/>
  <c r="B50" i="71"/>
  <c r="C50" i="71"/>
  <c r="D50" i="71"/>
  <c r="B51" i="71"/>
  <c r="C51" i="71"/>
  <c r="B52" i="71"/>
  <c r="C52" i="71"/>
  <c r="B53" i="71"/>
  <c r="C53" i="71"/>
  <c r="D53" i="71"/>
  <c r="B54" i="71"/>
  <c r="C54" i="71"/>
  <c r="D54" i="71"/>
  <c r="B55" i="71"/>
  <c r="C55" i="71"/>
  <c r="D55" i="71"/>
  <c r="B56" i="71"/>
  <c r="C56" i="71"/>
  <c r="D56" i="71"/>
  <c r="B18" i="71"/>
  <c r="C18" i="71"/>
  <c r="B19" i="71"/>
  <c r="C19" i="71"/>
  <c r="D19" i="71"/>
  <c r="B20" i="71"/>
  <c r="C20" i="71"/>
  <c r="B21" i="71"/>
  <c r="C21" i="71"/>
  <c r="B22" i="71"/>
  <c r="C22" i="71"/>
  <c r="B23" i="71"/>
  <c r="C23" i="71"/>
  <c r="B24" i="71"/>
  <c r="C24" i="71"/>
  <c r="B48" i="73"/>
  <c r="B49" i="73"/>
  <c r="B50" i="73"/>
  <c r="B51" i="73"/>
  <c r="C17" i="73"/>
  <c r="C18" i="73"/>
  <c r="C42" i="73"/>
  <c r="C45" i="73"/>
  <c r="C80" i="73"/>
  <c r="C81" i="73"/>
  <c r="C82" i="73"/>
  <c r="C83" i="73"/>
  <c r="C84" i="73"/>
  <c r="C85" i="73"/>
  <c r="C86" i="73"/>
  <c r="C87" i="73"/>
  <c r="C48" i="73"/>
  <c r="C49" i="73"/>
  <c r="C50" i="73"/>
  <c r="C51" i="73"/>
  <c r="B52" i="73"/>
  <c r="C52" i="73"/>
  <c r="B53" i="73"/>
  <c r="C53" i="73"/>
  <c r="B54" i="73"/>
  <c r="C54" i="73"/>
  <c r="B55" i="73"/>
  <c r="C55" i="73"/>
  <c r="B56" i="73"/>
  <c r="C56" i="73"/>
  <c r="B57" i="73"/>
  <c r="C57" i="73"/>
  <c r="B58" i="73"/>
  <c r="C58" i="73"/>
  <c r="B59" i="73"/>
  <c r="C59" i="73"/>
  <c r="B19" i="73"/>
  <c r="C19" i="73"/>
  <c r="B20" i="73"/>
  <c r="C20" i="73"/>
  <c r="B21" i="73"/>
  <c r="C21" i="73"/>
  <c r="B22" i="73"/>
  <c r="C22" i="73"/>
  <c r="B23" i="73"/>
  <c r="C23" i="73"/>
  <c r="B24" i="73"/>
  <c r="C24" i="73"/>
  <c r="B25" i="73"/>
  <c r="C25" i="73"/>
  <c r="B88" i="76"/>
  <c r="B96" i="76"/>
  <c r="B97" i="76"/>
  <c r="E98" i="76"/>
  <c r="E99" i="76"/>
  <c r="B101" i="76"/>
  <c r="E102" i="76"/>
  <c r="E106" i="76"/>
  <c r="B108" i="76"/>
  <c r="E109" i="76"/>
  <c r="E113" i="76"/>
  <c r="E117" i="76"/>
  <c r="E118" i="76"/>
  <c r="B13" i="76"/>
  <c r="B14" i="76"/>
  <c r="E15" i="76"/>
  <c r="E16" i="76"/>
  <c r="B18" i="76"/>
  <c r="E19" i="76"/>
  <c r="E20" i="76"/>
  <c r="B22" i="76"/>
  <c r="B23" i="76"/>
  <c r="E24" i="76"/>
  <c r="E25" i="76"/>
  <c r="E26" i="76"/>
  <c r="E27" i="76"/>
  <c r="E30" i="76"/>
  <c r="B32" i="76"/>
  <c r="E33" i="76"/>
  <c r="E34" i="76"/>
  <c r="E35" i="76"/>
  <c r="E36" i="76"/>
  <c r="E39" i="76"/>
  <c r="B41" i="76"/>
  <c r="E42" i="76"/>
  <c r="E43" i="76"/>
  <c r="E44" i="76"/>
  <c r="E45" i="76"/>
  <c r="E48" i="76"/>
  <c r="A39" i="79"/>
  <c r="B8" i="77"/>
  <c r="B10" i="77"/>
  <c r="B13" i="77"/>
  <c r="B17" i="77"/>
  <c r="B18" i="77"/>
  <c r="C18" i="77"/>
  <c r="B19" i="77"/>
  <c r="C19" i="77"/>
  <c r="B20" i="77"/>
  <c r="B21" i="77"/>
  <c r="B22" i="77"/>
  <c r="B23" i="77"/>
  <c r="B24" i="77"/>
  <c r="B25" i="77"/>
  <c r="B26" i="77"/>
  <c r="B27" i="77"/>
  <c r="C27" i="77"/>
  <c r="B28" i="77"/>
  <c r="C28" i="77"/>
  <c r="B29" i="77"/>
  <c r="B30" i="77"/>
  <c r="C30" i="77"/>
  <c r="B31" i="77"/>
  <c r="B32" i="77"/>
  <c r="B33" i="77"/>
  <c r="C33" i="77"/>
  <c r="B34" i="77"/>
  <c r="C34" i="77"/>
  <c r="B35" i="77"/>
  <c r="C35" i="77"/>
  <c r="B36" i="77"/>
  <c r="B39" i="77"/>
  <c r="B40" i="77"/>
  <c r="B41" i="77"/>
  <c r="B42" i="77"/>
  <c r="B43" i="77"/>
  <c r="B44" i="77"/>
  <c r="B45" i="77"/>
  <c r="A38" i="79"/>
  <c r="A37" i="79"/>
  <c r="A35" i="79"/>
  <c r="A34" i="79"/>
  <c r="A32" i="79"/>
  <c r="A31" i="79"/>
  <c r="A30" i="79"/>
  <c r="A29" i="79"/>
  <c r="A26" i="79"/>
  <c r="A20" i="79"/>
  <c r="A19" i="79"/>
  <c r="A15" i="79"/>
  <c r="A16" i="79"/>
  <c r="A17" i="79"/>
  <c r="A14" i="79"/>
  <c r="A8" i="79"/>
  <c r="A9" i="79"/>
  <c r="A10" i="79"/>
  <c r="A11" i="79"/>
  <c r="A7" i="79"/>
  <c r="B39" i="79"/>
  <c r="H49" i="75"/>
  <c r="H48" i="75"/>
  <c r="G48" i="75"/>
  <c r="D48" i="75"/>
  <c r="H47" i="75"/>
  <c r="G47" i="75"/>
  <c r="D47" i="75"/>
  <c r="H42" i="75"/>
  <c r="G42" i="75"/>
  <c r="C41" i="75"/>
  <c r="A39" i="81"/>
  <c r="C8" i="78"/>
  <c r="A38" i="81"/>
  <c r="B39" i="81"/>
  <c r="H49" i="76"/>
  <c r="D49" i="76"/>
  <c r="H48" i="76"/>
  <c r="G48" i="76"/>
  <c r="D48" i="76"/>
  <c r="H45" i="76"/>
  <c r="G45" i="76"/>
  <c r="D45" i="76"/>
  <c r="H44" i="76"/>
  <c r="G44" i="76"/>
  <c r="D44" i="76"/>
  <c r="H43" i="76"/>
  <c r="G43" i="76"/>
  <c r="D43" i="76"/>
  <c r="H42" i="76"/>
  <c r="G42" i="76"/>
  <c r="C41" i="76"/>
  <c r="C25" i="64"/>
  <c r="A35" i="64"/>
  <c r="B16" i="68"/>
  <c r="B17" i="68"/>
  <c r="B22" i="68"/>
  <c r="D8" i="68"/>
  <c r="C10" i="68"/>
  <c r="C13" i="68"/>
  <c r="C17" i="68"/>
  <c r="D18" i="68"/>
  <c r="D19" i="68"/>
  <c r="C22" i="68"/>
  <c r="B25" i="68"/>
  <c r="C25" i="68"/>
  <c r="B26" i="68"/>
  <c r="C26" i="68"/>
  <c r="C47" i="21" s="1"/>
  <c r="B27" i="68"/>
  <c r="C27" i="68"/>
  <c r="C48" i="21" s="1"/>
  <c r="D27" i="68"/>
  <c r="B28" i="68"/>
  <c r="C28" i="68"/>
  <c r="C49" i="21" s="1"/>
  <c r="D28" i="68"/>
  <c r="B29" i="68"/>
  <c r="C29" i="68"/>
  <c r="C50" i="21" s="1"/>
  <c r="D30" i="68"/>
  <c r="B31" i="68"/>
  <c r="C31" i="68"/>
  <c r="B32" i="68"/>
  <c r="C32" i="68"/>
  <c r="D33" i="68"/>
  <c r="D34" i="68"/>
  <c r="D35" i="68"/>
  <c r="C36" i="68"/>
  <c r="B39" i="68"/>
  <c r="C39" i="68"/>
  <c r="D40" i="68"/>
  <c r="B42" i="68"/>
  <c r="C42" i="68"/>
  <c r="B37" i="63"/>
  <c r="E38" i="63"/>
  <c r="E39" i="63"/>
  <c r="E40" i="63"/>
  <c r="A37" i="64"/>
  <c r="A38" i="64"/>
  <c r="A39" i="64"/>
  <c r="B39" i="64"/>
  <c r="C37" i="63"/>
  <c r="H41" i="63"/>
  <c r="H40" i="63"/>
  <c r="G40" i="63"/>
  <c r="D40" i="63"/>
  <c r="H39" i="63"/>
  <c r="G39" i="63"/>
  <c r="D39" i="63"/>
  <c r="H38" i="63"/>
  <c r="G38" i="63"/>
  <c r="B60" i="84"/>
  <c r="B61" i="84"/>
  <c r="B62" i="84"/>
  <c r="B63" i="84"/>
  <c r="B64" i="84"/>
  <c r="B65" i="84"/>
  <c r="B66" i="84"/>
  <c r="B67" i="84"/>
  <c r="B68" i="84"/>
  <c r="B37" i="84"/>
  <c r="C60" i="84"/>
  <c r="C61" i="84"/>
  <c r="C62" i="84"/>
  <c r="C63" i="84"/>
  <c r="C64" i="84"/>
  <c r="C65" i="84"/>
  <c r="C66" i="84"/>
  <c r="C67" i="84"/>
  <c r="C68" i="84"/>
  <c r="C37" i="84"/>
  <c r="B38" i="84"/>
  <c r="C38" i="84"/>
  <c r="B39" i="84"/>
  <c r="C39" i="84"/>
  <c r="B40" i="84"/>
  <c r="C40" i="84"/>
  <c r="B41" i="84"/>
  <c r="C41" i="84"/>
  <c r="B42" i="84"/>
  <c r="C42" i="84"/>
  <c r="B43" i="84"/>
  <c r="C43" i="84"/>
  <c r="B44" i="84"/>
  <c r="C44" i="84"/>
  <c r="B45" i="84"/>
  <c r="C45" i="84"/>
  <c r="B18" i="84"/>
  <c r="C18" i="84"/>
  <c r="B19" i="84"/>
  <c r="C19" i="84"/>
  <c r="B20" i="84"/>
  <c r="C20" i="84"/>
  <c r="C21" i="84"/>
  <c r="B61" i="83"/>
  <c r="B62" i="83"/>
  <c r="B63" i="83"/>
  <c r="B85" i="85"/>
  <c r="B86" i="85"/>
  <c r="B64" i="83"/>
  <c r="B91" i="85"/>
  <c r="E92" i="85"/>
  <c r="E94" i="85"/>
  <c r="B65" i="83"/>
  <c r="B96" i="85"/>
  <c r="E97" i="85"/>
  <c r="E99" i="85"/>
  <c r="B66" i="83"/>
  <c r="B101" i="85"/>
  <c r="E102" i="85"/>
  <c r="E104" i="85"/>
  <c r="B67" i="83"/>
  <c r="B68" i="83"/>
  <c r="B106" i="85"/>
  <c r="B107" i="85"/>
  <c r="E108" i="85"/>
  <c r="E113" i="85"/>
  <c r="B69" i="83"/>
  <c r="B115" i="85"/>
  <c r="E116" i="85"/>
  <c r="E120" i="85"/>
  <c r="B35" i="83"/>
  <c r="B36" i="83"/>
  <c r="B37" i="83"/>
  <c r="B38" i="83"/>
  <c r="D14" i="83"/>
  <c r="C61" i="83"/>
  <c r="C62" i="83"/>
  <c r="C63" i="83"/>
  <c r="D63" i="83"/>
  <c r="C64" i="83"/>
  <c r="C65" i="83"/>
  <c r="C66" i="83"/>
  <c r="C67" i="83"/>
  <c r="C68" i="83"/>
  <c r="C69" i="83"/>
  <c r="C35" i="83"/>
  <c r="C36" i="83"/>
  <c r="C37" i="83"/>
  <c r="D37" i="83"/>
  <c r="C38" i="83"/>
  <c r="D38" i="83"/>
  <c r="B39" i="83"/>
  <c r="C39" i="83"/>
  <c r="B40" i="83"/>
  <c r="C40" i="83"/>
  <c r="D40" i="83"/>
  <c r="B41" i="83"/>
  <c r="C41" i="83"/>
  <c r="B42" i="83"/>
  <c r="C42" i="83"/>
  <c r="B43" i="83"/>
  <c r="C43" i="83"/>
  <c r="D43" i="83"/>
  <c r="B44" i="83"/>
  <c r="C44" i="83"/>
  <c r="D44" i="83"/>
  <c r="B45" i="83"/>
  <c r="C45" i="83"/>
  <c r="D45" i="83"/>
  <c r="B46" i="83"/>
  <c r="C46" i="83"/>
  <c r="B47" i="83"/>
  <c r="C47" i="83"/>
  <c r="B17" i="83"/>
  <c r="C17" i="83"/>
  <c r="D17" i="83"/>
  <c r="B18" i="83"/>
  <c r="C18" i="83"/>
  <c r="B19" i="83"/>
  <c r="C19" i="83"/>
  <c r="C20" i="83"/>
  <c r="B45" i="85"/>
  <c r="B46" i="85"/>
  <c r="C84" i="85"/>
  <c r="C85" i="85"/>
  <c r="C86" i="85"/>
  <c r="C91" i="85"/>
  <c r="C96" i="85"/>
  <c r="C101" i="85"/>
  <c r="C106" i="85"/>
  <c r="C107" i="85"/>
  <c r="C115" i="85"/>
  <c r="C45" i="85"/>
  <c r="C46" i="85"/>
  <c r="E47" i="85"/>
  <c r="E51" i="85"/>
  <c r="B53" i="85"/>
  <c r="C53" i="85"/>
  <c r="B54" i="85"/>
  <c r="C54" i="85"/>
  <c r="B55" i="85"/>
  <c r="C55" i="85"/>
  <c r="E56" i="85"/>
  <c r="E57" i="85"/>
  <c r="B59" i="85"/>
  <c r="C59" i="85"/>
  <c r="B66" i="85"/>
  <c r="C66" i="85"/>
  <c r="B73" i="85"/>
  <c r="C73" i="85"/>
  <c r="B74" i="85"/>
  <c r="C74" i="85"/>
  <c r="E76" i="85"/>
  <c r="E77" i="85"/>
  <c r="B14" i="85"/>
  <c r="C14" i="85"/>
  <c r="B18" i="85"/>
  <c r="C18" i="85"/>
  <c r="B25" i="85"/>
  <c r="C25" i="85"/>
  <c r="C26" i="85"/>
  <c r="A7" i="81"/>
  <c r="A8" i="81"/>
  <c r="A9" i="81"/>
  <c r="A10" i="81"/>
  <c r="A11" i="81"/>
  <c r="A14" i="81"/>
  <c r="A15" i="81"/>
  <c r="A16" i="81"/>
  <c r="A17" i="81"/>
  <c r="A19" i="81"/>
  <c r="A20" i="81"/>
  <c r="A23" i="81"/>
  <c r="A24" i="81"/>
  <c r="A25" i="81"/>
  <c r="A26" i="81"/>
  <c r="A29" i="81"/>
  <c r="A30" i="81"/>
  <c r="A31" i="81"/>
  <c r="A32" i="81"/>
  <c r="A34" i="81"/>
  <c r="A35" i="81"/>
  <c r="A37" i="81"/>
  <c r="E12" i="81"/>
  <c r="F12" i="81" s="1"/>
  <c r="E13" i="81"/>
  <c r="F13" i="81" s="1"/>
  <c r="H13" i="81" s="1"/>
  <c r="E18" i="81"/>
  <c r="F18" i="81" s="1"/>
  <c r="E21" i="81"/>
  <c r="F21" i="81" s="1"/>
  <c r="E22" i="81"/>
  <c r="F22" i="81" s="1"/>
  <c r="H22" i="81" s="1"/>
  <c r="E27" i="81"/>
  <c r="F27" i="81" s="1"/>
  <c r="E28" i="81"/>
  <c r="F28" i="81" s="1"/>
  <c r="E33" i="81"/>
  <c r="F33" i="81" s="1"/>
  <c r="H33" i="81" s="1"/>
  <c r="E36" i="81"/>
  <c r="F36" i="81" s="1"/>
  <c r="G36" i="81" s="1"/>
  <c r="A23" i="79"/>
  <c r="A24" i="79"/>
  <c r="A25" i="79"/>
  <c r="C53" i="69"/>
  <c r="C43" i="70"/>
  <c r="C63" i="70" s="1"/>
  <c r="C64" i="82"/>
  <c r="C65" i="82"/>
  <c r="C66" i="82"/>
  <c r="C67" i="82"/>
  <c r="C68" i="82"/>
  <c r="C69" i="82"/>
  <c r="C70" i="82"/>
  <c r="C63" i="82"/>
  <c r="B64" i="82"/>
  <c r="B65" i="82"/>
  <c r="B66" i="82"/>
  <c r="B67" i="82"/>
  <c r="B68" i="82"/>
  <c r="B69" i="82"/>
  <c r="B70" i="82"/>
  <c r="B63" i="82"/>
  <c r="E32" i="87"/>
  <c r="E23" i="87"/>
  <c r="E24" i="87"/>
  <c r="E10" i="87"/>
  <c r="E22" i="87"/>
  <c r="F40" i="86"/>
  <c r="E40" i="86"/>
  <c r="F38" i="86"/>
  <c r="E38" i="86"/>
  <c r="F37" i="86"/>
  <c r="E37" i="86"/>
  <c r="F31" i="86"/>
  <c r="E31" i="86"/>
  <c r="F30" i="86"/>
  <c r="E30" i="86"/>
  <c r="F29" i="86"/>
  <c r="E29" i="86"/>
  <c r="F26" i="86"/>
  <c r="E26" i="86"/>
  <c r="E20" i="86"/>
  <c r="E19" i="86"/>
  <c r="E17" i="86"/>
  <c r="E16" i="86"/>
  <c r="E15" i="86"/>
  <c r="F14" i="86"/>
  <c r="E14" i="86"/>
  <c r="F8" i="86"/>
  <c r="F7" i="86"/>
  <c r="C5" i="75"/>
  <c r="C9" i="75"/>
  <c r="C52" i="75"/>
  <c r="C61" i="75"/>
  <c r="C128" i="75"/>
  <c r="C133" i="75"/>
  <c r="C138" i="75"/>
  <c r="C143" i="75"/>
  <c r="C149" i="75"/>
  <c r="C157" i="75"/>
  <c r="C70" i="75"/>
  <c r="C88" i="75"/>
  <c r="C95" i="75"/>
  <c r="C96" i="75"/>
  <c r="C97" i="75"/>
  <c r="C101" i="75"/>
  <c r="C108" i="75"/>
  <c r="C115" i="75"/>
  <c r="C13" i="75"/>
  <c r="C14" i="75"/>
  <c r="C18" i="75"/>
  <c r="C22" i="75"/>
  <c r="C23" i="75"/>
  <c r="C32" i="75"/>
  <c r="A12" i="79"/>
  <c r="B18" i="78"/>
  <c r="E24" i="70"/>
  <c r="C4" i="69"/>
  <c r="C4" i="70" s="1"/>
  <c r="C3" i="82" s="1"/>
  <c r="B4" i="69"/>
  <c r="B4" i="70" s="1"/>
  <c r="B3" i="82" s="1"/>
  <c r="T37" i="67"/>
  <c r="G50" i="85"/>
  <c r="F50" i="85"/>
  <c r="E50" i="85"/>
  <c r="D50" i="85"/>
  <c r="G48" i="85"/>
  <c r="F48" i="85"/>
  <c r="E48" i="85"/>
  <c r="D48" i="85"/>
  <c r="H92" i="75"/>
  <c r="G92" i="75"/>
  <c r="E92" i="75"/>
  <c r="D92" i="75"/>
  <c r="H92" i="76"/>
  <c r="G92" i="76"/>
  <c r="E92" i="76"/>
  <c r="D92" i="76"/>
  <c r="H90" i="76"/>
  <c r="G90" i="76"/>
  <c r="E90" i="76"/>
  <c r="D90" i="76"/>
  <c r="H84" i="63"/>
  <c r="G84" i="63"/>
  <c r="E84" i="63"/>
  <c r="D84" i="63"/>
  <c r="H82" i="63"/>
  <c r="G82" i="63"/>
  <c r="E82" i="63"/>
  <c r="D82" i="63"/>
  <c r="C22" i="87"/>
  <c r="D7" i="87"/>
  <c r="D29" i="87"/>
  <c r="D36" i="87"/>
  <c r="D10" i="87"/>
  <c r="C13"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C32" i="87"/>
  <c r="C30" i="87"/>
  <c r="C29" i="87"/>
  <c r="C25" i="87"/>
  <c r="C23" i="87"/>
  <c r="C19" i="87"/>
  <c r="C14" i="87"/>
  <c r="C10" i="87"/>
  <c r="C7" i="87"/>
  <c r="B36" i="87"/>
  <c r="B35" i="87"/>
  <c r="B34" i="87"/>
  <c r="B33" i="87"/>
  <c r="B32" i="87"/>
  <c r="B31" i="87"/>
  <c r="B30" i="87"/>
  <c r="B29" i="87"/>
  <c r="B28" i="87"/>
  <c r="B27" i="87"/>
  <c r="B26" i="87"/>
  <c r="B25" i="87"/>
  <c r="B24" i="87"/>
  <c r="B23" i="87"/>
  <c r="B22" i="87"/>
  <c r="B21" i="87"/>
  <c r="B20" i="87"/>
  <c r="B19" i="87"/>
  <c r="B18" i="87"/>
  <c r="B17" i="87"/>
  <c r="B16" i="87"/>
  <c r="B15" i="87"/>
  <c r="B14" i="87"/>
  <c r="B13" i="87"/>
  <c r="B12" i="87"/>
  <c r="B11" i="87"/>
  <c r="D23" i="86"/>
  <c r="D14" i="86"/>
  <c r="D29" i="86"/>
  <c r="D37" i="86"/>
  <c r="C40" i="86"/>
  <c r="C39" i="86"/>
  <c r="B39" i="86"/>
  <c r="D38" i="86"/>
  <c r="C38" i="86"/>
  <c r="C37" i="86"/>
  <c r="C33" i="86"/>
  <c r="C32" i="86"/>
  <c r="B32" i="86"/>
  <c r="D31" i="86"/>
  <c r="C31" i="86"/>
  <c r="D30" i="86"/>
  <c r="C30" i="86"/>
  <c r="C29" i="86"/>
  <c r="C28" i="86"/>
  <c r="B28" i="86"/>
  <c r="C27" i="86"/>
  <c r="B27" i="86"/>
  <c r="D26" i="86"/>
  <c r="C26" i="86"/>
  <c r="C25" i="86"/>
  <c r="B25" i="86"/>
  <c r="D24" i="86"/>
  <c r="C24" i="86"/>
  <c r="B24" i="86"/>
  <c r="C23" i="86"/>
  <c r="B23" i="86"/>
  <c r="C22" i="86"/>
  <c r="B22" i="86"/>
  <c r="C21" i="86"/>
  <c r="B21" i="86"/>
  <c r="C20" i="86"/>
  <c r="C19" i="86"/>
  <c r="C18" i="86"/>
  <c r="B18" i="86"/>
  <c r="C17" i="86"/>
  <c r="C16" i="86"/>
  <c r="C15" i="86"/>
  <c r="C14" i="86"/>
  <c r="C13" i="86"/>
  <c r="B13" i="86"/>
  <c r="C12" i="86"/>
  <c r="B12" i="86"/>
  <c r="D7" i="86"/>
  <c r="G108" i="85"/>
  <c r="G116" i="85"/>
  <c r="G114" i="85"/>
  <c r="D114" i="85"/>
  <c r="G113" i="85"/>
  <c r="F113" i="85"/>
  <c r="D113" i="85"/>
  <c r="G112" i="85"/>
  <c r="F112" i="85"/>
  <c r="E112" i="85"/>
  <c r="D112" i="85"/>
  <c r="G110" i="85"/>
  <c r="F110" i="85"/>
  <c r="E110" i="85"/>
  <c r="D110" i="85"/>
  <c r="F108" i="85"/>
  <c r="G90" i="85"/>
  <c r="D90" i="85"/>
  <c r="G89" i="85"/>
  <c r="F89" i="85"/>
  <c r="D89" i="85"/>
  <c r="G87" i="85"/>
  <c r="F87" i="85"/>
  <c r="G65" i="85"/>
  <c r="D65" i="85"/>
  <c r="G64" i="85"/>
  <c r="F64" i="85"/>
  <c r="D64" i="85"/>
  <c r="G63" i="85"/>
  <c r="F63" i="85"/>
  <c r="E63" i="85"/>
  <c r="D63" i="85"/>
  <c r="G61" i="85"/>
  <c r="F61" i="85"/>
  <c r="E61" i="85"/>
  <c r="D61" i="85"/>
  <c r="G60" i="85"/>
  <c r="F60" i="85"/>
  <c r="G58" i="85"/>
  <c r="G57" i="85"/>
  <c r="F57" i="85"/>
  <c r="G56" i="85"/>
  <c r="F56" i="85"/>
  <c r="G17" i="85"/>
  <c r="D99" i="85"/>
  <c r="D17" i="85" s="1"/>
  <c r="G16" i="85"/>
  <c r="F16" i="85"/>
  <c r="G15" i="85"/>
  <c r="F15" i="85"/>
  <c r="G24" i="85"/>
  <c r="D24" i="85"/>
  <c r="G23" i="85"/>
  <c r="F23" i="85"/>
  <c r="D23" i="85"/>
  <c r="G22" i="85"/>
  <c r="F22" i="85"/>
  <c r="E22" i="85"/>
  <c r="D22" i="85"/>
  <c r="G20" i="85"/>
  <c r="F20" i="85"/>
  <c r="E20" i="85"/>
  <c r="D20" i="85"/>
  <c r="G19" i="85"/>
  <c r="F19" i="85"/>
  <c r="D19" i="85"/>
  <c r="F27" i="85"/>
  <c r="G27" i="85"/>
  <c r="D32" i="85"/>
  <c r="F32" i="85"/>
  <c r="G32" i="85"/>
  <c r="D33" i="85"/>
  <c r="F33" i="85"/>
  <c r="G33" i="85"/>
  <c r="D34" i="85"/>
  <c r="G34" i="85"/>
  <c r="G78" i="85"/>
  <c r="D100" i="85"/>
  <c r="D78" i="85" s="1"/>
  <c r="G77" i="85"/>
  <c r="F77" i="85"/>
  <c r="G76" i="85"/>
  <c r="F76" i="85"/>
  <c r="G72" i="85"/>
  <c r="D72" i="85"/>
  <c r="G71" i="85"/>
  <c r="F71" i="85"/>
  <c r="D71" i="85"/>
  <c r="G70" i="85"/>
  <c r="F70" i="85"/>
  <c r="E70" i="85"/>
  <c r="D70" i="85"/>
  <c r="G68" i="85"/>
  <c r="F68" i="85"/>
  <c r="E68" i="85"/>
  <c r="D68" i="85"/>
  <c r="G67" i="85"/>
  <c r="F67" i="85"/>
  <c r="G52" i="85"/>
  <c r="G51" i="85"/>
  <c r="F51" i="85"/>
  <c r="G47" i="85"/>
  <c r="F47" i="85"/>
  <c r="G121" i="85"/>
  <c r="D121" i="85"/>
  <c r="G120" i="85"/>
  <c r="F120" i="85"/>
  <c r="D120" i="85"/>
  <c r="G119" i="85"/>
  <c r="F119" i="85"/>
  <c r="E119" i="85"/>
  <c r="D119" i="85"/>
  <c r="G117" i="85"/>
  <c r="F117" i="85"/>
  <c r="E117" i="85"/>
  <c r="D117" i="85"/>
  <c r="F116" i="85"/>
  <c r="G105" i="85"/>
  <c r="G104" i="85"/>
  <c r="F104" i="85"/>
  <c r="G102" i="85"/>
  <c r="F102" i="85"/>
  <c r="G100" i="85"/>
  <c r="G99" i="85"/>
  <c r="F99" i="85"/>
  <c r="G97" i="85"/>
  <c r="F97" i="85"/>
  <c r="G95" i="85"/>
  <c r="D95" i="85"/>
  <c r="G94" i="85"/>
  <c r="F94" i="85"/>
  <c r="D94" i="85"/>
  <c r="G92" i="85"/>
  <c r="F92" i="85"/>
  <c r="D40" i="85"/>
  <c r="D39" i="85"/>
  <c r="G40" i="85"/>
  <c r="G39" i="85"/>
  <c r="F39" i="85"/>
  <c r="G38" i="85"/>
  <c r="F38" i="85"/>
  <c r="G12" i="85"/>
  <c r="G11" i="85"/>
  <c r="F11" i="85"/>
  <c r="G10" i="85"/>
  <c r="F10" i="85"/>
  <c r="G8" i="85"/>
  <c r="G7" i="85"/>
  <c r="F7" i="85"/>
  <c r="G6" i="85"/>
  <c r="F6" i="85"/>
  <c r="E36" i="79"/>
  <c r="F36" i="79" s="1"/>
  <c r="E33" i="79"/>
  <c r="F33" i="79" s="1"/>
  <c r="E28" i="79"/>
  <c r="F28" i="79" s="1"/>
  <c r="E27" i="79"/>
  <c r="F27" i="79" s="1"/>
  <c r="G27" i="79" s="1"/>
  <c r="E22" i="79"/>
  <c r="F22" i="79" s="1"/>
  <c r="H22" i="79" s="1"/>
  <c r="E21" i="79"/>
  <c r="F21" i="79" s="1"/>
  <c r="E18" i="79"/>
  <c r="E13" i="79"/>
  <c r="F13" i="79" s="1"/>
  <c r="H13" i="79" s="1"/>
  <c r="R32" i="67"/>
  <c r="R36" i="67" s="1"/>
  <c r="M27" i="78" s="1"/>
  <c r="R31" i="67"/>
  <c r="R35" i="67" s="1"/>
  <c r="M28" i="78" s="1"/>
  <c r="C38" i="81"/>
  <c r="B38" i="81"/>
  <c r="B37" i="81"/>
  <c r="C36" i="81"/>
  <c r="B36" i="81"/>
  <c r="A36" i="81"/>
  <c r="B35" i="81"/>
  <c r="C34" i="81"/>
  <c r="B34" i="81"/>
  <c r="B33" i="81"/>
  <c r="A33" i="81"/>
  <c r="C32" i="81"/>
  <c r="B32" i="81"/>
  <c r="C31" i="81"/>
  <c r="B31" i="81"/>
  <c r="C30" i="81"/>
  <c r="B30" i="81"/>
  <c r="C29" i="81"/>
  <c r="B29" i="81"/>
  <c r="B28" i="81"/>
  <c r="A28" i="81"/>
  <c r="B27" i="81"/>
  <c r="A27" i="81"/>
  <c r="C26" i="81"/>
  <c r="B26" i="81"/>
  <c r="C25" i="81"/>
  <c r="B25" i="81"/>
  <c r="C24" i="81"/>
  <c r="B24" i="81"/>
  <c r="C23" i="81"/>
  <c r="B23" i="81"/>
  <c r="B22" i="81"/>
  <c r="A22" i="81"/>
  <c r="B21" i="81"/>
  <c r="A21" i="81"/>
  <c r="B20" i="81"/>
  <c r="C19" i="81"/>
  <c r="B19" i="81"/>
  <c r="B18" i="81"/>
  <c r="A18" i="81"/>
  <c r="B17" i="81"/>
  <c r="B16" i="81"/>
  <c r="C15" i="81"/>
  <c r="B15" i="81"/>
  <c r="C14" i="81"/>
  <c r="B14" i="81"/>
  <c r="B13" i="81"/>
  <c r="A13" i="81"/>
  <c r="B12" i="81"/>
  <c r="A12" i="81"/>
  <c r="C11" i="81"/>
  <c r="B11" i="81"/>
  <c r="C10" i="81"/>
  <c r="B10" i="81"/>
  <c r="C9" i="81"/>
  <c r="B9" i="81"/>
  <c r="B8" i="81"/>
  <c r="C7" i="81"/>
  <c r="B7" i="81"/>
  <c r="B6" i="81"/>
  <c r="A6" i="81"/>
  <c r="B38" i="79"/>
  <c r="B37" i="79"/>
  <c r="C36" i="79"/>
  <c r="B36" i="79"/>
  <c r="A36" i="79"/>
  <c r="B35" i="79"/>
  <c r="C34" i="79"/>
  <c r="B34" i="79"/>
  <c r="B33" i="79"/>
  <c r="A33" i="79"/>
  <c r="C32" i="79"/>
  <c r="B32" i="79"/>
  <c r="C31" i="79"/>
  <c r="B31" i="79"/>
  <c r="C30" i="79"/>
  <c r="B30" i="79"/>
  <c r="C29" i="79"/>
  <c r="B29" i="79"/>
  <c r="B28" i="79"/>
  <c r="A28" i="79"/>
  <c r="B27" i="79"/>
  <c r="A27" i="79"/>
  <c r="C26" i="79"/>
  <c r="B26" i="79"/>
  <c r="C25" i="79"/>
  <c r="B25" i="79"/>
  <c r="C24" i="79"/>
  <c r="B24" i="79"/>
  <c r="C23" i="79"/>
  <c r="B23" i="79"/>
  <c r="B22" i="79"/>
  <c r="A22" i="79"/>
  <c r="B21" i="79"/>
  <c r="A21" i="79"/>
  <c r="B20" i="79"/>
  <c r="B19" i="79"/>
  <c r="B18" i="79"/>
  <c r="A18" i="79"/>
  <c r="B17" i="79"/>
  <c r="B16" i="79"/>
  <c r="C15" i="79"/>
  <c r="B15" i="79"/>
  <c r="C14" i="79"/>
  <c r="B14" i="79"/>
  <c r="B13" i="79"/>
  <c r="A13" i="79"/>
  <c r="B12" i="79"/>
  <c r="C11" i="79"/>
  <c r="B11" i="79"/>
  <c r="C10" i="79"/>
  <c r="B10" i="79"/>
  <c r="C9" i="79"/>
  <c r="B9" i="79"/>
  <c r="B8" i="79"/>
  <c r="C7" i="79"/>
  <c r="B7" i="79"/>
  <c r="B6" i="79"/>
  <c r="A6" i="79"/>
  <c r="B7" i="77"/>
  <c r="H40" i="76"/>
  <c r="D40" i="76"/>
  <c r="H39" i="76"/>
  <c r="G39" i="76"/>
  <c r="D39" i="76"/>
  <c r="H36" i="76"/>
  <c r="G36" i="76"/>
  <c r="D36" i="76"/>
  <c r="H35" i="76"/>
  <c r="G35" i="76"/>
  <c r="D35" i="76"/>
  <c r="H34" i="76"/>
  <c r="G34" i="76"/>
  <c r="D34" i="76"/>
  <c r="H33" i="76"/>
  <c r="G33" i="76"/>
  <c r="C32" i="76"/>
  <c r="H31" i="76"/>
  <c r="D31" i="76"/>
  <c r="H30" i="76"/>
  <c r="G30" i="76"/>
  <c r="D30" i="76"/>
  <c r="H27" i="76"/>
  <c r="G27" i="76"/>
  <c r="D27" i="76"/>
  <c r="H26" i="76"/>
  <c r="G26" i="76"/>
  <c r="D26" i="76"/>
  <c r="H25" i="76"/>
  <c r="G25" i="76"/>
  <c r="D25" i="76"/>
  <c r="H24" i="76"/>
  <c r="G24" i="76"/>
  <c r="C23" i="76"/>
  <c r="C22" i="76"/>
  <c r="H21" i="76"/>
  <c r="D21" i="76"/>
  <c r="H20" i="76"/>
  <c r="G20" i="76"/>
  <c r="H19" i="76"/>
  <c r="G19" i="76"/>
  <c r="C18" i="76"/>
  <c r="H17" i="76"/>
  <c r="D17" i="76"/>
  <c r="H16" i="76"/>
  <c r="G16" i="76"/>
  <c r="D16" i="76"/>
  <c r="H15" i="76"/>
  <c r="G15" i="76"/>
  <c r="C14" i="76"/>
  <c r="C13" i="76"/>
  <c r="H119" i="76"/>
  <c r="D138" i="76"/>
  <c r="D119" i="76" s="1"/>
  <c r="D123" i="76" s="1"/>
  <c r="H118" i="76"/>
  <c r="G118" i="76"/>
  <c r="D137" i="76"/>
  <c r="D118" i="76" s="1"/>
  <c r="H117" i="76"/>
  <c r="G117" i="76"/>
  <c r="C115" i="76"/>
  <c r="H114" i="76"/>
  <c r="D114" i="76"/>
  <c r="H113" i="76"/>
  <c r="G113" i="76"/>
  <c r="D113" i="76"/>
  <c r="H112" i="76"/>
  <c r="G112" i="76"/>
  <c r="E112" i="76"/>
  <c r="D112" i="76"/>
  <c r="H109" i="76"/>
  <c r="G109" i="76"/>
  <c r="C108" i="76"/>
  <c r="H107" i="76"/>
  <c r="D107" i="76"/>
  <c r="H106" i="76"/>
  <c r="G106" i="76"/>
  <c r="D106" i="76"/>
  <c r="H105" i="76"/>
  <c r="G105" i="76"/>
  <c r="E105" i="76"/>
  <c r="D105" i="76"/>
  <c r="H102" i="76"/>
  <c r="G102" i="76"/>
  <c r="C101" i="76"/>
  <c r="H100" i="76"/>
  <c r="H99" i="76"/>
  <c r="G99" i="76"/>
  <c r="H98" i="76"/>
  <c r="G98" i="76"/>
  <c r="C97" i="76"/>
  <c r="C96" i="76"/>
  <c r="C95" i="76"/>
  <c r="H94" i="76"/>
  <c r="H93" i="76"/>
  <c r="G93" i="76"/>
  <c r="H89" i="76"/>
  <c r="G89" i="76"/>
  <c r="C88" i="76"/>
  <c r="C70" i="76"/>
  <c r="H165" i="76"/>
  <c r="D165" i="76"/>
  <c r="H164" i="76"/>
  <c r="G164" i="76"/>
  <c r="D164" i="76"/>
  <c r="H163" i="76"/>
  <c r="G163" i="76"/>
  <c r="E163" i="76"/>
  <c r="D163" i="76"/>
  <c r="H161" i="76"/>
  <c r="G161" i="76"/>
  <c r="E161" i="76"/>
  <c r="D161" i="76"/>
  <c r="H159" i="76"/>
  <c r="G159" i="76"/>
  <c r="C158" i="76"/>
  <c r="H157" i="76"/>
  <c r="D157" i="76"/>
  <c r="H156" i="76"/>
  <c r="G156" i="76"/>
  <c r="D156" i="76"/>
  <c r="H155" i="76"/>
  <c r="G155" i="76"/>
  <c r="E155" i="76"/>
  <c r="D155" i="76"/>
  <c r="H153" i="76"/>
  <c r="G153" i="76"/>
  <c r="E153" i="76"/>
  <c r="D153" i="76"/>
  <c r="H151" i="76"/>
  <c r="G151" i="76"/>
  <c r="C150" i="76"/>
  <c r="H148" i="76"/>
  <c r="H147" i="76"/>
  <c r="G147" i="76"/>
  <c r="D147" i="76"/>
  <c r="H145" i="76"/>
  <c r="G145" i="76"/>
  <c r="C144" i="76"/>
  <c r="H143" i="76"/>
  <c r="H142" i="76"/>
  <c r="G142" i="76"/>
  <c r="H140" i="76"/>
  <c r="G140" i="76"/>
  <c r="C139" i="76"/>
  <c r="H138" i="76"/>
  <c r="H137" i="76"/>
  <c r="G137" i="76"/>
  <c r="H135" i="76"/>
  <c r="G135" i="76"/>
  <c r="C134" i="76"/>
  <c r="H133" i="76"/>
  <c r="D133" i="76"/>
  <c r="H132" i="76"/>
  <c r="G132" i="76"/>
  <c r="D132" i="76"/>
  <c r="H130" i="76"/>
  <c r="G130" i="76"/>
  <c r="C129" i="76"/>
  <c r="H65" i="76"/>
  <c r="D56" i="76"/>
  <c r="D65" i="76" s="1"/>
  <c r="H64" i="76"/>
  <c r="G64" i="76"/>
  <c r="D55" i="76"/>
  <c r="D64" i="76" s="1"/>
  <c r="H63" i="76"/>
  <c r="G63" i="76"/>
  <c r="C61" i="76"/>
  <c r="H56" i="76"/>
  <c r="H55" i="76"/>
  <c r="G55" i="76"/>
  <c r="H54" i="76"/>
  <c r="G54" i="76"/>
  <c r="C52" i="76"/>
  <c r="H12" i="76"/>
  <c r="H11" i="76"/>
  <c r="G11" i="76"/>
  <c r="H10" i="76"/>
  <c r="G10" i="76"/>
  <c r="C9" i="76"/>
  <c r="H8" i="76"/>
  <c r="H7" i="76"/>
  <c r="G7" i="76"/>
  <c r="H6" i="76"/>
  <c r="G6" i="76"/>
  <c r="C5" i="76"/>
  <c r="C4" i="76"/>
  <c r="H40" i="75"/>
  <c r="H39" i="75"/>
  <c r="G39" i="75"/>
  <c r="D39" i="75"/>
  <c r="H36" i="75"/>
  <c r="G36" i="75"/>
  <c r="D36" i="75"/>
  <c r="H35" i="75"/>
  <c r="G35" i="75"/>
  <c r="D35" i="75"/>
  <c r="H34" i="75"/>
  <c r="G34" i="75"/>
  <c r="D34" i="75"/>
  <c r="H33" i="75"/>
  <c r="G33" i="75"/>
  <c r="H31" i="75"/>
  <c r="H30" i="75"/>
  <c r="G30" i="75"/>
  <c r="D30" i="75"/>
  <c r="H29" i="75"/>
  <c r="G29" i="75"/>
  <c r="D29" i="75"/>
  <c r="H24" i="75"/>
  <c r="G24" i="75"/>
  <c r="H21" i="75"/>
  <c r="H20" i="75"/>
  <c r="G20" i="75"/>
  <c r="H19" i="75"/>
  <c r="G19" i="75"/>
  <c r="H17" i="75"/>
  <c r="D17" i="75"/>
  <c r="H16" i="75"/>
  <c r="G16" i="75"/>
  <c r="D16" i="75"/>
  <c r="H15" i="75"/>
  <c r="G15" i="75"/>
  <c r="H119" i="75"/>
  <c r="H118" i="75"/>
  <c r="G118" i="75"/>
  <c r="D136" i="75"/>
  <c r="D118" i="75" s="1"/>
  <c r="H117" i="75"/>
  <c r="G117" i="75"/>
  <c r="H114" i="75"/>
  <c r="H113" i="75"/>
  <c r="G113" i="75"/>
  <c r="D113" i="75"/>
  <c r="H112" i="75"/>
  <c r="G112" i="75"/>
  <c r="E112" i="75"/>
  <c r="D112" i="75"/>
  <c r="H110" i="75"/>
  <c r="G110" i="75"/>
  <c r="E110" i="75"/>
  <c r="D110" i="75"/>
  <c r="H109" i="75"/>
  <c r="G109" i="75"/>
  <c r="H107" i="75"/>
  <c r="H106" i="75"/>
  <c r="G106" i="75"/>
  <c r="D106" i="75"/>
  <c r="H105" i="75"/>
  <c r="G105" i="75"/>
  <c r="E105" i="75"/>
  <c r="D105" i="75"/>
  <c r="H103" i="75"/>
  <c r="G103" i="75"/>
  <c r="E103" i="75"/>
  <c r="D103" i="75"/>
  <c r="H102" i="75"/>
  <c r="G102" i="75"/>
  <c r="H100" i="75"/>
  <c r="H99" i="75"/>
  <c r="G99" i="75"/>
  <c r="H98" i="75"/>
  <c r="G98" i="75"/>
  <c r="H94" i="75"/>
  <c r="H93" i="75"/>
  <c r="G93" i="75"/>
  <c r="H89" i="75"/>
  <c r="G89" i="75"/>
  <c r="H164" i="75"/>
  <c r="H163" i="75"/>
  <c r="G163" i="75"/>
  <c r="D163" i="75"/>
  <c r="H162" i="75"/>
  <c r="G162" i="75"/>
  <c r="E162" i="75"/>
  <c r="D162" i="75"/>
  <c r="H160" i="75"/>
  <c r="G160" i="75"/>
  <c r="E160" i="75"/>
  <c r="D160" i="75"/>
  <c r="H158" i="75"/>
  <c r="G158" i="75"/>
  <c r="H156" i="75"/>
  <c r="H155" i="75"/>
  <c r="G155" i="75"/>
  <c r="D155" i="75"/>
  <c r="H154" i="75"/>
  <c r="G154" i="75"/>
  <c r="E154" i="75"/>
  <c r="D154" i="75"/>
  <c r="H152" i="75"/>
  <c r="G152" i="75"/>
  <c r="E152" i="75"/>
  <c r="D152" i="75"/>
  <c r="H150" i="75"/>
  <c r="G150" i="75"/>
  <c r="H147" i="75"/>
  <c r="H146" i="75"/>
  <c r="G146" i="75"/>
  <c r="H144" i="75"/>
  <c r="G144" i="75"/>
  <c r="H142" i="75"/>
  <c r="H141" i="75"/>
  <c r="G141" i="75"/>
  <c r="H139" i="75"/>
  <c r="G139" i="75"/>
  <c r="H137" i="75"/>
  <c r="H136" i="75"/>
  <c r="G136" i="75"/>
  <c r="H134" i="75"/>
  <c r="G134" i="75"/>
  <c r="H132" i="75"/>
  <c r="H131" i="75"/>
  <c r="G131" i="75"/>
  <c r="D131" i="75"/>
  <c r="H129" i="75"/>
  <c r="G129" i="75"/>
  <c r="H65" i="75"/>
  <c r="H64" i="75"/>
  <c r="G64" i="75"/>
  <c r="D55" i="75"/>
  <c r="D64" i="75" s="1"/>
  <c r="H63" i="75"/>
  <c r="G63" i="75"/>
  <c r="H56" i="75"/>
  <c r="H55" i="75"/>
  <c r="G55" i="75"/>
  <c r="H54" i="75"/>
  <c r="G54" i="75"/>
  <c r="H12" i="75"/>
  <c r="H11" i="75"/>
  <c r="G11" i="75"/>
  <c r="H10" i="75"/>
  <c r="G10" i="75"/>
  <c r="H8" i="75"/>
  <c r="H7" i="75"/>
  <c r="G7" i="75"/>
  <c r="H6" i="75"/>
  <c r="G6" i="75"/>
  <c r="C4" i="75"/>
  <c r="B16" i="74"/>
  <c r="A16" i="74"/>
  <c r="C16" i="73"/>
  <c r="B16" i="73"/>
  <c r="C14" i="72"/>
  <c r="B14" i="72"/>
  <c r="C15" i="71"/>
  <c r="B15" i="71"/>
  <c r="H21" i="63"/>
  <c r="H20" i="63"/>
  <c r="G20" i="63"/>
  <c r="H19" i="63"/>
  <c r="G19" i="63"/>
  <c r="H17" i="63"/>
  <c r="H16" i="63"/>
  <c r="G16" i="63"/>
  <c r="H15" i="63"/>
  <c r="G15" i="63"/>
  <c r="H111" i="63"/>
  <c r="H110" i="63"/>
  <c r="G110" i="63"/>
  <c r="H109" i="63"/>
  <c r="G109" i="63"/>
  <c r="H106" i="63"/>
  <c r="H105" i="63"/>
  <c r="G105" i="63"/>
  <c r="H104" i="63"/>
  <c r="G104" i="63"/>
  <c r="E104" i="63"/>
  <c r="H102" i="63"/>
  <c r="G102" i="63"/>
  <c r="E102" i="63"/>
  <c r="H101" i="63"/>
  <c r="G101" i="63"/>
  <c r="H94" i="63"/>
  <c r="G94" i="63"/>
  <c r="H98" i="63"/>
  <c r="H92" i="63"/>
  <c r="H91" i="63"/>
  <c r="G91" i="63"/>
  <c r="H90" i="63"/>
  <c r="G90" i="63"/>
  <c r="H86" i="63"/>
  <c r="H85" i="63"/>
  <c r="G85" i="63"/>
  <c r="H81" i="63"/>
  <c r="G81" i="63"/>
  <c r="H148" i="63"/>
  <c r="H140" i="63"/>
  <c r="H139" i="63"/>
  <c r="G139" i="63"/>
  <c r="H137" i="63"/>
  <c r="G137" i="63"/>
  <c r="H135" i="63"/>
  <c r="H134" i="63"/>
  <c r="G134" i="63"/>
  <c r="H132" i="63"/>
  <c r="G132" i="63"/>
  <c r="H130" i="63"/>
  <c r="H129" i="63"/>
  <c r="G129" i="63"/>
  <c r="H127" i="63"/>
  <c r="G127" i="63"/>
  <c r="H125" i="63"/>
  <c r="H124" i="63"/>
  <c r="G124" i="63"/>
  <c r="H122" i="63"/>
  <c r="G122" i="63"/>
  <c r="H57" i="63"/>
  <c r="H56" i="63"/>
  <c r="G56" i="63"/>
  <c r="H55" i="63"/>
  <c r="G55" i="63"/>
  <c r="H48" i="63"/>
  <c r="H47" i="63"/>
  <c r="G47" i="63"/>
  <c r="H46" i="63"/>
  <c r="G46" i="63"/>
  <c r="H12" i="63"/>
  <c r="H11" i="63"/>
  <c r="G11" i="63"/>
  <c r="H10" i="63"/>
  <c r="G10" i="63"/>
  <c r="G7" i="63"/>
  <c r="G6" i="63"/>
  <c r="G143" i="63"/>
  <c r="G151" i="63"/>
  <c r="H156" i="63"/>
  <c r="H151" i="63"/>
  <c r="S37" i="67"/>
  <c r="R37" i="67"/>
  <c r="D17" i="81" s="1"/>
  <c r="Q37" i="67"/>
  <c r="D14" i="64" s="1"/>
  <c r="V31" i="67"/>
  <c r="V35" i="67" s="1"/>
  <c r="AA31" i="67"/>
  <c r="D39" i="79" s="1"/>
  <c r="W31" i="67"/>
  <c r="W35" i="67" s="1"/>
  <c r="V32" i="67"/>
  <c r="V36" i="67" s="1"/>
  <c r="W32" i="67"/>
  <c r="W36" i="67" s="1"/>
  <c r="U32" i="67"/>
  <c r="U36" i="67" s="1"/>
  <c r="U31" i="67"/>
  <c r="U35" i="67" s="1"/>
  <c r="S32" i="67"/>
  <c r="S36" i="67" s="1"/>
  <c r="S31" i="67"/>
  <c r="S35" i="67" s="1"/>
  <c r="Q32" i="67"/>
  <c r="Q36" i="67" s="1"/>
  <c r="S27" i="68" s="1"/>
  <c r="Q31" i="67"/>
  <c r="E12" i="64"/>
  <c r="F12" i="64" s="1"/>
  <c r="E18" i="64"/>
  <c r="F18" i="64" s="1"/>
  <c r="E21" i="64"/>
  <c r="F21" i="64" s="1"/>
  <c r="E22" i="64"/>
  <c r="F22" i="64" s="1"/>
  <c r="E27" i="64"/>
  <c r="F27" i="64" s="1"/>
  <c r="E28" i="64"/>
  <c r="F28" i="64" s="1"/>
  <c r="E33" i="64"/>
  <c r="F33" i="64" s="1"/>
  <c r="E36" i="64"/>
  <c r="F36" i="64" s="1"/>
  <c r="H8" i="63"/>
  <c r="H7" i="63"/>
  <c r="H6" i="63"/>
  <c r="C9" i="63"/>
  <c r="C5" i="63"/>
  <c r="C7" i="68"/>
  <c r="B7" i="68"/>
  <c r="C9" i="64"/>
  <c r="C10" i="64"/>
  <c r="C11" i="64"/>
  <c r="C14" i="64"/>
  <c r="C15" i="64"/>
  <c r="C23" i="64"/>
  <c r="C24" i="64"/>
  <c r="C26" i="64"/>
  <c r="C29" i="64"/>
  <c r="C30" i="64"/>
  <c r="C31" i="64"/>
  <c r="C34" i="64"/>
  <c r="C7" i="64"/>
  <c r="B8" i="64"/>
  <c r="B9" i="64"/>
  <c r="B10" i="64"/>
  <c r="B11" i="64"/>
  <c r="B12" i="64"/>
  <c r="B13" i="64"/>
  <c r="B14" i="64"/>
  <c r="B15" i="64"/>
  <c r="B16" i="64"/>
  <c r="B17" i="64"/>
  <c r="B18" i="64"/>
  <c r="B19" i="64"/>
  <c r="B20" i="64"/>
  <c r="B21" i="64"/>
  <c r="B22" i="64"/>
  <c r="B23" i="64"/>
  <c r="B24" i="64"/>
  <c r="B25" i="64"/>
  <c r="B26" i="64"/>
  <c r="B27" i="64"/>
  <c r="B28" i="64"/>
  <c r="B29" i="64"/>
  <c r="B30" i="64"/>
  <c r="B31" i="64"/>
  <c r="B32" i="64"/>
  <c r="B33" i="64"/>
  <c r="B34" i="64"/>
  <c r="B35" i="64"/>
  <c r="B36" i="64"/>
  <c r="B37" i="64"/>
  <c r="B38" i="64"/>
  <c r="A8" i="64"/>
  <c r="A9" i="64"/>
  <c r="A10" i="64"/>
  <c r="A11" i="64"/>
  <c r="A12" i="64"/>
  <c r="A13" i="64"/>
  <c r="A14" i="64"/>
  <c r="A15" i="64"/>
  <c r="A16" i="64"/>
  <c r="A17" i="64"/>
  <c r="A18" i="64"/>
  <c r="A19" i="64"/>
  <c r="A20" i="64"/>
  <c r="A21" i="64"/>
  <c r="A22" i="64"/>
  <c r="A23" i="64"/>
  <c r="A24" i="64"/>
  <c r="A25" i="64"/>
  <c r="A26" i="64"/>
  <c r="A27" i="64"/>
  <c r="A28" i="64"/>
  <c r="A29" i="64"/>
  <c r="A30" i="64"/>
  <c r="A31" i="64"/>
  <c r="A32" i="64"/>
  <c r="A33" i="64"/>
  <c r="A34" i="64"/>
  <c r="A36" i="64"/>
  <c r="B7" i="64"/>
  <c r="A7" i="64"/>
  <c r="B6" i="64"/>
  <c r="A6" i="64"/>
  <c r="C88" i="63"/>
  <c r="D43" i="67"/>
  <c r="C136" i="63"/>
  <c r="D137" i="63"/>
  <c r="G344" i="22"/>
  <c r="I344" i="22" s="1"/>
  <c r="J27" i="66"/>
  <c r="O6" i="66"/>
  <c r="O27" i="66" s="1"/>
  <c r="K27" i="66"/>
  <c r="P8" i="66"/>
  <c r="P9" i="66"/>
  <c r="I27" i="66"/>
  <c r="N27" i="66"/>
  <c r="F7" i="46"/>
  <c r="E61" i="72" s="1"/>
  <c r="F8" i="46"/>
  <c r="H6" i="83" s="1"/>
  <c r="F9" i="46"/>
  <c r="F65" i="71" s="1"/>
  <c r="F10" i="46"/>
  <c r="H27" i="83" s="1"/>
  <c r="F11" i="46"/>
  <c r="H28" i="83" s="1"/>
  <c r="E10" i="72"/>
  <c r="I67" i="76"/>
  <c r="H68" i="85"/>
  <c r="H36" i="63"/>
  <c r="H35" i="63"/>
  <c r="G35" i="63"/>
  <c r="D35" i="63"/>
  <c r="H32" i="63"/>
  <c r="G32" i="63"/>
  <c r="D32" i="63"/>
  <c r="H31" i="63"/>
  <c r="G31" i="63"/>
  <c r="D31" i="63"/>
  <c r="G30" i="63"/>
  <c r="D30" i="63"/>
  <c r="H29" i="63"/>
  <c r="G29" i="63"/>
  <c r="H25" i="63"/>
  <c r="G25" i="63"/>
  <c r="D25" i="63"/>
  <c r="D26" i="63"/>
  <c r="D16" i="63"/>
  <c r="H27" i="63"/>
  <c r="H26" i="63"/>
  <c r="G26" i="63"/>
  <c r="H24" i="63"/>
  <c r="G24" i="63"/>
  <c r="D19" i="63"/>
  <c r="D15" i="63"/>
  <c r="D106" i="63"/>
  <c r="D105" i="63"/>
  <c r="D104" i="63"/>
  <c r="D102" i="63"/>
  <c r="D101" i="63"/>
  <c r="H99" i="63"/>
  <c r="D99" i="63"/>
  <c r="G98" i="63"/>
  <c r="D98" i="63"/>
  <c r="H97" i="63"/>
  <c r="G97" i="63"/>
  <c r="E97" i="63"/>
  <c r="D97" i="63"/>
  <c r="H95" i="63"/>
  <c r="G95" i="63"/>
  <c r="E95" i="63"/>
  <c r="D95" i="63"/>
  <c r="H157" i="63"/>
  <c r="H149" i="63"/>
  <c r="D157" i="63"/>
  <c r="G156" i="63"/>
  <c r="D156" i="63"/>
  <c r="H155" i="63"/>
  <c r="G155" i="63"/>
  <c r="E155" i="63"/>
  <c r="D155" i="63"/>
  <c r="H153" i="63"/>
  <c r="G153" i="63"/>
  <c r="E153" i="63"/>
  <c r="D153" i="63"/>
  <c r="D151" i="63"/>
  <c r="H147" i="63"/>
  <c r="H145" i="63"/>
  <c r="C28" i="63"/>
  <c r="C23" i="63"/>
  <c r="E145" i="63"/>
  <c r="E147" i="63"/>
  <c r="G148" i="63"/>
  <c r="D148" i="63"/>
  <c r="G147" i="63"/>
  <c r="D147" i="63"/>
  <c r="G145" i="63"/>
  <c r="D145" i="63"/>
  <c r="C18" i="63"/>
  <c r="D129" i="63"/>
  <c r="C14" i="63"/>
  <c r="C13" i="63"/>
  <c r="C107" i="63"/>
  <c r="C100" i="63"/>
  <c r="C89" i="63"/>
  <c r="C80" i="63"/>
  <c r="D149" i="63"/>
  <c r="D143" i="63"/>
  <c r="D130" i="63"/>
  <c r="D111" i="63" s="1"/>
  <c r="D115" i="63" s="1"/>
  <c r="D125" i="63"/>
  <c r="D124" i="63"/>
  <c r="D122" i="63"/>
  <c r="C121" i="63"/>
  <c r="D47" i="63"/>
  <c r="D56" i="63" s="1"/>
  <c r="C53" i="63"/>
  <c r="C44" i="63"/>
  <c r="D39" i="26"/>
  <c r="G9" i="26"/>
  <c r="D40" i="26"/>
  <c r="I40" i="26" s="1"/>
  <c r="D37" i="26"/>
  <c r="D38" i="26"/>
  <c r="I38" i="26" s="1"/>
  <c r="D49" i="26"/>
  <c r="E49" i="26" s="1"/>
  <c r="D51" i="26"/>
  <c r="I51" i="26" s="1"/>
  <c r="L15" i="66"/>
  <c r="L16" i="66"/>
  <c r="L17" i="66"/>
  <c r="L18" i="66"/>
  <c r="L19" i="66"/>
  <c r="L21" i="66"/>
  <c r="L22" i="66"/>
  <c r="L24" i="66"/>
  <c r="L25" i="66"/>
  <c r="L26" i="66"/>
  <c r="M15" i="66"/>
  <c r="M16" i="66"/>
  <c r="M17" i="66"/>
  <c r="M18" i="66"/>
  <c r="M19" i="66"/>
  <c r="M21" i="66"/>
  <c r="M22" i="66"/>
  <c r="M24" i="66"/>
  <c r="M25" i="66"/>
  <c r="M26" i="66"/>
  <c r="Q27" i="66"/>
  <c r="C33" i="66" s="1"/>
  <c r="V5" i="65"/>
  <c r="N5" i="65"/>
  <c r="O5" i="65"/>
  <c r="P5" i="65"/>
  <c r="T5" i="65"/>
  <c r="S5" i="65"/>
  <c r="R5" i="65"/>
  <c r="T6" i="65"/>
  <c r="T7" i="65"/>
  <c r="T8" i="65"/>
  <c r="T9" i="65"/>
  <c r="L6" i="65"/>
  <c r="U6" i="65" s="1"/>
  <c r="L7" i="65"/>
  <c r="U7" i="65" s="1"/>
  <c r="L8" i="65"/>
  <c r="U8" i="65" s="1"/>
  <c r="L9" i="65"/>
  <c r="M9" i="65" s="1"/>
  <c r="U5" i="65"/>
  <c r="W10" i="65"/>
  <c r="V10" i="65"/>
  <c r="U10" i="65"/>
  <c r="T10" i="65"/>
  <c r="S10" i="65"/>
  <c r="R10" i="65"/>
  <c r="Q10" i="65"/>
  <c r="Q11" i="65" s="1"/>
  <c r="P10" i="65"/>
  <c r="O10" i="65"/>
  <c r="N10" i="65"/>
  <c r="M10" i="65"/>
  <c r="L10" i="65"/>
  <c r="L11" i="65" s="1"/>
  <c r="X11" i="65" s="1"/>
  <c r="C15" i="21"/>
  <c r="B15" i="21"/>
  <c r="R6" i="65"/>
  <c r="R7" i="65"/>
  <c r="R8" i="65"/>
  <c r="R9" i="65"/>
  <c r="D5" i="65"/>
  <c r="H143" i="63"/>
  <c r="C150" i="63"/>
  <c r="C142" i="63"/>
  <c r="C131" i="63"/>
  <c r="C126" i="63"/>
  <c r="C16" i="62"/>
  <c r="B16" i="62"/>
  <c r="S6" i="65"/>
  <c r="S7" i="65"/>
  <c r="S8" i="65"/>
  <c r="S9" i="65"/>
  <c r="P6" i="65"/>
  <c r="P7" i="65"/>
  <c r="P8" i="65"/>
  <c r="P9" i="65"/>
  <c r="M5" i="65"/>
  <c r="W9" i="65"/>
  <c r="W5" i="65"/>
  <c r="D9" i="65"/>
  <c r="D8" i="65"/>
  <c r="D7" i="65"/>
  <c r="D6" i="65"/>
  <c r="C93" i="63"/>
  <c r="G11" i="47"/>
  <c r="G465" i="22"/>
  <c r="G8" i="47"/>
  <c r="F13" i="46"/>
  <c r="F12" i="46"/>
  <c r="F5" i="46"/>
  <c r="F4" i="46"/>
  <c r="E37" i="51"/>
  <c r="E57" i="51" s="1"/>
  <c r="C22" i="63"/>
  <c r="C87" i="63"/>
  <c r="C62" i="63"/>
  <c r="C4" i="63"/>
  <c r="D57" i="63"/>
  <c r="D130" i="22"/>
  <c r="D131" i="22"/>
  <c r="D132" i="22"/>
  <c r="D133" i="22"/>
  <c r="E134" i="22"/>
  <c r="D7" i="22"/>
  <c r="D8" i="22"/>
  <c r="D9" i="22"/>
  <c r="D10" i="22"/>
  <c r="G50" i="54"/>
  <c r="G49" i="54" s="1"/>
  <c r="G83" i="54"/>
  <c r="G46" i="54" s="1"/>
  <c r="G15" i="54" s="1"/>
  <c r="G8" i="54" s="1"/>
  <c r="E112" i="54"/>
  <c r="E188" i="51"/>
  <c r="C16" i="52" s="1"/>
  <c r="E174" i="51"/>
  <c r="C15" i="52" s="1"/>
  <c r="E141" i="51"/>
  <c r="C14" i="52" s="1"/>
  <c r="E121" i="51"/>
  <c r="C13" i="52" s="1"/>
  <c r="E100" i="51"/>
  <c r="C12" i="52" s="1"/>
  <c r="E81" i="51"/>
  <c r="C10" i="52" s="1"/>
  <c r="E99" i="51"/>
  <c r="E92" i="51"/>
  <c r="E70" i="51"/>
  <c r="C4" i="52"/>
  <c r="F37" i="52"/>
  <c r="F36" i="52"/>
  <c r="D45" i="52"/>
  <c r="D46" i="52"/>
  <c r="D48" i="52"/>
  <c r="D49" i="52"/>
  <c r="D82" i="45"/>
  <c r="F82" i="45" s="1"/>
  <c r="D83" i="45"/>
  <c r="F83" i="45" s="1"/>
  <c r="D84" i="45"/>
  <c r="F84" i="45" s="1"/>
  <c r="D85" i="45"/>
  <c r="F85" i="45" s="1"/>
  <c r="D86" i="45"/>
  <c r="F86" i="45" s="1"/>
  <c r="D87" i="45"/>
  <c r="F87" i="45" s="1"/>
  <c r="D88" i="45"/>
  <c r="F88" i="45" s="1"/>
  <c r="D89" i="45"/>
  <c r="F89" i="45" s="1"/>
  <c r="D90" i="45"/>
  <c r="F90" i="45" s="1"/>
  <c r="D91" i="45"/>
  <c r="F91" i="45" s="1"/>
  <c r="D92" i="45"/>
  <c r="F92" i="45" s="1"/>
  <c r="D81" i="45"/>
  <c r="D48" i="22"/>
  <c r="D49" i="22"/>
  <c r="D50" i="22"/>
  <c r="D51" i="22"/>
  <c r="E52" i="22"/>
  <c r="D209" i="45"/>
  <c r="D210" i="45"/>
  <c r="F210" i="45" s="1"/>
  <c r="D211" i="45"/>
  <c r="F211" i="45" s="1"/>
  <c r="D212" i="45"/>
  <c r="F212" i="45" s="1"/>
  <c r="D213" i="45"/>
  <c r="F213" i="45" s="1"/>
  <c r="D214" i="45"/>
  <c r="F214" i="45" s="1"/>
  <c r="D215" i="45"/>
  <c r="F215" i="45" s="1"/>
  <c r="D216" i="45"/>
  <c r="F216" i="45" s="1"/>
  <c r="D217" i="45"/>
  <c r="F217" i="45" s="1"/>
  <c r="D218" i="45"/>
  <c r="F218" i="45" s="1"/>
  <c r="D219" i="45"/>
  <c r="F219" i="45" s="1"/>
  <c r="D220" i="45"/>
  <c r="F220" i="45" s="1"/>
  <c r="D1205" i="45"/>
  <c r="F1205" i="45" s="1"/>
  <c r="D1206" i="45"/>
  <c r="F1206" i="45" s="1"/>
  <c r="D1207" i="45"/>
  <c r="F1207" i="45" s="1"/>
  <c r="D1208" i="45"/>
  <c r="F1208" i="45" s="1"/>
  <c r="D1209" i="45"/>
  <c r="F1209" i="45" s="1"/>
  <c r="D1210" i="45"/>
  <c r="F1210" i="45" s="1"/>
  <c r="D1211" i="45"/>
  <c r="F1211" i="45" s="1"/>
  <c r="D1212" i="45"/>
  <c r="F1212" i="45" s="1"/>
  <c r="D1213" i="45"/>
  <c r="F1213" i="45" s="1"/>
  <c r="D1214" i="45"/>
  <c r="F1214" i="45" s="1"/>
  <c r="D1215" i="45"/>
  <c r="F1215" i="45" s="1"/>
  <c r="D1204" i="45"/>
  <c r="D719" i="22"/>
  <c r="D720" i="22"/>
  <c r="D721" i="22"/>
  <c r="D722" i="22"/>
  <c r="E723" i="22"/>
  <c r="D1229" i="45"/>
  <c r="F1229" i="45" s="1"/>
  <c r="D1230" i="45"/>
  <c r="F1230" i="45" s="1"/>
  <c r="D1231" i="45"/>
  <c r="F1231" i="45" s="1"/>
  <c r="D1232" i="45"/>
  <c r="F1232" i="45" s="1"/>
  <c r="D1233" i="45"/>
  <c r="F1233" i="45" s="1"/>
  <c r="D1234" i="45"/>
  <c r="F1234" i="45" s="1"/>
  <c r="D1235" i="45"/>
  <c r="F1235" i="45" s="1"/>
  <c r="D1236" i="45"/>
  <c r="F1236" i="45" s="1"/>
  <c r="D1237" i="45"/>
  <c r="F1237" i="45" s="1"/>
  <c r="D1238" i="45"/>
  <c r="F1238" i="45" s="1"/>
  <c r="D1239" i="45"/>
  <c r="F1239" i="45" s="1"/>
  <c r="D1228" i="45"/>
  <c r="D731" i="22"/>
  <c r="D732" i="22"/>
  <c r="D733" i="22"/>
  <c r="D734" i="22"/>
  <c r="E735" i="22"/>
  <c r="D713" i="22"/>
  <c r="D714" i="22"/>
  <c r="D715" i="22"/>
  <c r="D716" i="22"/>
  <c r="E717" i="22"/>
  <c r="D1193" i="45"/>
  <c r="F1193" i="45" s="1"/>
  <c r="D1194" i="45"/>
  <c r="F1194" i="45" s="1"/>
  <c r="D1195" i="45"/>
  <c r="F1195" i="45" s="1"/>
  <c r="D1196" i="45"/>
  <c r="F1196" i="45" s="1"/>
  <c r="D1197" i="45"/>
  <c r="F1197" i="45" s="1"/>
  <c r="D1198" i="45"/>
  <c r="F1198" i="45" s="1"/>
  <c r="D1199" i="45"/>
  <c r="F1199" i="45" s="1"/>
  <c r="D1200" i="45"/>
  <c r="F1200" i="45" s="1"/>
  <c r="D1201" i="45"/>
  <c r="F1201" i="45" s="1"/>
  <c r="D1202" i="45"/>
  <c r="F1202" i="45" s="1"/>
  <c r="D1203" i="45"/>
  <c r="F1203" i="45" s="1"/>
  <c r="D1192" i="45"/>
  <c r="D700" i="22"/>
  <c r="D701" i="22"/>
  <c r="D702" i="22"/>
  <c r="D703" i="22"/>
  <c r="E704" i="22"/>
  <c r="D706" i="22"/>
  <c r="D707" i="22"/>
  <c r="D708" i="22"/>
  <c r="D709" i="22"/>
  <c r="E710" i="22"/>
  <c r="D1168" i="45"/>
  <c r="F1168" i="45" s="1"/>
  <c r="D1169" i="45"/>
  <c r="F1169" i="45" s="1"/>
  <c r="D1170" i="45"/>
  <c r="F1170" i="45" s="1"/>
  <c r="D1171" i="45"/>
  <c r="F1171" i="45" s="1"/>
  <c r="D1172" i="45"/>
  <c r="F1172" i="45" s="1"/>
  <c r="D1173" i="45"/>
  <c r="F1173" i="45" s="1"/>
  <c r="D1174" i="45"/>
  <c r="F1174" i="45" s="1"/>
  <c r="D1175" i="45"/>
  <c r="F1175" i="45" s="1"/>
  <c r="D1176" i="45"/>
  <c r="F1176" i="45" s="1"/>
  <c r="D1177" i="45"/>
  <c r="F1177" i="45" s="1"/>
  <c r="D1178" i="45"/>
  <c r="F1178" i="45" s="1"/>
  <c r="D1167" i="45"/>
  <c r="D1180" i="45"/>
  <c r="F1180" i="45" s="1"/>
  <c r="D1181" i="45"/>
  <c r="F1181" i="45" s="1"/>
  <c r="D1182" i="45"/>
  <c r="F1182" i="45" s="1"/>
  <c r="D1183" i="45"/>
  <c r="F1183" i="45" s="1"/>
  <c r="D1184" i="45"/>
  <c r="F1184" i="45" s="1"/>
  <c r="D1185" i="45"/>
  <c r="F1185" i="45" s="1"/>
  <c r="D1186" i="45"/>
  <c r="F1186" i="45" s="1"/>
  <c r="D1187" i="45"/>
  <c r="F1187" i="45" s="1"/>
  <c r="D1188" i="45"/>
  <c r="F1188" i="45" s="1"/>
  <c r="D1189" i="45"/>
  <c r="F1189" i="45" s="1"/>
  <c r="D1190" i="45"/>
  <c r="F1190" i="45" s="1"/>
  <c r="D1179" i="45"/>
  <c r="D1217" i="45"/>
  <c r="F1217" i="45" s="1"/>
  <c r="D1218" i="45"/>
  <c r="F1218" i="45" s="1"/>
  <c r="D1219" i="45"/>
  <c r="F1219" i="45" s="1"/>
  <c r="D1220" i="45"/>
  <c r="F1220" i="45" s="1"/>
  <c r="D1221" i="45"/>
  <c r="F1221" i="45" s="1"/>
  <c r="D1222" i="45"/>
  <c r="F1222" i="45" s="1"/>
  <c r="D1223" i="45"/>
  <c r="F1223" i="45" s="1"/>
  <c r="D1224" i="45"/>
  <c r="F1224" i="45" s="1"/>
  <c r="D1225" i="45"/>
  <c r="F1225" i="45" s="1"/>
  <c r="D1226" i="45"/>
  <c r="F1226" i="45" s="1"/>
  <c r="D1227" i="45"/>
  <c r="F1227" i="45" s="1"/>
  <c r="D1216" i="45"/>
  <c r="D725" i="22"/>
  <c r="D726" i="22"/>
  <c r="D727" i="22"/>
  <c r="D728" i="22"/>
  <c r="E729" i="22"/>
  <c r="D765" i="45"/>
  <c r="F765" i="45" s="1"/>
  <c r="D766" i="45"/>
  <c r="F766" i="45" s="1"/>
  <c r="D767" i="45"/>
  <c r="F767" i="45" s="1"/>
  <c r="D768" i="45"/>
  <c r="F768" i="45" s="1"/>
  <c r="D769" i="45"/>
  <c r="F769" i="45" s="1"/>
  <c r="D770" i="45"/>
  <c r="F770" i="45" s="1"/>
  <c r="D771" i="45"/>
  <c r="F771" i="45" s="1"/>
  <c r="D772" i="45"/>
  <c r="F772" i="45" s="1"/>
  <c r="D773" i="45"/>
  <c r="F773" i="45" s="1"/>
  <c r="D774" i="45"/>
  <c r="F774" i="45" s="1"/>
  <c r="D775" i="45"/>
  <c r="F775" i="45" s="1"/>
  <c r="D764" i="45"/>
  <c r="D448" i="22"/>
  <c r="D449" i="22"/>
  <c r="D450" i="22"/>
  <c r="D451" i="22"/>
  <c r="E452" i="22"/>
  <c r="D753" i="45"/>
  <c r="F753" i="45" s="1"/>
  <c r="D754" i="45"/>
  <c r="F754" i="45" s="1"/>
  <c r="D755" i="45"/>
  <c r="F755" i="45" s="1"/>
  <c r="D756" i="45"/>
  <c r="F756" i="45" s="1"/>
  <c r="D757" i="45"/>
  <c r="F757" i="45" s="1"/>
  <c r="D758" i="45"/>
  <c r="F758" i="45" s="1"/>
  <c r="D759" i="45"/>
  <c r="F759" i="45" s="1"/>
  <c r="D760" i="45"/>
  <c r="F760" i="45" s="1"/>
  <c r="D761" i="45"/>
  <c r="F761" i="45" s="1"/>
  <c r="D762" i="45"/>
  <c r="F762" i="45" s="1"/>
  <c r="D763" i="45"/>
  <c r="F763" i="45" s="1"/>
  <c r="D752" i="45"/>
  <c r="D442" i="22"/>
  <c r="D443" i="22"/>
  <c r="D444" i="22"/>
  <c r="D445" i="22"/>
  <c r="E446" i="22"/>
  <c r="D436" i="22"/>
  <c r="D437" i="22"/>
  <c r="D438" i="22"/>
  <c r="D439" i="22"/>
  <c r="E440" i="22"/>
  <c r="D741" i="45"/>
  <c r="F741" i="45" s="1"/>
  <c r="D742" i="45"/>
  <c r="F742" i="45" s="1"/>
  <c r="D743" i="45"/>
  <c r="F743" i="45" s="1"/>
  <c r="D744" i="45"/>
  <c r="F744" i="45" s="1"/>
  <c r="D745" i="45"/>
  <c r="F745" i="45" s="1"/>
  <c r="D746" i="45"/>
  <c r="F746" i="45" s="1"/>
  <c r="D747" i="45"/>
  <c r="F747" i="45" s="1"/>
  <c r="D748" i="45"/>
  <c r="F748" i="45" s="1"/>
  <c r="D749" i="45"/>
  <c r="F749" i="45" s="1"/>
  <c r="D750" i="45"/>
  <c r="F750" i="45" s="1"/>
  <c r="D751" i="45"/>
  <c r="F751" i="45" s="1"/>
  <c r="D740" i="45"/>
  <c r="D778" i="45"/>
  <c r="F778" i="45" s="1"/>
  <c r="D779" i="45"/>
  <c r="F779" i="45" s="1"/>
  <c r="D780" i="45"/>
  <c r="F780" i="45" s="1"/>
  <c r="D781" i="45"/>
  <c r="F781" i="45" s="1"/>
  <c r="D782" i="45"/>
  <c r="F782" i="45" s="1"/>
  <c r="D783" i="45"/>
  <c r="F783" i="45" s="1"/>
  <c r="D784" i="45"/>
  <c r="F784" i="45" s="1"/>
  <c r="D785" i="45"/>
  <c r="F785" i="45" s="1"/>
  <c r="D786" i="45"/>
  <c r="F786" i="45" s="1"/>
  <c r="D787" i="45"/>
  <c r="F787" i="45" s="1"/>
  <c r="D788" i="45"/>
  <c r="F788" i="45" s="1"/>
  <c r="D777" i="45"/>
  <c r="D455" i="22"/>
  <c r="D456" i="22"/>
  <c r="D457" i="22"/>
  <c r="D458" i="22"/>
  <c r="E459" i="22"/>
  <c r="D790" i="45"/>
  <c r="F790" i="45" s="1"/>
  <c r="D791" i="45"/>
  <c r="F791" i="45" s="1"/>
  <c r="D792" i="45"/>
  <c r="F792" i="45" s="1"/>
  <c r="D793" i="45"/>
  <c r="F793" i="45" s="1"/>
  <c r="D794" i="45"/>
  <c r="F794" i="45" s="1"/>
  <c r="D795" i="45"/>
  <c r="F795" i="45" s="1"/>
  <c r="D796" i="45"/>
  <c r="F796" i="45" s="1"/>
  <c r="D797" i="45"/>
  <c r="F797" i="45" s="1"/>
  <c r="D798" i="45"/>
  <c r="F798" i="45" s="1"/>
  <c r="D799" i="45"/>
  <c r="F799" i="45" s="1"/>
  <c r="D800" i="45"/>
  <c r="F800" i="45" s="1"/>
  <c r="D789" i="45"/>
  <c r="D461" i="22"/>
  <c r="D462" i="22"/>
  <c r="D463" i="22"/>
  <c r="D464" i="22"/>
  <c r="E465" i="22"/>
  <c r="D468" i="22"/>
  <c r="D469" i="22"/>
  <c r="D470" i="22"/>
  <c r="D471" i="22"/>
  <c r="E472" i="22"/>
  <c r="D1523" i="45"/>
  <c r="F1523" i="45" s="1"/>
  <c r="D1524" i="45"/>
  <c r="F1524" i="45" s="1"/>
  <c r="D1525" i="45"/>
  <c r="F1525" i="45" s="1"/>
  <c r="D1526" i="45"/>
  <c r="F1526" i="45" s="1"/>
  <c r="D1527" i="45"/>
  <c r="F1527" i="45" s="1"/>
  <c r="D1528" i="45"/>
  <c r="F1528" i="45" s="1"/>
  <c r="D1529" i="45"/>
  <c r="F1529" i="45" s="1"/>
  <c r="D1530" i="45"/>
  <c r="F1530" i="45" s="1"/>
  <c r="D1531" i="45"/>
  <c r="F1531" i="45" s="1"/>
  <c r="D1532" i="45"/>
  <c r="F1532" i="45" s="1"/>
  <c r="D1533" i="45"/>
  <c r="F1533" i="45" s="1"/>
  <c r="D1522" i="45"/>
  <c r="D915" i="22"/>
  <c r="D916" i="22"/>
  <c r="D917" i="22"/>
  <c r="D918" i="22"/>
  <c r="E919" i="22"/>
  <c r="D1559" i="45"/>
  <c r="F1559" i="45" s="1"/>
  <c r="D1560" i="45"/>
  <c r="F1560" i="45" s="1"/>
  <c r="D1561" i="45"/>
  <c r="F1561" i="45" s="1"/>
  <c r="D1562" i="45"/>
  <c r="F1562" i="45" s="1"/>
  <c r="D1563" i="45"/>
  <c r="F1563" i="45" s="1"/>
  <c r="D1564" i="45"/>
  <c r="F1564" i="45" s="1"/>
  <c r="D1565" i="45"/>
  <c r="F1565" i="45" s="1"/>
  <c r="D1566" i="45"/>
  <c r="F1566" i="45" s="1"/>
  <c r="D1567" i="45"/>
  <c r="F1567" i="45" s="1"/>
  <c r="D1568" i="45"/>
  <c r="F1568" i="45" s="1"/>
  <c r="D1569" i="45"/>
  <c r="F1569" i="45" s="1"/>
  <c r="D1558" i="45"/>
  <c r="D933" i="22"/>
  <c r="D934" i="22"/>
  <c r="D935" i="22"/>
  <c r="D936" i="22"/>
  <c r="E937" i="22"/>
  <c r="D1571" i="45"/>
  <c r="F1571" i="45" s="1"/>
  <c r="D1572" i="45"/>
  <c r="F1572" i="45" s="1"/>
  <c r="D1573" i="45"/>
  <c r="F1573" i="45" s="1"/>
  <c r="D1574" i="45"/>
  <c r="F1574" i="45" s="1"/>
  <c r="D1575" i="45"/>
  <c r="F1575" i="45" s="1"/>
  <c r="D1576" i="45"/>
  <c r="F1576" i="45" s="1"/>
  <c r="D1577" i="45"/>
  <c r="F1577" i="45" s="1"/>
  <c r="D1578" i="45"/>
  <c r="F1578" i="45" s="1"/>
  <c r="D1579" i="45"/>
  <c r="F1579" i="45" s="1"/>
  <c r="D1580" i="45"/>
  <c r="F1580" i="45" s="1"/>
  <c r="D1581" i="45"/>
  <c r="F1581" i="45" s="1"/>
  <c r="D1570" i="45"/>
  <c r="D939" i="22"/>
  <c r="D940" i="22"/>
  <c r="D941" i="22"/>
  <c r="D942" i="22"/>
  <c r="E943" i="22"/>
  <c r="D1511" i="45"/>
  <c r="F1511" i="45" s="1"/>
  <c r="D1512" i="45"/>
  <c r="F1512" i="45" s="1"/>
  <c r="D1513" i="45"/>
  <c r="F1513" i="45" s="1"/>
  <c r="D1514" i="45"/>
  <c r="F1514" i="45" s="1"/>
  <c r="D1515" i="45"/>
  <c r="F1515" i="45" s="1"/>
  <c r="D1516" i="45"/>
  <c r="F1516" i="45" s="1"/>
  <c r="D1517" i="45"/>
  <c r="F1517" i="45" s="1"/>
  <c r="D1518" i="45"/>
  <c r="F1518" i="45" s="1"/>
  <c r="D1519" i="45"/>
  <c r="F1519" i="45" s="1"/>
  <c r="D1520" i="45"/>
  <c r="F1520" i="45" s="1"/>
  <c r="D1521" i="45"/>
  <c r="F1521" i="45" s="1"/>
  <c r="D1510" i="45"/>
  <c r="D909" i="22"/>
  <c r="D910" i="22"/>
  <c r="D911" i="22"/>
  <c r="D912" i="22"/>
  <c r="E913" i="22"/>
  <c r="D1535" i="45"/>
  <c r="F1535" i="45" s="1"/>
  <c r="D1536" i="45"/>
  <c r="F1536" i="45" s="1"/>
  <c r="D1537" i="45"/>
  <c r="F1537" i="45" s="1"/>
  <c r="D1538" i="45"/>
  <c r="F1538" i="45" s="1"/>
  <c r="D1539" i="45"/>
  <c r="F1539" i="45" s="1"/>
  <c r="D1540" i="45"/>
  <c r="F1540" i="45" s="1"/>
  <c r="D1541" i="45"/>
  <c r="F1541" i="45" s="1"/>
  <c r="D1542" i="45"/>
  <c r="F1542" i="45" s="1"/>
  <c r="D1543" i="45"/>
  <c r="F1543" i="45" s="1"/>
  <c r="D1544" i="45"/>
  <c r="F1544" i="45" s="1"/>
  <c r="D1545" i="45"/>
  <c r="F1545" i="45" s="1"/>
  <c r="D1534" i="45"/>
  <c r="D921" i="22"/>
  <c r="D922" i="22"/>
  <c r="D923" i="22"/>
  <c r="D924" i="22"/>
  <c r="E925" i="22"/>
  <c r="D1547" i="45"/>
  <c r="F1547" i="45" s="1"/>
  <c r="D1548" i="45"/>
  <c r="F1548" i="45" s="1"/>
  <c r="D1549" i="45"/>
  <c r="F1549" i="45" s="1"/>
  <c r="D1550" i="45"/>
  <c r="F1550" i="45" s="1"/>
  <c r="D1551" i="45"/>
  <c r="F1551" i="45" s="1"/>
  <c r="D1552" i="45"/>
  <c r="F1552" i="45" s="1"/>
  <c r="D1553" i="45"/>
  <c r="F1553" i="45" s="1"/>
  <c r="D1554" i="45"/>
  <c r="F1554" i="45" s="1"/>
  <c r="D1555" i="45"/>
  <c r="F1555" i="45" s="1"/>
  <c r="D1556" i="45"/>
  <c r="F1556" i="45" s="1"/>
  <c r="D1557" i="45"/>
  <c r="F1557" i="45" s="1"/>
  <c r="D1546" i="45"/>
  <c r="D927" i="22"/>
  <c r="D928" i="22"/>
  <c r="D929" i="22"/>
  <c r="D930" i="22"/>
  <c r="E931" i="22"/>
  <c r="D1632" i="45"/>
  <c r="F1632" i="45" s="1"/>
  <c r="D1633" i="45"/>
  <c r="F1633" i="45" s="1"/>
  <c r="D1634" i="45"/>
  <c r="F1634" i="45" s="1"/>
  <c r="D1635" i="45"/>
  <c r="F1635" i="45" s="1"/>
  <c r="D1636" i="45"/>
  <c r="F1636" i="45" s="1"/>
  <c r="D1637" i="45"/>
  <c r="F1637" i="45" s="1"/>
  <c r="D1638" i="45"/>
  <c r="F1638" i="45" s="1"/>
  <c r="D1639" i="45"/>
  <c r="F1639" i="45" s="1"/>
  <c r="D1640" i="45"/>
  <c r="F1640" i="45" s="1"/>
  <c r="D1641" i="45"/>
  <c r="F1641" i="45" s="1"/>
  <c r="D1642" i="45"/>
  <c r="F1642" i="45" s="1"/>
  <c r="D1631" i="45"/>
  <c r="D970" i="22"/>
  <c r="D971" i="22"/>
  <c r="D972" i="22"/>
  <c r="D973" i="22"/>
  <c r="E974" i="22"/>
  <c r="D1657" i="45"/>
  <c r="F1657" i="45" s="1"/>
  <c r="D1658" i="45"/>
  <c r="F1658" i="45" s="1"/>
  <c r="D1659" i="45"/>
  <c r="F1659" i="45" s="1"/>
  <c r="D1660" i="45"/>
  <c r="F1660" i="45" s="1"/>
  <c r="D1661" i="45"/>
  <c r="F1661" i="45" s="1"/>
  <c r="D1662" i="45"/>
  <c r="F1662" i="45" s="1"/>
  <c r="D1663" i="45"/>
  <c r="F1663" i="45" s="1"/>
  <c r="D1664" i="45"/>
  <c r="F1664" i="45" s="1"/>
  <c r="D1665" i="45"/>
  <c r="F1665" i="45" s="1"/>
  <c r="D1666" i="45"/>
  <c r="F1666" i="45" s="1"/>
  <c r="D1667" i="45"/>
  <c r="F1667" i="45" s="1"/>
  <c r="D1656" i="45"/>
  <c r="D983" i="22"/>
  <c r="D984" i="22"/>
  <c r="D985" i="22"/>
  <c r="D986" i="22"/>
  <c r="E987" i="22"/>
  <c r="D1669" i="45"/>
  <c r="F1669" i="45" s="1"/>
  <c r="D1670" i="45"/>
  <c r="F1670" i="45" s="1"/>
  <c r="D1671" i="45"/>
  <c r="F1671" i="45" s="1"/>
  <c r="D1672" i="45"/>
  <c r="F1672" i="45" s="1"/>
  <c r="D1673" i="45"/>
  <c r="F1673" i="45" s="1"/>
  <c r="D1674" i="45"/>
  <c r="F1674" i="45" s="1"/>
  <c r="D1675" i="45"/>
  <c r="F1675" i="45" s="1"/>
  <c r="D1676" i="45"/>
  <c r="F1676" i="45" s="1"/>
  <c r="D1677" i="45"/>
  <c r="F1677" i="45" s="1"/>
  <c r="D1678" i="45"/>
  <c r="F1678" i="45" s="1"/>
  <c r="D1679" i="45"/>
  <c r="F1679" i="45" s="1"/>
  <c r="D1668" i="45"/>
  <c r="D989" i="22"/>
  <c r="D990" i="22"/>
  <c r="D991" i="22"/>
  <c r="D992" i="22"/>
  <c r="E993" i="22"/>
  <c r="D1681" i="45"/>
  <c r="F1681" i="45" s="1"/>
  <c r="D1682" i="45"/>
  <c r="F1682" i="45" s="1"/>
  <c r="D1683" i="45"/>
  <c r="F1683" i="45" s="1"/>
  <c r="D1684" i="45"/>
  <c r="F1684" i="45" s="1"/>
  <c r="D1685" i="45"/>
  <c r="F1685" i="45" s="1"/>
  <c r="D1686" i="45"/>
  <c r="F1686" i="45" s="1"/>
  <c r="D1687" i="45"/>
  <c r="F1687" i="45" s="1"/>
  <c r="D1688" i="45"/>
  <c r="F1688" i="45" s="1"/>
  <c r="D1689" i="45"/>
  <c r="F1689" i="45" s="1"/>
  <c r="D1690" i="45"/>
  <c r="F1690" i="45" s="1"/>
  <c r="D1691" i="45"/>
  <c r="F1691" i="45" s="1"/>
  <c r="D1680" i="45"/>
  <c r="D995" i="22"/>
  <c r="D996" i="22"/>
  <c r="D997" i="22"/>
  <c r="D998" i="22"/>
  <c r="E999" i="22"/>
  <c r="D1620" i="45"/>
  <c r="F1620" i="45" s="1"/>
  <c r="D1621" i="45"/>
  <c r="F1621" i="45" s="1"/>
  <c r="D1622" i="45"/>
  <c r="F1622" i="45" s="1"/>
  <c r="D1623" i="45"/>
  <c r="F1623" i="45" s="1"/>
  <c r="D1624" i="45"/>
  <c r="F1624" i="45" s="1"/>
  <c r="D1625" i="45"/>
  <c r="F1625" i="45" s="1"/>
  <c r="D1626" i="45"/>
  <c r="F1626" i="45" s="1"/>
  <c r="D1627" i="45"/>
  <c r="F1627" i="45" s="1"/>
  <c r="D1628" i="45"/>
  <c r="F1628" i="45" s="1"/>
  <c r="D1629" i="45"/>
  <c r="F1629" i="45" s="1"/>
  <c r="D1630" i="45"/>
  <c r="F1630" i="45" s="1"/>
  <c r="D1619" i="45"/>
  <c r="D964" i="22"/>
  <c r="D965" i="22"/>
  <c r="D966" i="22"/>
  <c r="D967" i="22"/>
  <c r="E968" i="22"/>
  <c r="D1644" i="45"/>
  <c r="F1644" i="45" s="1"/>
  <c r="D1645" i="45"/>
  <c r="F1645" i="45" s="1"/>
  <c r="D1646" i="45"/>
  <c r="F1646" i="45" s="1"/>
  <c r="D1647" i="45"/>
  <c r="F1647" i="45" s="1"/>
  <c r="D1648" i="45"/>
  <c r="F1648" i="45" s="1"/>
  <c r="D1649" i="45"/>
  <c r="F1649" i="45" s="1"/>
  <c r="D1650" i="45"/>
  <c r="F1650" i="45" s="1"/>
  <c r="D1651" i="45"/>
  <c r="F1651" i="45" s="1"/>
  <c r="D1652" i="45"/>
  <c r="F1652" i="45" s="1"/>
  <c r="D1653" i="45"/>
  <c r="F1653" i="45" s="1"/>
  <c r="D1654" i="45"/>
  <c r="F1654" i="45" s="1"/>
  <c r="D1643" i="45"/>
  <c r="D976" i="22"/>
  <c r="D977" i="22"/>
  <c r="D978" i="22"/>
  <c r="D979" i="22"/>
  <c r="E980" i="22"/>
  <c r="D1596" i="45"/>
  <c r="F1596" i="45" s="1"/>
  <c r="D1597" i="45"/>
  <c r="F1597" i="45" s="1"/>
  <c r="D1598" i="45"/>
  <c r="F1598" i="45" s="1"/>
  <c r="D1599" i="45"/>
  <c r="F1599" i="45" s="1"/>
  <c r="D1600" i="45"/>
  <c r="F1600" i="45" s="1"/>
  <c r="D1601" i="45"/>
  <c r="F1601" i="45" s="1"/>
  <c r="D1602" i="45"/>
  <c r="F1602" i="45" s="1"/>
  <c r="D1603" i="45"/>
  <c r="F1603" i="45" s="1"/>
  <c r="D1604" i="45"/>
  <c r="F1604" i="45" s="1"/>
  <c r="D1605" i="45"/>
  <c r="F1605" i="45" s="1"/>
  <c r="D1606" i="45"/>
  <c r="F1606" i="45" s="1"/>
  <c r="D1595" i="45"/>
  <c r="D952" i="22"/>
  <c r="D953" i="22"/>
  <c r="D954" i="22"/>
  <c r="D955" i="22"/>
  <c r="E956" i="22"/>
  <c r="D903" i="22"/>
  <c r="D904" i="22"/>
  <c r="D905" i="22"/>
  <c r="D906" i="22"/>
  <c r="E907" i="22"/>
  <c r="D945" i="22"/>
  <c r="D946" i="22"/>
  <c r="D947" i="22"/>
  <c r="D948" i="22"/>
  <c r="E949" i="22"/>
  <c r="D1499" i="45"/>
  <c r="F1499" i="45" s="1"/>
  <c r="D1500" i="45"/>
  <c r="F1500" i="45" s="1"/>
  <c r="D1501" i="45"/>
  <c r="F1501" i="45" s="1"/>
  <c r="D1502" i="45"/>
  <c r="F1502" i="45" s="1"/>
  <c r="D1503" i="45"/>
  <c r="F1503" i="45" s="1"/>
  <c r="D1504" i="45"/>
  <c r="F1504" i="45" s="1"/>
  <c r="D1505" i="45"/>
  <c r="F1505" i="45" s="1"/>
  <c r="D1506" i="45"/>
  <c r="F1506" i="45" s="1"/>
  <c r="D1507" i="45"/>
  <c r="F1507" i="45" s="1"/>
  <c r="D1508" i="45"/>
  <c r="F1508" i="45" s="1"/>
  <c r="D1509" i="45"/>
  <c r="F1509" i="45" s="1"/>
  <c r="D1498" i="45"/>
  <c r="D1583" i="45"/>
  <c r="F1583" i="45" s="1"/>
  <c r="D1584" i="45"/>
  <c r="F1584" i="45" s="1"/>
  <c r="D1585" i="45"/>
  <c r="F1585" i="45" s="1"/>
  <c r="D1586" i="45"/>
  <c r="F1586" i="45" s="1"/>
  <c r="D1587" i="45"/>
  <c r="F1587" i="45" s="1"/>
  <c r="D1588" i="45"/>
  <c r="F1588" i="45" s="1"/>
  <c r="D1589" i="45"/>
  <c r="F1589" i="45" s="1"/>
  <c r="D1590" i="45"/>
  <c r="F1590" i="45" s="1"/>
  <c r="D1591" i="45"/>
  <c r="F1591" i="45" s="1"/>
  <c r="D1592" i="45"/>
  <c r="F1592" i="45" s="1"/>
  <c r="D1593" i="45"/>
  <c r="F1593" i="45" s="1"/>
  <c r="D1582" i="45"/>
  <c r="D691" i="22"/>
  <c r="D692" i="22"/>
  <c r="D693" i="22"/>
  <c r="D694" i="22"/>
  <c r="E695" i="22"/>
  <c r="D685" i="22"/>
  <c r="D686" i="22"/>
  <c r="D687" i="22"/>
  <c r="D688" i="22"/>
  <c r="E689" i="22"/>
  <c r="D803" i="45"/>
  <c r="F803" i="45" s="1"/>
  <c r="D804" i="45"/>
  <c r="F804" i="45" s="1"/>
  <c r="D805" i="45"/>
  <c r="F805" i="45" s="1"/>
  <c r="D806" i="45"/>
  <c r="F806" i="45" s="1"/>
  <c r="D807" i="45"/>
  <c r="F807" i="45" s="1"/>
  <c r="D808" i="45"/>
  <c r="F808" i="45" s="1"/>
  <c r="D809" i="45"/>
  <c r="F809" i="45" s="1"/>
  <c r="D810" i="45"/>
  <c r="F810" i="45" s="1"/>
  <c r="D811" i="45"/>
  <c r="F811" i="45" s="1"/>
  <c r="D812" i="45"/>
  <c r="F812" i="45" s="1"/>
  <c r="D813" i="45"/>
  <c r="F813" i="45" s="1"/>
  <c r="D802" i="45"/>
  <c r="D205" i="22"/>
  <c r="D206" i="22"/>
  <c r="D207" i="22"/>
  <c r="D208" i="22"/>
  <c r="E209" i="22"/>
  <c r="D211" i="22"/>
  <c r="D212" i="22"/>
  <c r="D213" i="22"/>
  <c r="D214" i="22"/>
  <c r="E215" i="22"/>
  <c r="D345" i="45"/>
  <c r="F345" i="45" s="1"/>
  <c r="D346" i="45"/>
  <c r="F346" i="45" s="1"/>
  <c r="D347" i="45"/>
  <c r="F347" i="45" s="1"/>
  <c r="D348" i="45"/>
  <c r="F348" i="45" s="1"/>
  <c r="D349" i="45"/>
  <c r="F349" i="45" s="1"/>
  <c r="D350" i="45"/>
  <c r="F350" i="45" s="1"/>
  <c r="D351" i="45"/>
  <c r="F351" i="45" s="1"/>
  <c r="D352" i="45"/>
  <c r="F352" i="45" s="1"/>
  <c r="D353" i="45"/>
  <c r="F353" i="45" s="1"/>
  <c r="D354" i="45"/>
  <c r="F354" i="45" s="1"/>
  <c r="D355" i="45"/>
  <c r="F355" i="45" s="1"/>
  <c r="D344" i="45"/>
  <c r="D357" i="45"/>
  <c r="F357" i="45" s="1"/>
  <c r="D358" i="45"/>
  <c r="F358" i="45" s="1"/>
  <c r="D359" i="45"/>
  <c r="F359" i="45" s="1"/>
  <c r="D360" i="45"/>
  <c r="F360" i="45" s="1"/>
  <c r="D361" i="45"/>
  <c r="F361" i="45" s="1"/>
  <c r="D362" i="45"/>
  <c r="F362" i="45" s="1"/>
  <c r="D363" i="45"/>
  <c r="F363" i="45" s="1"/>
  <c r="D364" i="45"/>
  <c r="F364" i="45" s="1"/>
  <c r="D365" i="45"/>
  <c r="F365" i="45" s="1"/>
  <c r="D366" i="45"/>
  <c r="F366" i="45" s="1"/>
  <c r="D367" i="45"/>
  <c r="F367" i="45" s="1"/>
  <c r="D356" i="45"/>
  <c r="D116" i="45"/>
  <c r="F116" i="45" s="1"/>
  <c r="D117" i="45"/>
  <c r="F117" i="45" s="1"/>
  <c r="D118" i="45"/>
  <c r="F118" i="45" s="1"/>
  <c r="D119" i="45"/>
  <c r="F119" i="45" s="1"/>
  <c r="D120" i="45"/>
  <c r="F120" i="45" s="1"/>
  <c r="D121" i="45"/>
  <c r="F121" i="45" s="1"/>
  <c r="D122" i="45"/>
  <c r="F122" i="45" s="1"/>
  <c r="D123" i="45"/>
  <c r="F123" i="45" s="1"/>
  <c r="D124" i="45"/>
  <c r="F124" i="45" s="1"/>
  <c r="D125" i="45"/>
  <c r="F125" i="45" s="1"/>
  <c r="D126" i="45"/>
  <c r="F126" i="45" s="1"/>
  <c r="D115" i="45"/>
  <c r="D76" i="22"/>
  <c r="D77" i="22"/>
  <c r="D78" i="22"/>
  <c r="D79" i="22"/>
  <c r="E80" i="22"/>
  <c r="D128" i="45"/>
  <c r="F128" i="45" s="1"/>
  <c r="D129" i="45"/>
  <c r="F129" i="45" s="1"/>
  <c r="D130" i="45"/>
  <c r="F130" i="45" s="1"/>
  <c r="D131" i="45"/>
  <c r="F131" i="45" s="1"/>
  <c r="D132" i="45"/>
  <c r="F132" i="45" s="1"/>
  <c r="D133" i="45"/>
  <c r="F133" i="45" s="1"/>
  <c r="D134" i="45"/>
  <c r="F134" i="45" s="1"/>
  <c r="D135" i="45"/>
  <c r="F135" i="45" s="1"/>
  <c r="D136" i="45"/>
  <c r="F136" i="45" s="1"/>
  <c r="D137" i="45"/>
  <c r="F137" i="45" s="1"/>
  <c r="D138" i="45"/>
  <c r="F138" i="45" s="1"/>
  <c r="D127" i="45"/>
  <c r="D82" i="22"/>
  <c r="D83" i="22"/>
  <c r="D84" i="22"/>
  <c r="D85" i="22"/>
  <c r="E86" i="22"/>
  <c r="D958" i="22"/>
  <c r="D959" i="22"/>
  <c r="D960" i="22"/>
  <c r="D961" i="22"/>
  <c r="E962" i="22"/>
  <c r="D1608" i="45"/>
  <c r="F1608" i="45" s="1"/>
  <c r="D1609" i="45"/>
  <c r="F1609" i="45" s="1"/>
  <c r="D1610" i="45"/>
  <c r="F1610" i="45" s="1"/>
  <c r="D1611" i="45"/>
  <c r="F1611" i="45" s="1"/>
  <c r="D1612" i="45"/>
  <c r="F1612" i="45" s="1"/>
  <c r="D1613" i="45"/>
  <c r="F1613" i="45" s="1"/>
  <c r="D1614" i="45"/>
  <c r="F1614" i="45" s="1"/>
  <c r="D1615" i="45"/>
  <c r="F1615" i="45" s="1"/>
  <c r="D1616" i="45"/>
  <c r="F1616" i="45" s="1"/>
  <c r="D1617" i="45"/>
  <c r="F1617" i="45" s="1"/>
  <c r="D1618" i="45"/>
  <c r="F1618" i="45" s="1"/>
  <c r="D1607" i="45"/>
  <c r="D896" i="22"/>
  <c r="D897" i="22"/>
  <c r="D898" i="22"/>
  <c r="D899" i="22"/>
  <c r="E900" i="22"/>
  <c r="D1486" i="45"/>
  <c r="F1486" i="45" s="1"/>
  <c r="D1487" i="45"/>
  <c r="F1487" i="45" s="1"/>
  <c r="D1488" i="45"/>
  <c r="F1488" i="45" s="1"/>
  <c r="D1489" i="45"/>
  <c r="F1489" i="45" s="1"/>
  <c r="D1490" i="45"/>
  <c r="F1490" i="45" s="1"/>
  <c r="D1491" i="45"/>
  <c r="F1491" i="45" s="1"/>
  <c r="D1492" i="45"/>
  <c r="F1492" i="45" s="1"/>
  <c r="D1493" i="45"/>
  <c r="F1493" i="45" s="1"/>
  <c r="D1494" i="45"/>
  <c r="F1494" i="45" s="1"/>
  <c r="D1495" i="45"/>
  <c r="F1495" i="45" s="1"/>
  <c r="D1496" i="45"/>
  <c r="F1496" i="45" s="1"/>
  <c r="D1485" i="45"/>
  <c r="D1412" i="45"/>
  <c r="F1412" i="45" s="1"/>
  <c r="D1413" i="45"/>
  <c r="F1413" i="45" s="1"/>
  <c r="D1414" i="45"/>
  <c r="F1414" i="45" s="1"/>
  <c r="D1415" i="45"/>
  <c r="F1415" i="45" s="1"/>
  <c r="D1416" i="45"/>
  <c r="F1416" i="45" s="1"/>
  <c r="D1417" i="45"/>
  <c r="F1417" i="45" s="1"/>
  <c r="D1418" i="45"/>
  <c r="F1418" i="45" s="1"/>
  <c r="D1419" i="45"/>
  <c r="F1419" i="45" s="1"/>
  <c r="D1420" i="45"/>
  <c r="F1420" i="45" s="1"/>
  <c r="D1421" i="45"/>
  <c r="F1421" i="45" s="1"/>
  <c r="D1422" i="45"/>
  <c r="F1422" i="45" s="1"/>
  <c r="D1411" i="45"/>
  <c r="D858" i="22"/>
  <c r="D859" i="22"/>
  <c r="D860" i="22"/>
  <c r="D861" i="22"/>
  <c r="E862" i="22"/>
  <c r="D1424" i="45"/>
  <c r="F1424" i="45" s="1"/>
  <c r="D1425" i="45"/>
  <c r="F1425" i="45" s="1"/>
  <c r="D1426" i="45"/>
  <c r="F1426" i="45" s="1"/>
  <c r="D1427" i="45"/>
  <c r="F1427" i="45" s="1"/>
  <c r="D1428" i="45"/>
  <c r="F1428" i="45" s="1"/>
  <c r="D1429" i="45"/>
  <c r="F1429" i="45" s="1"/>
  <c r="D1430" i="45"/>
  <c r="F1430" i="45" s="1"/>
  <c r="D1431" i="45"/>
  <c r="F1431" i="45" s="1"/>
  <c r="D1432" i="45"/>
  <c r="F1432" i="45" s="1"/>
  <c r="D1433" i="45"/>
  <c r="F1433" i="45" s="1"/>
  <c r="D1434" i="45"/>
  <c r="F1434" i="45" s="1"/>
  <c r="D1423" i="45"/>
  <c r="D864" i="22"/>
  <c r="D865" i="22"/>
  <c r="D866" i="22"/>
  <c r="D867" i="22"/>
  <c r="E868" i="22"/>
  <c r="D1448" i="45"/>
  <c r="F1448" i="45" s="1"/>
  <c r="D1449" i="45"/>
  <c r="F1449" i="45" s="1"/>
  <c r="D1450" i="45"/>
  <c r="F1450" i="45" s="1"/>
  <c r="D1451" i="45"/>
  <c r="F1451" i="45" s="1"/>
  <c r="D1452" i="45"/>
  <c r="F1452" i="45" s="1"/>
  <c r="D1453" i="45"/>
  <c r="F1453" i="45" s="1"/>
  <c r="D1454" i="45"/>
  <c r="F1454" i="45" s="1"/>
  <c r="D1455" i="45"/>
  <c r="F1455" i="45" s="1"/>
  <c r="D1456" i="45"/>
  <c r="F1456" i="45" s="1"/>
  <c r="D1457" i="45"/>
  <c r="F1457" i="45" s="1"/>
  <c r="D1458" i="45"/>
  <c r="F1458" i="45" s="1"/>
  <c r="D1447" i="45"/>
  <c r="D876" i="22"/>
  <c r="D877" i="22"/>
  <c r="D878" i="22"/>
  <c r="D879" i="22"/>
  <c r="E880" i="22"/>
  <c r="D1460" i="45"/>
  <c r="F1460" i="45" s="1"/>
  <c r="D1461" i="45"/>
  <c r="F1461" i="45" s="1"/>
  <c r="D1462" i="45"/>
  <c r="F1462" i="45" s="1"/>
  <c r="D1463" i="45"/>
  <c r="F1463" i="45" s="1"/>
  <c r="D1464" i="45"/>
  <c r="F1464" i="45" s="1"/>
  <c r="D1465" i="45"/>
  <c r="F1465" i="45" s="1"/>
  <c r="D1466" i="45"/>
  <c r="F1466" i="45" s="1"/>
  <c r="D1467" i="45"/>
  <c r="F1467" i="45" s="1"/>
  <c r="D1468" i="45"/>
  <c r="F1468" i="45" s="1"/>
  <c r="D1469" i="45"/>
  <c r="F1469" i="45" s="1"/>
  <c r="D1470" i="45"/>
  <c r="F1470" i="45" s="1"/>
  <c r="D1459" i="45"/>
  <c r="D882" i="22"/>
  <c r="D883" i="22"/>
  <c r="D884" i="22"/>
  <c r="D885" i="22"/>
  <c r="E886" i="22"/>
  <c r="D1472" i="45"/>
  <c r="F1472" i="45" s="1"/>
  <c r="D1473" i="45"/>
  <c r="F1473" i="45" s="1"/>
  <c r="D1474" i="45"/>
  <c r="F1474" i="45" s="1"/>
  <c r="D1475" i="45"/>
  <c r="F1475" i="45" s="1"/>
  <c r="D1476" i="45"/>
  <c r="F1476" i="45" s="1"/>
  <c r="D1477" i="45"/>
  <c r="F1477" i="45" s="1"/>
  <c r="D1478" i="45"/>
  <c r="F1478" i="45" s="1"/>
  <c r="D1479" i="45"/>
  <c r="F1479" i="45" s="1"/>
  <c r="D1480" i="45"/>
  <c r="F1480" i="45" s="1"/>
  <c r="D1481" i="45"/>
  <c r="F1481" i="45" s="1"/>
  <c r="D1482" i="45"/>
  <c r="F1482" i="45" s="1"/>
  <c r="D1471" i="45"/>
  <c r="D888" i="22"/>
  <c r="D889" i="22"/>
  <c r="D890" i="22"/>
  <c r="D891" i="22"/>
  <c r="E892" i="22"/>
  <c r="D870" i="22"/>
  <c r="D871" i="22"/>
  <c r="D872" i="22"/>
  <c r="D873" i="22"/>
  <c r="E874" i="22"/>
  <c r="D1436" i="45"/>
  <c r="F1436" i="45" s="1"/>
  <c r="D1437" i="45"/>
  <c r="F1437" i="45" s="1"/>
  <c r="D1438" i="45"/>
  <c r="F1438" i="45" s="1"/>
  <c r="D1439" i="45"/>
  <c r="F1439" i="45" s="1"/>
  <c r="D1440" i="45"/>
  <c r="F1440" i="45" s="1"/>
  <c r="D1441" i="45"/>
  <c r="F1441" i="45" s="1"/>
  <c r="D1442" i="45"/>
  <c r="F1442" i="45" s="1"/>
  <c r="D1443" i="45"/>
  <c r="F1443" i="45" s="1"/>
  <c r="D1444" i="45"/>
  <c r="F1444" i="45" s="1"/>
  <c r="D1445" i="45"/>
  <c r="F1445" i="45" s="1"/>
  <c r="D1446" i="45"/>
  <c r="F1446" i="45" s="1"/>
  <c r="D1435" i="45"/>
  <c r="D1399" i="45"/>
  <c r="F1399" i="45" s="1"/>
  <c r="D1400" i="45"/>
  <c r="F1400" i="45" s="1"/>
  <c r="D1401" i="45"/>
  <c r="F1401" i="45" s="1"/>
  <c r="D1402" i="45"/>
  <c r="F1402" i="45" s="1"/>
  <c r="D1403" i="45"/>
  <c r="F1403" i="45" s="1"/>
  <c r="D1404" i="45"/>
  <c r="F1404" i="45" s="1"/>
  <c r="D1405" i="45"/>
  <c r="F1405" i="45" s="1"/>
  <c r="D1406" i="45"/>
  <c r="F1406" i="45" s="1"/>
  <c r="D1407" i="45"/>
  <c r="F1407" i="45" s="1"/>
  <c r="D1408" i="45"/>
  <c r="F1408" i="45" s="1"/>
  <c r="D1409" i="45"/>
  <c r="F1409" i="45" s="1"/>
  <c r="D1398" i="45"/>
  <c r="D851" i="22"/>
  <c r="D852" i="22"/>
  <c r="D853" i="22"/>
  <c r="D854" i="22"/>
  <c r="E855" i="22"/>
  <c r="D1371" i="45"/>
  <c r="F1371" i="45" s="1"/>
  <c r="D1372" i="45"/>
  <c r="F1372" i="45" s="1"/>
  <c r="D1373" i="45"/>
  <c r="F1373" i="45" s="1"/>
  <c r="D1374" i="45"/>
  <c r="F1374" i="45" s="1"/>
  <c r="D1375" i="45"/>
  <c r="F1375" i="45" s="1"/>
  <c r="D1376" i="45"/>
  <c r="F1376" i="45" s="1"/>
  <c r="D1377" i="45"/>
  <c r="F1377" i="45" s="1"/>
  <c r="D1378" i="45"/>
  <c r="F1378" i="45" s="1"/>
  <c r="D1379" i="45"/>
  <c r="F1379" i="45" s="1"/>
  <c r="D1380" i="45"/>
  <c r="F1380" i="45" s="1"/>
  <c r="D1381" i="45"/>
  <c r="F1381" i="45" s="1"/>
  <c r="D1370" i="45"/>
  <c r="D835" i="22"/>
  <c r="D836" i="22"/>
  <c r="D837" i="22"/>
  <c r="D838" i="22"/>
  <c r="E839" i="22"/>
  <c r="D841" i="22"/>
  <c r="D842" i="22"/>
  <c r="D843" i="22"/>
  <c r="D844" i="22"/>
  <c r="E845" i="22"/>
  <c r="D822" i="22"/>
  <c r="D823" i="22"/>
  <c r="D824" i="22"/>
  <c r="D825" i="22"/>
  <c r="E826" i="22"/>
  <c r="D828" i="22"/>
  <c r="D829" i="22"/>
  <c r="D830" i="22"/>
  <c r="D831" i="22"/>
  <c r="E832" i="22"/>
  <c r="D1383" i="45"/>
  <c r="F1383" i="45" s="1"/>
  <c r="D1384" i="45"/>
  <c r="F1384" i="45" s="1"/>
  <c r="D1385" i="45"/>
  <c r="F1385" i="45" s="1"/>
  <c r="D1386" i="45"/>
  <c r="F1386" i="45" s="1"/>
  <c r="D1387" i="45"/>
  <c r="F1387" i="45" s="1"/>
  <c r="D1388" i="45"/>
  <c r="F1388" i="45" s="1"/>
  <c r="D1389" i="45"/>
  <c r="F1389" i="45" s="1"/>
  <c r="D1390" i="45"/>
  <c r="F1390" i="45" s="1"/>
  <c r="D1391" i="45"/>
  <c r="F1391" i="45" s="1"/>
  <c r="D1392" i="45"/>
  <c r="F1392" i="45" s="1"/>
  <c r="D1393" i="45"/>
  <c r="F1393" i="45" s="1"/>
  <c r="D1382" i="45"/>
  <c r="D1346" i="45"/>
  <c r="F1346" i="45" s="1"/>
  <c r="D1347" i="45"/>
  <c r="F1347" i="45" s="1"/>
  <c r="D1348" i="45"/>
  <c r="F1348" i="45" s="1"/>
  <c r="D1349" i="45"/>
  <c r="F1349" i="45" s="1"/>
  <c r="D1350" i="45"/>
  <c r="F1350" i="45" s="1"/>
  <c r="D1351" i="45"/>
  <c r="F1351" i="45" s="1"/>
  <c r="D1352" i="45"/>
  <c r="F1352" i="45" s="1"/>
  <c r="D1353" i="45"/>
  <c r="F1353" i="45" s="1"/>
  <c r="D1354" i="45"/>
  <c r="F1354" i="45" s="1"/>
  <c r="D1355" i="45"/>
  <c r="F1355" i="45" s="1"/>
  <c r="D1356" i="45"/>
  <c r="F1356" i="45" s="1"/>
  <c r="D1345" i="45"/>
  <c r="D1358" i="45"/>
  <c r="F1358" i="45" s="1"/>
  <c r="D1359" i="45"/>
  <c r="F1359" i="45" s="1"/>
  <c r="D1360" i="45"/>
  <c r="F1360" i="45" s="1"/>
  <c r="D1361" i="45"/>
  <c r="F1361" i="45" s="1"/>
  <c r="D1362" i="45"/>
  <c r="F1362" i="45" s="1"/>
  <c r="D1363" i="45"/>
  <c r="F1363" i="45" s="1"/>
  <c r="D1364" i="45"/>
  <c r="F1364" i="45" s="1"/>
  <c r="D1365" i="45"/>
  <c r="F1365" i="45" s="1"/>
  <c r="D1366" i="45"/>
  <c r="F1366" i="45" s="1"/>
  <c r="D1367" i="45"/>
  <c r="F1367" i="45" s="1"/>
  <c r="D1368" i="45"/>
  <c r="F1368" i="45" s="1"/>
  <c r="D1357" i="45"/>
  <c r="D1141" i="45"/>
  <c r="F1141" i="45" s="1"/>
  <c r="D1142" i="45"/>
  <c r="F1142" i="45" s="1"/>
  <c r="D1143" i="45"/>
  <c r="F1143" i="45" s="1"/>
  <c r="D1144" i="45"/>
  <c r="F1144" i="45" s="1"/>
  <c r="D1145" i="45"/>
  <c r="F1145" i="45" s="1"/>
  <c r="D1146" i="45"/>
  <c r="F1146" i="45" s="1"/>
  <c r="D1147" i="45"/>
  <c r="F1147" i="45" s="1"/>
  <c r="D1148" i="45"/>
  <c r="F1148" i="45" s="1"/>
  <c r="D1149" i="45"/>
  <c r="F1149" i="45" s="1"/>
  <c r="D1150" i="45"/>
  <c r="F1150" i="45" s="1"/>
  <c r="D1151" i="45"/>
  <c r="F1151" i="45" s="1"/>
  <c r="D1140" i="45"/>
  <c r="D1153" i="45"/>
  <c r="F1153" i="45" s="1"/>
  <c r="D1154" i="45"/>
  <c r="F1154" i="45" s="1"/>
  <c r="D1155" i="45"/>
  <c r="F1155" i="45" s="1"/>
  <c r="D1156" i="45"/>
  <c r="F1156" i="45" s="1"/>
  <c r="D1157" i="45"/>
  <c r="F1157" i="45" s="1"/>
  <c r="D1158" i="45"/>
  <c r="F1158" i="45" s="1"/>
  <c r="D1159" i="45"/>
  <c r="F1159" i="45" s="1"/>
  <c r="D1160" i="45"/>
  <c r="F1160" i="45" s="1"/>
  <c r="D1161" i="45"/>
  <c r="F1161" i="45" s="1"/>
  <c r="D1162" i="45"/>
  <c r="F1162" i="45" s="1"/>
  <c r="D1163" i="45"/>
  <c r="F1163" i="45" s="1"/>
  <c r="D1152" i="45"/>
  <c r="D1103" i="45"/>
  <c r="F1103" i="45" s="1"/>
  <c r="D1104" i="45"/>
  <c r="F1104" i="45" s="1"/>
  <c r="D1105" i="45"/>
  <c r="F1105" i="45" s="1"/>
  <c r="D1106" i="45"/>
  <c r="F1106" i="45" s="1"/>
  <c r="D1107" i="45"/>
  <c r="F1107" i="45" s="1"/>
  <c r="D1108" i="45"/>
  <c r="F1108" i="45" s="1"/>
  <c r="D1109" i="45"/>
  <c r="F1109" i="45" s="1"/>
  <c r="D1110" i="45"/>
  <c r="F1110" i="45" s="1"/>
  <c r="D1111" i="45"/>
  <c r="F1111" i="45" s="1"/>
  <c r="D1112" i="45"/>
  <c r="F1112" i="45" s="1"/>
  <c r="D1113" i="45"/>
  <c r="F1113" i="45" s="1"/>
  <c r="D1102" i="45"/>
  <c r="D665" i="22"/>
  <c r="D666" i="22"/>
  <c r="D667" i="22"/>
  <c r="D668" i="22"/>
  <c r="E669" i="22"/>
  <c r="D962" i="45"/>
  <c r="F962" i="45" s="1"/>
  <c r="D963" i="45"/>
  <c r="F963" i="45" s="1"/>
  <c r="D964" i="45"/>
  <c r="F964" i="45" s="1"/>
  <c r="D965" i="45"/>
  <c r="F965" i="45" s="1"/>
  <c r="D966" i="45"/>
  <c r="F966" i="45" s="1"/>
  <c r="D967" i="45"/>
  <c r="F967" i="45" s="1"/>
  <c r="D968" i="45"/>
  <c r="F968" i="45" s="1"/>
  <c r="D969" i="45"/>
  <c r="F969" i="45" s="1"/>
  <c r="D970" i="45"/>
  <c r="F970" i="45" s="1"/>
  <c r="D971" i="45"/>
  <c r="F971" i="45" s="1"/>
  <c r="D972" i="45"/>
  <c r="F972" i="45" s="1"/>
  <c r="D961" i="45"/>
  <c r="D581" i="22"/>
  <c r="D582" i="22"/>
  <c r="D583" i="22"/>
  <c r="D584" i="22"/>
  <c r="E585" i="22"/>
  <c r="D587" i="22"/>
  <c r="D588" i="22"/>
  <c r="D589" i="22"/>
  <c r="D590" i="22"/>
  <c r="E591" i="22"/>
  <c r="D974" i="45"/>
  <c r="F974" i="45" s="1"/>
  <c r="D975" i="45"/>
  <c r="F975" i="45" s="1"/>
  <c r="D976" i="45"/>
  <c r="F976" i="45" s="1"/>
  <c r="D977" i="45"/>
  <c r="F977" i="45" s="1"/>
  <c r="D978" i="45"/>
  <c r="F978" i="45" s="1"/>
  <c r="D979" i="45"/>
  <c r="F979" i="45" s="1"/>
  <c r="D980" i="45"/>
  <c r="F980" i="45" s="1"/>
  <c r="D981" i="45"/>
  <c r="F981" i="45" s="1"/>
  <c r="D982" i="45"/>
  <c r="F982" i="45" s="1"/>
  <c r="D983" i="45"/>
  <c r="F983" i="45" s="1"/>
  <c r="D984" i="45"/>
  <c r="F984" i="45" s="1"/>
  <c r="D973" i="45"/>
  <c r="D937" i="45"/>
  <c r="F937" i="45" s="1"/>
  <c r="D938" i="45"/>
  <c r="F938" i="45" s="1"/>
  <c r="D939" i="45"/>
  <c r="F939" i="45" s="1"/>
  <c r="D940" i="45"/>
  <c r="F940" i="45" s="1"/>
  <c r="D941" i="45"/>
  <c r="F941" i="45" s="1"/>
  <c r="D942" i="45"/>
  <c r="F942" i="45" s="1"/>
  <c r="D943" i="45"/>
  <c r="F943" i="45" s="1"/>
  <c r="D944" i="45"/>
  <c r="F944" i="45" s="1"/>
  <c r="D945" i="45"/>
  <c r="F945" i="45" s="1"/>
  <c r="D946" i="45"/>
  <c r="F946" i="45" s="1"/>
  <c r="D947" i="45"/>
  <c r="F947" i="45" s="1"/>
  <c r="D936" i="45"/>
  <c r="D568" i="22"/>
  <c r="D569" i="22"/>
  <c r="D570" i="22"/>
  <c r="D571" i="22"/>
  <c r="E572" i="22"/>
  <c r="D949" i="45"/>
  <c r="F949" i="45" s="1"/>
  <c r="D950" i="45"/>
  <c r="F950" i="45" s="1"/>
  <c r="D951" i="45"/>
  <c r="F951" i="45" s="1"/>
  <c r="D952" i="45"/>
  <c r="F952" i="45" s="1"/>
  <c r="D953" i="45"/>
  <c r="F953" i="45" s="1"/>
  <c r="D954" i="45"/>
  <c r="F954" i="45" s="1"/>
  <c r="D955" i="45"/>
  <c r="F955" i="45" s="1"/>
  <c r="D956" i="45"/>
  <c r="F956" i="45" s="1"/>
  <c r="D957" i="45"/>
  <c r="F957" i="45" s="1"/>
  <c r="D958" i="45"/>
  <c r="F958" i="45" s="1"/>
  <c r="D959" i="45"/>
  <c r="F959" i="45" s="1"/>
  <c r="D948" i="45"/>
  <c r="D867" i="45"/>
  <c r="F867" i="45" s="1"/>
  <c r="D868" i="45"/>
  <c r="F868" i="45" s="1"/>
  <c r="D869" i="45"/>
  <c r="F869" i="45" s="1"/>
  <c r="D870" i="45"/>
  <c r="F870" i="45" s="1"/>
  <c r="D871" i="45"/>
  <c r="F871" i="45" s="1"/>
  <c r="D872" i="45"/>
  <c r="F872" i="45" s="1"/>
  <c r="D873" i="45"/>
  <c r="F873" i="45" s="1"/>
  <c r="D874" i="45"/>
  <c r="F874" i="45" s="1"/>
  <c r="D875" i="45"/>
  <c r="F875" i="45" s="1"/>
  <c r="D876" i="45"/>
  <c r="F876" i="45" s="1"/>
  <c r="D877" i="45"/>
  <c r="F877" i="45" s="1"/>
  <c r="D866" i="45"/>
  <c r="D526" i="22"/>
  <c r="D527" i="22"/>
  <c r="D528" i="22"/>
  <c r="D529" i="22"/>
  <c r="D530" i="22"/>
  <c r="E531" i="22"/>
  <c r="D533" i="22"/>
  <c r="D534" i="22"/>
  <c r="D535" i="22"/>
  <c r="D536" i="22"/>
  <c r="D537" i="22"/>
  <c r="E538" i="22"/>
  <c r="D879" i="45"/>
  <c r="F879" i="45" s="1"/>
  <c r="D880" i="45"/>
  <c r="F880" i="45" s="1"/>
  <c r="D881" i="45"/>
  <c r="F881" i="45" s="1"/>
  <c r="D882" i="45"/>
  <c r="F882" i="45" s="1"/>
  <c r="D883" i="45"/>
  <c r="F883" i="45" s="1"/>
  <c r="D884" i="45"/>
  <c r="F884" i="45" s="1"/>
  <c r="D885" i="45"/>
  <c r="F885" i="45" s="1"/>
  <c r="D886" i="45"/>
  <c r="F886" i="45" s="1"/>
  <c r="D887" i="45"/>
  <c r="F887" i="45" s="1"/>
  <c r="D888" i="45"/>
  <c r="F888" i="45" s="1"/>
  <c r="D889" i="45"/>
  <c r="F889" i="45" s="1"/>
  <c r="D878" i="45"/>
  <c r="D508" i="22"/>
  <c r="D509" i="22"/>
  <c r="D510" i="22"/>
  <c r="D511" i="22"/>
  <c r="E512" i="22"/>
  <c r="D514" i="22"/>
  <c r="D515" i="22"/>
  <c r="D516" i="22"/>
  <c r="D517" i="22"/>
  <c r="E518" i="22"/>
  <c r="D837" i="45"/>
  <c r="F837" i="45" s="1"/>
  <c r="D838" i="45"/>
  <c r="F838" i="45" s="1"/>
  <c r="D839" i="45"/>
  <c r="F839" i="45" s="1"/>
  <c r="D840" i="45"/>
  <c r="F840" i="45" s="1"/>
  <c r="D841" i="45"/>
  <c r="F841" i="45" s="1"/>
  <c r="D842" i="45"/>
  <c r="F842" i="45" s="1"/>
  <c r="D843" i="45"/>
  <c r="F843" i="45" s="1"/>
  <c r="D844" i="45"/>
  <c r="F844" i="45" s="1"/>
  <c r="D845" i="45"/>
  <c r="F845" i="45" s="1"/>
  <c r="D846" i="45"/>
  <c r="F846" i="45" s="1"/>
  <c r="D847" i="45"/>
  <c r="F847" i="45" s="1"/>
  <c r="D836" i="45"/>
  <c r="D849" i="45"/>
  <c r="F849" i="45" s="1"/>
  <c r="D850" i="45"/>
  <c r="F850" i="45" s="1"/>
  <c r="D851" i="45"/>
  <c r="F851" i="45" s="1"/>
  <c r="D852" i="45"/>
  <c r="F852" i="45" s="1"/>
  <c r="D853" i="45"/>
  <c r="F853" i="45" s="1"/>
  <c r="D854" i="45"/>
  <c r="F854" i="45" s="1"/>
  <c r="D855" i="45"/>
  <c r="F855" i="45" s="1"/>
  <c r="D856" i="45"/>
  <c r="F856" i="45" s="1"/>
  <c r="D857" i="45"/>
  <c r="F857" i="45" s="1"/>
  <c r="D858" i="45"/>
  <c r="F858" i="45" s="1"/>
  <c r="D859" i="45"/>
  <c r="F859" i="45" s="1"/>
  <c r="D848" i="45"/>
  <c r="D677" i="45"/>
  <c r="F677" i="45" s="1"/>
  <c r="D678" i="45"/>
  <c r="F678" i="45" s="1"/>
  <c r="D679" i="45"/>
  <c r="F679" i="45" s="1"/>
  <c r="D680" i="45"/>
  <c r="F680" i="45" s="1"/>
  <c r="D681" i="45"/>
  <c r="F681" i="45" s="1"/>
  <c r="D682" i="45"/>
  <c r="F682" i="45" s="1"/>
  <c r="D683" i="45"/>
  <c r="F683" i="45" s="1"/>
  <c r="D684" i="45"/>
  <c r="F684" i="45" s="1"/>
  <c r="D685" i="45"/>
  <c r="F685" i="45" s="1"/>
  <c r="D686" i="45"/>
  <c r="F686" i="45" s="1"/>
  <c r="D687" i="45"/>
  <c r="F687" i="45" s="1"/>
  <c r="D676" i="45"/>
  <c r="D402" i="22"/>
  <c r="D403" i="22"/>
  <c r="D404" i="22"/>
  <c r="D405" i="22"/>
  <c r="E406" i="22"/>
  <c r="D689" i="45"/>
  <c r="F689" i="45" s="1"/>
  <c r="D690" i="45"/>
  <c r="F690" i="45" s="1"/>
  <c r="D691" i="45"/>
  <c r="F691" i="45" s="1"/>
  <c r="D692" i="45"/>
  <c r="F692" i="45" s="1"/>
  <c r="D693" i="45"/>
  <c r="F693" i="45" s="1"/>
  <c r="D694" i="45"/>
  <c r="F694" i="45" s="1"/>
  <c r="D695" i="45"/>
  <c r="F695" i="45" s="1"/>
  <c r="D696" i="45"/>
  <c r="F696" i="45" s="1"/>
  <c r="D697" i="45"/>
  <c r="F697" i="45" s="1"/>
  <c r="D698" i="45"/>
  <c r="F698" i="45" s="1"/>
  <c r="D699" i="45"/>
  <c r="F699" i="45" s="1"/>
  <c r="D688" i="45"/>
  <c r="D408" i="22"/>
  <c r="D409" i="22"/>
  <c r="D410" i="22"/>
  <c r="D411" i="22"/>
  <c r="E412" i="22"/>
  <c r="D663" i="45"/>
  <c r="F663" i="45" s="1"/>
  <c r="D664" i="45"/>
  <c r="F664" i="45" s="1"/>
  <c r="D665" i="45"/>
  <c r="F665" i="45" s="1"/>
  <c r="D666" i="45"/>
  <c r="F666" i="45" s="1"/>
  <c r="D667" i="45"/>
  <c r="F667" i="45" s="1"/>
  <c r="D668" i="45"/>
  <c r="F668" i="45" s="1"/>
  <c r="D669" i="45"/>
  <c r="F669" i="45" s="1"/>
  <c r="D670" i="45"/>
  <c r="F670" i="45" s="1"/>
  <c r="D671" i="45"/>
  <c r="F671" i="45" s="1"/>
  <c r="D672" i="45"/>
  <c r="F672" i="45" s="1"/>
  <c r="D673" i="45"/>
  <c r="F673" i="45" s="1"/>
  <c r="D662" i="45"/>
  <c r="D394" i="22"/>
  <c r="D395" i="22"/>
  <c r="D396" i="22"/>
  <c r="D397" i="22"/>
  <c r="E398" i="22"/>
  <c r="D611" i="45"/>
  <c r="F611" i="45" s="1"/>
  <c r="D612" i="45"/>
  <c r="F612" i="45" s="1"/>
  <c r="D613" i="45"/>
  <c r="F613" i="45" s="1"/>
  <c r="D614" i="45"/>
  <c r="F614" i="45" s="1"/>
  <c r="D615" i="45"/>
  <c r="F615" i="45" s="1"/>
  <c r="D616" i="45"/>
  <c r="F616" i="45" s="1"/>
  <c r="D617" i="45"/>
  <c r="F617" i="45" s="1"/>
  <c r="D618" i="45"/>
  <c r="F618" i="45" s="1"/>
  <c r="D619" i="45"/>
  <c r="F619" i="45" s="1"/>
  <c r="D620" i="45"/>
  <c r="F620" i="45" s="1"/>
  <c r="D621" i="45"/>
  <c r="F621" i="45" s="1"/>
  <c r="D610" i="45"/>
  <c r="D623" i="45"/>
  <c r="F623" i="45" s="1"/>
  <c r="D624" i="45"/>
  <c r="F624" i="45" s="1"/>
  <c r="D625" i="45"/>
  <c r="F625" i="45" s="1"/>
  <c r="D626" i="45"/>
  <c r="F626" i="45" s="1"/>
  <c r="D627" i="45"/>
  <c r="F627" i="45" s="1"/>
  <c r="D628" i="45"/>
  <c r="F628" i="45" s="1"/>
  <c r="D629" i="45"/>
  <c r="F629" i="45" s="1"/>
  <c r="D630" i="45"/>
  <c r="F630" i="45" s="1"/>
  <c r="D631" i="45"/>
  <c r="F631" i="45" s="1"/>
  <c r="D632" i="45"/>
  <c r="F632" i="45" s="1"/>
  <c r="D633" i="45"/>
  <c r="F633" i="45" s="1"/>
  <c r="D622" i="45"/>
  <c r="D598" i="45"/>
  <c r="F598" i="45" s="1"/>
  <c r="D599" i="45"/>
  <c r="F599" i="45" s="1"/>
  <c r="D600" i="45"/>
  <c r="F600" i="45" s="1"/>
  <c r="D601" i="45"/>
  <c r="F601" i="45" s="1"/>
  <c r="D602" i="45"/>
  <c r="F602" i="45" s="1"/>
  <c r="D603" i="45"/>
  <c r="F603" i="45" s="1"/>
  <c r="D604" i="45"/>
  <c r="F604" i="45" s="1"/>
  <c r="D605" i="45"/>
  <c r="F605" i="45" s="1"/>
  <c r="D606" i="45"/>
  <c r="F606" i="45" s="1"/>
  <c r="D607" i="45"/>
  <c r="F607" i="45" s="1"/>
  <c r="D608" i="45"/>
  <c r="F608" i="45" s="1"/>
  <c r="D597" i="45"/>
  <c r="D337" i="22"/>
  <c r="D338" i="22"/>
  <c r="D339" i="22"/>
  <c r="D340" i="22"/>
  <c r="E341" i="22"/>
  <c r="D343" i="22"/>
  <c r="D344" i="22"/>
  <c r="D345" i="22"/>
  <c r="D346" i="22"/>
  <c r="E347" i="22"/>
  <c r="D324" i="22"/>
  <c r="D325" i="22"/>
  <c r="D326" i="22"/>
  <c r="D327" i="22"/>
  <c r="E328" i="22"/>
  <c r="D330" i="22"/>
  <c r="D331" i="22"/>
  <c r="D332" i="22"/>
  <c r="D333" i="22"/>
  <c r="E334" i="22"/>
  <c r="D559" i="45"/>
  <c r="F559" i="45" s="1"/>
  <c r="D560" i="45"/>
  <c r="F560" i="45" s="1"/>
  <c r="D561" i="45"/>
  <c r="F561" i="45" s="1"/>
  <c r="D562" i="45"/>
  <c r="F562" i="45" s="1"/>
  <c r="D563" i="45"/>
  <c r="F563" i="45" s="1"/>
  <c r="D564" i="45"/>
  <c r="F564" i="45" s="1"/>
  <c r="D565" i="45"/>
  <c r="F565" i="45" s="1"/>
  <c r="D566" i="45"/>
  <c r="F566" i="45" s="1"/>
  <c r="D567" i="45"/>
  <c r="F567" i="45" s="1"/>
  <c r="D568" i="45"/>
  <c r="F568" i="45" s="1"/>
  <c r="D569" i="45"/>
  <c r="F569" i="45" s="1"/>
  <c r="D558" i="45"/>
  <c r="D571" i="45"/>
  <c r="F571" i="45" s="1"/>
  <c r="D572" i="45"/>
  <c r="F572" i="45" s="1"/>
  <c r="D573" i="45"/>
  <c r="F573" i="45" s="1"/>
  <c r="D574" i="45"/>
  <c r="F574" i="45" s="1"/>
  <c r="D575" i="45"/>
  <c r="F575" i="45" s="1"/>
  <c r="D576" i="45"/>
  <c r="F576" i="45" s="1"/>
  <c r="D577" i="45"/>
  <c r="F577" i="45" s="1"/>
  <c r="D578" i="45"/>
  <c r="F578" i="45" s="1"/>
  <c r="D579" i="45"/>
  <c r="F579" i="45" s="1"/>
  <c r="D580" i="45"/>
  <c r="F580" i="45" s="1"/>
  <c r="D581" i="45"/>
  <c r="F581" i="45" s="1"/>
  <c r="D570" i="45"/>
  <c r="D534" i="45"/>
  <c r="F534" i="45" s="1"/>
  <c r="D535" i="45"/>
  <c r="F535" i="45" s="1"/>
  <c r="D536" i="45"/>
  <c r="F536" i="45" s="1"/>
  <c r="D537" i="45"/>
  <c r="F537" i="45" s="1"/>
  <c r="D538" i="45"/>
  <c r="F538" i="45" s="1"/>
  <c r="D539" i="45"/>
  <c r="F539" i="45" s="1"/>
  <c r="D540" i="45"/>
  <c r="F540" i="45" s="1"/>
  <c r="D541" i="45"/>
  <c r="F541" i="45" s="1"/>
  <c r="D542" i="45"/>
  <c r="F542" i="45" s="1"/>
  <c r="D543" i="45"/>
  <c r="F543" i="45" s="1"/>
  <c r="D544" i="45"/>
  <c r="F544" i="45" s="1"/>
  <c r="D546" i="45"/>
  <c r="F546" i="45" s="1"/>
  <c r="D547" i="45"/>
  <c r="F547" i="45" s="1"/>
  <c r="D548" i="45"/>
  <c r="F548" i="45" s="1"/>
  <c r="D549" i="45"/>
  <c r="F549" i="45" s="1"/>
  <c r="D550" i="45"/>
  <c r="F550" i="45" s="1"/>
  <c r="D551" i="45"/>
  <c r="F551" i="45" s="1"/>
  <c r="D552" i="45"/>
  <c r="F552" i="45" s="1"/>
  <c r="D553" i="45"/>
  <c r="F553" i="45" s="1"/>
  <c r="D554" i="45"/>
  <c r="F554" i="45" s="1"/>
  <c r="D555" i="45"/>
  <c r="F555" i="45" s="1"/>
  <c r="D556" i="45"/>
  <c r="F556" i="45" s="1"/>
  <c r="D545" i="45"/>
  <c r="D285" i="22"/>
  <c r="D286" i="22"/>
  <c r="D287" i="22"/>
  <c r="D288" i="22"/>
  <c r="D289" i="22"/>
  <c r="E290" i="22"/>
  <c r="D467" i="45"/>
  <c r="F467" i="45" s="1"/>
  <c r="D468" i="45"/>
  <c r="F468" i="45" s="1"/>
  <c r="D469" i="45"/>
  <c r="F469" i="45" s="1"/>
  <c r="D470" i="45"/>
  <c r="F470" i="45" s="1"/>
  <c r="D471" i="45"/>
  <c r="F471" i="45" s="1"/>
  <c r="D472" i="45"/>
  <c r="F472" i="45" s="1"/>
  <c r="D473" i="45"/>
  <c r="F473" i="45" s="1"/>
  <c r="D474" i="45"/>
  <c r="F474" i="45" s="1"/>
  <c r="D475" i="45"/>
  <c r="F475" i="45" s="1"/>
  <c r="D476" i="45"/>
  <c r="F476" i="45" s="1"/>
  <c r="D477" i="45"/>
  <c r="F477" i="45" s="1"/>
  <c r="D466" i="45"/>
  <c r="D219" i="22"/>
  <c r="D220" i="22"/>
  <c r="D221" i="22"/>
  <c r="D222" i="22"/>
  <c r="E223" i="22"/>
  <c r="D225" i="22"/>
  <c r="D226" i="22"/>
  <c r="D227" i="22"/>
  <c r="D228" i="22"/>
  <c r="E229" i="22"/>
  <c r="D371" i="45"/>
  <c r="F371" i="45" s="1"/>
  <c r="D372" i="45"/>
  <c r="F372" i="45" s="1"/>
  <c r="D373" i="45"/>
  <c r="F373" i="45" s="1"/>
  <c r="D374" i="45"/>
  <c r="F374" i="45" s="1"/>
  <c r="D375" i="45"/>
  <c r="F375" i="45" s="1"/>
  <c r="D376" i="45"/>
  <c r="F376" i="45" s="1"/>
  <c r="D377" i="45"/>
  <c r="F377" i="45" s="1"/>
  <c r="D378" i="45"/>
  <c r="F378" i="45" s="1"/>
  <c r="D379" i="45"/>
  <c r="F379" i="45" s="1"/>
  <c r="D380" i="45"/>
  <c r="F380" i="45" s="1"/>
  <c r="D381" i="45"/>
  <c r="F381" i="45" s="1"/>
  <c r="D370" i="45"/>
  <c r="D383" i="45"/>
  <c r="F383" i="45" s="1"/>
  <c r="D384" i="45"/>
  <c r="F384" i="45" s="1"/>
  <c r="D385" i="45"/>
  <c r="F385" i="45" s="1"/>
  <c r="D386" i="45"/>
  <c r="F386" i="45" s="1"/>
  <c r="D387" i="45"/>
  <c r="F387" i="45" s="1"/>
  <c r="D388" i="45"/>
  <c r="F388" i="45" s="1"/>
  <c r="D389" i="45"/>
  <c r="F389" i="45" s="1"/>
  <c r="D390" i="45"/>
  <c r="F390" i="45" s="1"/>
  <c r="D391" i="45"/>
  <c r="F391" i="45" s="1"/>
  <c r="D392" i="45"/>
  <c r="F392" i="45" s="1"/>
  <c r="D393" i="45"/>
  <c r="F393" i="45" s="1"/>
  <c r="D382" i="45"/>
  <c r="D198" i="22"/>
  <c r="D199" i="22"/>
  <c r="D200" i="22"/>
  <c r="D201" i="22"/>
  <c r="E202" i="22"/>
  <c r="D190" i="22"/>
  <c r="D191" i="22"/>
  <c r="D192" i="22"/>
  <c r="D193" i="22"/>
  <c r="E194" i="22"/>
  <c r="D332" i="45"/>
  <c r="F332" i="45" s="1"/>
  <c r="D333" i="45"/>
  <c r="F333" i="45" s="1"/>
  <c r="D334" i="45"/>
  <c r="F334" i="45" s="1"/>
  <c r="D335" i="45"/>
  <c r="F335" i="45" s="1"/>
  <c r="D336" i="45"/>
  <c r="F336" i="45" s="1"/>
  <c r="D337" i="45"/>
  <c r="F337" i="45" s="1"/>
  <c r="D338" i="45"/>
  <c r="F338" i="45" s="1"/>
  <c r="D339" i="45"/>
  <c r="F339" i="45" s="1"/>
  <c r="D340" i="45"/>
  <c r="F340" i="45" s="1"/>
  <c r="D341" i="45"/>
  <c r="F341" i="45" s="1"/>
  <c r="D342" i="45"/>
  <c r="F342" i="45" s="1"/>
  <c r="D331" i="45"/>
  <c r="D318" i="45"/>
  <c r="F318" i="45" s="1"/>
  <c r="D319" i="45"/>
  <c r="F319" i="45" s="1"/>
  <c r="D320" i="45"/>
  <c r="F320" i="45" s="1"/>
  <c r="D321" i="45"/>
  <c r="F321" i="45" s="1"/>
  <c r="D322" i="45"/>
  <c r="F322" i="45" s="1"/>
  <c r="D323" i="45"/>
  <c r="F323" i="45" s="1"/>
  <c r="D324" i="45"/>
  <c r="F324" i="45" s="1"/>
  <c r="D325" i="45"/>
  <c r="F325" i="45"/>
  <c r="D326" i="45"/>
  <c r="F326" i="45" s="1"/>
  <c r="D327" i="45"/>
  <c r="F327" i="45" s="1"/>
  <c r="D328" i="45"/>
  <c r="F328" i="45" s="1"/>
  <c r="D317" i="45"/>
  <c r="D175" i="22"/>
  <c r="D176" i="22"/>
  <c r="D177" i="22"/>
  <c r="D178" i="22"/>
  <c r="E179" i="22"/>
  <c r="D183" i="22"/>
  <c r="D184" i="22"/>
  <c r="D185" i="22"/>
  <c r="D186" i="22"/>
  <c r="E187" i="22"/>
  <c r="D291" i="45"/>
  <c r="F291" i="45"/>
  <c r="D292" i="45"/>
  <c r="F292" i="45" s="1"/>
  <c r="D293" i="45"/>
  <c r="F293" i="45" s="1"/>
  <c r="D294" i="45"/>
  <c r="F294" i="45" s="1"/>
  <c r="D295" i="45"/>
  <c r="F295" i="45" s="1"/>
  <c r="D296" i="45"/>
  <c r="F296" i="45" s="1"/>
  <c r="D297" i="45"/>
  <c r="F297" i="45" s="1"/>
  <c r="D298" i="45"/>
  <c r="F298" i="45" s="1"/>
  <c r="D299" i="45"/>
  <c r="F299" i="45" s="1"/>
  <c r="D300" i="45"/>
  <c r="F300" i="45" s="1"/>
  <c r="D301" i="45"/>
  <c r="F301" i="45" s="1"/>
  <c r="D289" i="45"/>
  <c r="D305" i="45"/>
  <c r="F305" i="45" s="1"/>
  <c r="D306" i="45"/>
  <c r="F306" i="45" s="1"/>
  <c r="D307" i="45"/>
  <c r="F307" i="45" s="1"/>
  <c r="D308" i="45"/>
  <c r="F308" i="45" s="1"/>
  <c r="D309" i="45"/>
  <c r="F309" i="45" s="1"/>
  <c r="D310" i="45"/>
  <c r="F310" i="45" s="1"/>
  <c r="D311" i="45"/>
  <c r="F311" i="45" s="1"/>
  <c r="D312" i="45"/>
  <c r="F312" i="45" s="1"/>
  <c r="D313" i="45"/>
  <c r="F313" i="45" s="1"/>
  <c r="D314" i="45"/>
  <c r="F314" i="45" s="1"/>
  <c r="D315" i="45"/>
  <c r="F315" i="45" s="1"/>
  <c r="D303" i="45"/>
  <c r="D276" i="45"/>
  <c r="F276" i="45" s="1"/>
  <c r="D277" i="45"/>
  <c r="F277" i="45" s="1"/>
  <c r="D278" i="45"/>
  <c r="F278" i="45" s="1"/>
  <c r="D279" i="45"/>
  <c r="F279" i="45" s="1"/>
  <c r="D280" i="45"/>
  <c r="F280" i="45" s="1"/>
  <c r="D281" i="45"/>
  <c r="F281" i="45" s="1"/>
  <c r="D282" i="45"/>
  <c r="F282" i="45" s="1"/>
  <c r="D283" i="45"/>
  <c r="F283" i="45" s="1"/>
  <c r="D284" i="45"/>
  <c r="F284" i="45" s="1"/>
  <c r="D285" i="45"/>
  <c r="F285" i="45" s="1"/>
  <c r="D286" i="45"/>
  <c r="F286" i="45" s="1"/>
  <c r="D274" i="45"/>
  <c r="D143" i="22"/>
  <c r="D144" i="22"/>
  <c r="D145" i="22"/>
  <c r="D146" i="22"/>
  <c r="E147" i="22"/>
  <c r="D149" i="22"/>
  <c r="D150" i="22"/>
  <c r="D151" i="22"/>
  <c r="D152" i="22"/>
  <c r="E153" i="22"/>
  <c r="D136" i="22"/>
  <c r="D137" i="22"/>
  <c r="D138" i="22"/>
  <c r="D139" i="22"/>
  <c r="E140" i="22"/>
  <c r="D235" i="45"/>
  <c r="F235" i="45" s="1"/>
  <c r="D236" i="45"/>
  <c r="F236" i="45" s="1"/>
  <c r="D237" i="45"/>
  <c r="F237" i="45" s="1"/>
  <c r="D238" i="45"/>
  <c r="F238" i="45" s="1"/>
  <c r="D239" i="45"/>
  <c r="F239" i="45" s="1"/>
  <c r="D240" i="45"/>
  <c r="F240" i="45" s="1"/>
  <c r="D241" i="45"/>
  <c r="F241" i="45" s="1"/>
  <c r="D242" i="45"/>
  <c r="F242" i="45" s="1"/>
  <c r="D243" i="45"/>
  <c r="F243" i="45" s="1"/>
  <c r="D244" i="45"/>
  <c r="F244" i="45" s="1"/>
  <c r="D245" i="45"/>
  <c r="F245" i="45" s="1"/>
  <c r="D234" i="45"/>
  <c r="D247" i="45"/>
  <c r="F247" i="45" s="1"/>
  <c r="D248" i="45"/>
  <c r="F248" i="45" s="1"/>
  <c r="D249" i="45"/>
  <c r="F249" i="45" s="1"/>
  <c r="D250" i="45"/>
  <c r="F250" i="45" s="1"/>
  <c r="D251" i="45"/>
  <c r="F251" i="45" s="1"/>
  <c r="D252" i="45"/>
  <c r="F252" i="45" s="1"/>
  <c r="D253" i="45"/>
  <c r="F253" i="45" s="1"/>
  <c r="D254" i="45"/>
  <c r="F254" i="45" s="1"/>
  <c r="D255" i="45"/>
  <c r="F255" i="45" s="1"/>
  <c r="D256" i="45"/>
  <c r="F256" i="45" s="1"/>
  <c r="D257" i="45"/>
  <c r="F257" i="45" s="1"/>
  <c r="D246" i="45"/>
  <c r="D141" i="45"/>
  <c r="F141" i="45" s="1"/>
  <c r="D142" i="45"/>
  <c r="F142" i="45" s="1"/>
  <c r="D143" i="45"/>
  <c r="F143" i="45" s="1"/>
  <c r="D144" i="45"/>
  <c r="F144" i="45" s="1"/>
  <c r="D145" i="45"/>
  <c r="F145" i="45" s="1"/>
  <c r="D146" i="45"/>
  <c r="F146" i="45" s="1"/>
  <c r="D147" i="45"/>
  <c r="F147" i="45" s="1"/>
  <c r="D148" i="45"/>
  <c r="F148" i="45" s="1"/>
  <c r="D149" i="45"/>
  <c r="F149" i="45" s="1"/>
  <c r="D150" i="45"/>
  <c r="F150" i="45" s="1"/>
  <c r="D151" i="45"/>
  <c r="F151" i="45" s="1"/>
  <c r="D140" i="45"/>
  <c r="D155" i="45"/>
  <c r="F155" i="45" s="1"/>
  <c r="D156" i="45"/>
  <c r="F156" i="45" s="1"/>
  <c r="D157" i="45"/>
  <c r="F157" i="45" s="1"/>
  <c r="D158" i="45"/>
  <c r="F158" i="45" s="1"/>
  <c r="D159" i="45"/>
  <c r="F159" i="45" s="1"/>
  <c r="D160" i="45"/>
  <c r="F160" i="45" s="1"/>
  <c r="D161" i="45"/>
  <c r="F161" i="45" s="1"/>
  <c r="D162" i="45"/>
  <c r="F162" i="45" s="1"/>
  <c r="D163" i="45"/>
  <c r="F163" i="45" s="1"/>
  <c r="D164" i="45"/>
  <c r="F164" i="45" s="1"/>
  <c r="D165" i="45"/>
  <c r="F165" i="45" s="1"/>
  <c r="D154" i="45"/>
  <c r="D89" i="22"/>
  <c r="D90" i="22"/>
  <c r="D91" i="22"/>
  <c r="D92" i="22"/>
  <c r="D93" i="22"/>
  <c r="E94" i="22"/>
  <c r="D98" i="22"/>
  <c r="D99" i="22"/>
  <c r="D100" i="22"/>
  <c r="D101" i="22"/>
  <c r="D102" i="22"/>
  <c r="E103" i="22"/>
  <c r="D33" i="45"/>
  <c r="F33" i="45" s="1"/>
  <c r="D34" i="45"/>
  <c r="F34" i="45" s="1"/>
  <c r="D35" i="45"/>
  <c r="F35" i="45" s="1"/>
  <c r="D36" i="45"/>
  <c r="F36" i="45" s="1"/>
  <c r="D37" i="45"/>
  <c r="F37" i="45" s="1"/>
  <c r="D38" i="45"/>
  <c r="F38" i="45" s="1"/>
  <c r="D39" i="45"/>
  <c r="F39" i="45" s="1"/>
  <c r="D40" i="45"/>
  <c r="F40" i="45" s="1"/>
  <c r="D41" i="45"/>
  <c r="F41" i="45" s="1"/>
  <c r="D42" i="45"/>
  <c r="F42" i="45" s="1"/>
  <c r="D43" i="45"/>
  <c r="F43" i="45" s="1"/>
  <c r="D32" i="45"/>
  <c r="D23" i="22"/>
  <c r="D24" i="22"/>
  <c r="D25" i="22"/>
  <c r="D26" i="22"/>
  <c r="E27" i="22"/>
  <c r="D45" i="45"/>
  <c r="F45" i="45" s="1"/>
  <c r="D46" i="45"/>
  <c r="F46" i="45" s="1"/>
  <c r="D47" i="45"/>
  <c r="F47" i="45" s="1"/>
  <c r="D48" i="45"/>
  <c r="F48" i="45" s="1"/>
  <c r="D49" i="45"/>
  <c r="F49" i="45" s="1"/>
  <c r="D50" i="45"/>
  <c r="F50" i="45" s="1"/>
  <c r="D51" i="45"/>
  <c r="F51" i="45" s="1"/>
  <c r="D52" i="45"/>
  <c r="F52" i="45" s="1"/>
  <c r="D53" i="45"/>
  <c r="F53" i="45" s="1"/>
  <c r="D54" i="45"/>
  <c r="F54" i="45" s="1"/>
  <c r="D55" i="45"/>
  <c r="F55" i="45" s="1"/>
  <c r="D44" i="45"/>
  <c r="D29" i="22"/>
  <c r="D30" i="22"/>
  <c r="D31" i="22"/>
  <c r="D32" i="22"/>
  <c r="E33" i="22"/>
  <c r="D35" i="22"/>
  <c r="D36" i="22"/>
  <c r="D37" i="22"/>
  <c r="D38" i="22"/>
  <c r="E39" i="22"/>
  <c r="D41" i="22"/>
  <c r="D42" i="22"/>
  <c r="D43" i="22"/>
  <c r="D44" i="22"/>
  <c r="E45" i="22"/>
  <c r="D1302" i="45"/>
  <c r="F1302" i="45" s="1"/>
  <c r="D1303" i="45"/>
  <c r="F1303" i="45" s="1"/>
  <c r="D1304" i="45"/>
  <c r="F1304" i="45" s="1"/>
  <c r="D1305" i="45"/>
  <c r="F1305" i="45" s="1"/>
  <c r="D1306" i="45"/>
  <c r="F1306" i="45" s="1"/>
  <c r="D1307" i="45"/>
  <c r="F1307" i="45" s="1"/>
  <c r="D1308" i="45"/>
  <c r="F1308" i="45" s="1"/>
  <c r="D1309" i="45"/>
  <c r="F1309" i="45" s="1"/>
  <c r="D1310" i="45"/>
  <c r="F1310" i="45" s="1"/>
  <c r="D1311" i="45"/>
  <c r="F1311" i="45" s="1"/>
  <c r="D1312" i="45"/>
  <c r="F1312" i="45" s="1"/>
  <c r="D1301" i="45"/>
  <c r="D794" i="22"/>
  <c r="D795" i="22"/>
  <c r="D796" i="22"/>
  <c r="D797" i="22"/>
  <c r="D798" i="22"/>
  <c r="E799" i="22"/>
  <c r="D1314" i="45"/>
  <c r="F1314" i="45" s="1"/>
  <c r="D1315" i="45"/>
  <c r="F1315" i="45" s="1"/>
  <c r="D1316" i="45"/>
  <c r="F1316" i="45" s="1"/>
  <c r="D1317" i="45"/>
  <c r="F1317" i="45" s="1"/>
  <c r="D1318" i="45"/>
  <c r="F1318" i="45" s="1"/>
  <c r="D1319" i="45"/>
  <c r="F1319" i="45" s="1"/>
  <c r="D1320" i="45"/>
  <c r="F1320" i="45" s="1"/>
  <c r="D1321" i="45"/>
  <c r="F1321" i="45" s="1"/>
  <c r="D1322" i="45"/>
  <c r="F1322" i="45" s="1"/>
  <c r="D1323" i="45"/>
  <c r="F1323" i="45" s="1"/>
  <c r="D1324" i="45"/>
  <c r="F1324" i="45" s="1"/>
  <c r="D1313" i="45"/>
  <c r="D801" i="22"/>
  <c r="D802" i="22"/>
  <c r="D803" i="22"/>
  <c r="D804" i="22"/>
  <c r="D805" i="22"/>
  <c r="E806" i="22"/>
  <c r="D1275" i="45"/>
  <c r="F1275" i="45" s="1"/>
  <c r="D1276" i="45"/>
  <c r="F1276" i="45" s="1"/>
  <c r="D1277" i="45"/>
  <c r="F1277" i="45" s="1"/>
  <c r="D1278" i="45"/>
  <c r="F1278" i="45" s="1"/>
  <c r="D1279" i="45"/>
  <c r="F1279" i="45" s="1"/>
  <c r="D1280" i="45"/>
  <c r="F1280" i="45" s="1"/>
  <c r="D1281" i="45"/>
  <c r="F1281" i="45" s="1"/>
  <c r="D1282" i="45"/>
  <c r="F1282" i="45" s="1"/>
  <c r="D1283" i="45"/>
  <c r="F1283" i="45" s="1"/>
  <c r="D1284" i="45"/>
  <c r="F1284" i="45" s="1"/>
  <c r="D1285" i="45"/>
  <c r="F1285" i="45" s="1"/>
  <c r="D1274" i="45"/>
  <c r="D777" i="22"/>
  <c r="D778" i="22"/>
  <c r="D779" i="22"/>
  <c r="D780" i="22"/>
  <c r="D781" i="22"/>
  <c r="E782" i="22"/>
  <c r="D784" i="22"/>
  <c r="D785" i="22"/>
  <c r="D786" i="22"/>
  <c r="D787" i="22"/>
  <c r="D788" i="22"/>
  <c r="E789" i="22"/>
  <c r="D1287" i="45"/>
  <c r="F1287" i="45" s="1"/>
  <c r="D1288" i="45"/>
  <c r="F1288" i="45" s="1"/>
  <c r="D1289" i="45"/>
  <c r="F1289" i="45" s="1"/>
  <c r="D1290" i="45"/>
  <c r="F1290" i="45" s="1"/>
  <c r="D1291" i="45"/>
  <c r="F1291" i="45" s="1"/>
  <c r="D1292" i="45"/>
  <c r="F1292" i="45" s="1"/>
  <c r="D1293" i="45"/>
  <c r="F1293" i="45" s="1"/>
  <c r="D1294" i="45"/>
  <c r="F1294" i="45" s="1"/>
  <c r="D1295" i="45"/>
  <c r="F1295" i="45" s="1"/>
  <c r="D1296" i="45"/>
  <c r="F1296" i="45" s="1"/>
  <c r="D1297" i="45"/>
  <c r="F1297" i="45" s="1"/>
  <c r="D1286" i="45"/>
  <c r="D1077" i="45"/>
  <c r="F1077" i="45" s="1"/>
  <c r="D1078" i="45"/>
  <c r="F1078" i="45" s="1"/>
  <c r="D1079" i="45"/>
  <c r="F1079" i="45" s="1"/>
  <c r="D1080" i="45"/>
  <c r="F1080" i="45" s="1"/>
  <c r="D1081" i="45"/>
  <c r="F1081" i="45" s="1"/>
  <c r="D1082" i="45"/>
  <c r="F1082" i="45" s="1"/>
  <c r="D1083" i="45"/>
  <c r="F1083" i="45" s="1"/>
  <c r="D1084" i="45"/>
  <c r="F1084" i="45" s="1"/>
  <c r="D1085" i="45"/>
  <c r="F1085" i="45" s="1"/>
  <c r="D1086" i="45"/>
  <c r="F1086" i="45" s="1"/>
  <c r="D1087" i="45"/>
  <c r="F1087" i="45" s="1"/>
  <c r="D1076" i="45"/>
  <c r="D1089" i="45"/>
  <c r="F1089" i="45" s="1"/>
  <c r="D1090" i="45"/>
  <c r="F1090" i="45" s="1"/>
  <c r="D1091" i="45"/>
  <c r="F1091" i="45" s="1"/>
  <c r="D1092" i="45"/>
  <c r="F1092" i="45" s="1"/>
  <c r="D1093" i="45"/>
  <c r="F1093" i="45" s="1"/>
  <c r="D1094" i="45"/>
  <c r="F1094" i="45" s="1"/>
  <c r="D1095" i="45"/>
  <c r="F1095" i="45" s="1"/>
  <c r="D1096" i="45"/>
  <c r="F1096" i="45" s="1"/>
  <c r="D1097" i="45"/>
  <c r="F1097" i="45" s="1"/>
  <c r="D1098" i="45"/>
  <c r="F1098" i="45" s="1"/>
  <c r="D1099" i="45"/>
  <c r="F1099" i="45" s="1"/>
  <c r="D1088" i="45"/>
  <c r="D651" i="22"/>
  <c r="D652" i="22"/>
  <c r="D653" i="22"/>
  <c r="D654" i="22"/>
  <c r="E655" i="22"/>
  <c r="D1116" i="45"/>
  <c r="F1116" i="45" s="1"/>
  <c r="D1117" i="45"/>
  <c r="F1117" i="45" s="1"/>
  <c r="D1118" i="45"/>
  <c r="F1118" i="45" s="1"/>
  <c r="D1119" i="45"/>
  <c r="F1119" i="45" s="1"/>
  <c r="D1120" i="45"/>
  <c r="F1120" i="45" s="1"/>
  <c r="D1121" i="45"/>
  <c r="F1121" i="45" s="1"/>
  <c r="D1122" i="45"/>
  <c r="F1122" i="45" s="1"/>
  <c r="D1123" i="45"/>
  <c r="F1123" i="45" s="1"/>
  <c r="D1124" i="45"/>
  <c r="F1124" i="45" s="1"/>
  <c r="D1125" i="45"/>
  <c r="F1125" i="45" s="1"/>
  <c r="D1126" i="45"/>
  <c r="F1126" i="45" s="1"/>
  <c r="D1115" i="45"/>
  <c r="D1128" i="45"/>
  <c r="F1128" i="45" s="1"/>
  <c r="D1129" i="45"/>
  <c r="F1129" i="45" s="1"/>
  <c r="D1130" i="45"/>
  <c r="F1130" i="45" s="1"/>
  <c r="D1131" i="45"/>
  <c r="F1131" i="45" s="1"/>
  <c r="D1132" i="45"/>
  <c r="F1132" i="45" s="1"/>
  <c r="D1133" i="45"/>
  <c r="F1133" i="45" s="1"/>
  <c r="D1134" i="45"/>
  <c r="F1134" i="45" s="1"/>
  <c r="D1135" i="45"/>
  <c r="F1135" i="45" s="1"/>
  <c r="D1136" i="45"/>
  <c r="F1136" i="45" s="1"/>
  <c r="D1137" i="45"/>
  <c r="F1137" i="45" s="1"/>
  <c r="D1138" i="45"/>
  <c r="F1138" i="45" s="1"/>
  <c r="D1127" i="45"/>
  <c r="D672" i="22"/>
  <c r="D673" i="22"/>
  <c r="D674" i="22"/>
  <c r="D675" i="22"/>
  <c r="E676" i="22"/>
  <c r="D1002" i="45"/>
  <c r="F1002" i="45" s="1"/>
  <c r="D1003" i="45"/>
  <c r="F1003" i="45" s="1"/>
  <c r="D1004" i="45"/>
  <c r="F1004" i="45" s="1"/>
  <c r="D1005" i="45"/>
  <c r="F1005" i="45" s="1"/>
  <c r="D1006" i="45"/>
  <c r="F1006" i="45" s="1"/>
  <c r="D1007" i="45"/>
  <c r="F1007" i="45" s="1"/>
  <c r="D1008" i="45"/>
  <c r="F1008" i="45" s="1"/>
  <c r="D1009" i="45"/>
  <c r="F1009" i="45" s="1"/>
  <c r="D1010" i="45"/>
  <c r="F1010" i="45" s="1"/>
  <c r="D1011" i="45"/>
  <c r="F1011" i="45" s="1"/>
  <c r="D1012" i="45"/>
  <c r="F1012" i="45" s="1"/>
  <c r="D1001" i="45"/>
  <c r="D1014" i="45"/>
  <c r="F1014" i="45" s="1"/>
  <c r="D1015" i="45"/>
  <c r="F1015" i="45" s="1"/>
  <c r="D1016" i="45"/>
  <c r="F1016" i="45" s="1"/>
  <c r="D1017" i="45"/>
  <c r="F1017" i="45" s="1"/>
  <c r="D1018" i="45"/>
  <c r="F1018" i="45" s="1"/>
  <c r="D1019" i="45"/>
  <c r="F1019" i="45" s="1"/>
  <c r="D1020" i="45"/>
  <c r="F1020" i="45" s="1"/>
  <c r="D1021" i="45"/>
  <c r="F1021" i="45" s="1"/>
  <c r="D1022" i="45"/>
  <c r="F1022" i="45" s="1"/>
  <c r="D1023" i="45"/>
  <c r="F1023" i="45" s="1"/>
  <c r="D1024" i="45"/>
  <c r="F1024" i="45" s="1"/>
  <c r="D1013" i="45"/>
  <c r="D1026" i="45"/>
  <c r="F1026" i="45" s="1"/>
  <c r="D1027" i="45"/>
  <c r="F1027" i="45" s="1"/>
  <c r="D1028" i="45"/>
  <c r="F1028" i="45" s="1"/>
  <c r="D1029" i="45"/>
  <c r="F1029" i="45" s="1"/>
  <c r="D1030" i="45"/>
  <c r="F1030" i="45" s="1"/>
  <c r="D1031" i="45"/>
  <c r="F1031" i="45" s="1"/>
  <c r="D1032" i="45"/>
  <c r="F1032" i="45" s="1"/>
  <c r="D1033" i="45"/>
  <c r="F1033" i="45" s="1"/>
  <c r="D1034" i="45"/>
  <c r="F1034" i="45" s="1"/>
  <c r="D1035" i="45"/>
  <c r="F1035" i="45" s="1"/>
  <c r="D1036" i="45"/>
  <c r="F1036" i="45" s="1"/>
  <c r="D1025" i="45"/>
  <c r="D1050" i="45"/>
  <c r="F1050" i="45" s="1"/>
  <c r="D1051" i="45"/>
  <c r="F1051" i="45" s="1"/>
  <c r="D1052" i="45"/>
  <c r="F1052" i="45" s="1"/>
  <c r="D1053" i="45"/>
  <c r="F1053" i="45" s="1"/>
  <c r="D1054" i="45"/>
  <c r="F1054" i="45" s="1"/>
  <c r="D1055" i="45"/>
  <c r="F1055" i="45" s="1"/>
  <c r="D1056" i="45"/>
  <c r="F1056" i="45" s="1"/>
  <c r="D1057" i="45"/>
  <c r="F1057" i="45" s="1"/>
  <c r="D1058" i="45"/>
  <c r="F1058" i="45" s="1"/>
  <c r="D1059" i="45"/>
  <c r="F1059" i="45" s="1"/>
  <c r="D1060" i="45"/>
  <c r="F1060" i="45" s="1"/>
  <c r="D1049" i="45"/>
  <c r="D1063" i="45"/>
  <c r="F1063" i="45" s="1"/>
  <c r="D1064" i="45"/>
  <c r="F1064" i="45" s="1"/>
  <c r="D1065" i="45"/>
  <c r="F1065" i="45" s="1"/>
  <c r="D1066" i="45"/>
  <c r="F1066" i="45" s="1"/>
  <c r="D1067" i="45"/>
  <c r="F1067" i="45" s="1"/>
  <c r="D1068" i="45"/>
  <c r="F1068" i="45" s="1"/>
  <c r="D1069" i="45"/>
  <c r="F1069" i="45" s="1"/>
  <c r="D1070" i="45"/>
  <c r="F1070" i="45" s="1"/>
  <c r="D1071" i="45"/>
  <c r="F1071" i="45" s="1"/>
  <c r="D1072" i="45"/>
  <c r="F1072" i="45" s="1"/>
  <c r="D1073" i="45"/>
  <c r="F1073" i="45" s="1"/>
  <c r="D1062" i="45"/>
  <c r="D1038" i="45"/>
  <c r="F1038" i="45" s="1"/>
  <c r="D1039" i="45"/>
  <c r="F1039" i="45" s="1"/>
  <c r="D1040" i="45"/>
  <c r="F1040" i="45" s="1"/>
  <c r="D1041" i="45"/>
  <c r="F1041" i="45" s="1"/>
  <c r="D1042" i="45"/>
  <c r="F1042" i="45" s="1"/>
  <c r="D1043" i="45"/>
  <c r="F1043" i="45" s="1"/>
  <c r="D1044" i="45"/>
  <c r="F1044" i="45" s="1"/>
  <c r="D1045" i="45"/>
  <c r="F1045" i="45" s="1"/>
  <c r="D1046" i="45"/>
  <c r="F1046" i="45" s="1"/>
  <c r="D1047" i="45"/>
  <c r="F1047" i="45" s="1"/>
  <c r="D1048" i="45"/>
  <c r="F1048" i="45" s="1"/>
  <c r="D1037" i="45"/>
  <c r="D574" i="22"/>
  <c r="D575" i="22"/>
  <c r="D576" i="22"/>
  <c r="D577" i="22"/>
  <c r="E578" i="22"/>
  <c r="D555" i="22"/>
  <c r="D556" i="22"/>
  <c r="D557" i="22"/>
  <c r="D558" i="22"/>
  <c r="E559" i="22"/>
  <c r="D918" i="45"/>
  <c r="F918" i="45" s="1"/>
  <c r="D919" i="45"/>
  <c r="F919" i="45" s="1"/>
  <c r="D920" i="45"/>
  <c r="F920" i="45" s="1"/>
  <c r="D921" i="45"/>
  <c r="F921" i="45" s="1"/>
  <c r="D922" i="45"/>
  <c r="F922" i="45" s="1"/>
  <c r="D923" i="45"/>
  <c r="F923" i="45" s="1"/>
  <c r="D924" i="45"/>
  <c r="F924" i="45" s="1"/>
  <c r="D925" i="45"/>
  <c r="F925" i="45" s="1"/>
  <c r="D926" i="45"/>
  <c r="F926" i="45" s="1"/>
  <c r="D927" i="45"/>
  <c r="F927" i="45" s="1"/>
  <c r="D928" i="45"/>
  <c r="F928" i="45" s="1"/>
  <c r="D917" i="45"/>
  <c r="D893" i="45"/>
  <c r="F893" i="45" s="1"/>
  <c r="D894" i="45"/>
  <c r="F894" i="45" s="1"/>
  <c r="D895" i="45"/>
  <c r="F895" i="45" s="1"/>
  <c r="D896" i="45"/>
  <c r="F896" i="45" s="1"/>
  <c r="D897" i="45"/>
  <c r="F897" i="45" s="1"/>
  <c r="D898" i="45"/>
  <c r="F898" i="45" s="1"/>
  <c r="D899" i="45"/>
  <c r="F899" i="45" s="1"/>
  <c r="D900" i="45"/>
  <c r="F900" i="45" s="1"/>
  <c r="D901" i="45"/>
  <c r="F901" i="45" s="1"/>
  <c r="D902" i="45"/>
  <c r="F902" i="45" s="1"/>
  <c r="D903" i="45"/>
  <c r="F903" i="45" s="1"/>
  <c r="D892" i="45"/>
  <c r="D542" i="22"/>
  <c r="D543" i="22"/>
  <c r="D544" i="22"/>
  <c r="D545" i="22"/>
  <c r="E546" i="22"/>
  <c r="D905" i="45"/>
  <c r="F905" i="45" s="1"/>
  <c r="D906" i="45"/>
  <c r="F906" i="45" s="1"/>
  <c r="D907" i="45"/>
  <c r="F907" i="45" s="1"/>
  <c r="D908" i="45"/>
  <c r="F908" i="45" s="1"/>
  <c r="D909" i="45"/>
  <c r="F909" i="45" s="1"/>
  <c r="D910" i="45"/>
  <c r="F910" i="45" s="1"/>
  <c r="D911" i="45"/>
  <c r="F911" i="45" s="1"/>
  <c r="D912" i="45"/>
  <c r="F912" i="45" s="1"/>
  <c r="D913" i="45"/>
  <c r="F913" i="45" s="1"/>
  <c r="D914" i="45"/>
  <c r="F914" i="45" s="1"/>
  <c r="D915" i="45"/>
  <c r="F915" i="45" s="1"/>
  <c r="D904" i="45"/>
  <c r="D548" i="22"/>
  <c r="D549" i="22"/>
  <c r="D550" i="22"/>
  <c r="D551" i="22"/>
  <c r="E552" i="22"/>
  <c r="D414" i="22"/>
  <c r="D415" i="22"/>
  <c r="D416" i="22"/>
  <c r="D417" i="22"/>
  <c r="E418" i="22"/>
  <c r="D420" i="22"/>
  <c r="D421" i="22"/>
  <c r="D422" i="22"/>
  <c r="D423" i="22"/>
  <c r="E424" i="22"/>
  <c r="D426" i="22"/>
  <c r="D427" i="22"/>
  <c r="D428" i="22"/>
  <c r="D429" i="22"/>
  <c r="E430" i="22"/>
  <c r="D701" i="45"/>
  <c r="F701" i="45" s="1"/>
  <c r="D702" i="45"/>
  <c r="F702" i="45" s="1"/>
  <c r="D703" i="45"/>
  <c r="F703" i="45" s="1"/>
  <c r="D704" i="45"/>
  <c r="F704" i="45" s="1"/>
  <c r="D705" i="45"/>
  <c r="F705" i="45" s="1"/>
  <c r="D706" i="45"/>
  <c r="F706" i="45" s="1"/>
  <c r="D707" i="45"/>
  <c r="F707" i="45" s="1"/>
  <c r="D708" i="45"/>
  <c r="F708" i="45" s="1"/>
  <c r="D709" i="45"/>
  <c r="F709" i="45" s="1"/>
  <c r="D710" i="45"/>
  <c r="F710" i="45" s="1"/>
  <c r="D711" i="45"/>
  <c r="F711" i="45" s="1"/>
  <c r="D700" i="45"/>
  <c r="D713" i="45"/>
  <c r="F713" i="45" s="1"/>
  <c r="D714" i="45"/>
  <c r="F714" i="45" s="1"/>
  <c r="D715" i="45"/>
  <c r="F715" i="45" s="1"/>
  <c r="D716" i="45"/>
  <c r="F716" i="45" s="1"/>
  <c r="D717" i="45"/>
  <c r="F717" i="45" s="1"/>
  <c r="D718" i="45"/>
  <c r="F718" i="45" s="1"/>
  <c r="D719" i="45"/>
  <c r="F719" i="45" s="1"/>
  <c r="D720" i="45"/>
  <c r="F720" i="45" s="1"/>
  <c r="D721" i="45"/>
  <c r="F721" i="45" s="1"/>
  <c r="D722" i="45"/>
  <c r="F722" i="45" s="1"/>
  <c r="D723" i="45"/>
  <c r="F723" i="45" s="1"/>
  <c r="D712" i="45"/>
  <c r="D725" i="45"/>
  <c r="F725" i="45" s="1"/>
  <c r="D726" i="45"/>
  <c r="F726" i="45" s="1"/>
  <c r="D727" i="45"/>
  <c r="F727" i="45" s="1"/>
  <c r="D728" i="45"/>
  <c r="F728" i="45" s="1"/>
  <c r="D729" i="45"/>
  <c r="F729" i="45" s="1"/>
  <c r="D730" i="45"/>
  <c r="F730" i="45" s="1"/>
  <c r="D731" i="45"/>
  <c r="F731" i="45" s="1"/>
  <c r="D732" i="45"/>
  <c r="F732" i="45" s="1"/>
  <c r="D733" i="45"/>
  <c r="F733" i="45" s="1"/>
  <c r="D734" i="45"/>
  <c r="F734" i="45" s="1"/>
  <c r="D735" i="45"/>
  <c r="F735" i="45" s="1"/>
  <c r="D724" i="45"/>
  <c r="D380" i="22"/>
  <c r="D381" i="22"/>
  <c r="D382" i="22"/>
  <c r="D383" i="22"/>
  <c r="E384" i="22"/>
  <c r="D386" i="22"/>
  <c r="D387" i="22"/>
  <c r="D388" i="22"/>
  <c r="D389" i="22"/>
  <c r="E390" i="22"/>
  <c r="D637" i="45"/>
  <c r="F637" i="45" s="1"/>
  <c r="D638" i="45"/>
  <c r="F638" i="45" s="1"/>
  <c r="D639" i="45"/>
  <c r="F639" i="45" s="1"/>
  <c r="D640" i="45"/>
  <c r="F640" i="45" s="1"/>
  <c r="D641" i="45"/>
  <c r="F641" i="45" s="1"/>
  <c r="D642" i="45"/>
  <c r="F642" i="45" s="1"/>
  <c r="D643" i="45"/>
  <c r="F643" i="45" s="1"/>
  <c r="D644" i="45"/>
  <c r="F644" i="45" s="1"/>
  <c r="D645" i="45"/>
  <c r="F645" i="45" s="1"/>
  <c r="D646" i="45"/>
  <c r="F646" i="45" s="1"/>
  <c r="D647" i="45"/>
  <c r="F647" i="45" s="1"/>
  <c r="D636" i="45"/>
  <c r="D649" i="45"/>
  <c r="F649" i="45" s="1"/>
  <c r="D650" i="45"/>
  <c r="F650" i="45" s="1"/>
  <c r="D651" i="45"/>
  <c r="F651" i="45" s="1"/>
  <c r="D652" i="45"/>
  <c r="F652" i="45" s="1"/>
  <c r="D653" i="45"/>
  <c r="F653" i="45" s="1"/>
  <c r="D654" i="45"/>
  <c r="F654" i="45" s="1"/>
  <c r="D655" i="45"/>
  <c r="F655" i="45" s="1"/>
  <c r="D656" i="45"/>
  <c r="F656" i="45" s="1"/>
  <c r="D657" i="45"/>
  <c r="F657" i="45" s="1"/>
  <c r="D658" i="45"/>
  <c r="F658" i="45" s="1"/>
  <c r="D659" i="45"/>
  <c r="F659" i="45" s="1"/>
  <c r="D648" i="45"/>
  <c r="D302" i="22"/>
  <c r="D303" i="22"/>
  <c r="D304" i="22"/>
  <c r="D305" i="22"/>
  <c r="E306" i="22"/>
  <c r="D308" i="22"/>
  <c r="D309" i="22"/>
  <c r="D310" i="22"/>
  <c r="D311" i="22"/>
  <c r="E312" i="22"/>
  <c r="D494" i="45"/>
  <c r="F494" i="45" s="1"/>
  <c r="D495" i="45"/>
  <c r="F495" i="45" s="1"/>
  <c r="D496" i="45"/>
  <c r="F496" i="45" s="1"/>
  <c r="D497" i="45"/>
  <c r="F497" i="45" s="1"/>
  <c r="D498" i="45"/>
  <c r="F498" i="45" s="1"/>
  <c r="D499" i="45"/>
  <c r="F499" i="45" s="1"/>
  <c r="D500" i="45"/>
  <c r="F500" i="45" s="1"/>
  <c r="D501" i="45"/>
  <c r="F501" i="45" s="1"/>
  <c r="D502" i="45"/>
  <c r="F502" i="45" s="1"/>
  <c r="D503" i="45"/>
  <c r="F503" i="45" s="1"/>
  <c r="D504" i="45"/>
  <c r="F504" i="45" s="1"/>
  <c r="D493" i="45"/>
  <c r="D506" i="45"/>
  <c r="F506" i="45" s="1"/>
  <c r="D507" i="45"/>
  <c r="F507" i="45" s="1"/>
  <c r="D508" i="45"/>
  <c r="F508" i="45" s="1"/>
  <c r="D509" i="45"/>
  <c r="F509" i="45" s="1"/>
  <c r="D510" i="45"/>
  <c r="F510" i="45" s="1"/>
  <c r="D511" i="45"/>
  <c r="F511" i="45" s="1"/>
  <c r="D512" i="45"/>
  <c r="F512" i="45" s="1"/>
  <c r="D513" i="45"/>
  <c r="F513" i="45" s="1"/>
  <c r="D514" i="45"/>
  <c r="F514" i="45" s="1"/>
  <c r="D515" i="45"/>
  <c r="F515" i="45" s="1"/>
  <c r="D516" i="45"/>
  <c r="F516" i="45" s="1"/>
  <c r="D505" i="45"/>
  <c r="D292" i="22"/>
  <c r="D293" i="22"/>
  <c r="D294" i="22"/>
  <c r="D295" i="22"/>
  <c r="D296" i="22"/>
  <c r="E297" i="22"/>
  <c r="D479" i="45"/>
  <c r="F479" i="45" s="1"/>
  <c r="D480" i="45"/>
  <c r="F480" i="45" s="1"/>
  <c r="D481" i="45"/>
  <c r="F481" i="45" s="1"/>
  <c r="D482" i="45"/>
  <c r="F482" i="45" s="1"/>
  <c r="D483" i="45"/>
  <c r="F483" i="45" s="1"/>
  <c r="D484" i="45"/>
  <c r="F484" i="45" s="1"/>
  <c r="D485" i="45"/>
  <c r="F485" i="45" s="1"/>
  <c r="D486" i="45"/>
  <c r="F486" i="45" s="1"/>
  <c r="D487" i="45"/>
  <c r="F487" i="45" s="1"/>
  <c r="D488" i="45"/>
  <c r="F488" i="45" s="1"/>
  <c r="D489" i="45"/>
  <c r="F489" i="45" s="1"/>
  <c r="D478" i="45"/>
  <c r="D270" i="22"/>
  <c r="D271" i="22"/>
  <c r="D272" i="22"/>
  <c r="D273" i="22"/>
  <c r="E274" i="22"/>
  <c r="D276" i="22"/>
  <c r="D277" i="22"/>
  <c r="D278" i="22"/>
  <c r="D279" i="22"/>
  <c r="E280" i="22"/>
  <c r="D440" i="45"/>
  <c r="F440" i="45" s="1"/>
  <c r="D441" i="45"/>
  <c r="F441" i="45" s="1"/>
  <c r="D442" i="45"/>
  <c r="F442" i="45" s="1"/>
  <c r="D443" i="45"/>
  <c r="F443" i="45" s="1"/>
  <c r="D444" i="45"/>
  <c r="F444" i="45" s="1"/>
  <c r="D445" i="45"/>
  <c r="F445" i="45" s="1"/>
  <c r="D446" i="45"/>
  <c r="F446" i="45" s="1"/>
  <c r="D447" i="45"/>
  <c r="F447" i="45" s="1"/>
  <c r="D448" i="45"/>
  <c r="F448" i="45" s="1"/>
  <c r="D449" i="45"/>
  <c r="F449" i="45" s="1"/>
  <c r="D450" i="45"/>
  <c r="F450" i="45" s="1"/>
  <c r="D439" i="45"/>
  <c r="D452" i="45"/>
  <c r="F452" i="45" s="1"/>
  <c r="D453" i="45"/>
  <c r="F453" i="45" s="1"/>
  <c r="D454" i="45"/>
  <c r="F454" i="45" s="1"/>
  <c r="D455" i="45"/>
  <c r="F455" i="45" s="1"/>
  <c r="D456" i="45"/>
  <c r="F456" i="45" s="1"/>
  <c r="D457" i="45"/>
  <c r="F457" i="45" s="1"/>
  <c r="D458" i="45"/>
  <c r="F458" i="45" s="1"/>
  <c r="D459" i="45"/>
  <c r="F459" i="45" s="1"/>
  <c r="D460" i="45"/>
  <c r="F460" i="45" s="1"/>
  <c r="D461" i="45"/>
  <c r="F461" i="45" s="1"/>
  <c r="D462" i="45"/>
  <c r="F462" i="45" s="1"/>
  <c r="D451" i="45"/>
  <c r="D231" i="22"/>
  <c r="D232" i="22"/>
  <c r="D233" i="22"/>
  <c r="D234" i="22"/>
  <c r="E235" i="22"/>
  <c r="D395" i="45"/>
  <c r="F395" i="45" s="1"/>
  <c r="D396" i="45"/>
  <c r="F396" i="45" s="1"/>
  <c r="D397" i="45"/>
  <c r="F397" i="45" s="1"/>
  <c r="D398" i="45"/>
  <c r="F398" i="45" s="1"/>
  <c r="D399" i="45"/>
  <c r="F399" i="45" s="1"/>
  <c r="D400" i="45"/>
  <c r="F400" i="45" s="1"/>
  <c r="D401" i="45"/>
  <c r="F401" i="45" s="1"/>
  <c r="D402" i="45"/>
  <c r="F402" i="45" s="1"/>
  <c r="D403" i="45"/>
  <c r="F403" i="45" s="1"/>
  <c r="D404" i="45"/>
  <c r="F404" i="45" s="1"/>
  <c r="D405" i="45"/>
  <c r="F405" i="45" s="1"/>
  <c r="D394" i="45"/>
  <c r="D166" i="22"/>
  <c r="D167" i="22"/>
  <c r="D168" i="22"/>
  <c r="D169" i="22"/>
  <c r="E170" i="22"/>
  <c r="D170" i="45"/>
  <c r="F170" i="45" s="1"/>
  <c r="D171" i="45"/>
  <c r="F171" i="45" s="1"/>
  <c r="D172" i="45"/>
  <c r="F172" i="45" s="1"/>
  <c r="D173" i="45"/>
  <c r="F173" i="45" s="1"/>
  <c r="D174" i="45"/>
  <c r="F174" i="45" s="1"/>
  <c r="D175" i="45"/>
  <c r="F175" i="45" s="1"/>
  <c r="D176" i="45"/>
  <c r="F176" i="45" s="1"/>
  <c r="D177" i="45"/>
  <c r="F177" i="45" s="1"/>
  <c r="D178" i="45"/>
  <c r="F178" i="45" s="1"/>
  <c r="D179" i="45"/>
  <c r="F179" i="45" s="1"/>
  <c r="D180" i="45"/>
  <c r="F180" i="45" s="1"/>
  <c r="D169" i="45"/>
  <c r="D108" i="22"/>
  <c r="D109" i="22"/>
  <c r="D110" i="22"/>
  <c r="D111" i="22"/>
  <c r="E112" i="22"/>
  <c r="D182" i="45"/>
  <c r="F182" i="45" s="1"/>
  <c r="D183" i="45"/>
  <c r="F183" i="45" s="1"/>
  <c r="D184" i="45"/>
  <c r="F184" i="45" s="1"/>
  <c r="D185" i="45"/>
  <c r="F185" i="45" s="1"/>
  <c r="D186" i="45"/>
  <c r="F186" i="45" s="1"/>
  <c r="D187" i="45"/>
  <c r="F187" i="45" s="1"/>
  <c r="D188" i="45"/>
  <c r="F188" i="45" s="1"/>
  <c r="D189" i="45"/>
  <c r="F189" i="45" s="1"/>
  <c r="D190" i="45"/>
  <c r="F190" i="45" s="1"/>
  <c r="D191" i="45"/>
  <c r="F191" i="45" s="1"/>
  <c r="D192" i="45"/>
  <c r="F192" i="45" s="1"/>
  <c r="D181" i="45"/>
  <c r="D114" i="22"/>
  <c r="D115" i="22"/>
  <c r="D116" i="22"/>
  <c r="D117" i="22"/>
  <c r="E118" i="22"/>
  <c r="D57" i="45"/>
  <c r="F57" i="45" s="1"/>
  <c r="D58" i="45"/>
  <c r="F58" i="45" s="1"/>
  <c r="D59" i="45"/>
  <c r="F59" i="45" s="1"/>
  <c r="D60" i="45"/>
  <c r="F60" i="45" s="1"/>
  <c r="D61" i="45"/>
  <c r="F61" i="45" s="1"/>
  <c r="D62" i="45"/>
  <c r="F62" i="45" s="1"/>
  <c r="D63" i="45"/>
  <c r="F63" i="45" s="1"/>
  <c r="D64" i="45"/>
  <c r="F64" i="45" s="1"/>
  <c r="D65" i="45"/>
  <c r="F65" i="45" s="1"/>
  <c r="D66" i="45"/>
  <c r="F66" i="45" s="1"/>
  <c r="D67" i="45"/>
  <c r="F67" i="45" s="1"/>
  <c r="D56" i="45"/>
  <c r="D69" i="45"/>
  <c r="F69" i="45" s="1"/>
  <c r="D70" i="45"/>
  <c r="F70" i="45" s="1"/>
  <c r="D71" i="45"/>
  <c r="F71" i="45" s="1"/>
  <c r="D72" i="45"/>
  <c r="F72" i="45" s="1"/>
  <c r="D73" i="45"/>
  <c r="F73" i="45" s="1"/>
  <c r="D74" i="45"/>
  <c r="F74" i="45" s="1"/>
  <c r="D75" i="45"/>
  <c r="F75" i="45" s="1"/>
  <c r="D76" i="45"/>
  <c r="F76" i="45" s="1"/>
  <c r="D77" i="45"/>
  <c r="F77" i="45" s="1"/>
  <c r="D78" i="45"/>
  <c r="F78" i="45" s="1"/>
  <c r="D79" i="45"/>
  <c r="F79" i="45" s="1"/>
  <c r="D68" i="45"/>
  <c r="D1327" i="45"/>
  <c r="F1327" i="45" s="1"/>
  <c r="D1328" i="45"/>
  <c r="F1328" i="45" s="1"/>
  <c r="D1329" i="45"/>
  <c r="F1329" i="45" s="1"/>
  <c r="D1330" i="45"/>
  <c r="F1330" i="45" s="1"/>
  <c r="D1331" i="45"/>
  <c r="F1331" i="45" s="1"/>
  <c r="D1332" i="45"/>
  <c r="F1332" i="45" s="1"/>
  <c r="D1333" i="45"/>
  <c r="F1333" i="45" s="1"/>
  <c r="D1334" i="45"/>
  <c r="F1334" i="45" s="1"/>
  <c r="D1335" i="45"/>
  <c r="F1335" i="45" s="1"/>
  <c r="D1336" i="45"/>
  <c r="F1336" i="45" s="1"/>
  <c r="D1337" i="45"/>
  <c r="F1337" i="45" s="1"/>
  <c r="D1326" i="45"/>
  <c r="D809" i="22"/>
  <c r="D810" i="22"/>
  <c r="D811" i="22"/>
  <c r="D812" i="22"/>
  <c r="E813" i="22"/>
  <c r="D1260" i="45"/>
  <c r="F1260" i="45" s="1"/>
  <c r="D1261" i="45"/>
  <c r="F1261" i="45" s="1"/>
  <c r="D1262" i="45"/>
  <c r="F1262" i="45" s="1"/>
  <c r="D1263" i="45"/>
  <c r="F1263" i="45" s="1"/>
  <c r="D1264" i="45"/>
  <c r="F1264" i="45" s="1"/>
  <c r="D1265" i="45"/>
  <c r="F1265" i="45" s="1"/>
  <c r="D1266" i="45"/>
  <c r="F1266" i="45" s="1"/>
  <c r="D1267" i="45"/>
  <c r="F1267" i="45" s="1"/>
  <c r="D1268" i="45"/>
  <c r="F1268" i="45" s="1"/>
  <c r="D1269" i="45"/>
  <c r="F1269" i="45" s="1"/>
  <c r="D1270" i="45"/>
  <c r="F1270" i="45" s="1"/>
  <c r="D1259" i="45"/>
  <c r="D768" i="22"/>
  <c r="D769" i="22"/>
  <c r="D770" i="22"/>
  <c r="D771" i="22"/>
  <c r="E772" i="22"/>
  <c r="D605" i="22"/>
  <c r="D606" i="22"/>
  <c r="D607" i="22"/>
  <c r="D608" i="22"/>
  <c r="E609" i="22"/>
  <c r="D989" i="45"/>
  <c r="F989" i="45" s="1"/>
  <c r="D990" i="45"/>
  <c r="F990" i="45" s="1"/>
  <c r="D991" i="45"/>
  <c r="F991" i="45" s="1"/>
  <c r="D992" i="45"/>
  <c r="F992" i="45" s="1"/>
  <c r="D993" i="45"/>
  <c r="F993" i="45" s="1"/>
  <c r="D994" i="45"/>
  <c r="F994" i="45" s="1"/>
  <c r="D995" i="45"/>
  <c r="F995" i="45" s="1"/>
  <c r="D996" i="45"/>
  <c r="F996" i="45" s="1"/>
  <c r="D997" i="45"/>
  <c r="F997" i="45" s="1"/>
  <c r="D998" i="45"/>
  <c r="F998" i="45" s="1"/>
  <c r="D999" i="45"/>
  <c r="F999" i="45" s="1"/>
  <c r="D988" i="45"/>
  <c r="D596" i="22"/>
  <c r="D597" i="22"/>
  <c r="D598" i="22"/>
  <c r="D599" i="22"/>
  <c r="E600" i="22"/>
  <c r="D586" i="45"/>
  <c r="F586" i="45" s="1"/>
  <c r="D587" i="45"/>
  <c r="F587" i="45" s="1"/>
  <c r="D588" i="45"/>
  <c r="F588" i="45" s="1"/>
  <c r="D589" i="45"/>
  <c r="F589" i="45" s="1"/>
  <c r="D590" i="45"/>
  <c r="F590" i="45" s="1"/>
  <c r="D591" i="45"/>
  <c r="F591" i="45" s="1"/>
  <c r="D592" i="45"/>
  <c r="F592" i="45" s="1"/>
  <c r="D593" i="45"/>
  <c r="F593" i="45" s="1"/>
  <c r="D594" i="45"/>
  <c r="F594" i="45" s="1"/>
  <c r="D595" i="45"/>
  <c r="F595" i="45" s="1"/>
  <c r="D596" i="45"/>
  <c r="F596" i="45" s="1"/>
  <c r="D585" i="45"/>
  <c r="D352" i="22"/>
  <c r="D353" i="22"/>
  <c r="D354" i="22"/>
  <c r="D355" i="22"/>
  <c r="E356" i="22"/>
  <c r="D518" i="45"/>
  <c r="F518" i="45" s="1"/>
  <c r="D519" i="45"/>
  <c r="F519" i="45" s="1"/>
  <c r="D520" i="45"/>
  <c r="F520" i="45" s="1"/>
  <c r="D521" i="45"/>
  <c r="F521" i="45" s="1"/>
  <c r="D522" i="45"/>
  <c r="F522" i="45" s="1"/>
  <c r="D523" i="45"/>
  <c r="F523" i="45" s="1"/>
  <c r="D524" i="45"/>
  <c r="F524" i="45" s="1"/>
  <c r="D525" i="45"/>
  <c r="F525" i="45" s="1"/>
  <c r="D526" i="45"/>
  <c r="F526" i="45" s="1"/>
  <c r="D527" i="45"/>
  <c r="F527" i="45" s="1"/>
  <c r="D528" i="45"/>
  <c r="F528" i="45" s="1"/>
  <c r="D517" i="45"/>
  <c r="D314" i="22"/>
  <c r="D315" i="22"/>
  <c r="D316" i="22"/>
  <c r="D317" i="22"/>
  <c r="E318" i="22"/>
  <c r="D262" i="45"/>
  <c r="F262" i="45" s="1"/>
  <c r="D263" i="45"/>
  <c r="F263" i="45" s="1"/>
  <c r="D264" i="45"/>
  <c r="F264" i="45" s="1"/>
  <c r="D265" i="45"/>
  <c r="F265" i="45" s="1"/>
  <c r="D266" i="45"/>
  <c r="F266" i="45" s="1"/>
  <c r="D267" i="45"/>
  <c r="F267" i="45" s="1"/>
  <c r="D268" i="45"/>
  <c r="F268" i="45" s="1"/>
  <c r="D269" i="45"/>
  <c r="F269" i="45" s="1"/>
  <c r="D270" i="45"/>
  <c r="F270" i="45" s="1"/>
  <c r="D271" i="45"/>
  <c r="F271" i="45" s="1"/>
  <c r="D272" i="45"/>
  <c r="F272" i="45" s="1"/>
  <c r="D261" i="45"/>
  <c r="D158" i="22"/>
  <c r="D159" i="22"/>
  <c r="D160" i="22"/>
  <c r="D161" i="22"/>
  <c r="E162" i="22"/>
  <c r="D222" i="45"/>
  <c r="F222" i="45" s="1"/>
  <c r="D223" i="45"/>
  <c r="F223" i="45" s="1"/>
  <c r="D224" i="45"/>
  <c r="F224" i="45" s="1"/>
  <c r="D225" i="45"/>
  <c r="F225" i="45" s="1"/>
  <c r="D226" i="45"/>
  <c r="F226" i="45" s="1"/>
  <c r="D227" i="45"/>
  <c r="F227" i="45" s="1"/>
  <c r="D228" i="45"/>
  <c r="F228" i="45" s="1"/>
  <c r="D229" i="45"/>
  <c r="F229" i="45" s="1"/>
  <c r="D230" i="45"/>
  <c r="F230" i="45" s="1"/>
  <c r="D231" i="45"/>
  <c r="F231" i="45" s="1"/>
  <c r="D232" i="45"/>
  <c r="F232" i="45" s="1"/>
  <c r="D221" i="45"/>
  <c r="D194" i="45"/>
  <c r="F194" i="45" s="1"/>
  <c r="D195" i="45"/>
  <c r="F195" i="45" s="1"/>
  <c r="D196" i="45"/>
  <c r="F196" i="45" s="1"/>
  <c r="D197" i="45"/>
  <c r="F197" i="45" s="1"/>
  <c r="D198" i="45"/>
  <c r="F198" i="45" s="1"/>
  <c r="D199" i="45"/>
  <c r="F199" i="45" s="1"/>
  <c r="D200" i="45"/>
  <c r="F200" i="45" s="1"/>
  <c r="D201" i="45"/>
  <c r="F201" i="45" s="1"/>
  <c r="D202" i="45"/>
  <c r="F202" i="45" s="1"/>
  <c r="D203" i="45"/>
  <c r="F203" i="45" s="1"/>
  <c r="D204" i="45"/>
  <c r="F204" i="45" s="1"/>
  <c r="D193" i="45"/>
  <c r="D120" i="22"/>
  <c r="D121" i="22"/>
  <c r="D122" i="22"/>
  <c r="D123" i="22"/>
  <c r="E124" i="22"/>
  <c r="D15" i="22"/>
  <c r="D16" i="22"/>
  <c r="D17" i="22"/>
  <c r="D18" i="22"/>
  <c r="E19" i="22"/>
  <c r="D19" i="45"/>
  <c r="F19" i="45" s="1"/>
  <c r="D20" i="45"/>
  <c r="F20" i="45" s="1"/>
  <c r="D21" i="45"/>
  <c r="F21" i="45" s="1"/>
  <c r="D22" i="45"/>
  <c r="F22" i="45" s="1"/>
  <c r="D23" i="45"/>
  <c r="F23" i="45" s="1"/>
  <c r="D24" i="45"/>
  <c r="F24" i="45" s="1"/>
  <c r="D25" i="45"/>
  <c r="F25" i="45" s="1"/>
  <c r="D26" i="45"/>
  <c r="F26" i="45" s="1"/>
  <c r="D27" i="45"/>
  <c r="F27" i="45" s="1"/>
  <c r="D28" i="45"/>
  <c r="F28" i="45" s="1"/>
  <c r="D29" i="45"/>
  <c r="F29" i="45" s="1"/>
  <c r="D18" i="45"/>
  <c r="D7" i="45"/>
  <c r="F7" i="45" s="1"/>
  <c r="D8" i="45"/>
  <c r="F8" i="45" s="1"/>
  <c r="D9" i="45"/>
  <c r="F9" i="45" s="1"/>
  <c r="D10" i="45"/>
  <c r="F10" i="45" s="1"/>
  <c r="D11" i="45"/>
  <c r="F11" i="45" s="1"/>
  <c r="D12" i="45"/>
  <c r="F12" i="45" s="1"/>
  <c r="D13" i="45"/>
  <c r="F13" i="45" s="1"/>
  <c r="D14" i="45"/>
  <c r="F14" i="45" s="1"/>
  <c r="D15" i="45"/>
  <c r="F15" i="45" s="1"/>
  <c r="D16" i="45"/>
  <c r="F16" i="45" s="1"/>
  <c r="D17" i="45"/>
  <c r="F17" i="45" s="1"/>
  <c r="D6" i="45"/>
  <c r="E11" i="22"/>
  <c r="B437" i="45"/>
  <c r="A437" i="45"/>
  <c r="B436" i="45"/>
  <c r="A436" i="45"/>
  <c r="B435" i="45"/>
  <c r="A435" i="45"/>
  <c r="B434" i="45"/>
  <c r="A434" i="45"/>
  <c r="B433" i="45"/>
  <c r="A433" i="45"/>
  <c r="B432" i="45"/>
  <c r="A432" i="45"/>
  <c r="B431" i="45"/>
  <c r="A431" i="45"/>
  <c r="B430" i="45"/>
  <c r="A430" i="45"/>
  <c r="B429" i="45"/>
  <c r="A429" i="45"/>
  <c r="B428" i="45"/>
  <c r="A428" i="45"/>
  <c r="B427" i="45"/>
  <c r="A427" i="45"/>
  <c r="B426" i="45"/>
  <c r="A426" i="45"/>
  <c r="B425" i="45"/>
  <c r="A425" i="45"/>
  <c r="B424" i="45"/>
  <c r="A424" i="45"/>
  <c r="B423" i="45"/>
  <c r="A423" i="45"/>
  <c r="B422" i="45"/>
  <c r="A422" i="45"/>
  <c r="B421" i="45"/>
  <c r="A421" i="45"/>
  <c r="B420" i="45"/>
  <c r="A420" i="45"/>
  <c r="B419" i="45"/>
  <c r="A419" i="45"/>
  <c r="B418" i="45"/>
  <c r="A418" i="45"/>
  <c r="B417" i="45"/>
  <c r="A417" i="45"/>
  <c r="B416" i="45"/>
  <c r="A416" i="45"/>
  <c r="B415" i="45"/>
  <c r="A415" i="45"/>
  <c r="B414" i="45"/>
  <c r="A414" i="45"/>
  <c r="B413" i="45"/>
  <c r="A413" i="45"/>
  <c r="B412" i="45"/>
  <c r="A412" i="45"/>
  <c r="B411" i="45"/>
  <c r="A411" i="45"/>
  <c r="B410" i="45"/>
  <c r="A410" i="45"/>
  <c r="B409" i="45"/>
  <c r="A409" i="45"/>
  <c r="B408" i="45"/>
  <c r="A408" i="45"/>
  <c r="B407" i="45"/>
  <c r="A407" i="45"/>
  <c r="B113" i="45"/>
  <c r="A113" i="45"/>
  <c r="B112" i="45"/>
  <c r="A112" i="45"/>
  <c r="B111" i="45"/>
  <c r="A111" i="45"/>
  <c r="B110" i="45"/>
  <c r="A110" i="45"/>
  <c r="B109" i="45"/>
  <c r="A109" i="45"/>
  <c r="B108" i="45"/>
  <c r="A108" i="45"/>
  <c r="B107" i="45"/>
  <c r="A107" i="45"/>
  <c r="B106" i="45"/>
  <c r="A106" i="45"/>
  <c r="B105" i="45"/>
  <c r="A105" i="45"/>
  <c r="B104" i="45"/>
  <c r="A104" i="45"/>
  <c r="B103" i="45"/>
  <c r="A103" i="45"/>
  <c r="B102" i="45"/>
  <c r="A102" i="45"/>
  <c r="B101" i="45"/>
  <c r="A101" i="45"/>
  <c r="B100" i="45"/>
  <c r="A100" i="45"/>
  <c r="B99" i="45"/>
  <c r="A99" i="45"/>
  <c r="B98" i="45"/>
  <c r="A98" i="45"/>
  <c r="B97" i="45"/>
  <c r="A97" i="45"/>
  <c r="B96" i="45"/>
  <c r="A96" i="45"/>
  <c r="B95" i="45"/>
  <c r="A95" i="45"/>
  <c r="B94" i="45"/>
  <c r="A94" i="45"/>
  <c r="B267" i="22"/>
  <c r="A267" i="22"/>
  <c r="B266" i="22"/>
  <c r="A266" i="22"/>
  <c r="B265" i="22"/>
  <c r="A265" i="22"/>
  <c r="B264" i="22"/>
  <c r="A264" i="22"/>
  <c r="B263" i="22"/>
  <c r="A263" i="22"/>
  <c r="B262" i="22"/>
  <c r="A262" i="22"/>
  <c r="B261" i="22"/>
  <c r="A261" i="22"/>
  <c r="B260" i="22"/>
  <c r="A260" i="22"/>
  <c r="B259" i="22"/>
  <c r="A259" i="22"/>
  <c r="B258" i="22"/>
  <c r="A258" i="22"/>
  <c r="B257" i="22"/>
  <c r="A257" i="22"/>
  <c r="B256" i="22"/>
  <c r="A256" i="22"/>
  <c r="B255" i="22"/>
  <c r="A255" i="22"/>
  <c r="B254" i="22"/>
  <c r="A254" i="22"/>
  <c r="B253" i="22"/>
  <c r="A253" i="22"/>
  <c r="B252" i="22"/>
  <c r="A252" i="22"/>
  <c r="B251" i="22"/>
  <c r="A251" i="22"/>
  <c r="B250" i="22"/>
  <c r="A250" i="22"/>
  <c r="B249" i="22"/>
  <c r="A249" i="22"/>
  <c r="B248" i="22"/>
  <c r="A248" i="22"/>
  <c r="B247" i="22"/>
  <c r="A247" i="22"/>
  <c r="B246" i="22"/>
  <c r="A246" i="22"/>
  <c r="B245" i="22"/>
  <c r="A245" i="22"/>
  <c r="B244" i="22"/>
  <c r="A244" i="22"/>
  <c r="B243" i="22"/>
  <c r="A243" i="22"/>
  <c r="B242" i="22"/>
  <c r="A242" i="22"/>
  <c r="B241" i="22"/>
  <c r="A241" i="22"/>
  <c r="B240" i="22"/>
  <c r="A240" i="22"/>
  <c r="B239" i="22"/>
  <c r="A239" i="22"/>
  <c r="B238" i="22"/>
  <c r="A238" i="22"/>
  <c r="B237" i="22"/>
  <c r="A237" i="22"/>
  <c r="B73" i="22"/>
  <c r="A73" i="22"/>
  <c r="B72" i="22"/>
  <c r="A72" i="22"/>
  <c r="B71" i="22"/>
  <c r="A71" i="22"/>
  <c r="B70" i="22"/>
  <c r="A70" i="22"/>
  <c r="B69" i="22"/>
  <c r="A69" i="22"/>
  <c r="B68" i="22"/>
  <c r="A68" i="22"/>
  <c r="B67" i="22"/>
  <c r="A67" i="22"/>
  <c r="B66" i="22"/>
  <c r="A66" i="22"/>
  <c r="B65" i="22"/>
  <c r="A65" i="22"/>
  <c r="B64" i="22"/>
  <c r="A64" i="22"/>
  <c r="B63" i="22"/>
  <c r="A63" i="22"/>
  <c r="B62" i="22"/>
  <c r="A62" i="22"/>
  <c r="B61" i="22"/>
  <c r="A61" i="22"/>
  <c r="B60" i="22"/>
  <c r="A60" i="22"/>
  <c r="B59" i="22"/>
  <c r="A59" i="22"/>
  <c r="B58" i="22"/>
  <c r="A58" i="22"/>
  <c r="B57" i="22"/>
  <c r="A57" i="22"/>
  <c r="B56" i="22"/>
  <c r="A56" i="22"/>
  <c r="B55" i="22"/>
  <c r="A55" i="22"/>
  <c r="B54" i="22"/>
  <c r="A54" i="22"/>
  <c r="E37" i="52"/>
  <c r="E36" i="52"/>
  <c r="E189" i="51"/>
  <c r="C1691" i="45"/>
  <c r="C1690" i="45"/>
  <c r="C1689" i="45"/>
  <c r="C1688" i="45"/>
  <c r="C1687" i="45"/>
  <c r="C1686" i="45"/>
  <c r="C1685" i="45"/>
  <c r="C1684" i="45"/>
  <c r="C1683" i="45"/>
  <c r="C1682" i="45"/>
  <c r="C1681" i="45"/>
  <c r="C1679" i="45"/>
  <c r="C1678" i="45"/>
  <c r="C1677" i="45"/>
  <c r="C1676" i="45"/>
  <c r="C1675" i="45"/>
  <c r="C1674" i="45"/>
  <c r="C1673" i="45"/>
  <c r="C1672" i="45"/>
  <c r="C1671" i="45"/>
  <c r="C1670" i="45"/>
  <c r="C1669" i="45"/>
  <c r="C1667" i="45"/>
  <c r="C1666" i="45"/>
  <c r="C1665" i="45"/>
  <c r="C1664" i="45"/>
  <c r="C1663" i="45"/>
  <c r="C1662" i="45"/>
  <c r="C1661" i="45"/>
  <c r="C1660" i="45"/>
  <c r="C1659" i="45"/>
  <c r="C1658" i="45"/>
  <c r="C1657" i="45"/>
  <c r="C1654" i="45"/>
  <c r="C1653" i="45"/>
  <c r="C1652" i="45"/>
  <c r="C1651" i="45"/>
  <c r="C1650" i="45"/>
  <c r="C1649" i="45"/>
  <c r="C1648" i="45"/>
  <c r="C1647" i="45"/>
  <c r="C1646" i="45"/>
  <c r="C1645" i="45"/>
  <c r="C1644" i="45"/>
  <c r="C1642" i="45"/>
  <c r="C1641" i="45"/>
  <c r="C1640" i="45"/>
  <c r="C1639" i="45"/>
  <c r="C1638" i="45"/>
  <c r="C1637" i="45"/>
  <c r="C1636" i="45"/>
  <c r="C1635" i="45"/>
  <c r="C1634" i="45"/>
  <c r="C1633" i="45"/>
  <c r="C1632" i="45"/>
  <c r="C1630" i="45"/>
  <c r="C1629" i="45"/>
  <c r="C1628" i="45"/>
  <c r="C1627" i="45"/>
  <c r="C1626" i="45"/>
  <c r="C1625" i="45"/>
  <c r="C1624" i="45"/>
  <c r="C1623" i="45"/>
  <c r="C1622" i="45"/>
  <c r="C1621" i="45"/>
  <c r="C1620" i="45"/>
  <c r="C1618" i="45"/>
  <c r="C1617" i="45"/>
  <c r="C1616" i="45"/>
  <c r="C1615" i="45"/>
  <c r="C1614" i="45"/>
  <c r="C1613" i="45"/>
  <c r="C1612" i="45"/>
  <c r="C1611" i="45"/>
  <c r="C1610" i="45"/>
  <c r="C1609" i="45"/>
  <c r="C1608" i="45"/>
  <c r="C1606" i="45"/>
  <c r="C1605" i="45"/>
  <c r="C1604" i="45"/>
  <c r="C1603" i="45"/>
  <c r="C1602" i="45"/>
  <c r="C1601" i="45"/>
  <c r="C1600" i="45"/>
  <c r="C1599" i="45"/>
  <c r="C1598" i="45"/>
  <c r="C1597" i="45"/>
  <c r="C1596" i="45"/>
  <c r="C1593" i="45"/>
  <c r="C1592" i="45"/>
  <c r="C1591" i="45"/>
  <c r="C1590" i="45"/>
  <c r="C1589" i="45"/>
  <c r="C1588" i="45"/>
  <c r="C1587" i="45"/>
  <c r="C1586" i="45"/>
  <c r="C1585" i="45"/>
  <c r="C1584" i="45"/>
  <c r="C1583" i="45"/>
  <c r="C1581" i="45"/>
  <c r="C1580" i="45"/>
  <c r="C1579" i="45"/>
  <c r="C1578" i="45"/>
  <c r="C1577" i="45"/>
  <c r="C1576" i="45"/>
  <c r="C1575" i="45"/>
  <c r="C1574" i="45"/>
  <c r="C1573" i="45"/>
  <c r="C1572" i="45"/>
  <c r="C1571" i="45"/>
  <c r="C1569" i="45"/>
  <c r="C1568" i="45"/>
  <c r="C1567" i="45"/>
  <c r="C1566" i="45"/>
  <c r="C1565" i="45"/>
  <c r="C1564" i="45"/>
  <c r="C1563" i="45"/>
  <c r="C1562" i="45"/>
  <c r="C1561" i="45"/>
  <c r="C1560" i="45"/>
  <c r="C1559" i="45"/>
  <c r="C1557" i="45"/>
  <c r="C1556" i="45"/>
  <c r="C1555" i="45"/>
  <c r="C1554" i="45"/>
  <c r="C1553" i="45"/>
  <c r="C1552" i="45"/>
  <c r="C1551" i="45"/>
  <c r="C1550" i="45"/>
  <c r="C1549" i="45"/>
  <c r="C1548" i="45"/>
  <c r="C1547" i="45"/>
  <c r="C1545" i="45"/>
  <c r="C1544" i="45"/>
  <c r="C1543" i="45"/>
  <c r="C1542" i="45"/>
  <c r="C1541" i="45"/>
  <c r="C1540" i="45"/>
  <c r="C1539" i="45"/>
  <c r="C1538" i="45"/>
  <c r="C1537" i="45"/>
  <c r="C1536" i="45"/>
  <c r="C1535" i="45"/>
  <c r="C1533" i="45"/>
  <c r="C1532" i="45"/>
  <c r="C1531" i="45"/>
  <c r="C1530" i="45"/>
  <c r="C1529" i="45"/>
  <c r="C1528" i="45"/>
  <c r="C1527" i="45"/>
  <c r="C1526" i="45"/>
  <c r="C1525" i="45"/>
  <c r="C1524" i="45"/>
  <c r="C1523" i="45"/>
  <c r="C1521" i="45"/>
  <c r="C1520" i="45"/>
  <c r="C1519" i="45"/>
  <c r="C1518" i="45"/>
  <c r="C1517" i="45"/>
  <c r="C1516" i="45"/>
  <c r="C1515" i="45"/>
  <c r="C1514" i="45"/>
  <c r="C1513" i="45"/>
  <c r="C1512" i="45"/>
  <c r="C1511" i="45"/>
  <c r="C1509" i="45"/>
  <c r="C1508" i="45"/>
  <c r="C1507" i="45"/>
  <c r="C1506" i="45"/>
  <c r="C1505" i="45"/>
  <c r="C1504" i="45"/>
  <c r="C1503" i="45"/>
  <c r="C1502" i="45"/>
  <c r="C1501" i="45"/>
  <c r="C1500" i="45"/>
  <c r="C1499" i="45"/>
  <c r="C1496" i="45"/>
  <c r="C1495" i="45"/>
  <c r="C1494" i="45"/>
  <c r="C1493" i="45"/>
  <c r="C1492" i="45"/>
  <c r="C1491" i="45"/>
  <c r="C1490" i="45"/>
  <c r="C1489" i="45"/>
  <c r="C1488" i="45"/>
  <c r="C1487" i="45"/>
  <c r="C1486" i="45"/>
  <c r="C1482" i="45"/>
  <c r="C1481" i="45"/>
  <c r="C1480" i="45"/>
  <c r="C1479" i="45"/>
  <c r="C1478" i="45"/>
  <c r="C1477" i="45"/>
  <c r="C1476" i="45"/>
  <c r="C1475" i="45"/>
  <c r="C1474" i="45"/>
  <c r="C1473" i="45"/>
  <c r="C1472" i="45"/>
  <c r="C1470" i="45"/>
  <c r="C1469" i="45"/>
  <c r="C1468" i="45"/>
  <c r="C1467" i="45"/>
  <c r="C1466" i="45"/>
  <c r="C1465" i="45"/>
  <c r="C1464" i="45"/>
  <c r="C1463" i="45"/>
  <c r="C1462" i="45"/>
  <c r="C1461" i="45"/>
  <c r="C1460" i="45"/>
  <c r="C1458" i="45"/>
  <c r="C1457" i="45"/>
  <c r="C1456" i="45"/>
  <c r="C1455" i="45"/>
  <c r="C1454" i="45"/>
  <c r="C1453" i="45"/>
  <c r="C1452" i="45"/>
  <c r="C1451" i="45"/>
  <c r="C1450" i="45"/>
  <c r="C1449" i="45"/>
  <c r="C1448" i="45"/>
  <c r="C1446" i="45"/>
  <c r="C1445" i="45"/>
  <c r="C1444" i="45"/>
  <c r="C1443" i="45"/>
  <c r="C1442" i="45"/>
  <c r="C1441" i="45"/>
  <c r="C1440" i="45"/>
  <c r="C1439" i="45"/>
  <c r="C1438" i="45"/>
  <c r="C1437" i="45"/>
  <c r="C1436" i="45"/>
  <c r="C1434" i="45"/>
  <c r="C1433" i="45"/>
  <c r="C1432" i="45"/>
  <c r="C1431" i="45"/>
  <c r="C1430" i="45"/>
  <c r="C1429" i="45"/>
  <c r="C1428" i="45"/>
  <c r="C1427" i="45"/>
  <c r="C1426" i="45"/>
  <c r="C1425" i="45"/>
  <c r="C1424" i="45"/>
  <c r="C1422" i="45"/>
  <c r="C1421" i="45"/>
  <c r="C1420" i="45"/>
  <c r="C1419" i="45"/>
  <c r="C1418" i="45"/>
  <c r="C1417" i="45"/>
  <c r="C1416" i="45"/>
  <c r="C1415" i="45"/>
  <c r="C1414" i="45"/>
  <c r="C1413" i="45"/>
  <c r="C1412" i="45"/>
  <c r="C1409" i="45"/>
  <c r="C1408" i="45"/>
  <c r="C1407" i="45"/>
  <c r="C1406" i="45"/>
  <c r="C1405" i="45"/>
  <c r="C1404" i="45"/>
  <c r="C1403" i="45"/>
  <c r="C1402" i="45"/>
  <c r="C1401" i="45"/>
  <c r="C1400" i="45"/>
  <c r="C1399" i="45"/>
  <c r="C1393" i="45"/>
  <c r="C1392" i="45"/>
  <c r="C1391" i="45"/>
  <c r="C1390" i="45"/>
  <c r="C1389" i="45"/>
  <c r="C1388" i="45"/>
  <c r="C1387" i="45"/>
  <c r="C1386" i="45"/>
  <c r="C1385" i="45"/>
  <c r="C1384" i="45"/>
  <c r="C1383" i="45"/>
  <c r="C1381" i="45"/>
  <c r="C1380" i="45"/>
  <c r="C1379" i="45"/>
  <c r="C1378" i="45"/>
  <c r="C1377" i="45"/>
  <c r="C1376" i="45"/>
  <c r="C1375" i="45"/>
  <c r="C1374" i="45"/>
  <c r="C1373" i="45"/>
  <c r="C1372" i="45"/>
  <c r="C1371" i="45"/>
  <c r="C1368" i="45"/>
  <c r="C1367" i="45"/>
  <c r="C1366" i="45"/>
  <c r="C1365" i="45"/>
  <c r="C1364" i="45"/>
  <c r="C1363" i="45"/>
  <c r="C1362" i="45"/>
  <c r="C1361" i="45"/>
  <c r="C1360" i="45"/>
  <c r="C1359" i="45"/>
  <c r="C1358" i="45"/>
  <c r="C1356" i="45"/>
  <c r="C1355" i="45"/>
  <c r="C1354" i="45"/>
  <c r="C1353" i="45"/>
  <c r="C1352" i="45"/>
  <c r="C1351" i="45"/>
  <c r="C1350" i="45"/>
  <c r="C1349" i="45"/>
  <c r="C1348" i="45"/>
  <c r="C1347" i="45"/>
  <c r="C1346" i="45"/>
  <c r="C1337" i="45"/>
  <c r="C1336" i="45"/>
  <c r="C1335" i="45"/>
  <c r="C1334" i="45"/>
  <c r="C1333" i="45"/>
  <c r="C1332" i="45"/>
  <c r="C1331" i="45"/>
  <c r="C1330" i="45"/>
  <c r="C1329" i="45"/>
  <c r="C1328" i="45"/>
  <c r="C1327" i="45"/>
  <c r="C1324" i="45"/>
  <c r="C1323" i="45"/>
  <c r="C1322" i="45"/>
  <c r="C1321" i="45"/>
  <c r="C1320" i="45"/>
  <c r="C1319" i="45"/>
  <c r="C1318" i="45"/>
  <c r="C1317" i="45"/>
  <c r="C1316" i="45"/>
  <c r="C1315" i="45"/>
  <c r="C1314" i="45"/>
  <c r="C1312" i="45"/>
  <c r="C1311" i="45"/>
  <c r="C1310" i="45"/>
  <c r="C1309" i="45"/>
  <c r="C1308" i="45"/>
  <c r="C1307" i="45"/>
  <c r="C1306" i="45"/>
  <c r="C1305" i="45"/>
  <c r="C1304" i="45"/>
  <c r="C1303" i="45"/>
  <c r="C1302" i="45"/>
  <c r="C1297" i="45"/>
  <c r="C1296" i="45"/>
  <c r="C1295" i="45"/>
  <c r="C1294" i="45"/>
  <c r="C1293" i="45"/>
  <c r="C1292" i="45"/>
  <c r="C1291" i="45"/>
  <c r="C1290" i="45"/>
  <c r="C1289" i="45"/>
  <c r="C1288" i="45"/>
  <c r="C1287" i="45"/>
  <c r="C1285" i="45"/>
  <c r="C1284" i="45"/>
  <c r="C1283" i="45"/>
  <c r="C1282" i="45"/>
  <c r="C1281" i="45"/>
  <c r="C1280" i="45"/>
  <c r="C1279" i="45"/>
  <c r="C1278" i="45"/>
  <c r="C1277" i="45"/>
  <c r="C1276" i="45"/>
  <c r="C1275" i="45"/>
  <c r="C1270" i="45"/>
  <c r="C1269" i="45"/>
  <c r="C1268" i="45"/>
  <c r="C1267" i="45"/>
  <c r="C1266" i="45"/>
  <c r="C1265" i="45"/>
  <c r="C1264" i="45"/>
  <c r="C1263" i="45"/>
  <c r="C1262" i="45"/>
  <c r="C1261" i="45"/>
  <c r="C1260" i="45"/>
  <c r="C1239" i="45"/>
  <c r="C1238" i="45"/>
  <c r="C1237" i="45"/>
  <c r="C1236" i="45"/>
  <c r="C1235" i="45"/>
  <c r="C1234" i="45"/>
  <c r="C1233" i="45"/>
  <c r="C1232" i="45"/>
  <c r="C1231" i="45"/>
  <c r="C1230" i="45"/>
  <c r="C1229" i="45"/>
  <c r="C1227" i="45"/>
  <c r="C1226" i="45"/>
  <c r="C1225" i="45"/>
  <c r="C1224" i="45"/>
  <c r="C1223" i="45"/>
  <c r="C1222" i="45"/>
  <c r="C1221" i="45"/>
  <c r="C1220" i="45"/>
  <c r="C1219" i="45"/>
  <c r="C1218" i="45"/>
  <c r="C1217" i="45"/>
  <c r="C1215" i="45"/>
  <c r="C1214" i="45"/>
  <c r="C1213" i="45"/>
  <c r="C1212" i="45"/>
  <c r="C1211" i="45"/>
  <c r="C1210" i="45"/>
  <c r="C1209" i="45"/>
  <c r="C1208" i="45"/>
  <c r="C1207" i="45"/>
  <c r="C1206" i="45"/>
  <c r="C1205" i="45"/>
  <c r="C1203" i="45"/>
  <c r="C1202" i="45"/>
  <c r="C1201" i="45"/>
  <c r="C1200" i="45"/>
  <c r="C1199" i="45"/>
  <c r="C1198" i="45"/>
  <c r="C1197" i="45"/>
  <c r="C1196" i="45"/>
  <c r="C1195" i="45"/>
  <c r="C1194" i="45"/>
  <c r="C1193" i="45"/>
  <c r="C1190" i="45"/>
  <c r="C1189" i="45"/>
  <c r="C1188" i="45"/>
  <c r="C1187" i="45"/>
  <c r="C1186" i="45"/>
  <c r="C1185" i="45"/>
  <c r="C1184" i="45"/>
  <c r="C1183" i="45"/>
  <c r="C1182" i="45"/>
  <c r="C1181" i="45"/>
  <c r="C1180" i="45"/>
  <c r="C1178" i="45"/>
  <c r="C1177" i="45"/>
  <c r="C1176" i="45"/>
  <c r="C1175" i="45"/>
  <c r="C1174" i="45"/>
  <c r="C1173" i="45"/>
  <c r="C1172" i="45"/>
  <c r="C1171" i="45"/>
  <c r="C1170" i="45"/>
  <c r="C1169" i="45"/>
  <c r="C1168" i="45"/>
  <c r="C1163" i="45"/>
  <c r="C1162" i="45"/>
  <c r="C1161" i="45"/>
  <c r="C1160" i="45"/>
  <c r="C1159" i="45"/>
  <c r="C1158" i="45"/>
  <c r="C1157" i="45"/>
  <c r="C1156" i="45"/>
  <c r="C1155" i="45"/>
  <c r="C1154" i="45"/>
  <c r="C1153" i="45"/>
  <c r="C1151" i="45"/>
  <c r="C1150" i="45"/>
  <c r="C1149" i="45"/>
  <c r="C1148" i="45"/>
  <c r="C1147" i="45"/>
  <c r="C1146" i="45"/>
  <c r="C1145" i="45"/>
  <c r="C1144" i="45"/>
  <c r="C1143" i="45"/>
  <c r="C1142" i="45"/>
  <c r="C1141" i="45"/>
  <c r="C1138" i="45"/>
  <c r="C1137" i="45"/>
  <c r="C1136" i="45"/>
  <c r="C1135" i="45"/>
  <c r="C1134" i="45"/>
  <c r="C1133" i="45"/>
  <c r="C1132" i="45"/>
  <c r="C1131" i="45"/>
  <c r="C1130" i="45"/>
  <c r="C1129" i="45"/>
  <c r="C1128" i="45"/>
  <c r="C1126" i="45"/>
  <c r="C1125" i="45"/>
  <c r="C1124" i="45"/>
  <c r="C1123" i="45"/>
  <c r="C1122" i="45"/>
  <c r="C1121" i="45"/>
  <c r="C1120" i="45"/>
  <c r="C1119" i="45"/>
  <c r="C1118" i="45"/>
  <c r="C1117" i="45"/>
  <c r="C1116" i="45"/>
  <c r="C1113" i="45"/>
  <c r="C1112" i="45"/>
  <c r="C1111" i="45"/>
  <c r="C1110" i="45"/>
  <c r="C1109" i="45"/>
  <c r="C1108" i="45"/>
  <c r="C1107" i="45"/>
  <c r="C1106" i="45"/>
  <c r="C1105" i="45"/>
  <c r="C1104" i="45"/>
  <c r="C1103" i="45"/>
  <c r="C1099" i="45"/>
  <c r="C1098" i="45"/>
  <c r="C1097" i="45"/>
  <c r="C1096" i="45"/>
  <c r="C1095" i="45"/>
  <c r="C1094" i="45"/>
  <c r="C1093" i="45"/>
  <c r="C1092" i="45"/>
  <c r="C1091" i="45"/>
  <c r="C1090" i="45"/>
  <c r="C1089" i="45"/>
  <c r="C1087" i="45"/>
  <c r="C1086" i="45"/>
  <c r="C1085" i="45"/>
  <c r="C1084" i="45"/>
  <c r="C1083" i="45"/>
  <c r="C1082" i="45"/>
  <c r="C1081" i="45"/>
  <c r="C1080" i="45"/>
  <c r="C1079" i="45"/>
  <c r="C1078" i="45"/>
  <c r="C1077" i="45"/>
  <c r="C1073" i="45"/>
  <c r="C1072" i="45"/>
  <c r="C1071" i="45"/>
  <c r="C1070" i="45"/>
  <c r="C1069" i="45"/>
  <c r="C1068" i="45"/>
  <c r="C1067" i="45"/>
  <c r="C1066" i="45"/>
  <c r="C1065" i="45"/>
  <c r="C1064" i="45"/>
  <c r="C1063" i="45"/>
  <c r="C1060" i="45"/>
  <c r="C1059" i="45"/>
  <c r="C1058" i="45"/>
  <c r="C1057" i="45"/>
  <c r="C1056" i="45"/>
  <c r="C1055" i="45"/>
  <c r="C1054" i="45"/>
  <c r="C1053" i="45"/>
  <c r="C1052" i="45"/>
  <c r="C1051" i="45"/>
  <c r="C1050" i="45"/>
  <c r="C1048" i="45"/>
  <c r="C1047" i="45"/>
  <c r="C1046" i="45"/>
  <c r="C1045" i="45"/>
  <c r="C1044" i="45"/>
  <c r="C1043" i="45"/>
  <c r="C1042" i="45"/>
  <c r="C1041" i="45"/>
  <c r="C1040" i="45"/>
  <c r="C1039" i="45"/>
  <c r="C1038" i="45"/>
  <c r="C1036" i="45"/>
  <c r="C1035" i="45"/>
  <c r="C1034" i="45"/>
  <c r="C1033" i="45"/>
  <c r="C1032" i="45"/>
  <c r="C1031" i="45"/>
  <c r="C1030" i="45"/>
  <c r="C1029" i="45"/>
  <c r="C1028" i="45"/>
  <c r="C1027" i="45"/>
  <c r="C1026" i="45"/>
  <c r="C1024" i="45"/>
  <c r="C1023" i="45"/>
  <c r="C1022" i="45"/>
  <c r="C1021" i="45"/>
  <c r="C1020" i="45"/>
  <c r="C1019" i="45"/>
  <c r="C1018" i="45"/>
  <c r="C1017" i="45"/>
  <c r="C1016" i="45"/>
  <c r="C1015" i="45"/>
  <c r="C1014" i="45"/>
  <c r="C1012" i="45"/>
  <c r="C1011" i="45"/>
  <c r="C1010" i="45"/>
  <c r="C1009" i="45"/>
  <c r="C1008" i="45"/>
  <c r="C1007" i="45"/>
  <c r="C1006" i="45"/>
  <c r="C1005" i="45"/>
  <c r="C1004" i="45"/>
  <c r="C1003" i="45"/>
  <c r="C1002" i="45"/>
  <c r="C999" i="45"/>
  <c r="C998" i="45"/>
  <c r="C997" i="45"/>
  <c r="C996" i="45"/>
  <c r="C995" i="45"/>
  <c r="C994" i="45"/>
  <c r="C993" i="45"/>
  <c r="C992" i="45"/>
  <c r="C991" i="45"/>
  <c r="C990" i="45"/>
  <c r="C989" i="45"/>
  <c r="C984" i="45"/>
  <c r="C983" i="45"/>
  <c r="C982" i="45"/>
  <c r="C981" i="45"/>
  <c r="C980" i="45"/>
  <c r="C979" i="45"/>
  <c r="C978" i="45"/>
  <c r="C977" i="45"/>
  <c r="C976" i="45"/>
  <c r="C975" i="45"/>
  <c r="C974" i="45"/>
  <c r="C972" i="45"/>
  <c r="C971" i="45"/>
  <c r="C970" i="45"/>
  <c r="C969" i="45"/>
  <c r="C968" i="45"/>
  <c r="C967" i="45"/>
  <c r="C966" i="45"/>
  <c r="C965" i="45"/>
  <c r="C964" i="45"/>
  <c r="C963" i="45"/>
  <c r="C962" i="45"/>
  <c r="C959" i="45"/>
  <c r="C958" i="45"/>
  <c r="C957" i="45"/>
  <c r="C956" i="45"/>
  <c r="C955" i="45"/>
  <c r="C954" i="45"/>
  <c r="C953" i="45"/>
  <c r="C952" i="45"/>
  <c r="C951" i="45"/>
  <c r="C950" i="45"/>
  <c r="C949" i="45"/>
  <c r="C947" i="45"/>
  <c r="C946" i="45"/>
  <c r="C945" i="45"/>
  <c r="C944" i="45"/>
  <c r="C943" i="45"/>
  <c r="C942" i="45"/>
  <c r="C941" i="45"/>
  <c r="C940" i="45"/>
  <c r="C939" i="45"/>
  <c r="C938" i="45"/>
  <c r="C937" i="45"/>
  <c r="C928" i="45"/>
  <c r="C927" i="45"/>
  <c r="C926" i="45"/>
  <c r="C925" i="45"/>
  <c r="C924" i="45"/>
  <c r="C923" i="45"/>
  <c r="C922" i="45"/>
  <c r="C921" i="45"/>
  <c r="C920" i="45"/>
  <c r="C919" i="45"/>
  <c r="C918" i="45"/>
  <c r="C915" i="45"/>
  <c r="C914" i="45"/>
  <c r="C913" i="45"/>
  <c r="C912" i="45"/>
  <c r="C911" i="45"/>
  <c r="C910" i="45"/>
  <c r="C909" i="45"/>
  <c r="C908" i="45"/>
  <c r="C907" i="45"/>
  <c r="C906" i="45"/>
  <c r="C905" i="45"/>
  <c r="C903" i="45"/>
  <c r="C902" i="45"/>
  <c r="C901" i="45"/>
  <c r="C900" i="45"/>
  <c r="C899" i="45"/>
  <c r="C898" i="45"/>
  <c r="C897" i="45"/>
  <c r="C896" i="45"/>
  <c r="C895" i="45"/>
  <c r="C894" i="45"/>
  <c r="C893" i="45"/>
  <c r="C889" i="45"/>
  <c r="C888" i="45"/>
  <c r="C887" i="45"/>
  <c r="C886" i="45"/>
  <c r="C885" i="45"/>
  <c r="C884" i="45"/>
  <c r="C883" i="45"/>
  <c r="C882" i="45"/>
  <c r="C881" i="45"/>
  <c r="C880" i="45"/>
  <c r="C879" i="45"/>
  <c r="C877" i="45"/>
  <c r="C876" i="45"/>
  <c r="C875" i="45"/>
  <c r="C874" i="45"/>
  <c r="C873" i="45"/>
  <c r="C872" i="45"/>
  <c r="C871" i="45"/>
  <c r="C870" i="45"/>
  <c r="C869" i="45"/>
  <c r="C868" i="45"/>
  <c r="C867" i="45"/>
  <c r="C859" i="45"/>
  <c r="C858" i="45"/>
  <c r="C857" i="45"/>
  <c r="C856" i="45"/>
  <c r="C855" i="45"/>
  <c r="C854" i="45"/>
  <c r="C853" i="45"/>
  <c r="C852" i="45"/>
  <c r="C851" i="45"/>
  <c r="C850" i="45"/>
  <c r="C849" i="45"/>
  <c r="C847" i="45"/>
  <c r="C846" i="45"/>
  <c r="C845" i="45"/>
  <c r="C844" i="45"/>
  <c r="C843" i="45"/>
  <c r="C842" i="45"/>
  <c r="C841" i="45"/>
  <c r="C840" i="45"/>
  <c r="C839" i="45"/>
  <c r="C838" i="45"/>
  <c r="C837" i="45"/>
  <c r="C813" i="45"/>
  <c r="C812" i="45"/>
  <c r="C811" i="45"/>
  <c r="C810" i="45"/>
  <c r="C809" i="45"/>
  <c r="C808" i="45"/>
  <c r="C807" i="45"/>
  <c r="C806" i="45"/>
  <c r="C805" i="45"/>
  <c r="C804" i="45"/>
  <c r="C803" i="45"/>
  <c r="C800" i="45"/>
  <c r="C799" i="45"/>
  <c r="C798" i="45"/>
  <c r="C797" i="45"/>
  <c r="C796" i="45"/>
  <c r="C795" i="45"/>
  <c r="C794" i="45"/>
  <c r="C793" i="45"/>
  <c r="C792" i="45"/>
  <c r="C791" i="45"/>
  <c r="C790" i="45"/>
  <c r="C788" i="45"/>
  <c r="C787" i="45"/>
  <c r="C786" i="45"/>
  <c r="C785" i="45"/>
  <c r="C784" i="45"/>
  <c r="C783" i="45"/>
  <c r="C782" i="45"/>
  <c r="C781" i="45"/>
  <c r="C780" i="45"/>
  <c r="C779" i="45"/>
  <c r="C778" i="45"/>
  <c r="C775" i="45"/>
  <c r="C774" i="45"/>
  <c r="C773" i="45"/>
  <c r="C772" i="45"/>
  <c r="C771" i="45"/>
  <c r="C770" i="45"/>
  <c r="C769" i="45"/>
  <c r="C768" i="45"/>
  <c r="C767" i="45"/>
  <c r="C766" i="45"/>
  <c r="C765" i="45"/>
  <c r="C763" i="45"/>
  <c r="C762" i="45"/>
  <c r="C761" i="45"/>
  <c r="C760" i="45"/>
  <c r="C759" i="45"/>
  <c r="C758" i="45"/>
  <c r="C757" i="45"/>
  <c r="C756" i="45"/>
  <c r="C755" i="45"/>
  <c r="C754" i="45"/>
  <c r="C753" i="45"/>
  <c r="C751" i="45"/>
  <c r="C750" i="45"/>
  <c r="C749" i="45"/>
  <c r="C748" i="45"/>
  <c r="C747" i="45"/>
  <c r="C746" i="45"/>
  <c r="C745" i="45"/>
  <c r="C744" i="45"/>
  <c r="C743" i="45"/>
  <c r="C742" i="45"/>
  <c r="C741" i="45"/>
  <c r="C735" i="45"/>
  <c r="C734" i="45"/>
  <c r="C733" i="45"/>
  <c r="C732" i="45"/>
  <c r="C731" i="45"/>
  <c r="C730" i="45"/>
  <c r="C729" i="45"/>
  <c r="C728" i="45"/>
  <c r="C727" i="45"/>
  <c r="C726" i="45"/>
  <c r="C725" i="45"/>
  <c r="C723" i="45"/>
  <c r="C722" i="45"/>
  <c r="C721" i="45"/>
  <c r="C720" i="45"/>
  <c r="C719" i="45"/>
  <c r="C718" i="45"/>
  <c r="C717" i="45"/>
  <c r="C716" i="45"/>
  <c r="C715" i="45"/>
  <c r="C714" i="45"/>
  <c r="C713" i="45"/>
  <c r="C711" i="45"/>
  <c r="C710" i="45"/>
  <c r="C709" i="45"/>
  <c r="C708" i="45"/>
  <c r="C707" i="45"/>
  <c r="C706" i="45"/>
  <c r="C705" i="45"/>
  <c r="C704" i="45"/>
  <c r="C703" i="45"/>
  <c r="C702" i="45"/>
  <c r="C701" i="45"/>
  <c r="C699" i="45"/>
  <c r="C698" i="45"/>
  <c r="C697" i="45"/>
  <c r="C696" i="45"/>
  <c r="C695" i="45"/>
  <c r="C694" i="45"/>
  <c r="C693" i="45"/>
  <c r="C692" i="45"/>
  <c r="C691" i="45"/>
  <c r="C690" i="45"/>
  <c r="C689" i="45"/>
  <c r="C687" i="45"/>
  <c r="C686" i="45"/>
  <c r="C685" i="45"/>
  <c r="C684" i="45"/>
  <c r="C683" i="45"/>
  <c r="C682" i="45"/>
  <c r="C681" i="45"/>
  <c r="C680" i="45"/>
  <c r="C679" i="45"/>
  <c r="C678" i="45"/>
  <c r="C677" i="45"/>
  <c r="C673" i="45"/>
  <c r="C672" i="45"/>
  <c r="C671" i="45"/>
  <c r="C670" i="45"/>
  <c r="C669" i="45"/>
  <c r="C668" i="45"/>
  <c r="C667" i="45"/>
  <c r="C666" i="45"/>
  <c r="C665" i="45"/>
  <c r="C664" i="45"/>
  <c r="C663" i="45"/>
  <c r="C659" i="45"/>
  <c r="C658" i="45"/>
  <c r="C657" i="45"/>
  <c r="C656" i="45"/>
  <c r="C655" i="45"/>
  <c r="C654" i="45"/>
  <c r="C653" i="45"/>
  <c r="C652" i="45"/>
  <c r="C651" i="45"/>
  <c r="C650" i="45"/>
  <c r="C649" i="45"/>
  <c r="C647" i="45"/>
  <c r="C646" i="45"/>
  <c r="C645" i="45"/>
  <c r="C644" i="45"/>
  <c r="C643" i="45"/>
  <c r="C642" i="45"/>
  <c r="C641" i="45"/>
  <c r="C640" i="45"/>
  <c r="C639" i="45"/>
  <c r="C638" i="45"/>
  <c r="C637" i="45"/>
  <c r="C633" i="45"/>
  <c r="C632" i="45"/>
  <c r="C631" i="45"/>
  <c r="C630" i="45"/>
  <c r="C629" i="45"/>
  <c r="C628" i="45"/>
  <c r="C627" i="45"/>
  <c r="C626" i="45"/>
  <c r="C625" i="45"/>
  <c r="C624" i="45"/>
  <c r="C623" i="45"/>
  <c r="C621" i="45"/>
  <c r="C620" i="45"/>
  <c r="C619" i="45"/>
  <c r="C618" i="45"/>
  <c r="C617" i="45"/>
  <c r="C616" i="45"/>
  <c r="C615" i="45"/>
  <c r="C614" i="45"/>
  <c r="C613" i="45"/>
  <c r="C612" i="45"/>
  <c r="C611" i="45"/>
  <c r="C608" i="45"/>
  <c r="C607" i="45"/>
  <c r="C606" i="45"/>
  <c r="C605" i="45"/>
  <c r="C604" i="45"/>
  <c r="C603" i="45"/>
  <c r="C602" i="45"/>
  <c r="C601" i="45"/>
  <c r="C600" i="45"/>
  <c r="C599" i="45"/>
  <c r="C598" i="45"/>
  <c r="C596" i="45"/>
  <c r="C595" i="45"/>
  <c r="C594" i="45"/>
  <c r="C593" i="45"/>
  <c r="C592" i="45"/>
  <c r="C591" i="45"/>
  <c r="C590" i="45"/>
  <c r="C589" i="45"/>
  <c r="C588" i="45"/>
  <c r="C587" i="45"/>
  <c r="C586" i="45"/>
  <c r="C581" i="45"/>
  <c r="C580" i="45"/>
  <c r="C579" i="45"/>
  <c r="C578" i="45"/>
  <c r="C577" i="45"/>
  <c r="C576" i="45"/>
  <c r="C575" i="45"/>
  <c r="C574" i="45"/>
  <c r="C573" i="45"/>
  <c r="C572" i="45"/>
  <c r="C571" i="45"/>
  <c r="C569" i="45"/>
  <c r="C568" i="45"/>
  <c r="C567" i="45"/>
  <c r="C566" i="45"/>
  <c r="C565" i="45"/>
  <c r="C564" i="45"/>
  <c r="C563" i="45"/>
  <c r="C562" i="45"/>
  <c r="C561" i="45"/>
  <c r="C560" i="45"/>
  <c r="C559" i="45"/>
  <c r="C556" i="45"/>
  <c r="C555" i="45"/>
  <c r="C554" i="45"/>
  <c r="C553" i="45"/>
  <c r="C552" i="45"/>
  <c r="C551" i="45"/>
  <c r="C550" i="45"/>
  <c r="C549" i="45"/>
  <c r="C548" i="45"/>
  <c r="C547" i="45"/>
  <c r="C546" i="45"/>
  <c r="C544" i="45"/>
  <c r="C543" i="45"/>
  <c r="C542" i="45"/>
  <c r="C541" i="45"/>
  <c r="C540" i="45"/>
  <c r="C539" i="45"/>
  <c r="C538" i="45"/>
  <c r="C537" i="45"/>
  <c r="C536" i="45"/>
  <c r="C535" i="45"/>
  <c r="C534" i="45"/>
  <c r="C528" i="45"/>
  <c r="C527" i="45"/>
  <c r="C526" i="45"/>
  <c r="C525" i="45"/>
  <c r="C524" i="45"/>
  <c r="C523" i="45"/>
  <c r="C522" i="45"/>
  <c r="C521" i="45"/>
  <c r="C520" i="45"/>
  <c r="C519" i="45"/>
  <c r="C518" i="45"/>
  <c r="C516" i="45"/>
  <c r="C515" i="45"/>
  <c r="C514" i="45"/>
  <c r="C513" i="45"/>
  <c r="C512" i="45"/>
  <c r="C511" i="45"/>
  <c r="C510" i="45"/>
  <c r="C509" i="45"/>
  <c r="C508" i="45"/>
  <c r="C507" i="45"/>
  <c r="C506" i="45"/>
  <c r="C504" i="45"/>
  <c r="C503" i="45"/>
  <c r="C502" i="45"/>
  <c r="C501" i="45"/>
  <c r="C500" i="45"/>
  <c r="C499" i="45"/>
  <c r="C498" i="45"/>
  <c r="C497" i="45"/>
  <c r="C496" i="45"/>
  <c r="C495" i="45"/>
  <c r="C494" i="45"/>
  <c r="C489" i="45"/>
  <c r="C488" i="45"/>
  <c r="C487" i="45"/>
  <c r="C486" i="45"/>
  <c r="C485" i="45"/>
  <c r="C484" i="45"/>
  <c r="C483" i="45"/>
  <c r="C482" i="45"/>
  <c r="C481" i="45"/>
  <c r="C480" i="45"/>
  <c r="C479" i="45"/>
  <c r="C477" i="45"/>
  <c r="C476" i="45"/>
  <c r="C475" i="45"/>
  <c r="C474" i="45"/>
  <c r="C473" i="45"/>
  <c r="C472" i="45"/>
  <c r="C471" i="45"/>
  <c r="C470" i="45"/>
  <c r="C469" i="45"/>
  <c r="C468" i="45"/>
  <c r="C467" i="45"/>
  <c r="C462" i="45"/>
  <c r="C461" i="45"/>
  <c r="C460" i="45"/>
  <c r="C459" i="45"/>
  <c r="C458" i="45"/>
  <c r="C457" i="45"/>
  <c r="C456" i="45"/>
  <c r="C455" i="45"/>
  <c r="C454" i="45"/>
  <c r="C453" i="45"/>
  <c r="C452" i="45"/>
  <c r="C450" i="45"/>
  <c r="C449" i="45"/>
  <c r="C448" i="45"/>
  <c r="C447" i="45"/>
  <c r="C446" i="45"/>
  <c r="C445" i="45"/>
  <c r="C444" i="45"/>
  <c r="C443" i="45"/>
  <c r="C442" i="45"/>
  <c r="C441" i="45"/>
  <c r="C440" i="45"/>
  <c r="C405" i="45"/>
  <c r="C404" i="45"/>
  <c r="C403" i="45"/>
  <c r="C402" i="45"/>
  <c r="C401" i="45"/>
  <c r="C400" i="45"/>
  <c r="C399" i="45"/>
  <c r="C398" i="45"/>
  <c r="C397" i="45"/>
  <c r="C396" i="45"/>
  <c r="C395" i="45"/>
  <c r="C393" i="45"/>
  <c r="C392" i="45"/>
  <c r="C391" i="45"/>
  <c r="C390" i="45"/>
  <c r="C389" i="45"/>
  <c r="C388" i="45"/>
  <c r="C387" i="45"/>
  <c r="C386" i="45"/>
  <c r="C385" i="45"/>
  <c r="C384" i="45"/>
  <c r="C383" i="45"/>
  <c r="C381" i="45"/>
  <c r="C380" i="45"/>
  <c r="C379" i="45"/>
  <c r="C378" i="45"/>
  <c r="C377" i="45"/>
  <c r="C376" i="45"/>
  <c r="C375" i="45"/>
  <c r="C374" i="45"/>
  <c r="C373" i="45"/>
  <c r="C372" i="45"/>
  <c r="C371" i="45"/>
  <c r="C367" i="45"/>
  <c r="C366" i="45"/>
  <c r="C365" i="45"/>
  <c r="C364" i="45"/>
  <c r="C363" i="45"/>
  <c r="C362" i="45"/>
  <c r="C361" i="45"/>
  <c r="C360" i="45"/>
  <c r="C359" i="45"/>
  <c r="C358" i="45"/>
  <c r="C357" i="45"/>
  <c r="C355" i="45"/>
  <c r="C354" i="45"/>
  <c r="C353" i="45"/>
  <c r="C352" i="45"/>
  <c r="C351" i="45"/>
  <c r="C350" i="45"/>
  <c r="C349" i="45"/>
  <c r="C348" i="45"/>
  <c r="C347" i="45"/>
  <c r="C346" i="45"/>
  <c r="C345" i="45"/>
  <c r="C342" i="45"/>
  <c r="C341" i="45"/>
  <c r="C340" i="45"/>
  <c r="C339" i="45"/>
  <c r="C338" i="45"/>
  <c r="C337" i="45"/>
  <c r="C336" i="45"/>
  <c r="C335" i="45"/>
  <c r="C334" i="45"/>
  <c r="C333" i="45"/>
  <c r="C332" i="45"/>
  <c r="C328" i="45"/>
  <c r="C327" i="45"/>
  <c r="C326" i="45"/>
  <c r="C325" i="45"/>
  <c r="C324" i="45"/>
  <c r="C323" i="45"/>
  <c r="C322" i="45"/>
  <c r="C321" i="45"/>
  <c r="C320" i="45"/>
  <c r="C319" i="45"/>
  <c r="C318" i="45"/>
  <c r="C315" i="45"/>
  <c r="C314" i="45"/>
  <c r="C313" i="45"/>
  <c r="C312" i="45"/>
  <c r="C311" i="45"/>
  <c r="C310" i="45"/>
  <c r="C309" i="45"/>
  <c r="C308" i="45"/>
  <c r="C307" i="45"/>
  <c r="C306" i="45"/>
  <c r="C305" i="45"/>
  <c r="C301" i="45"/>
  <c r="C300" i="45"/>
  <c r="C299" i="45"/>
  <c r="C298" i="45"/>
  <c r="C297" i="45"/>
  <c r="C296" i="45"/>
  <c r="C295" i="45"/>
  <c r="C294" i="45"/>
  <c r="C293" i="45"/>
  <c r="C292" i="45"/>
  <c r="C291" i="45"/>
  <c r="C286" i="45"/>
  <c r="C285" i="45"/>
  <c r="C284" i="45"/>
  <c r="C283" i="45"/>
  <c r="C282" i="45"/>
  <c r="C281" i="45"/>
  <c r="C280" i="45"/>
  <c r="C279" i="45"/>
  <c r="C278" i="45"/>
  <c r="C277" i="45"/>
  <c r="C276" i="45"/>
  <c r="C272" i="45"/>
  <c r="C271" i="45"/>
  <c r="C270" i="45"/>
  <c r="C269" i="45"/>
  <c r="C268" i="45"/>
  <c r="C267" i="45"/>
  <c r="C266" i="45"/>
  <c r="C265" i="45"/>
  <c r="C264" i="45"/>
  <c r="C263" i="45"/>
  <c r="C262" i="45"/>
  <c r="C257" i="45"/>
  <c r="C256" i="45"/>
  <c r="C255" i="45"/>
  <c r="C254" i="45"/>
  <c r="C253" i="45"/>
  <c r="C252" i="45"/>
  <c r="C251" i="45"/>
  <c r="C250" i="45"/>
  <c r="C249" i="45"/>
  <c r="C248" i="45"/>
  <c r="C247" i="45"/>
  <c r="C245" i="45"/>
  <c r="C244" i="45"/>
  <c r="C243" i="45"/>
  <c r="C242" i="45"/>
  <c r="C241" i="45"/>
  <c r="C240" i="45"/>
  <c r="C239" i="45"/>
  <c r="C238" i="45"/>
  <c r="C237" i="45"/>
  <c r="C236" i="45"/>
  <c r="C235" i="45"/>
  <c r="C232" i="45"/>
  <c r="C231" i="45"/>
  <c r="C230" i="45"/>
  <c r="C229" i="45"/>
  <c r="C228" i="45"/>
  <c r="C227" i="45"/>
  <c r="C226" i="45"/>
  <c r="C225" i="45"/>
  <c r="C224" i="45"/>
  <c r="C223" i="45"/>
  <c r="C222" i="45"/>
  <c r="C220" i="45"/>
  <c r="C219" i="45"/>
  <c r="C218" i="45"/>
  <c r="C217" i="45"/>
  <c r="C216" i="45"/>
  <c r="C215" i="45"/>
  <c r="C214" i="45"/>
  <c r="C213" i="45"/>
  <c r="C212" i="45"/>
  <c r="C211" i="45"/>
  <c r="C210" i="45"/>
  <c r="C204" i="45"/>
  <c r="C203" i="45"/>
  <c r="C202" i="45"/>
  <c r="C201" i="45"/>
  <c r="C200" i="45"/>
  <c r="C199" i="45"/>
  <c r="C198" i="45"/>
  <c r="C197" i="45"/>
  <c r="C196" i="45"/>
  <c r="C195" i="45"/>
  <c r="C194" i="45"/>
  <c r="C192" i="45"/>
  <c r="C191" i="45"/>
  <c r="C190" i="45"/>
  <c r="C189" i="45"/>
  <c r="C188" i="45"/>
  <c r="C187" i="45"/>
  <c r="C186" i="45"/>
  <c r="C185" i="45"/>
  <c r="C184" i="45"/>
  <c r="C183" i="45"/>
  <c r="C182" i="45"/>
  <c r="C180" i="45"/>
  <c r="C179" i="45"/>
  <c r="C178" i="45"/>
  <c r="C177" i="45"/>
  <c r="C176" i="45"/>
  <c r="C175" i="45"/>
  <c r="C174" i="45"/>
  <c r="C173" i="45"/>
  <c r="C172" i="45"/>
  <c r="C171" i="45"/>
  <c r="C170" i="45"/>
  <c r="C165" i="45"/>
  <c r="C164" i="45"/>
  <c r="C163" i="45"/>
  <c r="C162" i="45"/>
  <c r="C161" i="45"/>
  <c r="C160" i="45"/>
  <c r="C159" i="45"/>
  <c r="C158" i="45"/>
  <c r="C157" i="45"/>
  <c r="C156" i="45"/>
  <c r="C155" i="45"/>
  <c r="C151" i="45"/>
  <c r="C150" i="45"/>
  <c r="C149" i="45"/>
  <c r="C148" i="45"/>
  <c r="C147" i="45"/>
  <c r="C146" i="45"/>
  <c r="C145" i="45"/>
  <c r="C144" i="45"/>
  <c r="C143" i="45"/>
  <c r="C142" i="45"/>
  <c r="C141" i="45"/>
  <c r="C138" i="45"/>
  <c r="C137" i="45"/>
  <c r="C136" i="45"/>
  <c r="C135" i="45"/>
  <c r="C134" i="45"/>
  <c r="C133" i="45"/>
  <c r="C132" i="45"/>
  <c r="C131" i="45"/>
  <c r="C130" i="45"/>
  <c r="C129" i="45"/>
  <c r="C128" i="45"/>
  <c r="C126" i="45"/>
  <c r="C125" i="45"/>
  <c r="C124" i="45"/>
  <c r="C123" i="45"/>
  <c r="C122" i="45"/>
  <c r="C121" i="45"/>
  <c r="C120" i="45"/>
  <c r="C119" i="45"/>
  <c r="C118" i="45"/>
  <c r="C117" i="45"/>
  <c r="C116" i="45"/>
  <c r="C92" i="45"/>
  <c r="C91" i="45"/>
  <c r="C90" i="45"/>
  <c r="C89" i="45"/>
  <c r="C88" i="45"/>
  <c r="C87" i="45"/>
  <c r="C86" i="45"/>
  <c r="C85" i="45"/>
  <c r="C84" i="45"/>
  <c r="C83" i="45"/>
  <c r="C82" i="45"/>
  <c r="C79" i="45"/>
  <c r="C78" i="45"/>
  <c r="C77" i="45"/>
  <c r="C76" i="45"/>
  <c r="C75" i="45"/>
  <c r="C74" i="45"/>
  <c r="C73" i="45"/>
  <c r="C72" i="45"/>
  <c r="C71" i="45"/>
  <c r="C70" i="45"/>
  <c r="C69" i="45"/>
  <c r="C67" i="45"/>
  <c r="C66" i="45"/>
  <c r="C65" i="45"/>
  <c r="C64" i="45"/>
  <c r="C63" i="45"/>
  <c r="C62" i="45"/>
  <c r="C61" i="45"/>
  <c r="C60" i="45"/>
  <c r="C59" i="45"/>
  <c r="C58" i="45"/>
  <c r="C57" i="45"/>
  <c r="C55" i="45"/>
  <c r="C54" i="45"/>
  <c r="C53" i="45"/>
  <c r="C52" i="45"/>
  <c r="C51" i="45"/>
  <c r="C50" i="45"/>
  <c r="C49" i="45"/>
  <c r="C48" i="45"/>
  <c r="C47" i="45"/>
  <c r="C46" i="45"/>
  <c r="C45" i="45"/>
  <c r="C43" i="45"/>
  <c r="C42" i="45"/>
  <c r="C41" i="45"/>
  <c r="C40" i="45"/>
  <c r="C39" i="45"/>
  <c r="C38" i="45"/>
  <c r="C37" i="45"/>
  <c r="C36" i="45"/>
  <c r="C35" i="45"/>
  <c r="C34" i="45"/>
  <c r="C33" i="45"/>
  <c r="C29" i="45"/>
  <c r="C28" i="45"/>
  <c r="C27" i="45"/>
  <c r="C26" i="45"/>
  <c r="C25" i="45"/>
  <c r="C24" i="45"/>
  <c r="C23" i="45"/>
  <c r="C22" i="45"/>
  <c r="C21" i="45"/>
  <c r="C20" i="45"/>
  <c r="C19" i="45"/>
  <c r="C17" i="45"/>
  <c r="C16" i="45"/>
  <c r="C15" i="45"/>
  <c r="C14" i="45"/>
  <c r="C13" i="45"/>
  <c r="C12" i="45"/>
  <c r="C11" i="45"/>
  <c r="C10" i="45"/>
  <c r="C9" i="45"/>
  <c r="C8" i="45"/>
  <c r="C7" i="45"/>
  <c r="F999" i="22"/>
  <c r="D999" i="22"/>
  <c r="C999" i="22"/>
  <c r="F998" i="22"/>
  <c r="E998" i="22"/>
  <c r="C998" i="22"/>
  <c r="F997" i="22"/>
  <c r="E997" i="22"/>
  <c r="C997" i="22"/>
  <c r="F996" i="22"/>
  <c r="E996" i="22"/>
  <c r="C996" i="22"/>
  <c r="F995" i="22"/>
  <c r="E995" i="22"/>
  <c r="C995" i="22"/>
  <c r="F993" i="22"/>
  <c r="D993" i="22"/>
  <c r="C993" i="22"/>
  <c r="F992" i="22"/>
  <c r="E992" i="22"/>
  <c r="C992" i="22"/>
  <c r="F991" i="22"/>
  <c r="E991" i="22"/>
  <c r="C991" i="22"/>
  <c r="F990" i="22"/>
  <c r="E990" i="22"/>
  <c r="C990" i="22"/>
  <c r="F989" i="22"/>
  <c r="E989" i="22"/>
  <c r="C989" i="22"/>
  <c r="F987" i="22"/>
  <c r="D987" i="22"/>
  <c r="C987" i="22"/>
  <c r="F986" i="22"/>
  <c r="E986" i="22"/>
  <c r="C986" i="22"/>
  <c r="F985" i="22"/>
  <c r="E985" i="22"/>
  <c r="C985" i="22"/>
  <c r="F984" i="22"/>
  <c r="E984" i="22"/>
  <c r="C984" i="22"/>
  <c r="F983" i="22"/>
  <c r="E983" i="22"/>
  <c r="C983" i="22"/>
  <c r="F980" i="22"/>
  <c r="D980" i="22"/>
  <c r="C980" i="22"/>
  <c r="F979" i="22"/>
  <c r="E979" i="22"/>
  <c r="C979" i="22"/>
  <c r="F978" i="22"/>
  <c r="E978" i="22"/>
  <c r="C978" i="22"/>
  <c r="F977" i="22"/>
  <c r="E977" i="22"/>
  <c r="C977" i="22"/>
  <c r="F976" i="22"/>
  <c r="E976" i="22"/>
  <c r="C976" i="22"/>
  <c r="F974" i="22"/>
  <c r="D974" i="22"/>
  <c r="C974" i="22"/>
  <c r="F973" i="22"/>
  <c r="E973" i="22"/>
  <c r="C973" i="22"/>
  <c r="F972" i="22"/>
  <c r="E972" i="22"/>
  <c r="C972" i="22"/>
  <c r="F971" i="22"/>
  <c r="E971" i="22"/>
  <c r="C971" i="22"/>
  <c r="F970" i="22"/>
  <c r="E970" i="22"/>
  <c r="C970" i="22"/>
  <c r="F968" i="22"/>
  <c r="D968" i="22"/>
  <c r="C968" i="22"/>
  <c r="F967" i="22"/>
  <c r="E967" i="22"/>
  <c r="C967" i="22"/>
  <c r="F966" i="22"/>
  <c r="E966" i="22"/>
  <c r="C966" i="22"/>
  <c r="F965" i="22"/>
  <c r="E965" i="22"/>
  <c r="C965" i="22"/>
  <c r="F964" i="22"/>
  <c r="E964" i="22"/>
  <c r="C964" i="22"/>
  <c r="F962" i="22"/>
  <c r="D962" i="22"/>
  <c r="C962" i="22"/>
  <c r="F961" i="22"/>
  <c r="E961" i="22"/>
  <c r="C961" i="22"/>
  <c r="F960" i="22"/>
  <c r="E960" i="22"/>
  <c r="C960" i="22"/>
  <c r="F959" i="22"/>
  <c r="E959" i="22"/>
  <c r="C959" i="22"/>
  <c r="F958" i="22"/>
  <c r="E958" i="22"/>
  <c r="C958" i="22"/>
  <c r="F956" i="22"/>
  <c r="D956" i="22"/>
  <c r="C956" i="22"/>
  <c r="F955" i="22"/>
  <c r="E955" i="22"/>
  <c r="C955" i="22"/>
  <c r="F954" i="22"/>
  <c r="E954" i="22"/>
  <c r="C954" i="22"/>
  <c r="F953" i="22"/>
  <c r="E953" i="22"/>
  <c r="C953" i="22"/>
  <c r="F952" i="22"/>
  <c r="E952" i="22"/>
  <c r="C952" i="22"/>
  <c r="F949" i="22"/>
  <c r="D949" i="22"/>
  <c r="C949" i="22"/>
  <c r="F948" i="22"/>
  <c r="E948" i="22"/>
  <c r="C948" i="22"/>
  <c r="F947" i="22"/>
  <c r="E947" i="22"/>
  <c r="C947" i="22"/>
  <c r="F946" i="22"/>
  <c r="E946" i="22"/>
  <c r="C946" i="22"/>
  <c r="F945" i="22"/>
  <c r="E945" i="22"/>
  <c r="C945" i="22"/>
  <c r="F943" i="22"/>
  <c r="D943" i="22"/>
  <c r="C943" i="22"/>
  <c r="F942" i="22"/>
  <c r="E942" i="22"/>
  <c r="C942" i="22"/>
  <c r="F941" i="22"/>
  <c r="E941" i="22"/>
  <c r="C941" i="22"/>
  <c r="F940" i="22"/>
  <c r="E940" i="22"/>
  <c r="C940" i="22"/>
  <c r="F939" i="22"/>
  <c r="E939" i="22"/>
  <c r="C939" i="22"/>
  <c r="F937" i="22"/>
  <c r="D937" i="22"/>
  <c r="C937" i="22"/>
  <c r="F936" i="22"/>
  <c r="E936" i="22"/>
  <c r="C936" i="22"/>
  <c r="F935" i="22"/>
  <c r="E935" i="22"/>
  <c r="C935" i="22"/>
  <c r="F934" i="22"/>
  <c r="E934" i="22"/>
  <c r="C934" i="22"/>
  <c r="F933" i="22"/>
  <c r="E933" i="22"/>
  <c r="C933" i="22"/>
  <c r="F931" i="22"/>
  <c r="D931" i="22"/>
  <c r="C931" i="22"/>
  <c r="F930" i="22"/>
  <c r="E930" i="22"/>
  <c r="C930" i="22"/>
  <c r="F929" i="22"/>
  <c r="E929" i="22"/>
  <c r="C929" i="22"/>
  <c r="F928" i="22"/>
  <c r="E928" i="22"/>
  <c r="C928" i="22"/>
  <c r="F927" i="22"/>
  <c r="E927" i="22"/>
  <c r="C927" i="22"/>
  <c r="F925" i="22"/>
  <c r="D925" i="22"/>
  <c r="C925" i="22"/>
  <c r="F924" i="22"/>
  <c r="E924" i="22"/>
  <c r="C924" i="22"/>
  <c r="F923" i="22"/>
  <c r="E923" i="22"/>
  <c r="C923" i="22"/>
  <c r="F922" i="22"/>
  <c r="E922" i="22"/>
  <c r="C922" i="22"/>
  <c r="F921" i="22"/>
  <c r="E921" i="22"/>
  <c r="C921" i="22"/>
  <c r="F919" i="22"/>
  <c r="D919" i="22"/>
  <c r="C919" i="22"/>
  <c r="F918" i="22"/>
  <c r="E918" i="22"/>
  <c r="C918" i="22"/>
  <c r="F917" i="22"/>
  <c r="E917" i="22"/>
  <c r="C917" i="22"/>
  <c r="F916" i="22"/>
  <c r="E916" i="22"/>
  <c r="C916" i="22"/>
  <c r="F915" i="22"/>
  <c r="E915" i="22"/>
  <c r="C915" i="22"/>
  <c r="F913" i="22"/>
  <c r="D913" i="22"/>
  <c r="C913" i="22"/>
  <c r="F912" i="22"/>
  <c r="E912" i="22"/>
  <c r="C912" i="22"/>
  <c r="F911" i="22"/>
  <c r="E911" i="22"/>
  <c r="C911" i="22"/>
  <c r="F910" i="22"/>
  <c r="E910" i="22"/>
  <c r="C910" i="22"/>
  <c r="F909" i="22"/>
  <c r="E909" i="22"/>
  <c r="C909" i="22"/>
  <c r="F907" i="22"/>
  <c r="D907" i="22"/>
  <c r="C907" i="22"/>
  <c r="F906" i="22"/>
  <c r="E906" i="22"/>
  <c r="C906" i="22"/>
  <c r="F905" i="22"/>
  <c r="E905" i="22"/>
  <c r="C905" i="22"/>
  <c r="F904" i="22"/>
  <c r="E904" i="22"/>
  <c r="C904" i="22"/>
  <c r="F903" i="22"/>
  <c r="E903" i="22"/>
  <c r="C903" i="22"/>
  <c r="F900" i="22"/>
  <c r="D900" i="22"/>
  <c r="C900" i="22"/>
  <c r="F899" i="22"/>
  <c r="E899" i="22"/>
  <c r="C899" i="22"/>
  <c r="F898" i="22"/>
  <c r="E898" i="22"/>
  <c r="C898" i="22"/>
  <c r="F897" i="22"/>
  <c r="E897" i="22"/>
  <c r="C897" i="22"/>
  <c r="F896" i="22"/>
  <c r="E896" i="22"/>
  <c r="C896" i="22"/>
  <c r="F892" i="22"/>
  <c r="D892" i="22"/>
  <c r="C892" i="22"/>
  <c r="F891" i="22"/>
  <c r="E891" i="22"/>
  <c r="C891" i="22"/>
  <c r="F890" i="22"/>
  <c r="E890" i="22"/>
  <c r="C890" i="22"/>
  <c r="F889" i="22"/>
  <c r="E889" i="22"/>
  <c r="C889" i="22"/>
  <c r="F888" i="22"/>
  <c r="E888" i="22"/>
  <c r="C888" i="22"/>
  <c r="F886" i="22"/>
  <c r="D886" i="22"/>
  <c r="C886" i="22"/>
  <c r="F885" i="22"/>
  <c r="E885" i="22"/>
  <c r="C885" i="22"/>
  <c r="F884" i="22"/>
  <c r="E884" i="22"/>
  <c r="C884" i="22"/>
  <c r="F883" i="22"/>
  <c r="E883" i="22"/>
  <c r="C883" i="22"/>
  <c r="F882" i="22"/>
  <c r="E882" i="22"/>
  <c r="C882" i="22"/>
  <c r="F880" i="22"/>
  <c r="D880" i="22"/>
  <c r="C880" i="22"/>
  <c r="F879" i="22"/>
  <c r="E879" i="22"/>
  <c r="C879" i="22"/>
  <c r="F878" i="22"/>
  <c r="E878" i="22"/>
  <c r="C878" i="22"/>
  <c r="F877" i="22"/>
  <c r="E877" i="22"/>
  <c r="C877" i="22"/>
  <c r="F876" i="22"/>
  <c r="E876" i="22"/>
  <c r="C876" i="22"/>
  <c r="F874" i="22"/>
  <c r="D874" i="22"/>
  <c r="C874" i="22"/>
  <c r="F873" i="22"/>
  <c r="E873" i="22"/>
  <c r="C873" i="22"/>
  <c r="F872" i="22"/>
  <c r="E872" i="22"/>
  <c r="C872" i="22"/>
  <c r="F871" i="22"/>
  <c r="E871" i="22"/>
  <c r="C871" i="22"/>
  <c r="F870" i="22"/>
  <c r="E870" i="22"/>
  <c r="C870" i="22"/>
  <c r="F868" i="22"/>
  <c r="D868" i="22"/>
  <c r="C868" i="22"/>
  <c r="F867" i="22"/>
  <c r="E867" i="22"/>
  <c r="C867" i="22"/>
  <c r="F866" i="22"/>
  <c r="E866" i="22"/>
  <c r="C866" i="22"/>
  <c r="F865" i="22"/>
  <c r="E865" i="22"/>
  <c r="C865" i="22"/>
  <c r="F864" i="22"/>
  <c r="E864" i="22"/>
  <c r="C864" i="22"/>
  <c r="F862" i="22"/>
  <c r="D862" i="22"/>
  <c r="C862" i="22"/>
  <c r="F861" i="22"/>
  <c r="E861" i="22"/>
  <c r="C861" i="22"/>
  <c r="F860" i="22"/>
  <c r="E860" i="22"/>
  <c r="C860" i="22"/>
  <c r="F859" i="22"/>
  <c r="E859" i="22"/>
  <c r="C859" i="22"/>
  <c r="F858" i="22"/>
  <c r="E858" i="22"/>
  <c r="C858" i="22"/>
  <c r="F855" i="22"/>
  <c r="D855" i="22"/>
  <c r="C855" i="22"/>
  <c r="F854" i="22"/>
  <c r="E854" i="22"/>
  <c r="C854" i="22"/>
  <c r="F853" i="22"/>
  <c r="E853" i="22"/>
  <c r="C853" i="22"/>
  <c r="F852" i="22"/>
  <c r="E852" i="22"/>
  <c r="C852" i="22"/>
  <c r="F851" i="22"/>
  <c r="E851" i="22"/>
  <c r="C851" i="22"/>
  <c r="F845" i="22"/>
  <c r="D845" i="22"/>
  <c r="C845" i="22"/>
  <c r="F844" i="22"/>
  <c r="E844" i="22"/>
  <c r="C844" i="22"/>
  <c r="F843" i="22"/>
  <c r="E843" i="22"/>
  <c r="C843" i="22"/>
  <c r="F842" i="22"/>
  <c r="E842" i="22"/>
  <c r="C842" i="22"/>
  <c r="F841" i="22"/>
  <c r="E841" i="22"/>
  <c r="C841" i="22"/>
  <c r="F839" i="22"/>
  <c r="D839" i="22"/>
  <c r="C839" i="22"/>
  <c r="F838" i="22"/>
  <c r="E838" i="22"/>
  <c r="C838" i="22"/>
  <c r="F837" i="22"/>
  <c r="E837" i="22"/>
  <c r="C837" i="22"/>
  <c r="F836" i="22"/>
  <c r="E836" i="22"/>
  <c r="C836" i="22"/>
  <c r="F835" i="22"/>
  <c r="E835" i="22"/>
  <c r="C835" i="22"/>
  <c r="F832" i="22"/>
  <c r="D832" i="22"/>
  <c r="C832" i="22"/>
  <c r="F831" i="22"/>
  <c r="E831" i="22"/>
  <c r="C831" i="22"/>
  <c r="F830" i="22"/>
  <c r="E830" i="22"/>
  <c r="C830" i="22"/>
  <c r="F829" i="22"/>
  <c r="E829" i="22"/>
  <c r="C829" i="22"/>
  <c r="F828" i="22"/>
  <c r="E828" i="22"/>
  <c r="C828" i="22"/>
  <c r="F826" i="22"/>
  <c r="D826" i="22"/>
  <c r="C826" i="22"/>
  <c r="F825" i="22"/>
  <c r="E825" i="22"/>
  <c r="C825" i="22"/>
  <c r="F824" i="22"/>
  <c r="E824" i="22"/>
  <c r="C824" i="22"/>
  <c r="F823" i="22"/>
  <c r="E823" i="22"/>
  <c r="C823" i="22"/>
  <c r="F822" i="22"/>
  <c r="E822" i="22"/>
  <c r="C822" i="22"/>
  <c r="F813" i="22"/>
  <c r="D813" i="22"/>
  <c r="C813" i="22"/>
  <c r="F812" i="22"/>
  <c r="E812" i="22"/>
  <c r="C812" i="22"/>
  <c r="F811" i="22"/>
  <c r="E811" i="22"/>
  <c r="C811" i="22"/>
  <c r="F810" i="22"/>
  <c r="E810" i="22"/>
  <c r="C810" i="22"/>
  <c r="F809" i="22"/>
  <c r="E809" i="22"/>
  <c r="C809" i="22"/>
  <c r="F806" i="22"/>
  <c r="D806" i="22"/>
  <c r="C806" i="22"/>
  <c r="F805" i="22"/>
  <c r="E805" i="22"/>
  <c r="C805" i="22"/>
  <c r="F804" i="22"/>
  <c r="E804" i="22"/>
  <c r="C804" i="22"/>
  <c r="F803" i="22"/>
  <c r="E803" i="22"/>
  <c r="C803" i="22"/>
  <c r="F802" i="22"/>
  <c r="E802" i="22"/>
  <c r="C802" i="22"/>
  <c r="F801" i="22"/>
  <c r="E801" i="22"/>
  <c r="C801" i="22"/>
  <c r="F799" i="22"/>
  <c r="D799" i="22"/>
  <c r="C799" i="22"/>
  <c r="F798" i="22"/>
  <c r="E798" i="22"/>
  <c r="C798" i="22"/>
  <c r="F797" i="22"/>
  <c r="E797" i="22"/>
  <c r="C797" i="22"/>
  <c r="F796" i="22"/>
  <c r="E796" i="22"/>
  <c r="C796" i="22"/>
  <c r="F795" i="22"/>
  <c r="E795" i="22"/>
  <c r="C795" i="22"/>
  <c r="F794" i="22"/>
  <c r="E794" i="22"/>
  <c r="C794" i="22"/>
  <c r="F789" i="22"/>
  <c r="D789" i="22"/>
  <c r="C789" i="22"/>
  <c r="F788" i="22"/>
  <c r="E788" i="22"/>
  <c r="C788" i="22"/>
  <c r="F787" i="22"/>
  <c r="E787" i="22"/>
  <c r="C787" i="22"/>
  <c r="F786" i="22"/>
  <c r="E786" i="22"/>
  <c r="C786" i="22"/>
  <c r="F785" i="22"/>
  <c r="E785" i="22"/>
  <c r="C785" i="22"/>
  <c r="F784" i="22"/>
  <c r="E784" i="22"/>
  <c r="C784" i="22"/>
  <c r="F782" i="22"/>
  <c r="D782" i="22"/>
  <c r="C782" i="22"/>
  <c r="F781" i="22"/>
  <c r="E781" i="22"/>
  <c r="C781" i="22"/>
  <c r="F780" i="22"/>
  <c r="E780" i="22"/>
  <c r="C780" i="22"/>
  <c r="F779" i="22"/>
  <c r="E779" i="22"/>
  <c r="C779" i="22"/>
  <c r="F778" i="22"/>
  <c r="E778" i="22"/>
  <c r="C778" i="22"/>
  <c r="F777" i="22"/>
  <c r="E777" i="22"/>
  <c r="C777" i="22"/>
  <c r="F772" i="22"/>
  <c r="D772" i="22"/>
  <c r="C772" i="22"/>
  <c r="F771" i="22"/>
  <c r="E771" i="22"/>
  <c r="C771" i="22"/>
  <c r="F770" i="22"/>
  <c r="E770" i="22"/>
  <c r="C770" i="22"/>
  <c r="F769" i="22"/>
  <c r="E769" i="22"/>
  <c r="C769" i="22"/>
  <c r="F768" i="22"/>
  <c r="E768" i="22"/>
  <c r="C768" i="22"/>
  <c r="F766" i="22"/>
  <c r="E766" i="22"/>
  <c r="D766" i="22"/>
  <c r="C766" i="22"/>
  <c r="F764" i="22"/>
  <c r="E764" i="22"/>
  <c r="D764" i="22"/>
  <c r="C764" i="22"/>
  <c r="F762" i="22"/>
  <c r="E762" i="22"/>
  <c r="D762" i="22"/>
  <c r="C762" i="22"/>
  <c r="F759" i="22"/>
  <c r="E759" i="22"/>
  <c r="D759" i="22"/>
  <c r="C759" i="22"/>
  <c r="F757" i="22"/>
  <c r="E757" i="22"/>
  <c r="D757" i="22"/>
  <c r="C757" i="22"/>
  <c r="F755" i="22"/>
  <c r="E755" i="22"/>
  <c r="D755" i="22"/>
  <c r="C755" i="22"/>
  <c r="F751" i="22"/>
  <c r="E751" i="22"/>
  <c r="D751" i="22"/>
  <c r="C751" i="22"/>
  <c r="F749" i="22"/>
  <c r="E749" i="22"/>
  <c r="D749" i="22"/>
  <c r="C749" i="22"/>
  <c r="F747" i="22"/>
  <c r="E747" i="22"/>
  <c r="D747" i="22"/>
  <c r="C747" i="22"/>
  <c r="F745" i="22"/>
  <c r="E745" i="22"/>
  <c r="D745" i="22"/>
  <c r="C745" i="22"/>
  <c r="F742" i="22"/>
  <c r="E742" i="22"/>
  <c r="D742" i="22"/>
  <c r="C742" i="22"/>
  <c r="F740" i="22"/>
  <c r="E740" i="22"/>
  <c r="D740" i="22"/>
  <c r="C740" i="22"/>
  <c r="F735" i="22"/>
  <c r="D735" i="22"/>
  <c r="C735" i="22"/>
  <c r="F734" i="22"/>
  <c r="E734" i="22"/>
  <c r="C734" i="22"/>
  <c r="F733" i="22"/>
  <c r="E733" i="22"/>
  <c r="C733" i="22"/>
  <c r="F732" i="22"/>
  <c r="E732" i="22"/>
  <c r="C732" i="22"/>
  <c r="F731" i="22"/>
  <c r="E731" i="22"/>
  <c r="C731" i="22"/>
  <c r="F729" i="22"/>
  <c r="D729" i="22"/>
  <c r="C729" i="22"/>
  <c r="F728" i="22"/>
  <c r="E728" i="22"/>
  <c r="C728" i="22"/>
  <c r="F727" i="22"/>
  <c r="E727" i="22"/>
  <c r="C727" i="22"/>
  <c r="F726" i="22"/>
  <c r="E726" i="22"/>
  <c r="C726" i="22"/>
  <c r="F725" i="22"/>
  <c r="E725" i="22"/>
  <c r="C725" i="22"/>
  <c r="F723" i="22"/>
  <c r="D723" i="22"/>
  <c r="C723" i="22"/>
  <c r="F722" i="22"/>
  <c r="E722" i="22"/>
  <c r="C722" i="22"/>
  <c r="F721" i="22"/>
  <c r="E721" i="22"/>
  <c r="C721" i="22"/>
  <c r="F720" i="22"/>
  <c r="E720" i="22"/>
  <c r="C720" i="22"/>
  <c r="F719" i="22"/>
  <c r="E719" i="22"/>
  <c r="C719" i="22"/>
  <c r="F717" i="22"/>
  <c r="D717" i="22"/>
  <c r="C717" i="22"/>
  <c r="F716" i="22"/>
  <c r="E716" i="22"/>
  <c r="C716" i="22"/>
  <c r="F715" i="22"/>
  <c r="E715" i="22"/>
  <c r="C715" i="22"/>
  <c r="F714" i="22"/>
  <c r="E714" i="22"/>
  <c r="C714" i="22"/>
  <c r="F713" i="22"/>
  <c r="E713" i="22"/>
  <c r="C713" i="22"/>
  <c r="F710" i="22"/>
  <c r="D710" i="22"/>
  <c r="C710" i="22"/>
  <c r="F709" i="22"/>
  <c r="E709" i="22"/>
  <c r="C709" i="22"/>
  <c r="F708" i="22"/>
  <c r="E708" i="22"/>
  <c r="C708" i="22"/>
  <c r="F707" i="22"/>
  <c r="E707" i="22"/>
  <c r="C707" i="22"/>
  <c r="F706" i="22"/>
  <c r="E706" i="22"/>
  <c r="C706" i="22"/>
  <c r="F704" i="22"/>
  <c r="D704" i="22"/>
  <c r="C704" i="22"/>
  <c r="F703" i="22"/>
  <c r="E703" i="22"/>
  <c r="C703" i="22"/>
  <c r="F702" i="22"/>
  <c r="E702" i="22"/>
  <c r="C702" i="22"/>
  <c r="F701" i="22"/>
  <c r="E701" i="22"/>
  <c r="C701" i="22"/>
  <c r="F700" i="22"/>
  <c r="E700" i="22"/>
  <c r="C700" i="22"/>
  <c r="F695" i="22"/>
  <c r="D695" i="22"/>
  <c r="C695" i="22"/>
  <c r="F694" i="22"/>
  <c r="E694" i="22"/>
  <c r="C694" i="22"/>
  <c r="F693" i="22"/>
  <c r="E693" i="22"/>
  <c r="C693" i="22"/>
  <c r="F692" i="22"/>
  <c r="E692" i="22"/>
  <c r="C692" i="22"/>
  <c r="F691" i="22"/>
  <c r="E691" i="22"/>
  <c r="C691" i="22"/>
  <c r="F689" i="22"/>
  <c r="D689" i="22"/>
  <c r="C689" i="22"/>
  <c r="F688" i="22"/>
  <c r="E688" i="22"/>
  <c r="C688" i="22"/>
  <c r="F687" i="22"/>
  <c r="E687" i="22"/>
  <c r="C687" i="22"/>
  <c r="F686" i="22"/>
  <c r="E686" i="22"/>
  <c r="C686" i="22"/>
  <c r="F685" i="22"/>
  <c r="E685" i="22"/>
  <c r="C685" i="22"/>
  <c r="F682" i="22"/>
  <c r="E682" i="22"/>
  <c r="D682" i="22"/>
  <c r="C682" i="22"/>
  <c r="F681" i="22"/>
  <c r="E681" i="22"/>
  <c r="D681" i="22"/>
  <c r="C681" i="22"/>
  <c r="F680" i="22"/>
  <c r="E680" i="22"/>
  <c r="D680" i="22"/>
  <c r="C680" i="22"/>
  <c r="F679" i="22"/>
  <c r="E679" i="22"/>
  <c r="D679" i="22"/>
  <c r="C679" i="22"/>
  <c r="F678" i="22"/>
  <c r="E678" i="22"/>
  <c r="D678" i="22"/>
  <c r="H682" i="22" s="1"/>
  <c r="C678" i="22"/>
  <c r="F676" i="22"/>
  <c r="D676" i="22"/>
  <c r="C676" i="22"/>
  <c r="F675" i="22"/>
  <c r="E675" i="22"/>
  <c r="C675" i="22"/>
  <c r="F674" i="22"/>
  <c r="E674" i="22"/>
  <c r="C674" i="22"/>
  <c r="F673" i="22"/>
  <c r="E673" i="22"/>
  <c r="C673" i="22"/>
  <c r="F672" i="22"/>
  <c r="E672" i="22"/>
  <c r="C672" i="22"/>
  <c r="F669" i="22"/>
  <c r="D669" i="22"/>
  <c r="C669" i="22"/>
  <c r="F668" i="22"/>
  <c r="E668" i="22"/>
  <c r="C668" i="22"/>
  <c r="F667" i="22"/>
  <c r="E667" i="22"/>
  <c r="C667" i="22"/>
  <c r="F666" i="22"/>
  <c r="E666" i="22"/>
  <c r="C666" i="22"/>
  <c r="F665" i="22"/>
  <c r="E665" i="22"/>
  <c r="C665" i="22"/>
  <c r="F661" i="22"/>
  <c r="E661" i="22"/>
  <c r="D661" i="22"/>
  <c r="C661" i="22"/>
  <c r="F660" i="22"/>
  <c r="E660" i="22"/>
  <c r="D660" i="22"/>
  <c r="C660" i="22"/>
  <c r="F659" i="22"/>
  <c r="E659" i="22"/>
  <c r="D659" i="22"/>
  <c r="C659" i="22"/>
  <c r="F658" i="22"/>
  <c r="E658" i="22"/>
  <c r="D658" i="22"/>
  <c r="C658" i="22"/>
  <c r="F657" i="22"/>
  <c r="E657" i="22"/>
  <c r="D657" i="22"/>
  <c r="H661" i="22" s="1"/>
  <c r="C657" i="22"/>
  <c r="F655" i="22"/>
  <c r="D655" i="22"/>
  <c r="C655" i="22"/>
  <c r="F654" i="22"/>
  <c r="E654" i="22"/>
  <c r="C654" i="22"/>
  <c r="F653" i="22"/>
  <c r="E653" i="22"/>
  <c r="C653" i="22"/>
  <c r="F652" i="22"/>
  <c r="E652" i="22"/>
  <c r="C652" i="22"/>
  <c r="F651" i="22"/>
  <c r="E651" i="22"/>
  <c r="C651" i="22"/>
  <c r="F647" i="22"/>
  <c r="E647" i="22"/>
  <c r="D647" i="22"/>
  <c r="C647" i="22"/>
  <c r="F646" i="22"/>
  <c r="E646" i="22"/>
  <c r="D646" i="22"/>
  <c r="C646" i="22"/>
  <c r="F645" i="22"/>
  <c r="E645" i="22"/>
  <c r="D645" i="22"/>
  <c r="C645" i="22"/>
  <c r="F644" i="22"/>
  <c r="E644" i="22"/>
  <c r="D644" i="22"/>
  <c r="C644" i="22"/>
  <c r="F643" i="22"/>
  <c r="E643" i="22"/>
  <c r="D643" i="22"/>
  <c r="H647" i="22" s="1"/>
  <c r="C643" i="22"/>
  <c r="F641" i="22"/>
  <c r="E641" i="22"/>
  <c r="D641" i="22"/>
  <c r="C641" i="22"/>
  <c r="F640" i="22"/>
  <c r="E640" i="22"/>
  <c r="D640" i="22"/>
  <c r="C640" i="22"/>
  <c r="F639" i="22"/>
  <c r="E639" i="22"/>
  <c r="D639" i="22"/>
  <c r="C639" i="22"/>
  <c r="F638" i="22"/>
  <c r="E638" i="22"/>
  <c r="D638" i="22"/>
  <c r="C638" i="22"/>
  <c r="F637" i="22"/>
  <c r="E637" i="22"/>
  <c r="D637" i="22"/>
  <c r="H641" i="22" s="1"/>
  <c r="C637" i="22"/>
  <c r="F633" i="22"/>
  <c r="E633" i="22"/>
  <c r="D633" i="22"/>
  <c r="C633" i="22"/>
  <c r="F632" i="22"/>
  <c r="E632" i="22"/>
  <c r="D632" i="22"/>
  <c r="C632" i="22"/>
  <c r="F631" i="22"/>
  <c r="E631" i="22"/>
  <c r="D631" i="22"/>
  <c r="C631" i="22"/>
  <c r="F630" i="22"/>
  <c r="E630" i="22"/>
  <c r="D630" i="22"/>
  <c r="C630" i="22"/>
  <c r="F629" i="22"/>
  <c r="E629" i="22"/>
  <c r="D629" i="22"/>
  <c r="H633" i="22" s="1"/>
  <c r="C629" i="22"/>
  <c r="F625" i="22"/>
  <c r="E625" i="22"/>
  <c r="D625" i="22"/>
  <c r="C625" i="22"/>
  <c r="F624" i="22"/>
  <c r="E624" i="22"/>
  <c r="D624" i="22"/>
  <c r="C624" i="22"/>
  <c r="F623" i="22"/>
  <c r="E623" i="22"/>
  <c r="D623" i="22"/>
  <c r="C623" i="22"/>
  <c r="F622" i="22"/>
  <c r="E622" i="22"/>
  <c r="D622" i="22"/>
  <c r="C622" i="22"/>
  <c r="F621" i="22"/>
  <c r="E621" i="22"/>
  <c r="D621" i="22"/>
  <c r="H625" i="22" s="1"/>
  <c r="C621" i="22"/>
  <c r="F617" i="22"/>
  <c r="E617" i="22"/>
  <c r="D617" i="22"/>
  <c r="C617" i="22"/>
  <c r="F616" i="22"/>
  <c r="E616" i="22"/>
  <c r="D616" i="22"/>
  <c r="C616" i="22"/>
  <c r="F615" i="22"/>
  <c r="E615" i="22"/>
  <c r="D615" i="22"/>
  <c r="C615" i="22"/>
  <c r="F614" i="22"/>
  <c r="E614" i="22"/>
  <c r="D614" i="22"/>
  <c r="C614" i="22"/>
  <c r="F613" i="22"/>
  <c r="E613" i="22"/>
  <c r="D613" i="22"/>
  <c r="H617" i="22" s="1"/>
  <c r="C613" i="22"/>
  <c r="F609" i="22"/>
  <c r="D609" i="22"/>
  <c r="C609" i="22"/>
  <c r="F608" i="22"/>
  <c r="E608" i="22"/>
  <c r="C608" i="22"/>
  <c r="F607" i="22"/>
  <c r="E607" i="22"/>
  <c r="C607" i="22"/>
  <c r="F606" i="22"/>
  <c r="E606" i="22"/>
  <c r="C606" i="22"/>
  <c r="F605" i="22"/>
  <c r="E605" i="22"/>
  <c r="C605" i="22"/>
  <c r="F600" i="22"/>
  <c r="D600" i="22"/>
  <c r="C600" i="22"/>
  <c r="F599" i="22"/>
  <c r="E599" i="22"/>
  <c r="C599" i="22"/>
  <c r="F598" i="22"/>
  <c r="E598" i="22"/>
  <c r="C598" i="22"/>
  <c r="F597" i="22"/>
  <c r="E597" i="22"/>
  <c r="C597" i="22"/>
  <c r="F596" i="22"/>
  <c r="E596" i="22"/>
  <c r="C596" i="22"/>
  <c r="F591" i="22"/>
  <c r="D591" i="22"/>
  <c r="C591" i="22"/>
  <c r="F590" i="22"/>
  <c r="E590" i="22"/>
  <c r="C590" i="22"/>
  <c r="F589" i="22"/>
  <c r="E589" i="22"/>
  <c r="C589" i="22"/>
  <c r="F588" i="22"/>
  <c r="E588" i="22"/>
  <c r="C588" i="22"/>
  <c r="F587" i="22"/>
  <c r="E587" i="22"/>
  <c r="C587" i="22"/>
  <c r="F585" i="22"/>
  <c r="D585" i="22"/>
  <c r="C585" i="22"/>
  <c r="F584" i="22"/>
  <c r="E584" i="22"/>
  <c r="C584" i="22"/>
  <c r="F583" i="22"/>
  <c r="E583" i="22"/>
  <c r="C583" i="22"/>
  <c r="F582" i="22"/>
  <c r="E582" i="22"/>
  <c r="C582" i="22"/>
  <c r="F581" i="22"/>
  <c r="E581" i="22"/>
  <c r="C581" i="22"/>
  <c r="F578" i="22"/>
  <c r="D578" i="22"/>
  <c r="C578" i="22"/>
  <c r="F577" i="22"/>
  <c r="E577" i="22"/>
  <c r="C577" i="22"/>
  <c r="F576" i="22"/>
  <c r="E576" i="22"/>
  <c r="C576" i="22"/>
  <c r="F575" i="22"/>
  <c r="E575" i="22"/>
  <c r="C575" i="22"/>
  <c r="F574" i="22"/>
  <c r="E574" i="22"/>
  <c r="C574" i="22"/>
  <c r="F572" i="22"/>
  <c r="D572" i="22"/>
  <c r="C572" i="22"/>
  <c r="F571" i="22"/>
  <c r="E571" i="22"/>
  <c r="C571" i="22"/>
  <c r="F570" i="22"/>
  <c r="E570" i="22"/>
  <c r="C570" i="22"/>
  <c r="F569" i="22"/>
  <c r="E569" i="22"/>
  <c r="C569" i="22"/>
  <c r="F568" i="22"/>
  <c r="E568" i="22"/>
  <c r="C568" i="22"/>
  <c r="F559" i="22"/>
  <c r="D559" i="22"/>
  <c r="C559" i="22"/>
  <c r="F558" i="22"/>
  <c r="E558" i="22"/>
  <c r="C558" i="22"/>
  <c r="F557" i="22"/>
  <c r="E557" i="22"/>
  <c r="C557" i="22"/>
  <c r="F556" i="22"/>
  <c r="E556" i="22"/>
  <c r="C556" i="22"/>
  <c r="F555" i="22"/>
  <c r="E555" i="22"/>
  <c r="C555" i="22"/>
  <c r="F552" i="22"/>
  <c r="D552" i="22"/>
  <c r="C552" i="22"/>
  <c r="F551" i="22"/>
  <c r="E551" i="22"/>
  <c r="C551" i="22"/>
  <c r="F550" i="22"/>
  <c r="E550" i="22"/>
  <c r="C550" i="22"/>
  <c r="F549" i="22"/>
  <c r="E549" i="22"/>
  <c r="C549" i="22"/>
  <c r="F548" i="22"/>
  <c r="E548" i="22"/>
  <c r="C548" i="22"/>
  <c r="F546" i="22"/>
  <c r="D546" i="22"/>
  <c r="C546" i="22"/>
  <c r="F545" i="22"/>
  <c r="E545" i="22"/>
  <c r="C545" i="22"/>
  <c r="F544" i="22"/>
  <c r="E544" i="22"/>
  <c r="C544" i="22"/>
  <c r="F543" i="22"/>
  <c r="E543" i="22"/>
  <c r="C543" i="22"/>
  <c r="F542" i="22"/>
  <c r="E542" i="22"/>
  <c r="C542" i="22"/>
  <c r="F538" i="22"/>
  <c r="D538" i="22"/>
  <c r="C538" i="22"/>
  <c r="F537" i="22"/>
  <c r="E537" i="22"/>
  <c r="C537" i="22"/>
  <c r="F536" i="22"/>
  <c r="E536" i="22"/>
  <c r="C536" i="22"/>
  <c r="F535" i="22"/>
  <c r="E535" i="22"/>
  <c r="C535" i="22"/>
  <c r="F534" i="22"/>
  <c r="E534" i="22"/>
  <c r="C534" i="22"/>
  <c r="F533" i="22"/>
  <c r="E533" i="22"/>
  <c r="C533" i="22"/>
  <c r="F531" i="22"/>
  <c r="D531" i="22"/>
  <c r="C531" i="22"/>
  <c r="F530" i="22"/>
  <c r="E530" i="22"/>
  <c r="C530" i="22"/>
  <c r="F529" i="22"/>
  <c r="E529" i="22"/>
  <c r="C529" i="22"/>
  <c r="F528" i="22"/>
  <c r="E528" i="22"/>
  <c r="C528" i="22"/>
  <c r="F527" i="22"/>
  <c r="E527" i="22"/>
  <c r="C527" i="22"/>
  <c r="F526" i="22"/>
  <c r="E526" i="22"/>
  <c r="C526" i="22"/>
  <c r="F518" i="22"/>
  <c r="D518" i="22"/>
  <c r="C518" i="22"/>
  <c r="F517" i="22"/>
  <c r="E517" i="22"/>
  <c r="C517" i="22"/>
  <c r="F516" i="22"/>
  <c r="E516" i="22"/>
  <c r="C516" i="22"/>
  <c r="F515" i="22"/>
  <c r="E515" i="22"/>
  <c r="C515" i="22"/>
  <c r="F514" i="22"/>
  <c r="E514" i="22"/>
  <c r="C514" i="22"/>
  <c r="F512" i="22"/>
  <c r="D512" i="22"/>
  <c r="C512" i="22"/>
  <c r="F511" i="22"/>
  <c r="E511" i="22"/>
  <c r="C511" i="22"/>
  <c r="F510" i="22"/>
  <c r="E510" i="22"/>
  <c r="C510" i="22"/>
  <c r="F509" i="22"/>
  <c r="E509" i="22"/>
  <c r="C509" i="22"/>
  <c r="F508" i="22"/>
  <c r="E508" i="22"/>
  <c r="C508" i="22"/>
  <c r="F505" i="22"/>
  <c r="E505" i="22"/>
  <c r="D505" i="22"/>
  <c r="C505" i="22"/>
  <c r="F503" i="22"/>
  <c r="E503" i="22"/>
  <c r="D503" i="22"/>
  <c r="C503" i="22"/>
  <c r="F501" i="22"/>
  <c r="E501" i="22"/>
  <c r="D501" i="22"/>
  <c r="C501" i="22"/>
  <c r="F498" i="22"/>
  <c r="E498" i="22"/>
  <c r="D498" i="22"/>
  <c r="C498" i="22"/>
  <c r="F496" i="22"/>
  <c r="E496" i="22"/>
  <c r="D496" i="22"/>
  <c r="C496" i="22"/>
  <c r="F494" i="22"/>
  <c r="E494" i="22"/>
  <c r="D494" i="22"/>
  <c r="C494" i="22"/>
  <c r="F489" i="22"/>
  <c r="E489" i="22"/>
  <c r="D489" i="22"/>
  <c r="C489" i="22"/>
  <c r="F487" i="22"/>
  <c r="E487" i="22"/>
  <c r="D487" i="22"/>
  <c r="C487" i="22"/>
  <c r="F485" i="22"/>
  <c r="E485" i="22"/>
  <c r="D485" i="22"/>
  <c r="C485" i="22"/>
  <c r="F483" i="22"/>
  <c r="E483" i="22"/>
  <c r="D483" i="22"/>
  <c r="C483" i="22"/>
  <c r="F480" i="22"/>
  <c r="E480" i="22"/>
  <c r="D480" i="22"/>
  <c r="C480" i="22"/>
  <c r="F478" i="22"/>
  <c r="E478" i="22"/>
  <c r="D478" i="22"/>
  <c r="C478" i="22"/>
  <c r="F472" i="22"/>
  <c r="D472" i="22"/>
  <c r="C472" i="22"/>
  <c r="F471" i="22"/>
  <c r="E471" i="22"/>
  <c r="C471" i="22"/>
  <c r="F470" i="22"/>
  <c r="E470" i="22"/>
  <c r="C470" i="22"/>
  <c r="F469" i="22"/>
  <c r="E469" i="22"/>
  <c r="C469" i="22"/>
  <c r="F468" i="22"/>
  <c r="E468" i="22"/>
  <c r="C468" i="22"/>
  <c r="F465" i="22"/>
  <c r="D465" i="22"/>
  <c r="C465" i="22"/>
  <c r="F464" i="22"/>
  <c r="E464" i="22"/>
  <c r="C464" i="22"/>
  <c r="F463" i="22"/>
  <c r="E463" i="22"/>
  <c r="C463" i="22"/>
  <c r="F462" i="22"/>
  <c r="E462" i="22"/>
  <c r="C462" i="22"/>
  <c r="F461" i="22"/>
  <c r="E461" i="22"/>
  <c r="C461" i="22"/>
  <c r="F459" i="22"/>
  <c r="D459" i="22"/>
  <c r="C459" i="22"/>
  <c r="F458" i="22"/>
  <c r="E458" i="22"/>
  <c r="C458" i="22"/>
  <c r="F457" i="22"/>
  <c r="E457" i="22"/>
  <c r="C457" i="22"/>
  <c r="F456" i="22"/>
  <c r="E456" i="22"/>
  <c r="C456" i="22"/>
  <c r="F455" i="22"/>
  <c r="E455" i="22"/>
  <c r="C455" i="22"/>
  <c r="F452" i="22"/>
  <c r="D452" i="22"/>
  <c r="C452" i="22"/>
  <c r="F451" i="22"/>
  <c r="E451" i="22"/>
  <c r="C451" i="22"/>
  <c r="F450" i="22"/>
  <c r="E450" i="22"/>
  <c r="C450" i="22"/>
  <c r="F449" i="22"/>
  <c r="E449" i="22"/>
  <c r="C449" i="22"/>
  <c r="F448" i="22"/>
  <c r="E448" i="22"/>
  <c r="C448" i="22"/>
  <c r="F446" i="22"/>
  <c r="D446" i="22"/>
  <c r="C446" i="22"/>
  <c r="F445" i="22"/>
  <c r="E445" i="22"/>
  <c r="C445" i="22"/>
  <c r="F444" i="22"/>
  <c r="E444" i="22"/>
  <c r="C444" i="22"/>
  <c r="F443" i="22"/>
  <c r="E443" i="22"/>
  <c r="C443" i="22"/>
  <c r="F442" i="22"/>
  <c r="E442" i="22"/>
  <c r="C442" i="22"/>
  <c r="F440" i="22"/>
  <c r="D440" i="22"/>
  <c r="C440" i="22"/>
  <c r="F439" i="22"/>
  <c r="E439" i="22"/>
  <c r="C439" i="22"/>
  <c r="F438" i="22"/>
  <c r="E438" i="22"/>
  <c r="C438" i="22"/>
  <c r="F437" i="22"/>
  <c r="E437" i="22"/>
  <c r="C437" i="22"/>
  <c r="F436" i="22"/>
  <c r="E436" i="22"/>
  <c r="C436" i="22"/>
  <c r="F430" i="22"/>
  <c r="D430" i="22"/>
  <c r="C430" i="22"/>
  <c r="F429" i="22"/>
  <c r="E429" i="22"/>
  <c r="C429" i="22"/>
  <c r="F428" i="22"/>
  <c r="E428" i="22"/>
  <c r="C428" i="22"/>
  <c r="F427" i="22"/>
  <c r="E427" i="22"/>
  <c r="C427" i="22"/>
  <c r="F426" i="22"/>
  <c r="E426" i="22"/>
  <c r="C426" i="22"/>
  <c r="F424" i="22"/>
  <c r="D424" i="22"/>
  <c r="C424" i="22"/>
  <c r="F423" i="22"/>
  <c r="E423" i="22"/>
  <c r="C423" i="22"/>
  <c r="F422" i="22"/>
  <c r="E422" i="22"/>
  <c r="C422" i="22"/>
  <c r="F421" i="22"/>
  <c r="E421" i="22"/>
  <c r="C421" i="22"/>
  <c r="F420" i="22"/>
  <c r="E420" i="22"/>
  <c r="C420" i="22"/>
  <c r="F418" i="22"/>
  <c r="D418" i="22"/>
  <c r="C418" i="22"/>
  <c r="F417" i="22"/>
  <c r="E417" i="22"/>
  <c r="C417" i="22"/>
  <c r="F416" i="22"/>
  <c r="E416" i="22"/>
  <c r="C416" i="22"/>
  <c r="F415" i="22"/>
  <c r="E415" i="22"/>
  <c r="C415" i="22"/>
  <c r="F414" i="22"/>
  <c r="E414" i="22"/>
  <c r="C414" i="22"/>
  <c r="F412" i="22"/>
  <c r="D412" i="22"/>
  <c r="C412" i="22"/>
  <c r="F411" i="22"/>
  <c r="E411" i="22"/>
  <c r="C411" i="22"/>
  <c r="F410" i="22"/>
  <c r="E410" i="22"/>
  <c r="C410" i="22"/>
  <c r="F409" i="22"/>
  <c r="E409" i="22"/>
  <c r="C409" i="22"/>
  <c r="F408" i="22"/>
  <c r="E408" i="22"/>
  <c r="C408" i="22"/>
  <c r="F406" i="22"/>
  <c r="D406" i="22"/>
  <c r="C406" i="22"/>
  <c r="F405" i="22"/>
  <c r="E405" i="22"/>
  <c r="C405" i="22"/>
  <c r="F404" i="22"/>
  <c r="E404" i="22"/>
  <c r="C404" i="22"/>
  <c r="F403" i="22"/>
  <c r="E403" i="22"/>
  <c r="C403" i="22"/>
  <c r="F402" i="22"/>
  <c r="E402" i="22"/>
  <c r="C402" i="22"/>
  <c r="F398" i="22"/>
  <c r="D398" i="22"/>
  <c r="C398" i="22"/>
  <c r="F397" i="22"/>
  <c r="E397" i="22"/>
  <c r="C397" i="22"/>
  <c r="F396" i="22"/>
  <c r="E396" i="22"/>
  <c r="C396" i="22"/>
  <c r="F395" i="22"/>
  <c r="E395" i="22"/>
  <c r="C395" i="22"/>
  <c r="F394" i="22"/>
  <c r="E394" i="22"/>
  <c r="C394" i="22"/>
  <c r="F390" i="22"/>
  <c r="D390" i="22"/>
  <c r="C390" i="22"/>
  <c r="F389" i="22"/>
  <c r="E389" i="22"/>
  <c r="C389" i="22"/>
  <c r="F388" i="22"/>
  <c r="E388" i="22"/>
  <c r="C388" i="22"/>
  <c r="F387" i="22"/>
  <c r="E387" i="22"/>
  <c r="C387" i="22"/>
  <c r="F386" i="22"/>
  <c r="E386" i="22"/>
  <c r="C386" i="22"/>
  <c r="F384" i="22"/>
  <c r="D384" i="22"/>
  <c r="C384" i="22"/>
  <c r="F383" i="22"/>
  <c r="E383" i="22"/>
  <c r="C383" i="22"/>
  <c r="F382" i="22"/>
  <c r="E382" i="22"/>
  <c r="C382" i="22"/>
  <c r="F381" i="22"/>
  <c r="E381" i="22"/>
  <c r="C381" i="22"/>
  <c r="F380" i="22"/>
  <c r="E380" i="22"/>
  <c r="C380" i="22"/>
  <c r="F370" i="22"/>
  <c r="E370" i="22"/>
  <c r="D370" i="22"/>
  <c r="C370" i="22"/>
  <c r="F369" i="22"/>
  <c r="E369" i="22"/>
  <c r="D369" i="22"/>
  <c r="C369" i="22"/>
  <c r="F368" i="22"/>
  <c r="E368" i="22"/>
  <c r="D368" i="22"/>
  <c r="C368" i="22"/>
  <c r="F367" i="22"/>
  <c r="E367" i="22"/>
  <c r="D367" i="22"/>
  <c r="C367" i="22"/>
  <c r="F366" i="22"/>
  <c r="E366" i="22"/>
  <c r="D366" i="22"/>
  <c r="H370" i="22" s="1"/>
  <c r="C366" i="22"/>
  <c r="F376" i="22"/>
  <c r="E376" i="22"/>
  <c r="D376" i="22"/>
  <c r="C376" i="22"/>
  <c r="F375" i="22"/>
  <c r="E375" i="22"/>
  <c r="D375" i="22"/>
  <c r="C375" i="22"/>
  <c r="F374" i="22"/>
  <c r="E374" i="22"/>
  <c r="D374" i="22"/>
  <c r="C374" i="22"/>
  <c r="F373" i="22"/>
  <c r="E373" i="22"/>
  <c r="D373" i="22"/>
  <c r="C373" i="22"/>
  <c r="F372" i="22"/>
  <c r="E372" i="22"/>
  <c r="D372" i="22"/>
  <c r="H376" i="22" s="1"/>
  <c r="C372" i="22"/>
  <c r="F363" i="22"/>
  <c r="E363" i="22"/>
  <c r="D363" i="22"/>
  <c r="C363" i="22"/>
  <c r="F362" i="22"/>
  <c r="E362" i="22"/>
  <c r="D362" i="22"/>
  <c r="C362" i="22"/>
  <c r="F361" i="22"/>
  <c r="E361" i="22"/>
  <c r="D361" i="22"/>
  <c r="C361" i="22"/>
  <c r="F360" i="22"/>
  <c r="E360" i="22"/>
  <c r="D360" i="22"/>
  <c r="C360" i="22"/>
  <c r="F359" i="22"/>
  <c r="E359" i="22"/>
  <c r="D359" i="22"/>
  <c r="H363" i="22" s="1"/>
  <c r="C359" i="22"/>
  <c r="F356" i="22"/>
  <c r="D356" i="22"/>
  <c r="C356" i="22"/>
  <c r="F355" i="22"/>
  <c r="E355" i="22"/>
  <c r="C355" i="22"/>
  <c r="F354" i="22"/>
  <c r="E354" i="22"/>
  <c r="C354" i="22"/>
  <c r="F353" i="22"/>
  <c r="E353" i="22"/>
  <c r="C353" i="22"/>
  <c r="F352" i="22"/>
  <c r="E352" i="22"/>
  <c r="C352" i="22"/>
  <c r="F347" i="22"/>
  <c r="D347" i="22"/>
  <c r="C347" i="22"/>
  <c r="F346" i="22"/>
  <c r="E346" i="22"/>
  <c r="C346" i="22"/>
  <c r="F345" i="22"/>
  <c r="E345" i="22"/>
  <c r="C345" i="22"/>
  <c r="F344" i="22"/>
  <c r="E344" i="22"/>
  <c r="C344" i="22"/>
  <c r="F343" i="22"/>
  <c r="E343" i="22"/>
  <c r="C343" i="22"/>
  <c r="F341" i="22"/>
  <c r="D341" i="22"/>
  <c r="C341" i="22"/>
  <c r="F340" i="22"/>
  <c r="E340" i="22"/>
  <c r="C340" i="22"/>
  <c r="F339" i="22"/>
  <c r="E339" i="22"/>
  <c r="C339" i="22"/>
  <c r="F338" i="22"/>
  <c r="E338" i="22"/>
  <c r="C338" i="22"/>
  <c r="F337" i="22"/>
  <c r="E337" i="22"/>
  <c r="C337" i="22"/>
  <c r="F334" i="22"/>
  <c r="D334" i="22"/>
  <c r="C334" i="22"/>
  <c r="F333" i="22"/>
  <c r="E333" i="22"/>
  <c r="C333" i="22"/>
  <c r="F332" i="22"/>
  <c r="E332" i="22"/>
  <c r="C332" i="22"/>
  <c r="F331" i="22"/>
  <c r="E331" i="22"/>
  <c r="C331" i="22"/>
  <c r="F330" i="22"/>
  <c r="E330" i="22"/>
  <c r="C330" i="22"/>
  <c r="F328" i="22"/>
  <c r="D328" i="22"/>
  <c r="C328" i="22"/>
  <c r="F327" i="22"/>
  <c r="E327" i="22"/>
  <c r="C327" i="22"/>
  <c r="F326" i="22"/>
  <c r="E326" i="22"/>
  <c r="C326" i="22"/>
  <c r="F325" i="22"/>
  <c r="E325" i="22"/>
  <c r="C325" i="22"/>
  <c r="F324" i="22"/>
  <c r="E324" i="22"/>
  <c r="C324" i="22"/>
  <c r="F318" i="22"/>
  <c r="D318" i="22"/>
  <c r="C318" i="22"/>
  <c r="F317" i="22"/>
  <c r="E317" i="22"/>
  <c r="C317" i="22"/>
  <c r="F316" i="22"/>
  <c r="E316" i="22"/>
  <c r="C316" i="22"/>
  <c r="F315" i="22"/>
  <c r="E315" i="22"/>
  <c r="C315" i="22"/>
  <c r="F314" i="22"/>
  <c r="E314" i="22"/>
  <c r="C314" i="22"/>
  <c r="F312" i="22"/>
  <c r="D312" i="22"/>
  <c r="C312" i="22"/>
  <c r="F311" i="22"/>
  <c r="E311" i="22"/>
  <c r="C311" i="22"/>
  <c r="F310" i="22"/>
  <c r="E310" i="22"/>
  <c r="C310" i="22"/>
  <c r="F309" i="22"/>
  <c r="E309" i="22"/>
  <c r="C309" i="22"/>
  <c r="F308" i="22"/>
  <c r="E308" i="22"/>
  <c r="C308" i="22"/>
  <c r="F306" i="22"/>
  <c r="D306" i="22"/>
  <c r="C306" i="22"/>
  <c r="F305" i="22"/>
  <c r="E305" i="22"/>
  <c r="C305" i="22"/>
  <c r="F304" i="22"/>
  <c r="E304" i="22"/>
  <c r="C304" i="22"/>
  <c r="F303" i="22"/>
  <c r="E303" i="22"/>
  <c r="C303" i="22"/>
  <c r="F302" i="22"/>
  <c r="E302" i="22"/>
  <c r="C302" i="22"/>
  <c r="F297" i="22"/>
  <c r="D297" i="22"/>
  <c r="C297" i="22"/>
  <c r="F296" i="22"/>
  <c r="E296" i="22"/>
  <c r="C296" i="22"/>
  <c r="F295" i="22"/>
  <c r="E295" i="22"/>
  <c r="C295" i="22"/>
  <c r="F294" i="22"/>
  <c r="E294" i="22"/>
  <c r="C294" i="22"/>
  <c r="F293" i="22"/>
  <c r="E293" i="22"/>
  <c r="C293" i="22"/>
  <c r="F292" i="22"/>
  <c r="E292" i="22"/>
  <c r="C292" i="22"/>
  <c r="F290" i="22"/>
  <c r="D290" i="22"/>
  <c r="C290" i="22"/>
  <c r="F289" i="22"/>
  <c r="E289" i="22"/>
  <c r="C289" i="22"/>
  <c r="F288" i="22"/>
  <c r="E288" i="22"/>
  <c r="C288" i="22"/>
  <c r="F287" i="22"/>
  <c r="E287" i="22"/>
  <c r="C287" i="22"/>
  <c r="F286" i="22"/>
  <c r="E286" i="22"/>
  <c r="C286" i="22"/>
  <c r="F285" i="22"/>
  <c r="E285" i="22"/>
  <c r="C285" i="22"/>
  <c r="F280" i="22"/>
  <c r="D280" i="22"/>
  <c r="C280" i="22"/>
  <c r="F279" i="22"/>
  <c r="E279" i="22"/>
  <c r="C279" i="22"/>
  <c r="F278" i="22"/>
  <c r="E278" i="22"/>
  <c r="C278" i="22"/>
  <c r="F277" i="22"/>
  <c r="E277" i="22"/>
  <c r="C277" i="22"/>
  <c r="F276" i="22"/>
  <c r="E276" i="22"/>
  <c r="C276" i="22"/>
  <c r="F274" i="22"/>
  <c r="D274" i="22"/>
  <c r="C274" i="22"/>
  <c r="F273" i="22"/>
  <c r="E273" i="22"/>
  <c r="C273" i="22"/>
  <c r="F272" i="22"/>
  <c r="E272" i="22"/>
  <c r="C272" i="22"/>
  <c r="F271" i="22"/>
  <c r="E271" i="22"/>
  <c r="C271" i="22"/>
  <c r="F270" i="22"/>
  <c r="E270" i="22"/>
  <c r="C270" i="22"/>
  <c r="F235" i="22"/>
  <c r="D235" i="22"/>
  <c r="C235" i="22"/>
  <c r="F234" i="22"/>
  <c r="E234" i="22"/>
  <c r="C234" i="22"/>
  <c r="F233" i="22"/>
  <c r="E233" i="22"/>
  <c r="C233" i="22"/>
  <c r="F232" i="22"/>
  <c r="E232" i="22"/>
  <c r="C232" i="22"/>
  <c r="F231" i="22"/>
  <c r="E231" i="22"/>
  <c r="C231" i="22"/>
  <c r="F229" i="22"/>
  <c r="D229" i="22"/>
  <c r="C229" i="22"/>
  <c r="F228" i="22"/>
  <c r="E228" i="22"/>
  <c r="C228" i="22"/>
  <c r="F227" i="22"/>
  <c r="E227" i="22"/>
  <c r="C227" i="22"/>
  <c r="F226" i="22"/>
  <c r="E226" i="22"/>
  <c r="C226" i="22"/>
  <c r="F225" i="22"/>
  <c r="E225" i="22"/>
  <c r="C225" i="22"/>
  <c r="F223" i="22"/>
  <c r="D223" i="22"/>
  <c r="C223" i="22"/>
  <c r="F222" i="22"/>
  <c r="E222" i="22"/>
  <c r="C222" i="22"/>
  <c r="F221" i="22"/>
  <c r="E221" i="22"/>
  <c r="C221" i="22"/>
  <c r="F220" i="22"/>
  <c r="E220" i="22"/>
  <c r="C220" i="22"/>
  <c r="F219" i="22"/>
  <c r="E219" i="22"/>
  <c r="C219" i="22"/>
  <c r="F215" i="22"/>
  <c r="D215" i="22"/>
  <c r="C215" i="22"/>
  <c r="F214" i="22"/>
  <c r="E214" i="22"/>
  <c r="C214" i="22"/>
  <c r="F213" i="22"/>
  <c r="E213" i="22"/>
  <c r="C213" i="22"/>
  <c r="F212" i="22"/>
  <c r="E212" i="22"/>
  <c r="C212" i="22"/>
  <c r="F211" i="22"/>
  <c r="E211" i="22"/>
  <c r="C211" i="22"/>
  <c r="F209" i="22"/>
  <c r="D209" i="22"/>
  <c r="C209" i="22"/>
  <c r="F208" i="22"/>
  <c r="E208" i="22"/>
  <c r="C208" i="22"/>
  <c r="F207" i="22"/>
  <c r="E207" i="22"/>
  <c r="C207" i="22"/>
  <c r="F206" i="22"/>
  <c r="E206" i="22"/>
  <c r="C206" i="22"/>
  <c r="F205" i="22"/>
  <c r="E205" i="22"/>
  <c r="C205" i="22"/>
  <c r="F202" i="22"/>
  <c r="D202" i="22"/>
  <c r="C202" i="22"/>
  <c r="F201" i="22"/>
  <c r="E201" i="22"/>
  <c r="C201" i="22"/>
  <c r="F200" i="22"/>
  <c r="E200" i="22"/>
  <c r="C200" i="22"/>
  <c r="F199" i="22"/>
  <c r="E199" i="22"/>
  <c r="C199" i="22"/>
  <c r="F198" i="22"/>
  <c r="E198" i="22"/>
  <c r="C198" i="22"/>
  <c r="F194" i="22"/>
  <c r="D194" i="22"/>
  <c r="C194" i="22"/>
  <c r="F193" i="22"/>
  <c r="E193" i="22"/>
  <c r="C193" i="22"/>
  <c r="F192" i="22"/>
  <c r="E192" i="22"/>
  <c r="C192" i="22"/>
  <c r="F191" i="22"/>
  <c r="E191" i="22"/>
  <c r="C191" i="22"/>
  <c r="F190" i="22"/>
  <c r="E190" i="22"/>
  <c r="C190" i="22"/>
  <c r="F187" i="22"/>
  <c r="D187" i="22"/>
  <c r="C187" i="22"/>
  <c r="F186" i="22"/>
  <c r="E186" i="22"/>
  <c r="C186" i="22"/>
  <c r="F185" i="22"/>
  <c r="E185" i="22"/>
  <c r="C185" i="22"/>
  <c r="F184" i="22"/>
  <c r="E184" i="22"/>
  <c r="C184" i="22"/>
  <c r="F183" i="22"/>
  <c r="E183" i="22"/>
  <c r="C183" i="22"/>
  <c r="F179" i="22"/>
  <c r="D179" i="22"/>
  <c r="C179" i="22"/>
  <c r="F178" i="22"/>
  <c r="E178" i="22"/>
  <c r="C178" i="22"/>
  <c r="F177" i="22"/>
  <c r="E177" i="22"/>
  <c r="C177" i="22"/>
  <c r="F176" i="22"/>
  <c r="E176" i="22"/>
  <c r="C176" i="22"/>
  <c r="F175" i="22"/>
  <c r="E175" i="22"/>
  <c r="C175" i="22"/>
  <c r="F170" i="22"/>
  <c r="D170" i="22"/>
  <c r="C170" i="22"/>
  <c r="F169" i="22"/>
  <c r="E169" i="22"/>
  <c r="C169" i="22"/>
  <c r="F168" i="22"/>
  <c r="E168" i="22"/>
  <c r="C168" i="22"/>
  <c r="F167" i="22"/>
  <c r="E167" i="22"/>
  <c r="C167" i="22"/>
  <c r="F166" i="22"/>
  <c r="E166" i="22"/>
  <c r="C166" i="22"/>
  <c r="F162" i="22"/>
  <c r="D162" i="22"/>
  <c r="C162" i="22"/>
  <c r="F161" i="22"/>
  <c r="E161" i="22"/>
  <c r="C161" i="22"/>
  <c r="F160" i="22"/>
  <c r="E160" i="22"/>
  <c r="C160" i="22"/>
  <c r="F159" i="22"/>
  <c r="E159" i="22"/>
  <c r="C159" i="22"/>
  <c r="F158" i="22"/>
  <c r="E158" i="22"/>
  <c r="C158" i="22"/>
  <c r="F153" i="22"/>
  <c r="D153" i="22"/>
  <c r="C153" i="22"/>
  <c r="F152" i="22"/>
  <c r="E152" i="22"/>
  <c r="C152" i="22"/>
  <c r="F151" i="22"/>
  <c r="E151" i="22"/>
  <c r="C151" i="22"/>
  <c r="F150" i="22"/>
  <c r="E150" i="22"/>
  <c r="C150" i="22"/>
  <c r="F149" i="22"/>
  <c r="E149" i="22"/>
  <c r="C149" i="22"/>
  <c r="F147" i="22"/>
  <c r="D147" i="22"/>
  <c r="C147" i="22"/>
  <c r="F146" i="22"/>
  <c r="E146" i="22"/>
  <c r="C146" i="22"/>
  <c r="F145" i="22"/>
  <c r="E145" i="22"/>
  <c r="C145" i="22"/>
  <c r="F144" i="22"/>
  <c r="E144" i="22"/>
  <c r="C144" i="22"/>
  <c r="F143" i="22"/>
  <c r="E143" i="22"/>
  <c r="C143" i="22"/>
  <c r="F140" i="22"/>
  <c r="D140" i="22"/>
  <c r="C140" i="22"/>
  <c r="F139" i="22"/>
  <c r="E139" i="22"/>
  <c r="C139" i="22"/>
  <c r="F138" i="22"/>
  <c r="E138" i="22"/>
  <c r="C138" i="22"/>
  <c r="F137" i="22"/>
  <c r="E137" i="22"/>
  <c r="C137" i="22"/>
  <c r="F136" i="22"/>
  <c r="E136" i="22"/>
  <c r="C136" i="22"/>
  <c r="F134" i="22"/>
  <c r="D134" i="22"/>
  <c r="C134" i="22"/>
  <c r="F133" i="22"/>
  <c r="E133" i="22"/>
  <c r="C133" i="22"/>
  <c r="F132" i="22"/>
  <c r="E132" i="22"/>
  <c r="C132" i="22"/>
  <c r="F131" i="22"/>
  <c r="E131" i="22"/>
  <c r="C131" i="22"/>
  <c r="F130" i="22"/>
  <c r="E130" i="22"/>
  <c r="C130" i="22"/>
  <c r="F124" i="22"/>
  <c r="D124" i="22"/>
  <c r="C124" i="22"/>
  <c r="F123" i="22"/>
  <c r="E123" i="22"/>
  <c r="C123" i="22"/>
  <c r="F122" i="22"/>
  <c r="E122" i="22"/>
  <c r="C122" i="22"/>
  <c r="F121" i="22"/>
  <c r="E121" i="22"/>
  <c r="C121" i="22"/>
  <c r="F120" i="22"/>
  <c r="E120" i="22"/>
  <c r="C120" i="22"/>
  <c r="F118" i="22"/>
  <c r="D118" i="22"/>
  <c r="C118" i="22"/>
  <c r="F117" i="22"/>
  <c r="E117" i="22"/>
  <c r="C117" i="22"/>
  <c r="F116" i="22"/>
  <c r="E116" i="22"/>
  <c r="C116" i="22"/>
  <c r="F115" i="22"/>
  <c r="E115" i="22"/>
  <c r="C115" i="22"/>
  <c r="F114" i="22"/>
  <c r="E114" i="22"/>
  <c r="C114" i="22"/>
  <c r="F112" i="22"/>
  <c r="D112" i="22"/>
  <c r="C112" i="22"/>
  <c r="F111" i="22"/>
  <c r="E111" i="22"/>
  <c r="C111" i="22"/>
  <c r="F110" i="22"/>
  <c r="E110" i="22"/>
  <c r="C110" i="22"/>
  <c r="F109" i="22"/>
  <c r="E109" i="22"/>
  <c r="C109" i="22"/>
  <c r="F108" i="22"/>
  <c r="E108" i="22"/>
  <c r="C108" i="22"/>
  <c r="F103" i="22"/>
  <c r="D103" i="22"/>
  <c r="C103" i="22"/>
  <c r="F102" i="22"/>
  <c r="E102" i="22"/>
  <c r="C102" i="22"/>
  <c r="F101" i="22"/>
  <c r="E101" i="22"/>
  <c r="C101" i="22"/>
  <c r="F100" i="22"/>
  <c r="E100" i="22"/>
  <c r="C100" i="22"/>
  <c r="F99" i="22"/>
  <c r="E99" i="22"/>
  <c r="C99" i="22"/>
  <c r="F98" i="22"/>
  <c r="E98" i="22"/>
  <c r="C98" i="22"/>
  <c r="F94" i="22"/>
  <c r="D94" i="22"/>
  <c r="C94" i="22"/>
  <c r="F93" i="22"/>
  <c r="E93" i="22"/>
  <c r="C93" i="22"/>
  <c r="F92" i="22"/>
  <c r="E92" i="22"/>
  <c r="C92" i="22"/>
  <c r="F91" i="22"/>
  <c r="E91" i="22"/>
  <c r="C91" i="22"/>
  <c r="F90" i="22"/>
  <c r="E90" i="22"/>
  <c r="C90" i="22"/>
  <c r="F89" i="22"/>
  <c r="E89" i="22"/>
  <c r="C89" i="22"/>
  <c r="F86" i="22"/>
  <c r="D86" i="22"/>
  <c r="C86" i="22"/>
  <c r="F85" i="22"/>
  <c r="E85" i="22"/>
  <c r="C85" i="22"/>
  <c r="F84" i="22"/>
  <c r="E84" i="22"/>
  <c r="C84" i="22"/>
  <c r="F83" i="22"/>
  <c r="E83" i="22"/>
  <c r="C83" i="22"/>
  <c r="F82" i="22"/>
  <c r="E82" i="22"/>
  <c r="C82" i="22"/>
  <c r="F80" i="22"/>
  <c r="D80" i="22"/>
  <c r="C80" i="22"/>
  <c r="F79" i="22"/>
  <c r="E79" i="22"/>
  <c r="C79" i="22"/>
  <c r="F78" i="22"/>
  <c r="E78" i="22"/>
  <c r="C78" i="22"/>
  <c r="F77" i="22"/>
  <c r="E77" i="22"/>
  <c r="C77" i="22"/>
  <c r="F76" i="22"/>
  <c r="E76" i="22"/>
  <c r="C76" i="22"/>
  <c r="F52" i="22"/>
  <c r="D52" i="22"/>
  <c r="C52" i="22"/>
  <c r="F51" i="22"/>
  <c r="E51" i="22"/>
  <c r="C51" i="22"/>
  <c r="F50" i="22"/>
  <c r="E50" i="22"/>
  <c r="C50" i="22"/>
  <c r="F49" i="22"/>
  <c r="E49" i="22"/>
  <c r="C49" i="22"/>
  <c r="F48" i="22"/>
  <c r="E48" i="22"/>
  <c r="C48" i="22"/>
  <c r="F45" i="22"/>
  <c r="D45" i="22"/>
  <c r="C45" i="22"/>
  <c r="F44" i="22"/>
  <c r="E44" i="22"/>
  <c r="C44" i="22"/>
  <c r="F43" i="22"/>
  <c r="E43" i="22"/>
  <c r="C43" i="22"/>
  <c r="F42" i="22"/>
  <c r="E42" i="22"/>
  <c r="C42" i="22"/>
  <c r="F41" i="22"/>
  <c r="E41" i="22"/>
  <c r="C41" i="22"/>
  <c r="F39" i="22"/>
  <c r="D39" i="22"/>
  <c r="C39" i="22"/>
  <c r="F38" i="22"/>
  <c r="E38" i="22"/>
  <c r="C38" i="22"/>
  <c r="F37" i="22"/>
  <c r="E37" i="22"/>
  <c r="C37" i="22"/>
  <c r="F36" i="22"/>
  <c r="E36" i="22"/>
  <c r="C36" i="22"/>
  <c r="F35" i="22"/>
  <c r="E35" i="22"/>
  <c r="C35" i="22"/>
  <c r="F33" i="22"/>
  <c r="D33" i="22"/>
  <c r="C33" i="22"/>
  <c r="F32" i="22"/>
  <c r="E32" i="22"/>
  <c r="C32" i="22"/>
  <c r="F31" i="22"/>
  <c r="E31" i="22"/>
  <c r="C31" i="22"/>
  <c r="F30" i="22"/>
  <c r="E30" i="22"/>
  <c r="C30" i="22"/>
  <c r="F29" i="22"/>
  <c r="E29" i="22"/>
  <c r="C29" i="22"/>
  <c r="F27" i="22"/>
  <c r="D27" i="22"/>
  <c r="C27" i="22"/>
  <c r="F26" i="22"/>
  <c r="E26" i="22"/>
  <c r="C26" i="22"/>
  <c r="F25" i="22"/>
  <c r="E25" i="22"/>
  <c r="C25" i="22"/>
  <c r="F24" i="22"/>
  <c r="E24" i="22"/>
  <c r="C24" i="22"/>
  <c r="F23" i="22"/>
  <c r="E23" i="22"/>
  <c r="C23" i="22"/>
  <c r="F19" i="22"/>
  <c r="D19" i="22"/>
  <c r="C19" i="22"/>
  <c r="F18" i="22"/>
  <c r="E18" i="22"/>
  <c r="C18" i="22"/>
  <c r="F17" i="22"/>
  <c r="E17" i="22"/>
  <c r="C17" i="22"/>
  <c r="F16" i="22"/>
  <c r="E16" i="22"/>
  <c r="C16" i="22"/>
  <c r="F15" i="22"/>
  <c r="E15" i="22"/>
  <c r="C15" i="22"/>
  <c r="F11" i="22"/>
  <c r="D11" i="22"/>
  <c r="C11" i="22"/>
  <c r="F10" i="22"/>
  <c r="E10" i="22"/>
  <c r="C10" i="22"/>
  <c r="F9" i="22"/>
  <c r="E9" i="22"/>
  <c r="C9" i="22"/>
  <c r="F8" i="22"/>
  <c r="E8" i="22"/>
  <c r="C8" i="22"/>
  <c r="F7" i="22"/>
  <c r="E7" i="22"/>
  <c r="C7" i="22"/>
  <c r="G429" i="22"/>
  <c r="I429" i="22" s="1"/>
  <c r="A819" i="45"/>
  <c r="A342" i="22"/>
  <c r="B342" i="22"/>
  <c r="A348" i="22"/>
  <c r="B348" i="22"/>
  <c r="A349" i="22"/>
  <c r="B349" i="22"/>
  <c r="A350" i="22"/>
  <c r="B350" i="22"/>
  <c r="B291" i="22"/>
  <c r="B1680" i="45"/>
  <c r="A1680" i="45"/>
  <c r="B1668" i="45"/>
  <c r="A1668" i="45"/>
  <c r="B1656" i="45"/>
  <c r="A1656" i="45"/>
  <c r="B1655" i="45"/>
  <c r="A1655" i="45"/>
  <c r="B1643" i="45"/>
  <c r="A1643" i="45"/>
  <c r="B1631" i="45"/>
  <c r="A1631" i="45"/>
  <c r="B1619" i="45"/>
  <c r="A1619" i="45"/>
  <c r="B1607" i="45"/>
  <c r="A1607" i="45"/>
  <c r="B1595" i="45"/>
  <c r="A1595" i="45"/>
  <c r="B1594" i="45"/>
  <c r="A1594" i="45"/>
  <c r="B1582" i="45"/>
  <c r="A1582" i="45"/>
  <c r="B1570" i="45"/>
  <c r="A1570" i="45"/>
  <c r="B1558" i="45"/>
  <c r="A1558" i="45"/>
  <c r="B1546" i="45"/>
  <c r="A1546" i="45"/>
  <c r="B1534" i="45"/>
  <c r="A1534" i="45"/>
  <c r="B1522" i="45"/>
  <c r="A1522" i="45"/>
  <c r="B1510" i="45"/>
  <c r="A1510" i="45"/>
  <c r="B1498" i="45"/>
  <c r="A1498" i="45"/>
  <c r="B1497" i="45"/>
  <c r="A1497" i="45"/>
  <c r="B1485" i="45"/>
  <c r="A1485" i="45"/>
  <c r="B1484" i="45"/>
  <c r="A1484" i="45"/>
  <c r="B1483" i="45"/>
  <c r="A1483" i="45"/>
  <c r="B1471" i="45"/>
  <c r="A1471" i="45"/>
  <c r="B1459" i="45"/>
  <c r="A1459" i="45"/>
  <c r="B1447" i="45"/>
  <c r="A1447" i="45"/>
  <c r="B1435" i="45"/>
  <c r="A1435" i="45"/>
  <c r="B1423" i="45"/>
  <c r="A1423" i="45"/>
  <c r="B1411" i="45"/>
  <c r="A1411" i="45"/>
  <c r="B1410" i="45"/>
  <c r="A1410" i="45"/>
  <c r="B1398" i="45"/>
  <c r="A1398" i="45"/>
  <c r="B1397" i="45"/>
  <c r="A1397" i="45"/>
  <c r="B1396" i="45"/>
  <c r="A1396" i="45"/>
  <c r="B1395" i="45"/>
  <c r="A1395" i="45"/>
  <c r="B1394" i="45"/>
  <c r="A1394" i="45"/>
  <c r="B1382" i="45"/>
  <c r="A1382" i="45"/>
  <c r="B1370" i="45"/>
  <c r="A1370" i="45"/>
  <c r="B1369" i="45"/>
  <c r="A1369" i="45"/>
  <c r="B1357" i="45"/>
  <c r="A1357" i="45"/>
  <c r="B1345" i="45"/>
  <c r="A1345" i="45"/>
  <c r="B1344" i="45"/>
  <c r="A1344" i="45"/>
  <c r="B1343" i="45"/>
  <c r="A1343" i="45"/>
  <c r="B1342" i="45"/>
  <c r="A1342" i="45"/>
  <c r="B1341" i="45"/>
  <c r="A1341" i="45"/>
  <c r="B1340" i="45"/>
  <c r="A1340" i="45"/>
  <c r="B1339" i="45"/>
  <c r="A1339" i="45"/>
  <c r="B1338" i="45"/>
  <c r="A1338" i="45"/>
  <c r="B1326" i="45"/>
  <c r="A1326" i="45"/>
  <c r="B1325" i="45"/>
  <c r="A1325" i="45"/>
  <c r="B1313" i="45"/>
  <c r="A1313" i="45"/>
  <c r="B1301" i="45"/>
  <c r="A1301" i="45"/>
  <c r="B1300" i="45"/>
  <c r="A1300" i="45"/>
  <c r="B1299" i="45"/>
  <c r="A1299" i="45"/>
  <c r="B1298" i="45"/>
  <c r="A1298" i="45"/>
  <c r="B1286" i="45"/>
  <c r="A1286" i="45"/>
  <c r="B1274" i="45"/>
  <c r="A1274" i="45"/>
  <c r="B1273" i="45"/>
  <c r="A1273" i="45"/>
  <c r="B1272" i="45"/>
  <c r="A1272" i="45"/>
  <c r="B1271" i="45"/>
  <c r="A1271" i="45"/>
  <c r="B1259" i="45"/>
  <c r="A1259" i="45"/>
  <c r="B1258" i="45"/>
  <c r="A1258" i="45"/>
  <c r="B1257" i="45"/>
  <c r="A1257" i="45"/>
  <c r="B1256" i="45"/>
  <c r="A1256" i="45"/>
  <c r="B1255" i="45"/>
  <c r="A1255" i="45"/>
  <c r="B1254" i="45"/>
  <c r="A1254" i="45"/>
  <c r="B1253" i="45"/>
  <c r="A1253" i="45"/>
  <c r="B1252" i="45"/>
  <c r="A1252" i="45"/>
  <c r="B1251" i="45"/>
  <c r="A1251" i="45"/>
  <c r="B1250" i="45"/>
  <c r="A1250" i="45"/>
  <c r="B1249" i="45"/>
  <c r="A1249" i="45"/>
  <c r="B1248" i="45"/>
  <c r="A1248" i="45"/>
  <c r="B1247" i="45"/>
  <c r="A1247" i="45"/>
  <c r="B1246" i="45"/>
  <c r="A1246" i="45"/>
  <c r="B1245" i="45"/>
  <c r="A1245" i="45"/>
  <c r="B1244" i="45"/>
  <c r="A1244" i="45"/>
  <c r="B1243" i="45"/>
  <c r="A1243" i="45"/>
  <c r="B1242" i="45"/>
  <c r="A1242" i="45"/>
  <c r="B1241" i="45"/>
  <c r="A1241" i="45"/>
  <c r="B1240" i="45"/>
  <c r="A1240" i="45"/>
  <c r="B1228" i="45"/>
  <c r="A1228" i="45"/>
  <c r="B1216" i="45"/>
  <c r="A1216" i="45"/>
  <c r="B1204" i="45"/>
  <c r="A1204" i="45"/>
  <c r="B1192" i="45"/>
  <c r="A1192" i="45"/>
  <c r="B1191" i="45"/>
  <c r="A1191" i="45"/>
  <c r="B1179" i="45"/>
  <c r="A1179" i="45"/>
  <c r="B1167" i="45"/>
  <c r="A1167" i="45"/>
  <c r="B1166" i="45"/>
  <c r="A1166" i="45"/>
  <c r="B1165" i="45"/>
  <c r="A1165" i="45"/>
  <c r="B1164" i="45"/>
  <c r="A1164" i="45"/>
  <c r="B1152" i="45"/>
  <c r="A1152" i="45"/>
  <c r="B1140" i="45"/>
  <c r="A1140" i="45"/>
  <c r="B1139" i="45"/>
  <c r="A1139" i="45"/>
  <c r="B1114" i="45"/>
  <c r="A1114" i="45"/>
  <c r="B1102" i="45"/>
  <c r="A1102" i="45"/>
  <c r="B1101" i="45"/>
  <c r="A1101" i="45"/>
  <c r="B1100" i="45"/>
  <c r="A1100" i="45"/>
  <c r="B1075" i="45"/>
  <c r="A1075" i="45"/>
  <c r="B1074" i="45"/>
  <c r="A1074" i="45"/>
  <c r="B1062" i="45"/>
  <c r="A1062" i="45"/>
  <c r="B1061" i="45"/>
  <c r="A1061" i="45"/>
  <c r="B1049" i="45"/>
  <c r="A1049" i="45"/>
  <c r="B1037" i="45"/>
  <c r="A1037" i="45"/>
  <c r="B1025" i="45"/>
  <c r="A1025" i="45"/>
  <c r="B1013" i="45"/>
  <c r="A1013" i="45"/>
  <c r="B1001" i="45"/>
  <c r="A1001" i="45"/>
  <c r="B1000" i="45"/>
  <c r="A1000" i="45"/>
  <c r="B988" i="45"/>
  <c r="A988" i="45"/>
  <c r="B987" i="45"/>
  <c r="A987" i="45"/>
  <c r="B986" i="45"/>
  <c r="A986" i="45"/>
  <c r="B985" i="45"/>
  <c r="A985" i="45"/>
  <c r="B973" i="45"/>
  <c r="A973" i="45"/>
  <c r="B961" i="45"/>
  <c r="A961" i="45"/>
  <c r="B960" i="45"/>
  <c r="A960" i="45"/>
  <c r="B948" i="45"/>
  <c r="A948" i="45"/>
  <c r="B936" i="45"/>
  <c r="A936" i="45"/>
  <c r="B935" i="45"/>
  <c r="A935" i="45"/>
  <c r="B934" i="45"/>
  <c r="A934" i="45"/>
  <c r="B933" i="45"/>
  <c r="A933" i="45"/>
  <c r="B932" i="45"/>
  <c r="A932" i="45"/>
  <c r="B931" i="45"/>
  <c r="A931" i="45"/>
  <c r="B930" i="45"/>
  <c r="A930" i="45"/>
  <c r="B929" i="45"/>
  <c r="A929" i="45"/>
  <c r="B917" i="45"/>
  <c r="A917" i="45"/>
  <c r="B916" i="45"/>
  <c r="A916" i="45"/>
  <c r="B904" i="45"/>
  <c r="A904" i="45"/>
  <c r="B892" i="45"/>
  <c r="A892" i="45"/>
  <c r="B891" i="45"/>
  <c r="A891" i="45"/>
  <c r="B890" i="45"/>
  <c r="A890" i="45"/>
  <c r="B878" i="45"/>
  <c r="A878" i="45"/>
  <c r="B866" i="45"/>
  <c r="A866" i="45"/>
  <c r="B865" i="45"/>
  <c r="A865" i="45"/>
  <c r="B864" i="45"/>
  <c r="A864" i="45"/>
  <c r="B863" i="45"/>
  <c r="A863" i="45"/>
  <c r="B862" i="45"/>
  <c r="A862" i="45"/>
  <c r="B861" i="45"/>
  <c r="A861" i="45"/>
  <c r="B860" i="45"/>
  <c r="A860" i="45"/>
  <c r="B848" i="45"/>
  <c r="A848" i="45"/>
  <c r="B836" i="45"/>
  <c r="A836" i="45"/>
  <c r="B835" i="45"/>
  <c r="A835" i="45"/>
  <c r="B834" i="45"/>
  <c r="A834" i="45"/>
  <c r="B833" i="45"/>
  <c r="A833" i="45"/>
  <c r="B832" i="45"/>
  <c r="A832" i="45"/>
  <c r="B831" i="45"/>
  <c r="A831" i="45"/>
  <c r="B830" i="45"/>
  <c r="A830" i="45"/>
  <c r="B829" i="45"/>
  <c r="A829" i="45"/>
  <c r="B828" i="45"/>
  <c r="A828" i="45"/>
  <c r="B827" i="45"/>
  <c r="A827" i="45"/>
  <c r="B826" i="45"/>
  <c r="A826" i="45"/>
  <c r="B825" i="45"/>
  <c r="A825" i="45"/>
  <c r="B824" i="45"/>
  <c r="A824" i="45"/>
  <c r="B823" i="45"/>
  <c r="A823" i="45"/>
  <c r="B822" i="45"/>
  <c r="A822" i="45"/>
  <c r="B821" i="45"/>
  <c r="A821" i="45"/>
  <c r="B820" i="45"/>
  <c r="A820" i="45"/>
  <c r="B819" i="45"/>
  <c r="B818" i="45"/>
  <c r="A818" i="45"/>
  <c r="B817" i="45"/>
  <c r="A817" i="45"/>
  <c r="B816" i="45"/>
  <c r="A816" i="45"/>
  <c r="B815" i="45"/>
  <c r="A815" i="45"/>
  <c r="B814" i="45"/>
  <c r="A814" i="45"/>
  <c r="B802" i="45"/>
  <c r="A802" i="45"/>
  <c r="B801" i="45"/>
  <c r="A801" i="45"/>
  <c r="B789" i="45"/>
  <c r="A789" i="45"/>
  <c r="B777" i="45"/>
  <c r="A777" i="45"/>
  <c r="B776" i="45"/>
  <c r="A776" i="45"/>
  <c r="B764" i="45"/>
  <c r="A764" i="45"/>
  <c r="B752" i="45"/>
  <c r="A752" i="45"/>
  <c r="B740" i="45"/>
  <c r="A740" i="45"/>
  <c r="B739" i="45"/>
  <c r="A739" i="45"/>
  <c r="B738" i="45"/>
  <c r="A738" i="45"/>
  <c r="B737" i="45"/>
  <c r="A737" i="45"/>
  <c r="B736" i="45"/>
  <c r="A736" i="45"/>
  <c r="B724" i="45"/>
  <c r="A724" i="45"/>
  <c r="B712" i="45"/>
  <c r="A712" i="45"/>
  <c r="B700" i="45"/>
  <c r="A700" i="45"/>
  <c r="B688" i="45"/>
  <c r="A688" i="45"/>
  <c r="B676" i="45"/>
  <c r="A676" i="45"/>
  <c r="B675" i="45"/>
  <c r="A675" i="45"/>
  <c r="B674" i="45"/>
  <c r="A674" i="45"/>
  <c r="B662" i="45"/>
  <c r="A662" i="45"/>
  <c r="B661" i="45"/>
  <c r="A661" i="45"/>
  <c r="B660" i="45"/>
  <c r="A660" i="45"/>
  <c r="B648" i="45"/>
  <c r="A648" i="45"/>
  <c r="B636" i="45"/>
  <c r="A636" i="45"/>
  <c r="B635" i="45"/>
  <c r="A635" i="45"/>
  <c r="B634" i="45"/>
  <c r="A634" i="45"/>
  <c r="B622" i="45"/>
  <c r="A622" i="45"/>
  <c r="B610" i="45"/>
  <c r="A610" i="45"/>
  <c r="B609" i="45"/>
  <c r="A609" i="45"/>
  <c r="B597" i="45"/>
  <c r="A597" i="45"/>
  <c r="B585" i="45"/>
  <c r="A585" i="45"/>
  <c r="B584" i="45"/>
  <c r="A584" i="45"/>
  <c r="B583" i="45"/>
  <c r="A583" i="45"/>
  <c r="B582" i="45"/>
  <c r="A582" i="45"/>
  <c r="B570" i="45"/>
  <c r="A570" i="45"/>
  <c r="B558" i="45"/>
  <c r="A558" i="45"/>
  <c r="B557" i="45"/>
  <c r="A557" i="45"/>
  <c r="B545" i="45"/>
  <c r="A545" i="45"/>
  <c r="B533" i="45"/>
  <c r="A533" i="45"/>
  <c r="B532" i="45"/>
  <c r="A532" i="45"/>
  <c r="B531" i="45"/>
  <c r="A531" i="45"/>
  <c r="B530" i="45"/>
  <c r="A530" i="45"/>
  <c r="B529" i="45"/>
  <c r="A529" i="45"/>
  <c r="B517" i="45"/>
  <c r="A517" i="45"/>
  <c r="B505" i="45"/>
  <c r="A505" i="45"/>
  <c r="B493" i="45"/>
  <c r="A493" i="45"/>
  <c r="B492" i="45"/>
  <c r="A492" i="45"/>
  <c r="B491" i="45"/>
  <c r="A491" i="45"/>
  <c r="B490" i="45"/>
  <c r="A490" i="45"/>
  <c r="B478" i="45"/>
  <c r="A478" i="45"/>
  <c r="B466" i="45"/>
  <c r="A466" i="45"/>
  <c r="B465" i="45"/>
  <c r="A465" i="45"/>
  <c r="B464" i="45"/>
  <c r="A464" i="45"/>
  <c r="B463" i="45"/>
  <c r="A463" i="45"/>
  <c r="B451" i="45"/>
  <c r="A451" i="45"/>
  <c r="B439" i="45"/>
  <c r="A439" i="45"/>
  <c r="B438" i="45"/>
  <c r="A438" i="45"/>
  <c r="B406" i="45"/>
  <c r="A406" i="45"/>
  <c r="B394" i="45"/>
  <c r="A394" i="45"/>
  <c r="B382" i="45"/>
  <c r="A382" i="45"/>
  <c r="B370" i="45"/>
  <c r="A370" i="45"/>
  <c r="B369" i="45"/>
  <c r="A369" i="45"/>
  <c r="B368" i="45"/>
  <c r="A368" i="45"/>
  <c r="B356" i="45"/>
  <c r="A356" i="45"/>
  <c r="B344" i="45"/>
  <c r="A344" i="45"/>
  <c r="B343" i="45"/>
  <c r="A343" i="45"/>
  <c r="B331" i="45"/>
  <c r="A331" i="45"/>
  <c r="B330" i="45"/>
  <c r="A330" i="45"/>
  <c r="B329" i="45"/>
  <c r="A329" i="45"/>
  <c r="B317" i="45"/>
  <c r="A317" i="45"/>
  <c r="B316" i="45"/>
  <c r="A316" i="45"/>
  <c r="B304" i="45"/>
  <c r="A304" i="45"/>
  <c r="B303" i="45"/>
  <c r="A303" i="45"/>
  <c r="B302" i="45"/>
  <c r="A302" i="45"/>
  <c r="B290" i="45"/>
  <c r="A290" i="45"/>
  <c r="B289" i="45"/>
  <c r="A289" i="45"/>
  <c r="B288" i="45"/>
  <c r="A288" i="45"/>
  <c r="B287" i="45"/>
  <c r="A287" i="45"/>
  <c r="B273" i="45"/>
  <c r="A273" i="45"/>
  <c r="B261" i="45"/>
  <c r="A261" i="45"/>
  <c r="B260" i="45"/>
  <c r="A260" i="45"/>
  <c r="B259" i="45"/>
  <c r="A259" i="45"/>
  <c r="B258" i="45"/>
  <c r="A258" i="45"/>
  <c r="B246" i="45"/>
  <c r="A246" i="45"/>
  <c r="B234" i="45"/>
  <c r="A234" i="45"/>
  <c r="B233" i="45"/>
  <c r="A233" i="45"/>
  <c r="B221" i="45"/>
  <c r="A221" i="45"/>
  <c r="B209" i="45"/>
  <c r="A209" i="45"/>
  <c r="B208" i="45"/>
  <c r="A208" i="45"/>
  <c r="B207" i="45"/>
  <c r="A207" i="45"/>
  <c r="B206" i="45"/>
  <c r="A206" i="45"/>
  <c r="B205" i="45"/>
  <c r="A205" i="45"/>
  <c r="B193" i="45"/>
  <c r="A193" i="45"/>
  <c r="B181" i="45"/>
  <c r="A181" i="45"/>
  <c r="B169" i="45"/>
  <c r="A169" i="45"/>
  <c r="B168" i="45"/>
  <c r="A168" i="45"/>
  <c r="B167" i="45"/>
  <c r="A167" i="45"/>
  <c r="B166" i="45"/>
  <c r="A166" i="45"/>
  <c r="B154" i="45"/>
  <c r="A154" i="45"/>
  <c r="B153" i="45"/>
  <c r="A153" i="45"/>
  <c r="B152" i="45"/>
  <c r="A152" i="45"/>
  <c r="B140" i="45"/>
  <c r="A140" i="45"/>
  <c r="B139" i="45"/>
  <c r="A139" i="45"/>
  <c r="B127" i="45"/>
  <c r="A127" i="45"/>
  <c r="B115" i="45"/>
  <c r="A115" i="45"/>
  <c r="B114" i="45"/>
  <c r="A114" i="45"/>
  <c r="B93" i="45"/>
  <c r="A93" i="45"/>
  <c r="B81" i="45"/>
  <c r="A81" i="45"/>
  <c r="B80" i="45"/>
  <c r="A80" i="45"/>
  <c r="B68" i="45"/>
  <c r="A68" i="45"/>
  <c r="B56" i="45"/>
  <c r="A56" i="45"/>
  <c r="B44" i="45"/>
  <c r="A44" i="45"/>
  <c r="B32" i="45"/>
  <c r="A32" i="45"/>
  <c r="B31" i="45"/>
  <c r="A31" i="45"/>
  <c r="B30" i="45"/>
  <c r="A30" i="45"/>
  <c r="B18" i="45"/>
  <c r="A18" i="45"/>
  <c r="B6" i="45"/>
  <c r="A6" i="45"/>
  <c r="B5" i="45"/>
  <c r="A5" i="45"/>
  <c r="B994" i="22"/>
  <c r="A994" i="22"/>
  <c r="B988" i="22"/>
  <c r="A988" i="22"/>
  <c r="B982" i="22"/>
  <c r="A982" i="22"/>
  <c r="B981" i="22"/>
  <c r="A981" i="22"/>
  <c r="B975" i="22"/>
  <c r="A975" i="22"/>
  <c r="B969" i="22"/>
  <c r="A969" i="22"/>
  <c r="B963" i="22"/>
  <c r="A963" i="22"/>
  <c r="B957" i="22"/>
  <c r="A957" i="22"/>
  <c r="B951" i="22"/>
  <c r="A951" i="22"/>
  <c r="B950" i="22"/>
  <c r="A950" i="22"/>
  <c r="B944" i="22"/>
  <c r="A944" i="22"/>
  <c r="B938" i="22"/>
  <c r="A938" i="22"/>
  <c r="B932" i="22"/>
  <c r="A932" i="22"/>
  <c r="B926" i="22"/>
  <c r="A926" i="22"/>
  <c r="B920" i="22"/>
  <c r="A920" i="22"/>
  <c r="B914" i="22"/>
  <c r="A914" i="22"/>
  <c r="B908" i="22"/>
  <c r="A908" i="22"/>
  <c r="B902" i="22"/>
  <c r="A902" i="22"/>
  <c r="B901" i="22"/>
  <c r="A901" i="22"/>
  <c r="B895" i="22"/>
  <c r="A895" i="22"/>
  <c r="B894" i="22"/>
  <c r="A894" i="22"/>
  <c r="B893" i="22"/>
  <c r="A893" i="22"/>
  <c r="B887" i="22"/>
  <c r="A887" i="22"/>
  <c r="B881" i="22"/>
  <c r="A881" i="22"/>
  <c r="B875" i="22"/>
  <c r="A875" i="22"/>
  <c r="B869" i="22"/>
  <c r="A869" i="22"/>
  <c r="B863" i="22"/>
  <c r="A863" i="22"/>
  <c r="B857" i="22"/>
  <c r="A857" i="22"/>
  <c r="B856" i="22"/>
  <c r="A856" i="22"/>
  <c r="B850" i="22"/>
  <c r="A850" i="22"/>
  <c r="B849" i="22"/>
  <c r="A849" i="22"/>
  <c r="B848" i="22"/>
  <c r="A848" i="22"/>
  <c r="B847" i="22"/>
  <c r="A847" i="22"/>
  <c r="B846" i="22"/>
  <c r="A846" i="22"/>
  <c r="B840" i="22"/>
  <c r="A840" i="22"/>
  <c r="B834" i="22"/>
  <c r="A834" i="22"/>
  <c r="B833" i="22"/>
  <c r="A833" i="22"/>
  <c r="B827" i="22"/>
  <c r="A827" i="22"/>
  <c r="B821" i="22"/>
  <c r="A821" i="22"/>
  <c r="B820" i="22"/>
  <c r="A820" i="22"/>
  <c r="B819" i="22"/>
  <c r="A819" i="22"/>
  <c r="B818" i="22"/>
  <c r="A818" i="22"/>
  <c r="B817" i="22"/>
  <c r="A817" i="22"/>
  <c r="B816" i="22"/>
  <c r="A816" i="22"/>
  <c r="B815" i="22"/>
  <c r="A815" i="22"/>
  <c r="B814" i="22"/>
  <c r="A814" i="22"/>
  <c r="B808" i="22"/>
  <c r="A808" i="22"/>
  <c r="B807" i="22"/>
  <c r="A807" i="22"/>
  <c r="B800" i="22"/>
  <c r="A800" i="22"/>
  <c r="B793" i="22"/>
  <c r="A793" i="22"/>
  <c r="B792" i="22"/>
  <c r="A792" i="22"/>
  <c r="B791" i="22"/>
  <c r="A791" i="22"/>
  <c r="B790" i="22"/>
  <c r="A790" i="22"/>
  <c r="B783" i="22"/>
  <c r="A783" i="22"/>
  <c r="B776" i="22"/>
  <c r="A776" i="22"/>
  <c r="B775" i="22"/>
  <c r="A775" i="22"/>
  <c r="B774" i="22"/>
  <c r="A774" i="22"/>
  <c r="B773" i="22"/>
  <c r="A773" i="22"/>
  <c r="B767" i="22"/>
  <c r="A767" i="22"/>
  <c r="B765" i="22"/>
  <c r="A765" i="22"/>
  <c r="B763" i="22"/>
  <c r="A763" i="22"/>
  <c r="B761" i="22"/>
  <c r="A761" i="22"/>
  <c r="B760" i="22"/>
  <c r="A760" i="22"/>
  <c r="B758" i="22"/>
  <c r="A758" i="22"/>
  <c r="B756" i="22"/>
  <c r="A756" i="22"/>
  <c r="B754" i="22"/>
  <c r="A754" i="22"/>
  <c r="B753" i="22"/>
  <c r="A753" i="22"/>
  <c r="B752" i="22"/>
  <c r="A752" i="22"/>
  <c r="B750" i="22"/>
  <c r="A750" i="22"/>
  <c r="B748" i="22"/>
  <c r="A748" i="22"/>
  <c r="B746" i="22"/>
  <c r="A746" i="22"/>
  <c r="B744" i="22"/>
  <c r="A744" i="22"/>
  <c r="B743" i="22"/>
  <c r="A743" i="22"/>
  <c r="B741" i="22"/>
  <c r="A741" i="22"/>
  <c r="B739" i="22"/>
  <c r="A739" i="22"/>
  <c r="B738" i="22"/>
  <c r="A738" i="22"/>
  <c r="B737" i="22"/>
  <c r="A737" i="22"/>
  <c r="B736" i="22"/>
  <c r="A736" i="22"/>
  <c r="B730" i="22"/>
  <c r="A730" i="22"/>
  <c r="B724" i="22"/>
  <c r="A724" i="22"/>
  <c r="B718" i="22"/>
  <c r="A718" i="22"/>
  <c r="B712" i="22"/>
  <c r="A712" i="22"/>
  <c r="B711" i="22"/>
  <c r="A711" i="22"/>
  <c r="B705" i="22"/>
  <c r="A705" i="22"/>
  <c r="B699" i="22"/>
  <c r="A699" i="22"/>
  <c r="B698" i="22"/>
  <c r="A698" i="22"/>
  <c r="B697" i="22"/>
  <c r="A697" i="22"/>
  <c r="B696" i="22"/>
  <c r="A696" i="22"/>
  <c r="B690" i="22"/>
  <c r="A690" i="22"/>
  <c r="B684" i="22"/>
  <c r="A684" i="22"/>
  <c r="B683" i="22"/>
  <c r="A683" i="22"/>
  <c r="B670" i="22"/>
  <c r="A670" i="22"/>
  <c r="B664" i="22"/>
  <c r="A664" i="22"/>
  <c r="B663" i="22"/>
  <c r="A663" i="22"/>
  <c r="B662" i="22"/>
  <c r="A662" i="22"/>
  <c r="B649" i="22"/>
  <c r="A649" i="22"/>
  <c r="B648" i="22"/>
  <c r="A648" i="22"/>
  <c r="B642" i="22"/>
  <c r="A642" i="22"/>
  <c r="B634" i="22"/>
  <c r="A634" i="22"/>
  <c r="B626" i="22"/>
  <c r="A626" i="22"/>
  <c r="B618" i="22"/>
  <c r="A618" i="22"/>
  <c r="B610" i="22"/>
  <c r="A610" i="22"/>
  <c r="B602" i="22"/>
  <c r="A602" i="22"/>
  <c r="B601" i="22"/>
  <c r="A601" i="22"/>
  <c r="B595" i="22"/>
  <c r="A595" i="22"/>
  <c r="B594" i="22"/>
  <c r="A594" i="22"/>
  <c r="B593" i="22"/>
  <c r="A593" i="22"/>
  <c r="B592" i="22"/>
  <c r="A592" i="22"/>
  <c r="B586" i="22"/>
  <c r="A586" i="22"/>
  <c r="B580" i="22"/>
  <c r="A580" i="22"/>
  <c r="B579" i="22"/>
  <c r="A579" i="22"/>
  <c r="B573" i="22"/>
  <c r="A573" i="22"/>
  <c r="B567" i="22"/>
  <c r="A567" i="22"/>
  <c r="B566" i="22"/>
  <c r="A566" i="22"/>
  <c r="B565" i="22"/>
  <c r="A565" i="22"/>
  <c r="B564" i="22"/>
  <c r="A564" i="22"/>
  <c r="B563" i="22"/>
  <c r="A563" i="22"/>
  <c r="B562" i="22"/>
  <c r="A562" i="22"/>
  <c r="B561" i="22"/>
  <c r="A561" i="22"/>
  <c r="B560" i="22"/>
  <c r="A560" i="22"/>
  <c r="B554" i="22"/>
  <c r="A554" i="22"/>
  <c r="B553" i="22"/>
  <c r="A553" i="22"/>
  <c r="B547" i="22"/>
  <c r="A547" i="22"/>
  <c r="B541" i="22"/>
  <c r="A541" i="22"/>
  <c r="B540" i="22"/>
  <c r="A540" i="22"/>
  <c r="B539" i="22"/>
  <c r="A539" i="22"/>
  <c r="B532" i="22"/>
  <c r="A532" i="22"/>
  <c r="B525" i="22"/>
  <c r="A525" i="22"/>
  <c r="B524" i="22"/>
  <c r="A524" i="22"/>
  <c r="B523" i="22"/>
  <c r="A523" i="22"/>
  <c r="B522" i="22"/>
  <c r="A522" i="22"/>
  <c r="B521" i="22"/>
  <c r="A521" i="22"/>
  <c r="B520" i="22"/>
  <c r="A520" i="22"/>
  <c r="B519" i="22"/>
  <c r="A519" i="22"/>
  <c r="B513" i="22"/>
  <c r="A513" i="22"/>
  <c r="B507" i="22"/>
  <c r="A507" i="22"/>
  <c r="B506" i="22"/>
  <c r="A506" i="22"/>
  <c r="B504" i="22"/>
  <c r="A504" i="22"/>
  <c r="B502" i="22"/>
  <c r="A502" i="22"/>
  <c r="B500" i="22"/>
  <c r="A500" i="22"/>
  <c r="B499" i="22"/>
  <c r="A499" i="22"/>
  <c r="B497" i="22"/>
  <c r="A497" i="22"/>
  <c r="B495" i="22"/>
  <c r="A495" i="22"/>
  <c r="B493" i="22"/>
  <c r="A493" i="22"/>
  <c r="B492" i="22"/>
  <c r="A492" i="22"/>
  <c r="B491" i="22"/>
  <c r="A491" i="22"/>
  <c r="B490" i="22"/>
  <c r="A490" i="22"/>
  <c r="B488" i="22"/>
  <c r="A488" i="22"/>
  <c r="B486" i="22"/>
  <c r="A486" i="22"/>
  <c r="B484" i="22"/>
  <c r="A484" i="22"/>
  <c r="B482" i="22"/>
  <c r="A482" i="22"/>
  <c r="B481" i="22"/>
  <c r="A481" i="22"/>
  <c r="B479" i="22"/>
  <c r="A479" i="22"/>
  <c r="B477" i="22"/>
  <c r="A477" i="22"/>
  <c r="B476" i="22"/>
  <c r="A476" i="22"/>
  <c r="B475" i="22"/>
  <c r="A475" i="22"/>
  <c r="B474" i="22"/>
  <c r="A474" i="22"/>
  <c r="B473" i="22"/>
  <c r="A473" i="22"/>
  <c r="B467" i="22"/>
  <c r="A467" i="22"/>
  <c r="B466" i="22"/>
  <c r="A466" i="22"/>
  <c r="B460" i="22"/>
  <c r="A460" i="22"/>
  <c r="B454" i="22"/>
  <c r="A454" i="22"/>
  <c r="B453" i="22"/>
  <c r="A453" i="22"/>
  <c r="B447" i="22"/>
  <c r="A447" i="22"/>
  <c r="B441" i="22"/>
  <c r="A441" i="22"/>
  <c r="B435" i="22"/>
  <c r="A435" i="22"/>
  <c r="B434" i="22"/>
  <c r="A434" i="22"/>
  <c r="B433" i="22"/>
  <c r="A433" i="22"/>
  <c r="B432" i="22"/>
  <c r="A432" i="22"/>
  <c r="B431" i="22"/>
  <c r="A431" i="22"/>
  <c r="B425" i="22"/>
  <c r="A425" i="22"/>
  <c r="B419" i="22"/>
  <c r="A419" i="22"/>
  <c r="B413" i="22"/>
  <c r="A413" i="22"/>
  <c r="B407" i="22"/>
  <c r="A407" i="22"/>
  <c r="B401" i="22"/>
  <c r="A401" i="22"/>
  <c r="B400" i="22"/>
  <c r="A400" i="22"/>
  <c r="B399" i="22"/>
  <c r="A399" i="22"/>
  <c r="B393" i="22"/>
  <c r="A393" i="22"/>
  <c r="B392" i="22"/>
  <c r="A392" i="22"/>
  <c r="B391" i="22"/>
  <c r="A391" i="22"/>
  <c r="B385" i="22"/>
  <c r="A385" i="22"/>
  <c r="B379" i="22"/>
  <c r="A379" i="22"/>
  <c r="B378" i="22"/>
  <c r="A378" i="22"/>
  <c r="B377" i="22"/>
  <c r="A377" i="22"/>
  <c r="B365" i="22"/>
  <c r="B371" i="22"/>
  <c r="B364" i="22"/>
  <c r="B351" i="22"/>
  <c r="A351" i="22"/>
  <c r="B336" i="22"/>
  <c r="A336" i="22"/>
  <c r="B335" i="22"/>
  <c r="A335" i="22"/>
  <c r="B329" i="22"/>
  <c r="A329" i="22"/>
  <c r="B323" i="22"/>
  <c r="A323" i="22"/>
  <c r="B322" i="22"/>
  <c r="A322" i="22"/>
  <c r="B321" i="22"/>
  <c r="A321" i="22"/>
  <c r="B320" i="22"/>
  <c r="A320" i="22"/>
  <c r="B319" i="22"/>
  <c r="A319" i="22"/>
  <c r="B313" i="22"/>
  <c r="A313" i="22"/>
  <c r="B307" i="22"/>
  <c r="A307" i="22"/>
  <c r="B301" i="22"/>
  <c r="A301" i="22"/>
  <c r="B300" i="22"/>
  <c r="A300" i="22"/>
  <c r="B299" i="22"/>
  <c r="A299" i="22"/>
  <c r="B298" i="22"/>
  <c r="A298" i="22"/>
  <c r="A291" i="22"/>
  <c r="B284" i="22"/>
  <c r="A284" i="22"/>
  <c r="B283" i="22"/>
  <c r="A283" i="22"/>
  <c r="B282" i="22"/>
  <c r="A282" i="22"/>
  <c r="B281" i="22"/>
  <c r="A281" i="22"/>
  <c r="B275" i="22"/>
  <c r="A275" i="22"/>
  <c r="B269" i="22"/>
  <c r="A269" i="22"/>
  <c r="B268" i="22"/>
  <c r="A268" i="22"/>
  <c r="B236" i="22"/>
  <c r="A236" i="22"/>
  <c r="B230" i="22"/>
  <c r="A230" i="22"/>
  <c r="B224" i="22"/>
  <c r="A224" i="22"/>
  <c r="B218" i="22"/>
  <c r="A218" i="22"/>
  <c r="B217" i="22"/>
  <c r="A217" i="22"/>
  <c r="B216" i="22"/>
  <c r="A216" i="22"/>
  <c r="B210" i="22"/>
  <c r="A210" i="22"/>
  <c r="B204" i="22"/>
  <c r="A204" i="22"/>
  <c r="B203" i="22"/>
  <c r="A203" i="22"/>
  <c r="B197" i="22"/>
  <c r="A197" i="22"/>
  <c r="B196" i="22"/>
  <c r="A196" i="22"/>
  <c r="B195" i="22"/>
  <c r="A195" i="22"/>
  <c r="B189" i="22"/>
  <c r="A189" i="22"/>
  <c r="B188" i="22"/>
  <c r="A188" i="22"/>
  <c r="B182" i="22"/>
  <c r="A182" i="22"/>
  <c r="B181" i="22"/>
  <c r="A181" i="22"/>
  <c r="B180" i="22"/>
  <c r="A180" i="22"/>
  <c r="B174" i="22"/>
  <c r="A174" i="22"/>
  <c r="B173" i="22"/>
  <c r="A173" i="22"/>
  <c r="B172" i="22"/>
  <c r="A172" i="22"/>
  <c r="B171" i="22"/>
  <c r="A171" i="22"/>
  <c r="B163" i="22"/>
  <c r="A163" i="22"/>
  <c r="B157" i="22"/>
  <c r="A157" i="22"/>
  <c r="B156" i="22"/>
  <c r="A156" i="22"/>
  <c r="B155" i="22"/>
  <c r="A155" i="22"/>
  <c r="B154" i="22"/>
  <c r="A154" i="22"/>
  <c r="B148" i="22"/>
  <c r="A148" i="22"/>
  <c r="B142" i="22"/>
  <c r="A142" i="22"/>
  <c r="B141" i="22"/>
  <c r="A141" i="22"/>
  <c r="B135" i="22"/>
  <c r="A135" i="22"/>
  <c r="B129" i="22"/>
  <c r="A129" i="22"/>
  <c r="B128" i="22"/>
  <c r="A128" i="22"/>
  <c r="B127" i="22"/>
  <c r="A127" i="22"/>
  <c r="B126" i="22"/>
  <c r="A126" i="22"/>
  <c r="B125" i="22"/>
  <c r="A125" i="22"/>
  <c r="B119" i="22"/>
  <c r="A119" i="22"/>
  <c r="B113" i="22"/>
  <c r="A113" i="22"/>
  <c r="B107" i="22"/>
  <c r="A107" i="22"/>
  <c r="B106" i="22"/>
  <c r="A106" i="22"/>
  <c r="B105" i="22"/>
  <c r="A105" i="22"/>
  <c r="B104" i="22"/>
  <c r="A104" i="22"/>
  <c r="B97" i="22"/>
  <c r="A97" i="22"/>
  <c r="B96" i="22"/>
  <c r="A96" i="22"/>
  <c r="B95" i="22"/>
  <c r="A95" i="22"/>
  <c r="B88" i="22"/>
  <c r="A88" i="22"/>
  <c r="B87" i="22"/>
  <c r="A87" i="22"/>
  <c r="B81" i="22"/>
  <c r="A81" i="22"/>
  <c r="B75" i="22"/>
  <c r="A75" i="22"/>
  <c r="B74" i="22"/>
  <c r="A74" i="22"/>
  <c r="B53" i="22"/>
  <c r="A53" i="22"/>
  <c r="B47" i="22"/>
  <c r="A47" i="22"/>
  <c r="B46" i="22"/>
  <c r="A46" i="22"/>
  <c r="B40" i="22"/>
  <c r="A40" i="22"/>
  <c r="B34" i="22"/>
  <c r="A34" i="22"/>
  <c r="B28" i="22"/>
  <c r="A28" i="22"/>
  <c r="B22" i="22"/>
  <c r="A22" i="22"/>
  <c r="B21" i="22"/>
  <c r="A21" i="22"/>
  <c r="B20" i="22"/>
  <c r="A20" i="22"/>
  <c r="B12" i="22"/>
  <c r="A12" i="22"/>
  <c r="B6" i="22"/>
  <c r="A6" i="22"/>
  <c r="B5" i="22"/>
  <c r="A5" i="22"/>
  <c r="D64" i="26"/>
  <c r="D60" i="26"/>
  <c r="J60" i="26" s="1"/>
  <c r="D34" i="26"/>
  <c r="E34" i="26" s="1"/>
  <c r="D33" i="26"/>
  <c r="E33" i="26" s="1"/>
  <c r="D32" i="26"/>
  <c r="I32" i="26" s="1"/>
  <c r="D31" i="26"/>
  <c r="D57" i="26"/>
  <c r="I57" i="26" s="1"/>
  <c r="D56" i="26"/>
  <c r="E56" i="26" s="1"/>
  <c r="D48" i="26"/>
  <c r="E48" i="26" s="1"/>
  <c r="D47" i="26"/>
  <c r="E47" i="26" s="1"/>
  <c r="D46" i="26"/>
  <c r="E46" i="26" s="1"/>
  <c r="D14" i="26"/>
  <c r="D12" i="26"/>
  <c r="D11" i="26"/>
  <c r="E11" i="26" s="1"/>
  <c r="D10" i="26"/>
  <c r="E10" i="26" s="1"/>
  <c r="D9" i="26"/>
  <c r="K8" i="26"/>
  <c r="D29" i="26"/>
  <c r="I29" i="26" s="1"/>
  <c r="D28" i="26"/>
  <c r="E28" i="26" s="1"/>
  <c r="D27" i="26"/>
  <c r="E27" i="26" s="1"/>
  <c r="D26" i="26"/>
  <c r="E26" i="26" s="1"/>
  <c r="D25" i="26"/>
  <c r="D24" i="26"/>
  <c r="I24" i="26" s="1"/>
  <c r="D20" i="26"/>
  <c r="I20" i="26" s="1"/>
  <c r="D19" i="26"/>
  <c r="I19" i="26" s="1"/>
  <c r="D18" i="26"/>
  <c r="I18" i="26" s="1"/>
  <c r="D21" i="26"/>
  <c r="D41" i="26"/>
  <c r="D50" i="26"/>
  <c r="E50" i="26" s="1"/>
  <c r="D66" i="26"/>
  <c r="D53" i="26"/>
  <c r="D55" i="26"/>
  <c r="I55" i="26" s="1"/>
  <c r="D65" i="26"/>
  <c r="J65" i="26" s="1"/>
  <c r="D61" i="26"/>
  <c r="D62" i="26"/>
  <c r="D22" i="26"/>
  <c r="I22" i="26" s="1"/>
  <c r="D23" i="26"/>
  <c r="E23" i="26" s="1"/>
  <c r="D52" i="26"/>
  <c r="E52" i="26" s="1"/>
  <c r="D54" i="26"/>
  <c r="E54" i="26" s="1"/>
  <c r="G616" i="22"/>
  <c r="I616" i="22" s="1"/>
  <c r="G645" i="22"/>
  <c r="I645" i="22" s="1"/>
  <c r="G632" i="22"/>
  <c r="I632" i="22" s="1"/>
  <c r="G375" i="22"/>
  <c r="I375" i="22" s="1"/>
  <c r="G368" i="22"/>
  <c r="I368" i="22" s="1"/>
  <c r="I129" i="22"/>
  <c r="G91" i="22"/>
  <c r="I91" i="22" s="1"/>
  <c r="G100" i="22"/>
  <c r="I100" i="22" s="1"/>
  <c r="G535" i="22"/>
  <c r="I535" i="22" s="1"/>
  <c r="G287" i="22"/>
  <c r="I287" i="22" s="1"/>
  <c r="G294" i="22"/>
  <c r="I294" i="22" s="1"/>
  <c r="G946" i="22"/>
  <c r="I946" i="22" s="1"/>
  <c r="G176" i="22"/>
  <c r="I176" i="22" s="1"/>
  <c r="G544" i="22"/>
  <c r="I544" i="22" s="1"/>
  <c r="G327" i="22"/>
  <c r="I327" i="22" s="1"/>
  <c r="G360" i="22"/>
  <c r="I360" i="22" s="1"/>
  <c r="G279" i="22"/>
  <c r="I279" i="22" s="1"/>
  <c r="G305" i="22"/>
  <c r="I305" i="22" s="1"/>
  <c r="G36" i="22"/>
  <c r="I36" i="22" s="1"/>
  <c r="G50" i="22"/>
  <c r="I50" i="22" s="1"/>
  <c r="G727" i="22"/>
  <c r="I727" i="22" s="1"/>
  <c r="G721" i="22"/>
  <c r="I721" i="22" s="1"/>
  <c r="G941" i="22"/>
  <c r="I941" i="22" s="1"/>
  <c r="G978" i="22"/>
  <c r="I978" i="22" s="1"/>
  <c r="G972" i="22"/>
  <c r="I972" i="22" s="1"/>
  <c r="G207" i="22"/>
  <c r="I207" i="22" s="1"/>
  <c r="G693" i="22"/>
  <c r="I693" i="22" s="1"/>
  <c r="G536" i="22"/>
  <c r="I536" i="22" s="1"/>
  <c r="G388" i="22"/>
  <c r="I388" i="22" s="1"/>
  <c r="G884" i="22"/>
  <c r="I884" i="22" s="1"/>
  <c r="G830" i="22"/>
  <c r="I830" i="22" s="1"/>
  <c r="G966" i="22"/>
  <c r="I966" i="22" s="1"/>
  <c r="G227" i="22"/>
  <c r="I227" i="22" s="1"/>
  <c r="G37" i="22"/>
  <c r="I37" i="22" s="1"/>
  <c r="G991" i="22"/>
  <c r="I991" i="22" s="1"/>
  <c r="G200" i="22"/>
  <c r="I200" i="22" s="1"/>
  <c r="G878" i="22"/>
  <c r="I878" i="22" s="1"/>
  <c r="G151" i="22"/>
  <c r="I151" i="22" s="1"/>
  <c r="G233" i="22"/>
  <c r="I233" i="22" s="1"/>
  <c r="G674" i="22"/>
  <c r="I674" i="22" s="1"/>
  <c r="G43" i="22"/>
  <c r="I43" i="22" s="1"/>
  <c r="G332" i="22"/>
  <c r="I332" i="22" s="1"/>
  <c r="G703" i="22"/>
  <c r="I703" i="22" s="1"/>
  <c r="G939" i="22"/>
  <c r="I939" i="22" s="1"/>
  <c r="G945" i="22"/>
  <c r="I945" i="22" s="1"/>
  <c r="G973" i="22"/>
  <c r="I973" i="22" s="1"/>
  <c r="G389" i="22"/>
  <c r="I389" i="22" s="1"/>
  <c r="G838" i="22"/>
  <c r="I838" i="22" s="1"/>
  <c r="G571" i="22"/>
  <c r="I571" i="22" s="1"/>
  <c r="G289" i="22"/>
  <c r="I289" i="22" s="1"/>
  <c r="G558" i="22"/>
  <c r="I558" i="22" s="1"/>
  <c r="G811" i="22"/>
  <c r="I811" i="22" s="1"/>
  <c r="G551" i="22"/>
  <c r="I551" i="22" s="1"/>
  <c r="G722" i="22"/>
  <c r="I722" i="22" s="1"/>
  <c r="G716" i="22"/>
  <c r="I716" i="22" s="1"/>
  <c r="G439" i="22"/>
  <c r="I439" i="22" s="1"/>
  <c r="G924" i="22"/>
  <c r="I924" i="22" s="1"/>
  <c r="G451" i="22"/>
  <c r="I451" i="22" s="1"/>
  <c r="G955" i="22"/>
  <c r="I955" i="22" s="1"/>
  <c r="G861" i="22"/>
  <c r="I861" i="22" s="1"/>
  <c r="G967" i="22"/>
  <c r="I967" i="22" s="1"/>
  <c r="G912" i="22"/>
  <c r="I912" i="22" s="1"/>
  <c r="G879" i="22"/>
  <c r="I879" i="22" s="1"/>
  <c r="G517" i="22"/>
  <c r="I517" i="22" s="1"/>
  <c r="G471" i="22"/>
  <c r="I471" i="22" s="1"/>
  <c r="G79" i="22"/>
  <c r="I79" i="22" s="1"/>
  <c r="G844" i="22"/>
  <c r="I844" i="22" s="1"/>
  <c r="G998" i="22"/>
  <c r="I998" i="22" s="1"/>
  <c r="G961" i="22"/>
  <c r="I961" i="22" s="1"/>
  <c r="G584" i="22"/>
  <c r="I584" i="22" s="1"/>
  <c r="G222" i="22"/>
  <c r="I222" i="22" s="1"/>
  <c r="G873" i="22"/>
  <c r="I873" i="22" s="1"/>
  <c r="G537" i="22"/>
  <c r="I537" i="22" s="1"/>
  <c r="G397" i="22"/>
  <c r="I397" i="22" s="1"/>
  <c r="G169" i="22"/>
  <c r="I169" i="22" s="1"/>
  <c r="G805" i="22"/>
  <c r="I805" i="22" s="1"/>
  <c r="G885" i="22"/>
  <c r="I885" i="22" s="1"/>
  <c r="G85" i="22"/>
  <c r="I85" i="22" s="1"/>
  <c r="G201" i="22"/>
  <c r="I201" i="22" s="1"/>
  <c r="G193" i="22"/>
  <c r="I193" i="22" s="1"/>
  <c r="G228" i="22"/>
  <c r="I228" i="22" s="1"/>
  <c r="G26" i="22"/>
  <c r="I26" i="22" s="1"/>
  <c r="G123" i="22"/>
  <c r="I123" i="22" s="1"/>
  <c r="G354" i="22"/>
  <c r="I354" i="22" s="1"/>
  <c r="G660" i="22"/>
  <c r="I660" i="22" s="1"/>
  <c r="G15" i="22"/>
  <c r="I15" i="22" s="1"/>
  <c r="G18" i="22"/>
  <c r="I18" i="22" s="1"/>
  <c r="G599" i="22"/>
  <c r="I599" i="22" s="1"/>
  <c r="G713" i="22"/>
  <c r="I713" i="22" s="1"/>
  <c r="G714" i="22"/>
  <c r="I714" i="22" s="1"/>
  <c r="G448" i="22"/>
  <c r="I448" i="22" s="1"/>
  <c r="G386" i="22"/>
  <c r="I386" i="22" s="1"/>
  <c r="G903" i="22"/>
  <c r="I903" i="22" s="1"/>
  <c r="G896" i="22"/>
  <c r="I896" i="22" s="1"/>
  <c r="G366" i="22"/>
  <c r="I366" i="22" s="1"/>
  <c r="G622" i="22"/>
  <c r="I622" i="22" s="1"/>
  <c r="G23" i="22"/>
  <c r="I23" i="22" s="1"/>
  <c r="G220" i="22"/>
  <c r="I220" i="22" s="1"/>
  <c r="G643" i="22"/>
  <c r="I643" i="22" s="1"/>
  <c r="G646" i="22"/>
  <c r="I646" i="22" s="1"/>
  <c r="G934" i="22"/>
  <c r="I934" i="22" s="1"/>
  <c r="G468" i="22"/>
  <c r="I468" i="22" s="1"/>
  <c r="G784" i="22"/>
  <c r="I784" i="22" s="1"/>
  <c r="G777" i="22"/>
  <c r="I777" i="22" s="1"/>
  <c r="G309" i="22"/>
  <c r="I309" i="22" s="1"/>
  <c r="G556" i="22"/>
  <c r="I556" i="22" s="1"/>
  <c r="G720" i="22"/>
  <c r="I720" i="22" s="1"/>
  <c r="G910" i="22"/>
  <c r="I910" i="22" s="1"/>
  <c r="G150" i="22"/>
  <c r="I150" i="22" s="1"/>
  <c r="G152" i="22"/>
  <c r="I152" i="22" s="1"/>
  <c r="G996" i="22"/>
  <c r="I996" i="22" s="1"/>
  <c r="G90" i="22"/>
  <c r="I90" i="22" s="1"/>
  <c r="G409" i="22"/>
  <c r="I409" i="22" s="1"/>
  <c r="G953" i="22"/>
  <c r="I953" i="22" s="1"/>
  <c r="G829" i="22"/>
  <c r="I829" i="22" s="1"/>
  <c r="G277" i="22"/>
  <c r="I277" i="22" s="1"/>
  <c r="G443" i="22"/>
  <c r="I443" i="22" s="1"/>
  <c r="G167" i="22"/>
  <c r="I167" i="22" s="1"/>
  <c r="G331" i="22"/>
  <c r="I331" i="22" s="1"/>
  <c r="G899" i="22"/>
  <c r="I899" i="22" s="1"/>
  <c r="G854" i="22"/>
  <c r="I854" i="22" s="1"/>
  <c r="G38" i="22"/>
  <c r="I38" i="22" s="1"/>
  <c r="G681" i="22"/>
  <c r="I681" i="22" s="1"/>
  <c r="G812" i="22"/>
  <c r="I812" i="22" s="1"/>
  <c r="G362" i="22"/>
  <c r="I362" i="22" s="1"/>
  <c r="G133" i="22"/>
  <c r="I133" i="22" s="1"/>
  <c r="G369" i="22"/>
  <c r="I369" i="22" s="1"/>
  <c r="G545" i="22"/>
  <c r="I545" i="22" s="1"/>
  <c r="G709" i="22"/>
  <c r="I709" i="22" s="1"/>
  <c r="G694" i="22"/>
  <c r="I694" i="22" s="1"/>
  <c r="G411" i="22"/>
  <c r="I411" i="22" s="1"/>
  <c r="G317" i="22"/>
  <c r="I317" i="22" s="1"/>
  <c r="G781" i="22"/>
  <c r="I781" i="22" s="1"/>
  <c r="G333" i="22"/>
  <c r="I333" i="22" s="1"/>
  <c r="G311" i="22"/>
  <c r="I311" i="22" s="1"/>
  <c r="G10" i="22"/>
  <c r="I10" i="22" s="1"/>
  <c r="G296" i="22"/>
  <c r="I296" i="22" s="1"/>
  <c r="G608" i="22"/>
  <c r="I608" i="22" s="1"/>
  <c r="G675" i="22"/>
  <c r="I675" i="22" s="1"/>
  <c r="G130" i="22"/>
  <c r="I130" i="22" s="1"/>
  <c r="G921" i="22"/>
  <c r="I921" i="22" s="1"/>
  <c r="G166" i="22"/>
  <c r="I166" i="22" s="1"/>
  <c r="G149" i="22"/>
  <c r="I149" i="22" s="1"/>
  <c r="G352" i="22"/>
  <c r="I352" i="22" s="1"/>
  <c r="G768" i="22"/>
  <c r="I768" i="22" s="1"/>
  <c r="G672" i="22"/>
  <c r="I672" i="22" s="1"/>
  <c r="G801" i="22"/>
  <c r="I801" i="22" s="1"/>
  <c r="G276" i="22"/>
  <c r="I276" i="22" s="1"/>
  <c r="G359" i="22"/>
  <c r="I359" i="22" s="1"/>
  <c r="G665" i="22"/>
  <c r="I665" i="22" s="1"/>
  <c r="G143" i="22"/>
  <c r="I143" i="22" s="1"/>
  <c r="G548" i="22"/>
  <c r="I548" i="22" s="1"/>
  <c r="G851" i="22"/>
  <c r="I851" i="22" s="1"/>
  <c r="G605" i="22"/>
  <c r="I605" i="22" s="1"/>
  <c r="G637" i="22"/>
  <c r="I637" i="22" s="1"/>
  <c r="G436" i="22"/>
  <c r="I436" i="22" s="1"/>
  <c r="G82" i="22"/>
  <c r="I82" i="22" s="1"/>
  <c r="G175" i="22"/>
  <c r="I175" i="22" s="1"/>
  <c r="G574" i="22"/>
  <c r="I574" i="22" s="1"/>
  <c r="G108" i="22"/>
  <c r="I108" i="22" s="1"/>
  <c r="G719" i="22"/>
  <c r="I719" i="22" s="1"/>
  <c r="G933" i="22"/>
  <c r="I933" i="22" s="1"/>
  <c r="G927" i="22"/>
  <c r="I927" i="22" s="1"/>
  <c r="G225" i="22"/>
  <c r="I225" i="22" s="1"/>
  <c r="G285" i="22"/>
  <c r="I285" i="22" s="1"/>
  <c r="G330" i="22"/>
  <c r="I330" i="22" s="1"/>
  <c r="G314" i="22"/>
  <c r="I314" i="22" s="1"/>
  <c r="G461" i="22"/>
  <c r="I461" i="22" s="1"/>
  <c r="G587" i="22"/>
  <c r="I587" i="22" s="1"/>
  <c r="G882" i="22"/>
  <c r="I882" i="22" s="1"/>
  <c r="G828" i="22"/>
  <c r="I828" i="22" s="1"/>
  <c r="G876" i="22"/>
  <c r="I876" i="22" s="1"/>
  <c r="G858" i="22"/>
  <c r="I858" i="22" s="1"/>
  <c r="G414" i="22"/>
  <c r="I414" i="22" s="1"/>
  <c r="G657" i="22"/>
  <c r="I657" i="22" s="1"/>
  <c r="G809" i="22"/>
  <c r="I809" i="22" s="1"/>
  <c r="G190" i="22"/>
  <c r="I190" i="22" s="1"/>
  <c r="G700" i="22"/>
  <c r="I700" i="22" s="1"/>
  <c r="G420" i="22"/>
  <c r="I420" i="22" s="1"/>
  <c r="G455" i="22"/>
  <c r="I455" i="22" s="1"/>
  <c r="G76" i="22"/>
  <c r="I76" i="22" s="1"/>
  <c r="G402" i="22"/>
  <c r="I402" i="22" s="1"/>
  <c r="G685" i="22"/>
  <c r="I685" i="22" s="1"/>
  <c r="G568" i="22"/>
  <c r="I568" i="22" s="1"/>
  <c r="G183" i="22"/>
  <c r="I183" i="22" s="1"/>
  <c r="G408" i="22"/>
  <c r="I408" i="22" s="1"/>
  <c r="G292" i="22"/>
  <c r="I292" i="22" s="1"/>
  <c r="G621" i="22"/>
  <c r="I621" i="22" s="1"/>
  <c r="G343" i="22"/>
  <c r="I343" i="22" s="1"/>
  <c r="G380" i="22"/>
  <c r="I380" i="22" s="1"/>
  <c r="G864" i="22"/>
  <c r="I864" i="22" s="1"/>
  <c r="G372" i="22"/>
  <c r="I372" i="22" s="1"/>
  <c r="G952" i="22"/>
  <c r="I952" i="22" s="1"/>
  <c r="G870" i="22"/>
  <c r="I870" i="22" s="1"/>
  <c r="G983" i="22"/>
  <c r="I983" i="22" s="1"/>
  <c r="G158" i="22"/>
  <c r="I158" i="22" s="1"/>
  <c r="G958" i="22"/>
  <c r="I958" i="22" s="1"/>
  <c r="G270" i="22"/>
  <c r="I270" i="22" s="1"/>
  <c r="G426" i="22"/>
  <c r="I426" i="22" s="1"/>
  <c r="G508" i="22"/>
  <c r="I508" i="22" s="1"/>
  <c r="G909" i="22"/>
  <c r="I909" i="22" s="1"/>
  <c r="G205" i="22"/>
  <c r="I205" i="22" s="1"/>
  <c r="G136" i="22"/>
  <c r="I136" i="22" s="1"/>
  <c r="G835" i="22"/>
  <c r="I835" i="22" s="1"/>
  <c r="G970" i="22"/>
  <c r="I970" i="22" s="1"/>
  <c r="G651" i="22"/>
  <c r="I651" i="22" s="1"/>
  <c r="G324" i="22"/>
  <c r="I324" i="22" s="1"/>
  <c r="G731" i="22"/>
  <c r="I731" i="22" s="1"/>
  <c r="G35" i="22"/>
  <c r="I35" i="22" s="1"/>
  <c r="G841" i="22"/>
  <c r="I841" i="22" s="1"/>
  <c r="G514" i="22"/>
  <c r="I514" i="22" s="1"/>
  <c r="G526" i="22"/>
  <c r="I526" i="22" s="1"/>
  <c r="G976" i="22"/>
  <c r="I976" i="22" s="1"/>
  <c r="G613" i="22"/>
  <c r="I613" i="22" s="1"/>
  <c r="G89" i="22"/>
  <c r="I89" i="22" s="1"/>
  <c r="G794" i="22"/>
  <c r="I794" i="22" s="1"/>
  <c r="G691" i="22"/>
  <c r="I691" i="22" s="1"/>
  <c r="G533" i="22"/>
  <c r="I533" i="22" s="1"/>
  <c r="G211" i="22"/>
  <c r="I211" i="22" s="1"/>
  <c r="G596" i="22"/>
  <c r="I596" i="22" s="1"/>
  <c r="G678" i="22"/>
  <c r="I678" i="22" s="1"/>
  <c r="G114" i="22"/>
  <c r="I114" i="22" s="1"/>
  <c r="G995" i="22"/>
  <c r="I995" i="22" s="1"/>
  <c r="G98" i="22"/>
  <c r="I98" i="22" s="1"/>
  <c r="G308" i="22"/>
  <c r="I308" i="22" s="1"/>
  <c r="G915" i="22"/>
  <c r="I915" i="22" s="1"/>
  <c r="G964" i="22"/>
  <c r="I964" i="22" s="1"/>
  <c r="G219" i="22"/>
  <c r="I219" i="22" s="1"/>
  <c r="G555" i="22"/>
  <c r="I555" i="22" s="1"/>
  <c r="G442" i="22"/>
  <c r="I442" i="22" s="1"/>
  <c r="G302" i="22"/>
  <c r="I302" i="22" s="1"/>
  <c r="G989" i="22"/>
  <c r="I989" i="22" s="1"/>
  <c r="G394" i="22"/>
  <c r="I394" i="22" s="1"/>
  <c r="G337" i="22"/>
  <c r="I337" i="22" s="1"/>
  <c r="G888" i="22"/>
  <c r="I888" i="22" s="1"/>
  <c r="G29" i="22"/>
  <c r="I29" i="22" s="1"/>
  <c r="G231" i="22"/>
  <c r="I231" i="22" s="1"/>
  <c r="G993" i="22"/>
  <c r="G676" i="22"/>
  <c r="G472" i="22"/>
  <c r="G398" i="22"/>
  <c r="G48" i="22"/>
  <c r="I48" i="22" s="1"/>
  <c r="G41" i="22"/>
  <c r="I41" i="22" s="1"/>
  <c r="G581" i="22"/>
  <c r="I581" i="22" s="1"/>
  <c r="G629" i="22"/>
  <c r="I629" i="22" s="1"/>
  <c r="G747" i="22"/>
  <c r="G822" i="22"/>
  <c r="I822" i="22" s="1"/>
  <c r="G725" i="22"/>
  <c r="I725" i="22" s="1"/>
  <c r="G7" i="22"/>
  <c r="I7" i="22" s="1"/>
  <c r="G706" i="22"/>
  <c r="I706" i="22" s="1"/>
  <c r="G198" i="22"/>
  <c r="I198" i="22" s="1"/>
  <c r="G120" i="22"/>
  <c r="I120" i="22" s="1"/>
  <c r="G542" i="22"/>
  <c r="I542" i="22" s="1"/>
  <c r="G32" i="22"/>
  <c r="I32" i="22" s="1"/>
  <c r="G640" i="22"/>
  <c r="I640" i="22" s="1"/>
  <c r="G624" i="22"/>
  <c r="I624" i="22" s="1"/>
  <c r="G117" i="22"/>
  <c r="I117" i="22" s="1"/>
  <c r="G423" i="22"/>
  <c r="I423" i="22" s="1"/>
  <c r="G111" i="22"/>
  <c r="I111" i="22" s="1"/>
  <c r="G734" i="22"/>
  <c r="I734" i="22" s="1"/>
  <c r="G458" i="22"/>
  <c r="I458" i="22" s="1"/>
  <c r="G992" i="22"/>
  <c r="I992" i="22" s="1"/>
  <c r="G948" i="22"/>
  <c r="I948" i="22" s="1"/>
  <c r="G139" i="22"/>
  <c r="I139" i="22" s="1"/>
  <c r="G51" i="22"/>
  <c r="I51" i="22" s="1"/>
  <c r="G445" i="22"/>
  <c r="I445" i="22" s="1"/>
  <c r="G464" i="22"/>
  <c r="I464" i="22" s="1"/>
  <c r="G986" i="22"/>
  <c r="I986" i="22" s="1"/>
  <c r="G728" i="22"/>
  <c r="I728" i="22" s="1"/>
  <c r="G214" i="22"/>
  <c r="I214" i="22" s="1"/>
  <c r="G936" i="22"/>
  <c r="I936" i="22" s="1"/>
  <c r="G942" i="22"/>
  <c r="I942" i="22" s="1"/>
  <c r="G688" i="22"/>
  <c r="I688" i="22" s="1"/>
  <c r="G825" i="22"/>
  <c r="I825" i="22" s="1"/>
  <c r="G346" i="22"/>
  <c r="I346" i="22" s="1"/>
  <c r="G208" i="22"/>
  <c r="I208" i="22" s="1"/>
  <c r="G867" i="22"/>
  <c r="I867" i="22" s="1"/>
  <c r="G590" i="22"/>
  <c r="I590" i="22" s="1"/>
  <c r="G979" i="22"/>
  <c r="I979" i="22" s="1"/>
  <c r="G668" i="22"/>
  <c r="I668" i="22" s="1"/>
  <c r="G405" i="22"/>
  <c r="I405" i="22" s="1"/>
  <c r="G44" i="22"/>
  <c r="I44" i="22" s="1"/>
  <c r="G831" i="22"/>
  <c r="I831" i="22" s="1"/>
  <c r="G511" i="22"/>
  <c r="I511" i="22" s="1"/>
  <c r="G186" i="22"/>
  <c r="I186" i="22" s="1"/>
  <c r="G93" i="22"/>
  <c r="I93" i="22" s="1"/>
  <c r="G654" i="22"/>
  <c r="I654" i="22" s="1"/>
  <c r="G891" i="22"/>
  <c r="I891" i="22" s="1"/>
  <c r="G918" i="22"/>
  <c r="I918" i="22" s="1"/>
  <c r="G146" i="22"/>
  <c r="I146" i="22" s="1"/>
  <c r="G340" i="22"/>
  <c r="I340" i="22" s="1"/>
  <c r="G178" i="22"/>
  <c r="I178" i="22" s="1"/>
  <c r="G788" i="22"/>
  <c r="I788" i="22" s="1"/>
  <c r="G355" i="22"/>
  <c r="I355" i="22" s="1"/>
  <c r="G530" i="22"/>
  <c r="I530" i="22" s="1"/>
  <c r="G930" i="22"/>
  <c r="I930" i="22" s="1"/>
  <c r="G906" i="22"/>
  <c r="I906" i="22" s="1"/>
  <c r="G383" i="22"/>
  <c r="I383" i="22" s="1"/>
  <c r="G102" i="22"/>
  <c r="I102" i="22" s="1"/>
  <c r="G234" i="22"/>
  <c r="I234" i="22" s="1"/>
  <c r="G161" i="22"/>
  <c r="I161" i="22" s="1"/>
  <c r="G417" i="22"/>
  <c r="I417" i="22" s="1"/>
  <c r="G577" i="22"/>
  <c r="I577" i="22" s="1"/>
  <c r="G798" i="22"/>
  <c r="I798" i="22" s="1"/>
  <c r="G273" i="22"/>
  <c r="I273" i="22" s="1"/>
  <c r="G361" i="22"/>
  <c r="I361" i="22" s="1"/>
  <c r="G631" i="22"/>
  <c r="I631" i="22" s="1"/>
  <c r="G653" i="22"/>
  <c r="I653" i="22" s="1"/>
  <c r="G304" i="22"/>
  <c r="I304" i="22" s="1"/>
  <c r="G116" i="22"/>
  <c r="I116" i="22" s="1"/>
  <c r="G160" i="22"/>
  <c r="I160" i="22" s="1"/>
  <c r="G615" i="22"/>
  <c r="I615" i="22" s="1"/>
  <c r="G804" i="22"/>
  <c r="I804" i="22" s="1"/>
  <c r="G310" i="22"/>
  <c r="I310" i="22" s="1"/>
  <c r="G607" i="22"/>
  <c r="I607" i="22" s="1"/>
  <c r="G771" i="22"/>
  <c r="I771" i="22" s="1"/>
  <c r="G278" i="22"/>
  <c r="I278" i="22" s="1"/>
  <c r="G14" i="26"/>
  <c r="I56" i="26"/>
  <c r="H27" i="79"/>
  <c r="G46" i="82"/>
  <c r="E65" i="83"/>
  <c r="E69" i="83"/>
  <c r="Q20" i="86"/>
  <c r="Q35" i="86"/>
  <c r="Q15" i="86"/>
  <c r="C9" i="87"/>
  <c r="A9" i="87"/>
  <c r="D33" i="83"/>
  <c r="D10" i="86"/>
  <c r="F17" i="86"/>
  <c r="F67" i="74"/>
  <c r="F69" i="74"/>
  <c r="F71" i="74"/>
  <c r="F72" i="74"/>
  <c r="F73" i="74"/>
  <c r="H280" i="22" l="1"/>
  <c r="D24" i="52"/>
  <c r="F24" i="52" s="1"/>
  <c r="R11" i="65"/>
  <c r="H406" i="22"/>
  <c r="T11" i="65"/>
  <c r="P11" i="65"/>
  <c r="G710" i="22"/>
  <c r="G334" i="22"/>
  <c r="G124" i="22"/>
  <c r="H179" i="22"/>
  <c r="H669" i="22"/>
  <c r="G855" i="22"/>
  <c r="G103" i="22"/>
  <c r="G839" i="22"/>
  <c r="G452" i="22"/>
  <c r="G729" i="22"/>
  <c r="P27" i="66"/>
  <c r="V37" i="67"/>
  <c r="G538" i="22"/>
  <c r="G813" i="22"/>
  <c r="H112" i="22"/>
  <c r="H789" i="22"/>
  <c r="C31" i="66"/>
  <c r="G347" i="22"/>
  <c r="G280" i="22"/>
  <c r="I280" i="22" s="1"/>
  <c r="G641" i="22"/>
  <c r="G27" i="22"/>
  <c r="G140" i="22"/>
  <c r="H943" i="22"/>
  <c r="S11" i="65"/>
  <c r="D19" i="86"/>
  <c r="G25" i="26"/>
  <c r="H987" i="22"/>
  <c r="G38" i="73"/>
  <c r="M8" i="65"/>
  <c r="E37" i="26"/>
  <c r="I37" i="26"/>
  <c r="C8" i="87"/>
  <c r="D64" i="83"/>
  <c r="F74" i="74"/>
  <c r="G27" i="26"/>
  <c r="G37" i="26"/>
  <c r="G24" i="26"/>
  <c r="G12" i="26"/>
  <c r="G48" i="26"/>
  <c r="H147" i="22"/>
  <c r="D40" i="86"/>
  <c r="B28" i="78"/>
  <c r="C25" i="70"/>
  <c r="G41" i="26"/>
  <c r="G42" i="26"/>
  <c r="I52" i="26"/>
  <c r="G56" i="26"/>
  <c r="G26" i="26"/>
  <c r="H124" i="22"/>
  <c r="H430" i="22"/>
  <c r="H518" i="22"/>
  <c r="F344" i="45"/>
  <c r="H689" i="22"/>
  <c r="H949" i="22"/>
  <c r="H968" i="22"/>
  <c r="H446" i="22"/>
  <c r="W8" i="65"/>
  <c r="C36" i="87"/>
  <c r="G38" i="62"/>
  <c r="H187" i="22"/>
  <c r="H334" i="22"/>
  <c r="H591" i="22"/>
  <c r="H134" i="22"/>
  <c r="H390" i="22"/>
  <c r="H19" i="22"/>
  <c r="H609" i="22"/>
  <c r="H772" i="22"/>
  <c r="H235" i="22"/>
  <c r="H297" i="22"/>
  <c r="H384" i="22"/>
  <c r="H552" i="22"/>
  <c r="H103" i="22"/>
  <c r="H94" i="22"/>
  <c r="H229" i="22"/>
  <c r="H412" i="22"/>
  <c r="H531" i="22"/>
  <c r="H585" i="22"/>
  <c r="H855" i="22"/>
  <c r="H880" i="22"/>
  <c r="H900" i="22"/>
  <c r="H993" i="22"/>
  <c r="I993" i="22" s="1"/>
  <c r="H931" i="22"/>
  <c r="F1510" i="45"/>
  <c r="H465" i="22"/>
  <c r="I465" i="22" s="1"/>
  <c r="I485" i="22" s="1"/>
  <c r="I503" i="22" s="1"/>
  <c r="H452" i="22"/>
  <c r="I452" i="22" s="1"/>
  <c r="I487" i="22" s="1"/>
  <c r="I498" i="22" s="1"/>
  <c r="H717" i="22"/>
  <c r="H735" i="22"/>
  <c r="I80" i="76"/>
  <c r="J80" i="76" s="1"/>
  <c r="I80" i="75"/>
  <c r="J80" i="75" s="1"/>
  <c r="I72" i="63"/>
  <c r="J72" i="63" s="1"/>
  <c r="I75" i="75"/>
  <c r="J75" i="75" s="1"/>
  <c r="I81" i="75"/>
  <c r="J81" i="75" s="1"/>
  <c r="I75" i="76"/>
  <c r="I67" i="63"/>
  <c r="W7" i="65"/>
  <c r="N7" i="65"/>
  <c r="W37" i="67"/>
  <c r="G12" i="73"/>
  <c r="H424" i="22"/>
  <c r="H806" i="22"/>
  <c r="H27" i="22"/>
  <c r="I27" i="22" s="1"/>
  <c r="H223" i="22"/>
  <c r="H290" i="22"/>
  <c r="H341" i="22"/>
  <c r="H538" i="22"/>
  <c r="H907" i="22"/>
  <c r="H999" i="22"/>
  <c r="H925" i="22"/>
  <c r="H937" i="22"/>
  <c r="F1558" i="45"/>
  <c r="H440" i="22"/>
  <c r="H729" i="22"/>
  <c r="H11" i="22"/>
  <c r="G297" i="22"/>
  <c r="I74" i="75"/>
  <c r="J74" i="75" s="1"/>
  <c r="J72" i="75" s="1"/>
  <c r="G27" i="77" s="1"/>
  <c r="I74" i="76"/>
  <c r="J74" i="76" s="1"/>
  <c r="I66" i="63"/>
  <c r="J66" i="63" s="1"/>
  <c r="D8" i="86"/>
  <c r="C38" i="79"/>
  <c r="C42" i="70"/>
  <c r="B16" i="77" s="1"/>
  <c r="E11" i="79" s="1"/>
  <c r="B16" i="78"/>
  <c r="G22" i="79"/>
  <c r="G13" i="81"/>
  <c r="I13" i="81" s="1"/>
  <c r="J13" i="81" s="1"/>
  <c r="E66" i="26"/>
  <c r="J66" i="26"/>
  <c r="E12" i="26"/>
  <c r="I12" i="26"/>
  <c r="I31" i="26"/>
  <c r="G23" i="26"/>
  <c r="G46" i="26"/>
  <c r="G13" i="26"/>
  <c r="G55" i="26"/>
  <c r="G21" i="26"/>
  <c r="G11" i="26"/>
  <c r="G28" i="26"/>
  <c r="I9" i="26"/>
  <c r="I14" i="26"/>
  <c r="E64" i="26"/>
  <c r="J64" i="26"/>
  <c r="K64" i="26" s="1"/>
  <c r="G19" i="26"/>
  <c r="G47" i="26"/>
  <c r="G29" i="26"/>
  <c r="G10" i="26"/>
  <c r="G57" i="26"/>
  <c r="G22" i="26"/>
  <c r="G52" i="26"/>
  <c r="J52" i="26" s="1"/>
  <c r="K52" i="26" s="1"/>
  <c r="G54" i="26"/>
  <c r="E62" i="26"/>
  <c r="J62" i="26"/>
  <c r="K62" i="26" s="1"/>
  <c r="G53" i="26"/>
  <c r="G18" i="26"/>
  <c r="I10" i="26"/>
  <c r="G15" i="26"/>
  <c r="G43" i="26"/>
  <c r="G20" i="26"/>
  <c r="G50" i="26"/>
  <c r="G16" i="26"/>
  <c r="G44" i="26"/>
  <c r="E32" i="26"/>
  <c r="E61" i="26"/>
  <c r="J61" i="26"/>
  <c r="I11" i="26"/>
  <c r="J11" i="26" s="1"/>
  <c r="K11" i="26" s="1"/>
  <c r="G13" i="79"/>
  <c r="I13" i="79" s="1"/>
  <c r="J13" i="79" s="1"/>
  <c r="G33" i="81"/>
  <c r="I33" i="81" s="1"/>
  <c r="J33" i="81" s="1"/>
  <c r="G12" i="81"/>
  <c r="H12" i="81"/>
  <c r="G22" i="81"/>
  <c r="I22" i="81" s="1"/>
  <c r="J22" i="81" s="1"/>
  <c r="G28" i="81"/>
  <c r="H28" i="81"/>
  <c r="H18" i="81"/>
  <c r="G18" i="81"/>
  <c r="H36" i="81"/>
  <c r="I36" i="81" s="1"/>
  <c r="J36" i="81" s="1"/>
  <c r="D23" i="71"/>
  <c r="F38" i="74"/>
  <c r="D25" i="74"/>
  <c r="G75" i="73"/>
  <c r="G75" i="62"/>
  <c r="E85" i="62" s="1"/>
  <c r="G12" i="62"/>
  <c r="G485" i="22"/>
  <c r="G751" i="22"/>
  <c r="G900" i="22"/>
  <c r="G153" i="22"/>
  <c r="G487" i="22"/>
  <c r="G907" i="22"/>
  <c r="G341" i="22"/>
  <c r="G661" i="22"/>
  <c r="I661" i="22" s="1"/>
  <c r="G704" i="22"/>
  <c r="G19" i="22"/>
  <c r="G723" i="22"/>
  <c r="G974" i="22"/>
  <c r="G328" i="22"/>
  <c r="G799" i="22"/>
  <c r="G782" i="22"/>
  <c r="G874" i="22"/>
  <c r="G94" i="22"/>
  <c r="I94" i="22" s="1"/>
  <c r="G376" i="22"/>
  <c r="I376" i="22" s="1"/>
  <c r="G223" i="22"/>
  <c r="G962" i="22"/>
  <c r="G33" i="22"/>
  <c r="G862" i="22"/>
  <c r="G170" i="22"/>
  <c r="G749" i="22"/>
  <c r="G363" i="22"/>
  <c r="I363" i="22" s="1"/>
  <c r="G312" i="22"/>
  <c r="G845" i="22"/>
  <c r="G39" i="22"/>
  <c r="G943" i="22"/>
  <c r="I943" i="22" s="1"/>
  <c r="G682" i="22"/>
  <c r="G925" i="22"/>
  <c r="G806" i="22"/>
  <c r="I806" i="22" s="1"/>
  <c r="G418" i="22"/>
  <c r="G318" i="22"/>
  <c r="G762" i="22"/>
  <c r="G498" i="22"/>
  <c r="G459" i="22"/>
  <c r="G11" i="22"/>
  <c r="G826" i="22"/>
  <c r="G742" i="22"/>
  <c r="G179" i="22"/>
  <c r="I179" i="22" s="1"/>
  <c r="G446" i="22"/>
  <c r="G559" i="22"/>
  <c r="G390" i="22"/>
  <c r="I390" i="22" s="1"/>
  <c r="H655" i="22"/>
  <c r="H919" i="22"/>
  <c r="G832" i="22"/>
  <c r="G406" i="22"/>
  <c r="I406" i="22" s="1"/>
  <c r="G52" i="22"/>
  <c r="G290" i="22"/>
  <c r="G112" i="22"/>
  <c r="G512" i="22"/>
  <c r="G886" i="22"/>
  <c r="G531" i="22"/>
  <c r="G987" i="22"/>
  <c r="G600" i="22"/>
  <c r="G999" i="22"/>
  <c r="G625" i="22"/>
  <c r="G384" i="22"/>
  <c r="G745" i="22"/>
  <c r="G480" i="22"/>
  <c r="G478" i="22"/>
  <c r="G880" i="22"/>
  <c r="G572" i="22"/>
  <c r="G669" i="22"/>
  <c r="I669" i="22" s="1"/>
  <c r="G274" i="22"/>
  <c r="G591" i="22"/>
  <c r="G609" i="22"/>
  <c r="I609" i="22" s="1"/>
  <c r="G990" i="22"/>
  <c r="I990" i="22" s="1"/>
  <c r="I988" i="22" s="1"/>
  <c r="G836" i="22"/>
  <c r="I836" i="22" s="1"/>
  <c r="G795" i="22"/>
  <c r="I795" i="22" s="1"/>
  <c r="G582" i="22"/>
  <c r="I582" i="22" s="1"/>
  <c r="G206" i="22"/>
  <c r="I206" i="22" s="1"/>
  <c r="I204" i="22" s="1"/>
  <c r="G293" i="22"/>
  <c r="I293" i="22" s="1"/>
  <c r="G679" i="22"/>
  <c r="I679" i="22" s="1"/>
  <c r="G373" i="22"/>
  <c r="I373" i="22" s="1"/>
  <c r="G883" i="22"/>
  <c r="I883" i="22" s="1"/>
  <c r="I881" i="22" s="1"/>
  <c r="G232" i="22"/>
  <c r="I232" i="22" s="1"/>
  <c r="G614" i="22"/>
  <c r="I614" i="22" s="1"/>
  <c r="I611" i="22" s="1"/>
  <c r="I612" i="22" s="1"/>
  <c r="G24" i="22"/>
  <c r="I24" i="22" s="1"/>
  <c r="G823" i="22"/>
  <c r="I823" i="22" s="1"/>
  <c r="G8" i="22"/>
  <c r="I8" i="22" s="1"/>
  <c r="G30" i="22"/>
  <c r="I30" i="22" s="1"/>
  <c r="G286" i="22"/>
  <c r="I286" i="22" s="1"/>
  <c r="G701" i="22"/>
  <c r="I701" i="22" s="1"/>
  <c r="G109" i="22"/>
  <c r="I109" i="22" s="1"/>
  <c r="G99" i="22"/>
  <c r="I99" i="22" s="1"/>
  <c r="G652" i="22"/>
  <c r="I652" i="22" s="1"/>
  <c r="I650" i="22" s="1"/>
  <c r="G865" i="22"/>
  <c r="I865" i="22" s="1"/>
  <c r="G49" i="22"/>
  <c r="I49" i="22" s="1"/>
  <c r="G638" i="22"/>
  <c r="I638" i="22" s="1"/>
  <c r="G778" i="22"/>
  <c r="I778" i="22" s="1"/>
  <c r="G928" i="22"/>
  <c r="I928" i="22" s="1"/>
  <c r="G381" i="22"/>
  <c r="I381" i="22" s="1"/>
  <c r="G597" i="22"/>
  <c r="I597" i="22" s="1"/>
  <c r="G159" i="22"/>
  <c r="I159" i="22" s="1"/>
  <c r="I157" i="22" s="1"/>
  <c r="G889" i="22"/>
  <c r="I889" i="22" s="1"/>
  <c r="G726" i="22"/>
  <c r="I726" i="22" s="1"/>
  <c r="G673" i="22"/>
  <c r="I673" i="22" s="1"/>
  <c r="I671" i="22" s="1"/>
  <c r="G367" i="22"/>
  <c r="I367" i="22" s="1"/>
  <c r="I365" i="22" s="1"/>
  <c r="G131" i="22"/>
  <c r="I131" i="22" s="1"/>
  <c r="G462" i="22"/>
  <c r="I462" i="22" s="1"/>
  <c r="G769" i="22"/>
  <c r="I769" i="22" s="1"/>
  <c r="G965" i="22"/>
  <c r="I965" i="22" s="1"/>
  <c r="I963" i="22" s="1"/>
  <c r="G212" i="22"/>
  <c r="I212" i="22" s="1"/>
  <c r="G852" i="22"/>
  <c r="I852" i="22" s="1"/>
  <c r="G871" i="22"/>
  <c r="I871" i="22" s="1"/>
  <c r="G666" i="22"/>
  <c r="I666" i="22" s="1"/>
  <c r="G971" i="22"/>
  <c r="I971" i="22" s="1"/>
  <c r="I969" i="22" s="1"/>
  <c r="G606" i="22"/>
  <c r="I606" i="22" s="1"/>
  <c r="G387" i="22"/>
  <c r="I387" i="22" s="1"/>
  <c r="I385" i="22" s="1"/>
  <c r="G859" i="22"/>
  <c r="I859" i="22" s="1"/>
  <c r="G575" i="22"/>
  <c r="I575" i="22" s="1"/>
  <c r="G403" i="22"/>
  <c r="I403" i="22" s="1"/>
  <c r="G515" i="22"/>
  <c r="I515" i="22" s="1"/>
  <c r="G415" i="22"/>
  <c r="I415" i="22" s="1"/>
  <c r="G543" i="22"/>
  <c r="I543" i="22" s="1"/>
  <c r="I541" i="22" s="1"/>
  <c r="G226" i="22"/>
  <c r="I226" i="22" s="1"/>
  <c r="G534" i="22"/>
  <c r="I534" i="22" s="1"/>
  <c r="G922" i="22"/>
  <c r="I922" i="22" s="1"/>
  <c r="G630" i="22"/>
  <c r="I630" i="22" s="1"/>
  <c r="I627" i="22" s="1"/>
  <c r="I628" i="22" s="1"/>
  <c r="G509" i="22"/>
  <c r="I509" i="22" s="1"/>
  <c r="G785" i="22"/>
  <c r="I785" i="22" s="1"/>
  <c r="G83" i="22"/>
  <c r="I83" i="22" s="1"/>
  <c r="G184" i="22"/>
  <c r="I184" i="22" s="1"/>
  <c r="G144" i="22"/>
  <c r="I144" i="22" s="1"/>
  <c r="E4" i="82"/>
  <c r="E7" i="86" s="1"/>
  <c r="B54" i="69"/>
  <c r="C66" i="76"/>
  <c r="D11" i="70"/>
  <c r="D9" i="70"/>
  <c r="B9" i="78"/>
  <c r="C120" i="76"/>
  <c r="D13" i="70"/>
  <c r="B19" i="78"/>
  <c r="C39" i="81"/>
  <c r="C15" i="83"/>
  <c r="D45" i="68"/>
  <c r="D41" i="68"/>
  <c r="C40" i="78"/>
  <c r="D24" i="71"/>
  <c r="B29" i="78"/>
  <c r="B35" i="78"/>
  <c r="C10" i="86"/>
  <c r="B30" i="78"/>
  <c r="B43" i="78"/>
  <c r="B53" i="76"/>
  <c r="B7" i="78"/>
  <c r="B31" i="78"/>
  <c r="B36" i="78"/>
  <c r="B53" i="75"/>
  <c r="C28" i="78"/>
  <c r="B40" i="78"/>
  <c r="D42" i="69"/>
  <c r="D46" i="70" s="1"/>
  <c r="B33" i="78"/>
  <c r="C35" i="64"/>
  <c r="C19" i="64"/>
  <c r="D79" i="71"/>
  <c r="D76" i="72"/>
  <c r="B37" i="85"/>
  <c r="D17" i="71"/>
  <c r="B10" i="86"/>
  <c r="B37" i="78"/>
  <c r="C35" i="84"/>
  <c r="C53" i="75"/>
  <c r="B25" i="78"/>
  <c r="D16" i="72"/>
  <c r="B8" i="70"/>
  <c r="C8" i="64"/>
  <c r="C19" i="79"/>
  <c r="C21" i="77"/>
  <c r="C39" i="64"/>
  <c r="C57" i="76"/>
  <c r="B14" i="78"/>
  <c r="B30" i="70"/>
  <c r="B56" i="69"/>
  <c r="B20" i="78"/>
  <c r="C17" i="64"/>
  <c r="C16" i="79"/>
  <c r="C35" i="79"/>
  <c r="C8" i="81"/>
  <c r="C20" i="77"/>
  <c r="C55" i="69"/>
  <c r="D20" i="68"/>
  <c r="B57" i="75"/>
  <c r="B120" i="76"/>
  <c r="B32" i="70"/>
  <c r="B55" i="69"/>
  <c r="C16" i="64"/>
  <c r="C8" i="79"/>
  <c r="C16" i="81"/>
  <c r="D76" i="71"/>
  <c r="D41" i="69"/>
  <c r="D45" i="70" s="1"/>
  <c r="I26" i="26"/>
  <c r="E24" i="26"/>
  <c r="E19" i="26"/>
  <c r="D13" i="26"/>
  <c r="E13" i="26" s="1"/>
  <c r="I47" i="26"/>
  <c r="J47" i="26" s="1"/>
  <c r="K47" i="26" s="1"/>
  <c r="G28" i="79"/>
  <c r="H28" i="79"/>
  <c r="G27" i="81"/>
  <c r="H27" i="81"/>
  <c r="H459" i="22"/>
  <c r="E22" i="26"/>
  <c r="J22" i="26" s="1"/>
  <c r="K22" i="26" s="1"/>
  <c r="H572" i="22"/>
  <c r="H868" i="22"/>
  <c r="C30" i="66"/>
  <c r="M27" i="77"/>
  <c r="I50" i="26"/>
  <c r="O7" i="65"/>
  <c r="G21" i="81"/>
  <c r="H21" i="81"/>
  <c r="C8" i="52"/>
  <c r="D22" i="52" s="1"/>
  <c r="E22" i="52" s="1"/>
  <c r="C7" i="52"/>
  <c r="I54" i="26"/>
  <c r="I33" i="26"/>
  <c r="J33" i="26" s="1"/>
  <c r="K33" i="26" s="1"/>
  <c r="H418" i="22"/>
  <c r="H578" i="22"/>
  <c r="H202" i="22"/>
  <c r="H398" i="22"/>
  <c r="I398" i="22" s="1"/>
  <c r="H832" i="22"/>
  <c r="I832" i="22" s="1"/>
  <c r="H826" i="22"/>
  <c r="I826" i="22" s="1"/>
  <c r="H845" i="22"/>
  <c r="I845" i="22" s="1"/>
  <c r="H839" i="22"/>
  <c r="I839" i="22" s="1"/>
  <c r="H913" i="22"/>
  <c r="V9" i="65"/>
  <c r="M7" i="65"/>
  <c r="U37" i="67"/>
  <c r="D44" i="68"/>
  <c r="E31" i="26"/>
  <c r="E9" i="26"/>
  <c r="E55" i="26"/>
  <c r="H813" i="22"/>
  <c r="I813" i="22" s="1"/>
  <c r="H274" i="22"/>
  <c r="I274" i="22" s="1"/>
  <c r="H328" i="22"/>
  <c r="H892" i="22"/>
  <c r="H886" i="22"/>
  <c r="H862" i="22"/>
  <c r="I862" i="22" s="1"/>
  <c r="H215" i="22"/>
  <c r="H974" i="22"/>
  <c r="H723" i="22"/>
  <c r="I723" i="22" s="1"/>
  <c r="I747" i="22" s="1"/>
  <c r="I764" i="22" s="1"/>
  <c r="H52" i="22"/>
  <c r="I49" i="26"/>
  <c r="M28" i="77"/>
  <c r="D17" i="64"/>
  <c r="D16" i="64"/>
  <c r="D21" i="68"/>
  <c r="H162" i="22"/>
  <c r="H170" i="22"/>
  <c r="C32" i="66"/>
  <c r="Q35" i="67"/>
  <c r="S28" i="68" s="1"/>
  <c r="S29" i="68" s="1"/>
  <c r="M29" i="78"/>
  <c r="E38" i="26"/>
  <c r="E40" i="26"/>
  <c r="E20" i="26"/>
  <c r="I48" i="26"/>
  <c r="J56" i="26"/>
  <c r="K56" i="26" s="1"/>
  <c r="G623" i="22"/>
  <c r="I623" i="22" s="1"/>
  <c r="I619" i="22" s="1"/>
  <c r="I618" i="22" s="1"/>
  <c r="G326" i="22"/>
  <c r="I326" i="22" s="1"/>
  <c r="G733" i="22"/>
  <c r="I733" i="22" s="1"/>
  <c r="G450" i="22"/>
  <c r="I450" i="22" s="1"/>
  <c r="G917" i="22"/>
  <c r="I917" i="22" s="1"/>
  <c r="G702" i="22"/>
  <c r="I702" i="22" s="1"/>
  <c r="G954" i="22"/>
  <c r="I954" i="22" s="1"/>
  <c r="G997" i="22"/>
  <c r="I997" i="22" s="1"/>
  <c r="I994" i="22" s="1"/>
  <c r="G84" i="22"/>
  <c r="I84" i="22" s="1"/>
  <c r="G78" i="22"/>
  <c r="I78" i="22" s="1"/>
  <c r="G510" i="22"/>
  <c r="I510" i="22" s="1"/>
  <c r="I507" i="22" s="1"/>
  <c r="G339" i="22"/>
  <c r="I339" i="22" s="1"/>
  <c r="G890" i="22"/>
  <c r="I890" i="22" s="1"/>
  <c r="G667" i="22"/>
  <c r="I667" i="22" s="1"/>
  <c r="G866" i="22"/>
  <c r="I866" i="22" s="1"/>
  <c r="G192" i="22"/>
  <c r="I192" i="22" s="1"/>
  <c r="G780" i="22"/>
  <c r="I780" i="22" s="1"/>
  <c r="G589" i="22"/>
  <c r="I589" i="22" s="1"/>
  <c r="G145" i="22"/>
  <c r="I145" i="22" s="1"/>
  <c r="I142" i="22" s="1"/>
  <c r="G843" i="22"/>
  <c r="I843" i="22" s="1"/>
  <c r="G138" i="22"/>
  <c r="I138" i="22" s="1"/>
  <c r="G168" i="22"/>
  <c r="I168" i="22" s="1"/>
  <c r="G576" i="22"/>
  <c r="I576" i="22" s="1"/>
  <c r="G680" i="22"/>
  <c r="I680" i="22" s="1"/>
  <c r="I677" i="22" s="1"/>
  <c r="G272" i="22"/>
  <c r="I272" i="22" s="1"/>
  <c r="G17" i="22"/>
  <c r="I17" i="22" s="1"/>
  <c r="G770" i="22"/>
  <c r="I770" i="22" s="1"/>
  <c r="G122" i="22"/>
  <c r="I122" i="22" s="1"/>
  <c r="G410" i="22"/>
  <c r="I410" i="22" s="1"/>
  <c r="I407" i="22" s="1"/>
  <c r="G898" i="22"/>
  <c r="I898" i="22" s="1"/>
  <c r="G639" i="22"/>
  <c r="I639" i="22" s="1"/>
  <c r="G422" i="22"/>
  <c r="I422" i="22" s="1"/>
  <c r="G295" i="22"/>
  <c r="I295" i="22" s="1"/>
  <c r="I291" i="22" s="1"/>
  <c r="G715" i="22"/>
  <c r="I715" i="22" s="1"/>
  <c r="G457" i="22"/>
  <c r="I457" i="22" s="1"/>
  <c r="G935" i="22"/>
  <c r="I935" i="22" s="1"/>
  <c r="I932" i="22" s="1"/>
  <c r="G929" i="22"/>
  <c r="I929" i="22" s="1"/>
  <c r="G463" i="22"/>
  <c r="I463" i="22" s="1"/>
  <c r="G947" i="22"/>
  <c r="I947" i="22" s="1"/>
  <c r="G905" i="22"/>
  <c r="I905" i="22" s="1"/>
  <c r="G960" i="22"/>
  <c r="I960" i="22" s="1"/>
  <c r="G404" i="22"/>
  <c r="I404" i="22" s="1"/>
  <c r="G923" i="22"/>
  <c r="I923" i="22" s="1"/>
  <c r="G872" i="22"/>
  <c r="I872" i="22" s="1"/>
  <c r="I869" i="22" s="1"/>
  <c r="G583" i="22"/>
  <c r="I583" i="22" s="1"/>
  <c r="G824" i="22"/>
  <c r="I824" i="22" s="1"/>
  <c r="G177" i="22"/>
  <c r="I177" i="22" s="1"/>
  <c r="G787" i="22"/>
  <c r="I787" i="22" s="1"/>
  <c r="G529" i="22"/>
  <c r="I529" i="22" s="1"/>
  <c r="G25" i="22"/>
  <c r="I25" i="22" s="1"/>
  <c r="G345" i="22"/>
  <c r="I345" i="22" s="1"/>
  <c r="I342" i="22" s="1"/>
  <c r="G92" i="22"/>
  <c r="I92" i="22" s="1"/>
  <c r="I88" i="22" s="1"/>
  <c r="G382" i="22"/>
  <c r="I382" i="22" s="1"/>
  <c r="I379" i="22" s="1"/>
  <c r="G416" i="22"/>
  <c r="I416" i="22" s="1"/>
  <c r="G557" i="22"/>
  <c r="I557" i="22" s="1"/>
  <c r="G9" i="22"/>
  <c r="I9" i="22" s="1"/>
  <c r="I6" i="22" s="1"/>
  <c r="G853" i="22"/>
  <c r="I853" i="22" s="1"/>
  <c r="I850" i="22" s="1"/>
  <c r="G374" i="22"/>
  <c r="I374" i="22" s="1"/>
  <c r="G132" i="22"/>
  <c r="I132" i="22" s="1"/>
  <c r="G708" i="22"/>
  <c r="I708" i="22" s="1"/>
  <c r="G911" i="22"/>
  <c r="I911" i="22" s="1"/>
  <c r="I908" i="22" s="1"/>
  <c r="G985" i="22"/>
  <c r="I985" i="22" s="1"/>
  <c r="G444" i="22"/>
  <c r="I444" i="22" s="1"/>
  <c r="I441" i="22" s="1"/>
  <c r="I479" i="22" s="1"/>
  <c r="I495" i="22" s="1"/>
  <c r="G470" i="22"/>
  <c r="I470" i="22" s="1"/>
  <c r="G687" i="22"/>
  <c r="I687" i="22" s="1"/>
  <c r="G396" i="22"/>
  <c r="I396" i="22" s="1"/>
  <c r="G213" i="22"/>
  <c r="I213" i="22" s="1"/>
  <c r="G837" i="22"/>
  <c r="I837" i="22" s="1"/>
  <c r="I834" i="22" s="1"/>
  <c r="G570" i="22"/>
  <c r="I570" i="22" s="1"/>
  <c r="G288" i="22"/>
  <c r="I288" i="22" s="1"/>
  <c r="G31" i="22"/>
  <c r="I31" i="22" s="1"/>
  <c r="G438" i="22"/>
  <c r="I438" i="22" s="1"/>
  <c r="G516" i="22"/>
  <c r="I516" i="22" s="1"/>
  <c r="I513" i="22" s="1"/>
  <c r="G797" i="22"/>
  <c r="I797" i="22" s="1"/>
  <c r="G221" i="22"/>
  <c r="I221" i="22" s="1"/>
  <c r="I218" i="22" s="1"/>
  <c r="G101" i="22"/>
  <c r="I101" i="22" s="1"/>
  <c r="I97" i="22" s="1"/>
  <c r="G428" i="22"/>
  <c r="I428" i="22" s="1"/>
  <c r="G550" i="22"/>
  <c r="I550" i="22" s="1"/>
  <c r="G598" i="22"/>
  <c r="I598" i="22" s="1"/>
  <c r="G659" i="22"/>
  <c r="I659" i="22" s="1"/>
  <c r="G110" i="22"/>
  <c r="I110" i="22" s="1"/>
  <c r="I107" i="22" s="1"/>
  <c r="G860" i="22"/>
  <c r="I860" i="22" s="1"/>
  <c r="G185" i="22"/>
  <c r="I185" i="22" s="1"/>
  <c r="G316" i="22"/>
  <c r="I316" i="22" s="1"/>
  <c r="H23" i="83"/>
  <c r="F4" i="71"/>
  <c r="I53" i="26"/>
  <c r="E53" i="26"/>
  <c r="E21" i="26"/>
  <c r="I21" i="26"/>
  <c r="E64" i="83"/>
  <c r="H782" i="22"/>
  <c r="I782" i="22" s="1"/>
  <c r="F289" i="45"/>
  <c r="E58" i="51"/>
  <c r="C6" i="52"/>
  <c r="D33" i="52" s="1"/>
  <c r="E33" i="52" s="1"/>
  <c r="C9" i="52"/>
  <c r="D23" i="52" s="1"/>
  <c r="E23" i="52" s="1"/>
  <c r="G931" i="22"/>
  <c r="G202" i="22"/>
  <c r="G937" i="22"/>
  <c r="I937" i="22" s="1"/>
  <c r="G689" i="22"/>
  <c r="I689" i="22" s="1"/>
  <c r="G789" i="22"/>
  <c r="I789" i="22" s="1"/>
  <c r="G430" i="22"/>
  <c r="G86" i="22"/>
  <c r="G892" i="22"/>
  <c r="I892" i="22" s="1"/>
  <c r="G489" i="22"/>
  <c r="G194" i="22"/>
  <c r="G949" i="22"/>
  <c r="I949" i="22" s="1"/>
  <c r="G483" i="22"/>
  <c r="G717" i="22"/>
  <c r="G552" i="22"/>
  <c r="G913" i="22"/>
  <c r="G655" i="22"/>
  <c r="G306" i="22"/>
  <c r="G585" i="22"/>
  <c r="G235" i="22"/>
  <c r="I235" i="22" s="1"/>
  <c r="G134" i="22"/>
  <c r="I134" i="22" s="1"/>
  <c r="G356" i="22"/>
  <c r="G980" i="22"/>
  <c r="G766" i="22"/>
  <c r="G424" i="22"/>
  <c r="I424" i="22" s="1"/>
  <c r="G772" i="22"/>
  <c r="G215" i="22"/>
  <c r="G919" i="22"/>
  <c r="I919" i="22" s="1"/>
  <c r="G735" i="22"/>
  <c r="I735" i="22" s="1"/>
  <c r="I751" i="22" s="1"/>
  <c r="I766" i="22" s="1"/>
  <c r="G162" i="22"/>
  <c r="G370" i="22"/>
  <c r="I370" i="22" s="1"/>
  <c r="G647" i="22"/>
  <c r="I647" i="22" s="1"/>
  <c r="G412" i="22"/>
  <c r="I412" i="22" s="1"/>
  <c r="G633" i="22"/>
  <c r="I633" i="22" s="1"/>
  <c r="G617" i="22"/>
  <c r="I617" i="22" s="1"/>
  <c r="G968" i="22"/>
  <c r="G45" i="22"/>
  <c r="G956" i="22"/>
  <c r="G501" i="22"/>
  <c r="G764" i="22"/>
  <c r="G147" i="22"/>
  <c r="I147" i="22" s="1"/>
  <c r="G229" i="22"/>
  <c r="G757" i="22"/>
  <c r="G503" i="22"/>
  <c r="G868" i="22"/>
  <c r="I868" i="22" s="1"/>
  <c r="G209" i="22"/>
  <c r="G187" i="22"/>
  <c r="G546" i="22"/>
  <c r="G80" i="22"/>
  <c r="G755" i="22"/>
  <c r="G118" i="22"/>
  <c r="G494" i="22"/>
  <c r="G505" i="22"/>
  <c r="G740" i="22"/>
  <c r="G496" i="22"/>
  <c r="G578" i="22"/>
  <c r="G440" i="22"/>
  <c r="I440" i="22" s="1"/>
  <c r="I478" i="22" s="1"/>
  <c r="I494" i="22" s="1"/>
  <c r="G695" i="22"/>
  <c r="G518" i="22"/>
  <c r="G759" i="22"/>
  <c r="D67" i="84"/>
  <c r="F19" i="86"/>
  <c r="I34" i="26"/>
  <c r="J34" i="26" s="1"/>
  <c r="K34" i="26" s="1"/>
  <c r="I907" i="22"/>
  <c r="I223" i="22"/>
  <c r="I625" i="22"/>
  <c r="H559" i="22"/>
  <c r="I559" i="22" s="1"/>
  <c r="D17" i="79"/>
  <c r="D16" i="79"/>
  <c r="K66" i="26"/>
  <c r="E29" i="26"/>
  <c r="I27" i="26"/>
  <c r="J27" i="26" s="1"/>
  <c r="K27" i="26" s="1"/>
  <c r="K61" i="26"/>
  <c r="U9" i="65"/>
  <c r="U11" i="65" s="1"/>
  <c r="O9" i="65"/>
  <c r="N9" i="65"/>
  <c r="H676" i="22"/>
  <c r="I676" i="22" s="1"/>
  <c r="N6" i="65"/>
  <c r="V6" i="65"/>
  <c r="W6" i="65"/>
  <c r="O6" i="65"/>
  <c r="M6" i="65"/>
  <c r="E39" i="26"/>
  <c r="I39" i="26"/>
  <c r="D13" i="87"/>
  <c r="D19" i="87"/>
  <c r="D14" i="87"/>
  <c r="D15" i="87"/>
  <c r="D18" i="87"/>
  <c r="H118" i="22"/>
  <c r="H546" i="22"/>
  <c r="H140" i="22"/>
  <c r="I140" i="22" s="1"/>
  <c r="H153" i="22"/>
  <c r="V7" i="65"/>
  <c r="O8" i="65"/>
  <c r="N8" i="65"/>
  <c r="V8" i="65"/>
  <c r="E51" i="26"/>
  <c r="H318" i="22"/>
  <c r="I318" i="22" s="1"/>
  <c r="H356" i="22"/>
  <c r="H600" i="22"/>
  <c r="H312" i="22"/>
  <c r="I312" i="22" s="1"/>
  <c r="H306" i="22"/>
  <c r="H45" i="22"/>
  <c r="H39" i="22"/>
  <c r="H33" i="22"/>
  <c r="H194" i="22"/>
  <c r="H512" i="22"/>
  <c r="H962" i="22"/>
  <c r="H86" i="22"/>
  <c r="H80" i="22"/>
  <c r="H209" i="22"/>
  <c r="H980" i="22"/>
  <c r="H472" i="22"/>
  <c r="I472" i="22" s="1"/>
  <c r="I489" i="22" s="1"/>
  <c r="I505" i="22" s="1"/>
  <c r="D16" i="87"/>
  <c r="D16" i="86"/>
  <c r="D65" i="83"/>
  <c r="D20" i="71"/>
  <c r="D77" i="71"/>
  <c r="D19" i="72"/>
  <c r="H874" i="22"/>
  <c r="C18" i="78"/>
  <c r="D74" i="72"/>
  <c r="C17" i="79"/>
  <c r="C17" i="81"/>
  <c r="C35" i="81"/>
  <c r="D20" i="86"/>
  <c r="D78" i="71"/>
  <c r="D75" i="72"/>
  <c r="J96" i="63"/>
  <c r="D11" i="81"/>
  <c r="D29" i="79"/>
  <c r="D26" i="64"/>
  <c r="D7" i="81"/>
  <c r="D38" i="79"/>
  <c r="D8" i="64"/>
  <c r="M37" i="77"/>
  <c r="D30" i="81"/>
  <c r="D11" i="79"/>
  <c r="D32" i="64"/>
  <c r="G7" i="54"/>
  <c r="D44" i="26"/>
  <c r="E44" i="26" s="1"/>
  <c r="D43" i="26"/>
  <c r="I41" i="26"/>
  <c r="E41" i="26"/>
  <c r="E14" i="26"/>
  <c r="J32" i="26"/>
  <c r="K32" i="26" s="1"/>
  <c r="E55" i="82"/>
  <c r="I290" i="22"/>
  <c r="I11" i="22"/>
  <c r="E25" i="26"/>
  <c r="I25" i="26"/>
  <c r="H347" i="22"/>
  <c r="I347" i="22" s="1"/>
  <c r="E24" i="52"/>
  <c r="E57" i="26"/>
  <c r="I46" i="26"/>
  <c r="I23" i="26"/>
  <c r="E60" i="26"/>
  <c r="M27" i="66"/>
  <c r="I43" i="76"/>
  <c r="J43" i="76" s="1"/>
  <c r="G940" i="22"/>
  <c r="I940" i="22" s="1"/>
  <c r="I938" i="22" s="1"/>
  <c r="G842" i="22"/>
  <c r="I842" i="22" s="1"/>
  <c r="G692" i="22"/>
  <c r="I692" i="22" s="1"/>
  <c r="G427" i="22"/>
  <c r="I427" i="22" s="1"/>
  <c r="G315" i="22"/>
  <c r="I315" i="22" s="1"/>
  <c r="G658" i="22"/>
  <c r="I658" i="22" s="1"/>
  <c r="G16" i="22"/>
  <c r="I16" i="22" s="1"/>
  <c r="I13" i="22" s="1"/>
  <c r="G802" i="22"/>
  <c r="I802" i="22" s="1"/>
  <c r="G569" i="22"/>
  <c r="I569" i="22" s="1"/>
  <c r="G121" i="22"/>
  <c r="I121" i="22" s="1"/>
  <c r="G732" i="22"/>
  <c r="I732" i="22" s="1"/>
  <c r="G199" i="22"/>
  <c r="I199" i="22" s="1"/>
  <c r="I197" i="22" s="1"/>
  <c r="G644" i="22"/>
  <c r="I644" i="22" s="1"/>
  <c r="I642" i="22" s="1"/>
  <c r="G984" i="22"/>
  <c r="I984" i="22" s="1"/>
  <c r="I982" i="22" s="1"/>
  <c r="G325" i="22"/>
  <c r="I325" i="22" s="1"/>
  <c r="I323" i="22" s="1"/>
  <c r="G959" i="22"/>
  <c r="I959" i="22" s="1"/>
  <c r="G549" i="22"/>
  <c r="I549" i="22" s="1"/>
  <c r="I547" i="22" s="1"/>
  <c r="G115" i="22"/>
  <c r="I115" i="22" s="1"/>
  <c r="I113" i="22" s="1"/>
  <c r="G449" i="22"/>
  <c r="I449" i="22" s="1"/>
  <c r="G456" i="22"/>
  <c r="I456" i="22" s="1"/>
  <c r="I454" i="22" s="1"/>
  <c r="I482" i="22" s="1"/>
  <c r="I500" i="22" s="1"/>
  <c r="G904" i="22"/>
  <c r="I904" i="22" s="1"/>
  <c r="G588" i="22"/>
  <c r="I588" i="22" s="1"/>
  <c r="I586" i="22" s="1"/>
  <c r="G421" i="22"/>
  <c r="I421" i="22" s="1"/>
  <c r="G707" i="22"/>
  <c r="I707" i="22" s="1"/>
  <c r="G686" i="22"/>
  <c r="I686" i="22" s="1"/>
  <c r="G137" i="22"/>
  <c r="I137" i="22" s="1"/>
  <c r="G527" i="22"/>
  <c r="I527" i="22" s="1"/>
  <c r="G303" i="22"/>
  <c r="I303" i="22" s="1"/>
  <c r="I301" i="22" s="1"/>
  <c r="G353" i="22"/>
  <c r="I353" i="22" s="1"/>
  <c r="I351" i="22" s="1"/>
  <c r="G77" i="22"/>
  <c r="I77" i="22" s="1"/>
  <c r="I75" i="22" s="1"/>
  <c r="G916" i="22"/>
  <c r="I916" i="22" s="1"/>
  <c r="G469" i="22"/>
  <c r="I469" i="22" s="1"/>
  <c r="G42" i="22"/>
  <c r="I42" i="22" s="1"/>
  <c r="I40" i="22" s="1"/>
  <c r="G395" i="22"/>
  <c r="I395" i="22" s="1"/>
  <c r="I393" i="22" s="1"/>
  <c r="G191" i="22"/>
  <c r="I191" i="22" s="1"/>
  <c r="G897" i="22"/>
  <c r="I897" i="22" s="1"/>
  <c r="I895" i="22" s="1"/>
  <c r="G271" i="22"/>
  <c r="I271" i="22" s="1"/>
  <c r="G810" i="22"/>
  <c r="I810" i="22" s="1"/>
  <c r="I808" i="22" s="1"/>
  <c r="G437" i="22"/>
  <c r="I437" i="22" s="1"/>
  <c r="G977" i="22"/>
  <c r="I977" i="22" s="1"/>
  <c r="I975" i="22" s="1"/>
  <c r="G877" i="22"/>
  <c r="I877" i="22" s="1"/>
  <c r="I875" i="22" s="1"/>
  <c r="G338" i="22"/>
  <c r="I338" i="22" s="1"/>
  <c r="D19" i="81"/>
  <c r="D14" i="81"/>
  <c r="D15" i="81"/>
  <c r="D16" i="81"/>
  <c r="D20" i="81"/>
  <c r="D23" i="79"/>
  <c r="E65" i="26"/>
  <c r="D42" i="26"/>
  <c r="I28" i="26"/>
  <c r="E18" i="26"/>
  <c r="G48" i="54"/>
  <c r="G47" i="54"/>
  <c r="G803" i="22"/>
  <c r="I803" i="22" s="1"/>
  <c r="G796" i="22"/>
  <c r="I796" i="22" s="1"/>
  <c r="G528" i="22"/>
  <c r="I528" i="22" s="1"/>
  <c r="G779" i="22"/>
  <c r="I779" i="22" s="1"/>
  <c r="G786" i="22"/>
  <c r="I786" i="22" s="1"/>
  <c r="L27" i="66"/>
  <c r="E43" i="70"/>
  <c r="C16" i="70"/>
  <c r="C17" i="82" s="1"/>
  <c r="B10" i="87" s="1"/>
  <c r="B10" i="78"/>
  <c r="B52" i="69"/>
  <c r="D21" i="72"/>
  <c r="C37" i="81"/>
  <c r="C37" i="79"/>
  <c r="D43" i="68"/>
  <c r="C37" i="64"/>
  <c r="D18" i="83"/>
  <c r="C34" i="87"/>
  <c r="D17" i="86"/>
  <c r="C16" i="87"/>
  <c r="D66" i="83"/>
  <c r="F44" i="45"/>
  <c r="F1570" i="45"/>
  <c r="D23" i="64"/>
  <c r="D24" i="81"/>
  <c r="D82" i="21"/>
  <c r="C24" i="77"/>
  <c r="D24" i="68"/>
  <c r="C20" i="64"/>
  <c r="C20" i="81"/>
  <c r="C20" i="79"/>
  <c r="G39" i="26"/>
  <c r="G40" i="26"/>
  <c r="G38" i="26"/>
  <c r="G49" i="26"/>
  <c r="G51" i="26"/>
  <c r="D23" i="81"/>
  <c r="D8" i="87"/>
  <c r="D30" i="87"/>
  <c r="D33" i="87"/>
  <c r="D9" i="87"/>
  <c r="D32" i="87"/>
  <c r="F32" i="87" s="1"/>
  <c r="D28" i="87"/>
  <c r="X37" i="67"/>
  <c r="D25" i="87"/>
  <c r="D34" i="87"/>
  <c r="E11" i="64"/>
  <c r="D20" i="64"/>
  <c r="D15" i="64"/>
  <c r="D29" i="81"/>
  <c r="D10" i="81"/>
  <c r="D18" i="79"/>
  <c r="F18" i="79" s="1"/>
  <c r="F10" i="87"/>
  <c r="G10" i="87" s="1"/>
  <c r="D9" i="79"/>
  <c r="D20" i="79"/>
  <c r="D15" i="79"/>
  <c r="D37" i="79"/>
  <c r="D39" i="64"/>
  <c r="D30" i="64"/>
  <c r="D11" i="64"/>
  <c r="D7" i="64"/>
  <c r="D39" i="81"/>
  <c r="G64" i="21"/>
  <c r="H64" i="21" s="1"/>
  <c r="F28" i="71"/>
  <c r="D19" i="64"/>
  <c r="D38" i="81"/>
  <c r="D32" i="81"/>
  <c r="D26" i="81"/>
  <c r="D9" i="81"/>
  <c r="D8" i="79"/>
  <c r="D19" i="79"/>
  <c r="D14" i="79"/>
  <c r="D31" i="79"/>
  <c r="D7" i="79"/>
  <c r="D38" i="64"/>
  <c r="D31" i="64"/>
  <c r="D10" i="64"/>
  <c r="F62" i="71"/>
  <c r="H62" i="71" s="1"/>
  <c r="E4" i="72"/>
  <c r="E60" i="72"/>
  <c r="H4" i="83"/>
  <c r="H52" i="83"/>
  <c r="D37" i="81"/>
  <c r="D31" i="81"/>
  <c r="D8" i="81"/>
  <c r="D10" i="79"/>
  <c r="D26" i="79"/>
  <c r="D30" i="79"/>
  <c r="D32" i="79"/>
  <c r="D37" i="64"/>
  <c r="D29" i="64"/>
  <c r="D9" i="64"/>
  <c r="M15" i="78"/>
  <c r="G4" i="21"/>
  <c r="H4" i="21" s="1"/>
  <c r="E27" i="72"/>
  <c r="F1546" i="45"/>
  <c r="F961" i="45"/>
  <c r="F115" i="45"/>
  <c r="F1398" i="45"/>
  <c r="F1534" i="45"/>
  <c r="F1631" i="45"/>
  <c r="F356" i="45"/>
  <c r="F1656" i="45"/>
  <c r="F127" i="45"/>
  <c r="F789" i="45"/>
  <c r="F822" i="45" s="1"/>
  <c r="F833" i="45" s="1"/>
  <c r="F274" i="45"/>
  <c r="F273" i="45" s="1"/>
  <c r="F317" i="45"/>
  <c r="F1522" i="45"/>
  <c r="F558" i="45"/>
  <c r="F1370" i="45"/>
  <c r="F1025" i="45"/>
  <c r="F1115" i="45"/>
  <c r="F1301" i="45"/>
  <c r="F193" i="45"/>
  <c r="F331" i="45"/>
  <c r="F18" i="45"/>
  <c r="F1485" i="45"/>
  <c r="F394" i="45"/>
  <c r="F777" i="45"/>
  <c r="F821" i="45" s="1"/>
  <c r="F832" i="45" s="1"/>
  <c r="F1228" i="45"/>
  <c r="F1249" i="45" s="1"/>
  <c r="F1258" i="45" s="1"/>
  <c r="F169" i="45"/>
  <c r="F439" i="45"/>
  <c r="F1062" i="45"/>
  <c r="F597" i="45"/>
  <c r="F1582" i="45"/>
  <c r="F261" i="45"/>
  <c r="F181" i="45"/>
  <c r="F493" i="45"/>
  <c r="F382" i="45"/>
  <c r="F878" i="45"/>
  <c r="F866" i="45"/>
  <c r="F864" i="45" s="1"/>
  <c r="F451" i="45"/>
  <c r="F32" i="45"/>
  <c r="F140" i="45"/>
  <c r="F676" i="45"/>
  <c r="F1204" i="45"/>
  <c r="F1246" i="45" s="1"/>
  <c r="F1256" i="45" s="1"/>
  <c r="F636" i="45"/>
  <c r="F724" i="45"/>
  <c r="F892" i="45"/>
  <c r="F1140" i="45"/>
  <c r="F764" i="45"/>
  <c r="F801" i="45" s="1"/>
  <c r="F823" i="45" s="1"/>
  <c r="F830" i="45" s="1"/>
  <c r="F517" i="45"/>
  <c r="F478" i="45"/>
  <c r="F904" i="45"/>
  <c r="F1013" i="45"/>
  <c r="F1076" i="45"/>
  <c r="F1274" i="45"/>
  <c r="F1273" i="45" s="1"/>
  <c r="F466" i="45"/>
  <c r="F464" i="45" s="1"/>
  <c r="F622" i="45"/>
  <c r="F1102" i="45"/>
  <c r="F1100" i="45" s="1"/>
  <c r="F1382" i="45"/>
  <c r="F752" i="45"/>
  <c r="F819" i="45" s="1"/>
  <c r="F829" i="45" s="1"/>
  <c r="F1167" i="45"/>
  <c r="F1243" i="45" s="1"/>
  <c r="F1252" i="45" s="1"/>
  <c r="F68" i="45"/>
  <c r="F154" i="45"/>
  <c r="F533" i="45"/>
  <c r="F246" i="45"/>
  <c r="F1595" i="45"/>
  <c r="F1216" i="45"/>
  <c r="F1248" i="45" s="1"/>
  <c r="F1254" i="45" s="1"/>
  <c r="F1101" i="45"/>
  <c r="F221" i="45"/>
  <c r="F505" i="45"/>
  <c r="F917" i="45"/>
  <c r="F234" i="45"/>
  <c r="F303" i="45"/>
  <c r="F304" i="45" s="1"/>
  <c r="F610" i="45"/>
  <c r="F848" i="45"/>
  <c r="F948" i="45"/>
  <c r="F1152" i="45"/>
  <c r="F1471" i="45"/>
  <c r="F1411" i="45"/>
  <c r="F1680" i="45"/>
  <c r="F1326" i="45"/>
  <c r="F712" i="45"/>
  <c r="F1037" i="45"/>
  <c r="F1088" i="45"/>
  <c r="F1313" i="45"/>
  <c r="F973" i="45"/>
  <c r="F1357" i="45"/>
  <c r="F1423" i="45"/>
  <c r="F1498" i="45"/>
  <c r="F1619" i="45"/>
  <c r="F1179" i="45"/>
  <c r="F1244" i="45" s="1"/>
  <c r="F1253" i="45" s="1"/>
  <c r="F81" i="45"/>
  <c r="F6" i="45"/>
  <c r="F988" i="45"/>
  <c r="F1259" i="45"/>
  <c r="F56" i="45"/>
  <c r="F1049" i="45"/>
  <c r="F1127" i="45"/>
  <c r="F1286" i="45"/>
  <c r="F370" i="45"/>
  <c r="F688" i="45"/>
  <c r="F836" i="45"/>
  <c r="F1447" i="45"/>
  <c r="F1607" i="45"/>
  <c r="F802" i="45"/>
  <c r="F824" i="45" s="1"/>
  <c r="F834" i="45" s="1"/>
  <c r="F1643" i="45"/>
  <c r="F740" i="45"/>
  <c r="F818" i="45" s="1"/>
  <c r="F828" i="45" s="1"/>
  <c r="F585" i="45"/>
  <c r="F648" i="45"/>
  <c r="F700" i="45"/>
  <c r="F1001" i="45"/>
  <c r="F545" i="45"/>
  <c r="F570" i="45"/>
  <c r="F662" i="45"/>
  <c r="F661" i="45" s="1"/>
  <c r="F936" i="45"/>
  <c r="F934" i="45" s="1"/>
  <c r="F1345" i="45"/>
  <c r="F1343" i="45" s="1"/>
  <c r="F1435" i="45"/>
  <c r="F1459" i="45"/>
  <c r="F1668" i="45"/>
  <c r="F1192" i="45"/>
  <c r="F209" i="45"/>
  <c r="F207" i="45"/>
  <c r="H10" i="83"/>
  <c r="G70" i="21"/>
  <c r="G10" i="21"/>
  <c r="F10" i="71"/>
  <c r="F34" i="71"/>
  <c r="H29" i="83"/>
  <c r="H58" i="83"/>
  <c r="E33" i="72"/>
  <c r="F68" i="71"/>
  <c r="G5" i="21"/>
  <c r="F5" i="71"/>
  <c r="H24" i="83"/>
  <c r="G30" i="21"/>
  <c r="F63" i="71"/>
  <c r="E5" i="72"/>
  <c r="H5" i="83"/>
  <c r="H53" i="83"/>
  <c r="G65" i="21"/>
  <c r="F29" i="71"/>
  <c r="E28" i="72"/>
  <c r="I170" i="22"/>
  <c r="I538" i="22"/>
  <c r="I34" i="22"/>
  <c r="I591" i="22"/>
  <c r="I164" i="22"/>
  <c r="I163" i="22" s="1"/>
  <c r="I641" i="22"/>
  <c r="I682" i="22"/>
  <c r="I148" i="22"/>
  <c r="I307" i="22"/>
  <c r="I224" i="22"/>
  <c r="I712" i="22"/>
  <c r="I744" i="22" s="1"/>
  <c r="I761" i="22" s="1"/>
  <c r="I173" i="22"/>
  <c r="I174" i="22" s="1"/>
  <c r="I460" i="22"/>
  <c r="I484" i="22" s="1"/>
  <c r="I502" i="22" s="1"/>
  <c r="I401" i="22"/>
  <c r="I951" i="22"/>
  <c r="I718" i="22"/>
  <c r="I746" i="22" s="1"/>
  <c r="I763" i="22" s="1"/>
  <c r="I155" i="76"/>
  <c r="J155" i="76" s="1"/>
  <c r="H31" i="85"/>
  <c r="I46" i="75"/>
  <c r="I28" i="75"/>
  <c r="H93" i="85"/>
  <c r="I151" i="75"/>
  <c r="I140" i="75"/>
  <c r="I130" i="75"/>
  <c r="J130" i="75" s="1"/>
  <c r="H109" i="85"/>
  <c r="H98" i="85"/>
  <c r="J98" i="85" s="1"/>
  <c r="H88" i="85"/>
  <c r="I159" i="75"/>
  <c r="I145" i="75"/>
  <c r="I135" i="75"/>
  <c r="H103" i="85"/>
  <c r="J103" i="85" s="1"/>
  <c r="I160" i="76"/>
  <c r="I146" i="76"/>
  <c r="J146" i="76" s="1"/>
  <c r="I152" i="76"/>
  <c r="I141" i="76"/>
  <c r="J141" i="76" s="1"/>
  <c r="I131" i="76"/>
  <c r="J131" i="76" s="1"/>
  <c r="I136" i="76"/>
  <c r="I152" i="63"/>
  <c r="I138" i="63"/>
  <c r="J138" i="63" s="1"/>
  <c r="I128" i="63"/>
  <c r="J128" i="63" s="1"/>
  <c r="I144" i="63"/>
  <c r="I133" i="63"/>
  <c r="I123" i="63"/>
  <c r="I230" i="22"/>
  <c r="H799" i="22"/>
  <c r="I799" i="22" s="1"/>
  <c r="H710" i="22"/>
  <c r="I710" i="22" s="1"/>
  <c r="I742" i="22" s="1"/>
  <c r="I757" i="22" s="1"/>
  <c r="H111" i="85"/>
  <c r="H30" i="85"/>
  <c r="I45" i="75"/>
  <c r="I161" i="75"/>
  <c r="H118" i="85"/>
  <c r="I38" i="75"/>
  <c r="I27" i="75"/>
  <c r="I153" i="75"/>
  <c r="I47" i="76"/>
  <c r="J47" i="76" s="1"/>
  <c r="I38" i="76"/>
  <c r="J38" i="76" s="1"/>
  <c r="I29" i="76"/>
  <c r="J29" i="76" s="1"/>
  <c r="I154" i="76"/>
  <c r="I162" i="76"/>
  <c r="J162" i="76" s="1"/>
  <c r="I34" i="63"/>
  <c r="I154" i="63"/>
  <c r="I146" i="63"/>
  <c r="J146" i="63" s="1"/>
  <c r="I554" i="22"/>
  <c r="I47" i="22"/>
  <c r="I275" i="22"/>
  <c r="I532" i="22"/>
  <c r="E65" i="72"/>
  <c r="H9" i="83"/>
  <c r="F9" i="71"/>
  <c r="E9" i="72"/>
  <c r="H57" i="83"/>
  <c r="E32" i="72"/>
  <c r="G69" i="21"/>
  <c r="G34" i="21"/>
  <c r="G9" i="21"/>
  <c r="F33" i="71"/>
  <c r="F67" i="71"/>
  <c r="G68" i="21"/>
  <c r="F8" i="71"/>
  <c r="F32" i="71"/>
  <c r="G33" i="21"/>
  <c r="F66" i="71"/>
  <c r="E8" i="72"/>
  <c r="E64" i="72"/>
  <c r="H8" i="83"/>
  <c r="H56" i="83"/>
  <c r="G8" i="21"/>
  <c r="E31" i="72"/>
  <c r="G67" i="21"/>
  <c r="G7" i="21"/>
  <c r="F31" i="71"/>
  <c r="E7" i="72"/>
  <c r="H26" i="83"/>
  <c r="H55" i="83"/>
  <c r="E30" i="72"/>
  <c r="E63" i="72"/>
  <c r="H63" i="72" s="1"/>
  <c r="H7" i="83"/>
  <c r="G32" i="21"/>
  <c r="F7" i="71"/>
  <c r="G6" i="21"/>
  <c r="H25" i="83"/>
  <c r="G31" i="21"/>
  <c r="F64" i="71"/>
  <c r="E6" i="72"/>
  <c r="H54" i="83"/>
  <c r="G66" i="21"/>
  <c r="F6" i="71"/>
  <c r="F30" i="71"/>
  <c r="E29" i="72"/>
  <c r="E62" i="72"/>
  <c r="F16" i="86"/>
  <c r="F15" i="86"/>
  <c r="F20" i="86"/>
  <c r="J37" i="75"/>
  <c r="C33" i="83"/>
  <c r="B33" i="83"/>
  <c r="C53" i="76"/>
  <c r="B8" i="87"/>
  <c r="C52" i="69"/>
  <c r="C57" i="75"/>
  <c r="C16" i="84"/>
  <c r="B21" i="78"/>
  <c r="B53" i="69"/>
  <c r="J37" i="76"/>
  <c r="C54" i="69"/>
  <c r="C38" i="64"/>
  <c r="C30" i="78"/>
  <c r="B22" i="78"/>
  <c r="D44" i="69"/>
  <c r="D48" i="70" s="1"/>
  <c r="D22" i="72"/>
  <c r="D77" i="72"/>
  <c r="D23" i="68"/>
  <c r="D9" i="68"/>
  <c r="C39" i="79"/>
  <c r="C23" i="77"/>
  <c r="D80" i="71"/>
  <c r="D23" i="72"/>
  <c r="B13" i="78"/>
  <c r="J33" i="63"/>
  <c r="G33" i="64"/>
  <c r="H33" i="64"/>
  <c r="G21" i="64"/>
  <c r="H21" i="64"/>
  <c r="E10" i="64"/>
  <c r="F10" i="64" s="1"/>
  <c r="H10" i="64" s="1"/>
  <c r="D22" i="84"/>
  <c r="E15" i="84" s="1"/>
  <c r="E21" i="83"/>
  <c r="F17" i="83" s="1"/>
  <c r="E50" i="83"/>
  <c r="F45" i="83" s="1"/>
  <c r="J49" i="85"/>
  <c r="J28" i="85"/>
  <c r="J93" i="85"/>
  <c r="Q19" i="86"/>
  <c r="Q18" i="86"/>
  <c r="Q16" i="86"/>
  <c r="H10" i="87"/>
  <c r="I49" i="84"/>
  <c r="I3" i="84"/>
  <c r="I23" i="84"/>
  <c r="D43" i="84"/>
  <c r="G33" i="79"/>
  <c r="H33" i="79"/>
  <c r="I27" i="79"/>
  <c r="J27" i="79" s="1"/>
  <c r="I22" i="79"/>
  <c r="J22" i="79" s="1"/>
  <c r="M38" i="77"/>
  <c r="H51" i="70"/>
  <c r="M14" i="78"/>
  <c r="I827" i="22"/>
  <c r="H956" i="22"/>
  <c r="I956" i="22" s="1"/>
  <c r="I358" i="22"/>
  <c r="I944" i="22"/>
  <c r="G27" i="64"/>
  <c r="H27" i="64"/>
  <c r="G12" i="64"/>
  <c r="H12" i="64"/>
  <c r="B9" i="87"/>
  <c r="B23" i="78"/>
  <c r="B17" i="78"/>
  <c r="B8" i="78"/>
  <c r="G22" i="64"/>
  <c r="H22" i="64"/>
  <c r="H28" i="64"/>
  <c r="G28" i="64"/>
  <c r="G36" i="64"/>
  <c r="H36" i="64"/>
  <c r="H18" i="64"/>
  <c r="G18" i="64"/>
  <c r="D11" i="69"/>
  <c r="C43" i="78" s="1"/>
  <c r="D13" i="69"/>
  <c r="C45" i="78" s="1"/>
  <c r="D12" i="69"/>
  <c r="C44" i="78" s="1"/>
  <c r="C41" i="78"/>
  <c r="B11" i="86"/>
  <c r="B34" i="83"/>
  <c r="B36" i="84"/>
  <c r="B41" i="85"/>
  <c r="C19" i="78"/>
  <c r="D73" i="72"/>
  <c r="B5" i="76"/>
  <c r="C7" i="86"/>
  <c r="C5" i="85"/>
  <c r="C14" i="83"/>
  <c r="B7" i="87"/>
  <c r="C15" i="84"/>
  <c r="E5" i="82"/>
  <c r="E8" i="86" s="1"/>
  <c r="C34" i="78"/>
  <c r="D32" i="70"/>
  <c r="D30" i="70"/>
  <c r="B28" i="70"/>
  <c r="B95" i="75" s="1"/>
  <c r="B47" i="70"/>
  <c r="B148" i="75" s="1"/>
  <c r="B32" i="78"/>
  <c r="C27" i="78"/>
  <c r="B4" i="82"/>
  <c r="B5" i="75"/>
  <c r="A5" i="75" s="1"/>
  <c r="D11" i="86"/>
  <c r="D34" i="83"/>
  <c r="B44" i="78"/>
  <c r="B19" i="70"/>
  <c r="B61" i="75" s="1"/>
  <c r="E32" i="64"/>
  <c r="B42" i="78"/>
  <c r="B22" i="70"/>
  <c r="B70" i="75" s="1"/>
  <c r="B16" i="70"/>
  <c r="B52" i="75" s="1"/>
  <c r="C9" i="85"/>
  <c r="B9" i="85"/>
  <c r="E12" i="79"/>
  <c r="F12" i="79" s="1"/>
  <c r="H12" i="79" s="1"/>
  <c r="B39" i="78"/>
  <c r="A8" i="87"/>
  <c r="B15" i="83"/>
  <c r="B16" i="84"/>
  <c r="B24" i="78"/>
  <c r="D22" i="21"/>
  <c r="B41" i="78"/>
  <c r="B34" i="78"/>
  <c r="B42" i="70"/>
  <c r="B127" i="75" s="1"/>
  <c r="B128" i="76"/>
  <c r="C56" i="69"/>
  <c r="B45" i="78"/>
  <c r="D45" i="69"/>
  <c r="C47" i="70"/>
  <c r="C148" i="75" s="1"/>
  <c r="Q26" i="86"/>
  <c r="G21" i="79"/>
  <c r="H21" i="79"/>
  <c r="G36" i="79"/>
  <c r="H36" i="79"/>
  <c r="M34" i="77"/>
  <c r="M33" i="77"/>
  <c r="M23" i="77"/>
  <c r="C36" i="84"/>
  <c r="C11" i="86"/>
  <c r="C34" i="83"/>
  <c r="C41" i="85"/>
  <c r="D65" i="84"/>
  <c r="G49" i="82"/>
  <c r="G45" i="82"/>
  <c r="G44" i="82"/>
  <c r="E68" i="83"/>
  <c r="E66" i="83"/>
  <c r="G48" i="82"/>
  <c r="M35" i="78"/>
  <c r="M33" i="78"/>
  <c r="B27" i="78"/>
  <c r="C24" i="87"/>
  <c r="B26" i="78"/>
  <c r="B6" i="86"/>
  <c r="A6" i="87"/>
  <c r="B13" i="83"/>
  <c r="B14" i="84"/>
  <c r="C6" i="86"/>
  <c r="B6" i="87"/>
  <c r="C13" i="83"/>
  <c r="C4" i="85"/>
  <c r="C14" i="84"/>
  <c r="F3" i="86"/>
  <c r="B33" i="70"/>
  <c r="D16" i="85"/>
  <c r="J21" i="85"/>
  <c r="J69" i="85"/>
  <c r="D77" i="85"/>
  <c r="J111" i="75"/>
  <c r="F21" i="75"/>
  <c r="D146" i="75"/>
  <c r="J46" i="76"/>
  <c r="J28" i="76"/>
  <c r="J67" i="76"/>
  <c r="D110" i="63"/>
  <c r="D139" i="63"/>
  <c r="I724" i="22"/>
  <c r="I748" i="22" s="1"/>
  <c r="I758" i="22" s="1"/>
  <c r="H704" i="22"/>
  <c r="I329" i="22"/>
  <c r="H695" i="22"/>
  <c r="I603" i="22"/>
  <c r="I94" i="76"/>
  <c r="H72" i="85"/>
  <c r="H44" i="85"/>
  <c r="H17" i="85"/>
  <c r="H34" i="85"/>
  <c r="I60" i="76"/>
  <c r="J8" i="63"/>
  <c r="K5" i="63" s="1"/>
  <c r="H8" i="85"/>
  <c r="H90" i="85"/>
  <c r="H82" i="85"/>
  <c r="I115" i="63"/>
  <c r="I135" i="63"/>
  <c r="I149" i="63"/>
  <c r="I157" i="63"/>
  <c r="I86" i="63"/>
  <c r="I99" i="63"/>
  <c r="I106" i="63"/>
  <c r="I36" i="63"/>
  <c r="I12" i="75"/>
  <c r="I142" i="75"/>
  <c r="I94" i="75"/>
  <c r="I100" i="75"/>
  <c r="I114" i="75"/>
  <c r="H12" i="85"/>
  <c r="H40" i="85"/>
  <c r="H24" i="85"/>
  <c r="I123" i="75"/>
  <c r="I65" i="75"/>
  <c r="I56" i="76"/>
  <c r="I111" i="63"/>
  <c r="I61" i="63"/>
  <c r="J61" i="63" s="1"/>
  <c r="I57" i="63"/>
  <c r="I52" i="63"/>
  <c r="I12" i="63"/>
  <c r="I48" i="63"/>
  <c r="I130" i="63"/>
  <c r="I140" i="63"/>
  <c r="J140" i="63" s="1"/>
  <c r="K136" i="63" s="1"/>
  <c r="I21" i="68" s="1"/>
  <c r="I17" i="63"/>
  <c r="I132" i="75"/>
  <c r="I156" i="75"/>
  <c r="I17" i="75"/>
  <c r="I122" i="76"/>
  <c r="H51" i="85"/>
  <c r="H7" i="85"/>
  <c r="J7" i="85" s="1"/>
  <c r="H11" i="85"/>
  <c r="J11" i="85" s="1"/>
  <c r="H89" i="85"/>
  <c r="H81" i="85"/>
  <c r="H33" i="85"/>
  <c r="I7" i="75"/>
  <c r="I64" i="75"/>
  <c r="I122" i="75"/>
  <c r="I68" i="75"/>
  <c r="J68" i="75" s="1"/>
  <c r="I51" i="63"/>
  <c r="I124" i="63"/>
  <c r="H71" i="85"/>
  <c r="J71" i="85" s="1"/>
  <c r="H16" i="85"/>
  <c r="I55" i="75"/>
  <c r="I59" i="76"/>
  <c r="I47" i="63"/>
  <c r="I31" i="63"/>
  <c r="I131" i="75"/>
  <c r="J131" i="75" s="1"/>
  <c r="I99" i="75"/>
  <c r="J99" i="75" s="1"/>
  <c r="I16" i="75"/>
  <c r="J16" i="75" s="1"/>
  <c r="I20" i="76"/>
  <c r="I44" i="76"/>
  <c r="I11" i="75"/>
  <c r="I93" i="75"/>
  <c r="I59" i="75"/>
  <c r="I68" i="76"/>
  <c r="J68" i="76" s="1"/>
  <c r="I114" i="63"/>
  <c r="J114" i="63" s="1"/>
  <c r="I7" i="63"/>
  <c r="I156" i="63"/>
  <c r="I91" i="63"/>
  <c r="I20" i="63"/>
  <c r="J20" i="63" s="1"/>
  <c r="I141" i="75"/>
  <c r="I155" i="75"/>
  <c r="I20" i="75"/>
  <c r="J20" i="75" s="1"/>
  <c r="I30" i="75"/>
  <c r="I48" i="75"/>
  <c r="J48" i="75" s="1"/>
  <c r="H23" i="85"/>
  <c r="H77" i="85"/>
  <c r="J77" i="85" s="1"/>
  <c r="H57" i="85"/>
  <c r="H121" i="85"/>
  <c r="H120" i="85"/>
  <c r="H110" i="85"/>
  <c r="H105" i="85"/>
  <c r="H104" i="85"/>
  <c r="J104" i="85" s="1"/>
  <c r="H97" i="85"/>
  <c r="J97" i="85" s="1"/>
  <c r="I36" i="76"/>
  <c r="J36" i="76" s="1"/>
  <c r="I31" i="76"/>
  <c r="I24" i="76"/>
  <c r="J24" i="76" s="1"/>
  <c r="I17" i="76"/>
  <c r="I107" i="76"/>
  <c r="I105" i="76"/>
  <c r="I165" i="76"/>
  <c r="I164" i="76"/>
  <c r="I156" i="76"/>
  <c r="I148" i="76"/>
  <c r="I143" i="76"/>
  <c r="J143" i="76" s="1"/>
  <c r="J140" i="76"/>
  <c r="I130" i="76"/>
  <c r="J130" i="76" s="1"/>
  <c r="I31" i="75"/>
  <c r="I21" i="75"/>
  <c r="I147" i="75"/>
  <c r="I39" i="75"/>
  <c r="I163" i="75"/>
  <c r="I150" i="75"/>
  <c r="J150" i="75" s="1"/>
  <c r="I139" i="75"/>
  <c r="I109" i="63"/>
  <c r="J109" i="63" s="1"/>
  <c r="I98" i="63"/>
  <c r="I92" i="63"/>
  <c r="I82" i="63"/>
  <c r="I139" i="63"/>
  <c r="J139" i="63" s="1"/>
  <c r="I134" i="63"/>
  <c r="I129" i="63"/>
  <c r="J129" i="63" s="1"/>
  <c r="I60" i="63"/>
  <c r="I38" i="63"/>
  <c r="J38" i="63" s="1"/>
  <c r="I64" i="76"/>
  <c r="I123" i="76"/>
  <c r="I56" i="75"/>
  <c r="I106" i="75"/>
  <c r="I92" i="75"/>
  <c r="I58" i="75"/>
  <c r="J58" i="75" s="1"/>
  <c r="H65" i="85"/>
  <c r="I48" i="76"/>
  <c r="I26" i="76"/>
  <c r="I63" i="76"/>
  <c r="J63" i="76" s="1"/>
  <c r="I89" i="76"/>
  <c r="J89" i="76" s="1"/>
  <c r="I19" i="76"/>
  <c r="J19" i="76" s="1"/>
  <c r="I117" i="75"/>
  <c r="J117" i="75" s="1"/>
  <c r="I33" i="75"/>
  <c r="J33" i="75" s="1"/>
  <c r="I63" i="75"/>
  <c r="J63" i="75" s="1"/>
  <c r="I54" i="76"/>
  <c r="J54" i="76" s="1"/>
  <c r="I113" i="63"/>
  <c r="J113" i="63" s="1"/>
  <c r="I50" i="63"/>
  <c r="J50" i="63" s="1"/>
  <c r="I127" i="63"/>
  <c r="J127" i="63" s="1"/>
  <c r="I42" i="76"/>
  <c r="J42" i="76" s="1"/>
  <c r="H47" i="85"/>
  <c r="J47" i="85" s="1"/>
  <c r="H67" i="85"/>
  <c r="J67" i="85" s="1"/>
  <c r="H6" i="85"/>
  <c r="J6" i="85" s="1"/>
  <c r="H87" i="85"/>
  <c r="J87" i="85" s="1"/>
  <c r="I10" i="75"/>
  <c r="J10" i="75" s="1"/>
  <c r="I151" i="63"/>
  <c r="J151" i="63" s="1"/>
  <c r="I90" i="63"/>
  <c r="J90" i="63" s="1"/>
  <c r="I24" i="63"/>
  <c r="J24" i="63" s="1"/>
  <c r="I6" i="75"/>
  <c r="J6" i="75" s="1"/>
  <c r="I144" i="75"/>
  <c r="J144" i="75" s="1"/>
  <c r="I158" i="75"/>
  <c r="J158" i="75" s="1"/>
  <c r="I109" i="75"/>
  <c r="J109" i="75" s="1"/>
  <c r="I6" i="76"/>
  <c r="J6" i="76" s="1"/>
  <c r="I121" i="76"/>
  <c r="J121" i="76" s="1"/>
  <c r="I15" i="76"/>
  <c r="J15" i="76" s="1"/>
  <c r="H56" i="85"/>
  <c r="J56" i="85" s="1"/>
  <c r="H10" i="85"/>
  <c r="J10" i="85" s="1"/>
  <c r="H38" i="85"/>
  <c r="J38" i="85" s="1"/>
  <c r="H80" i="85"/>
  <c r="J80" i="85" s="1"/>
  <c r="H15" i="85"/>
  <c r="J15" i="85" s="1"/>
  <c r="I19" i="75"/>
  <c r="J19" i="75" s="1"/>
  <c r="I54" i="75"/>
  <c r="J54" i="75" s="1"/>
  <c r="I58" i="76"/>
  <c r="J58" i="76" s="1"/>
  <c r="I55" i="63"/>
  <c r="J55" i="63" s="1"/>
  <c r="I122" i="63"/>
  <c r="J122" i="63" s="1"/>
  <c r="I101" i="63"/>
  <c r="J101" i="63" s="1"/>
  <c r="I29" i="63"/>
  <c r="J29" i="63" s="1"/>
  <c r="I129" i="75"/>
  <c r="I134" i="75"/>
  <c r="J134" i="75" s="1"/>
  <c r="I34" i="75"/>
  <c r="J34" i="75" s="1"/>
  <c r="H32" i="85"/>
  <c r="H78" i="85"/>
  <c r="H58" i="85"/>
  <c r="H119" i="85"/>
  <c r="H114" i="85"/>
  <c r="H108" i="85"/>
  <c r="J108" i="85" s="1"/>
  <c r="H102" i="85"/>
  <c r="J102" i="85" s="1"/>
  <c r="I49" i="76"/>
  <c r="I34" i="76"/>
  <c r="I118" i="76"/>
  <c r="J118" i="76" s="1"/>
  <c r="I109" i="76"/>
  <c r="J109" i="76" s="1"/>
  <c r="I99" i="76"/>
  <c r="I159" i="76"/>
  <c r="J159" i="76" s="1"/>
  <c r="I157" i="76"/>
  <c r="I145" i="76"/>
  <c r="J145" i="76" s="1"/>
  <c r="I137" i="76"/>
  <c r="I11" i="76"/>
  <c r="J11" i="76" s="1"/>
  <c r="I7" i="76"/>
  <c r="J7" i="76" s="1"/>
  <c r="I119" i="75"/>
  <c r="I137" i="75"/>
  <c r="I35" i="75"/>
  <c r="I118" i="75"/>
  <c r="J118" i="75" s="1"/>
  <c r="I160" i="75"/>
  <c r="I32" i="63"/>
  <c r="J32" i="63" s="1"/>
  <c r="I19" i="63"/>
  <c r="J19" i="63" s="1"/>
  <c r="I105" i="63"/>
  <c r="I85" i="63"/>
  <c r="I81" i="63"/>
  <c r="J81" i="63" s="1"/>
  <c r="I148" i="63"/>
  <c r="I137" i="63"/>
  <c r="J137" i="63" s="1"/>
  <c r="I132" i="63"/>
  <c r="J132" i="63" s="1"/>
  <c r="I125" i="63"/>
  <c r="I11" i="63"/>
  <c r="I6" i="63"/>
  <c r="J6" i="63" s="1"/>
  <c r="I59" i="63"/>
  <c r="I56" i="63"/>
  <c r="I42" i="75"/>
  <c r="J42" i="75" s="1"/>
  <c r="I15" i="75"/>
  <c r="J15" i="75" s="1"/>
  <c r="H60" i="85"/>
  <c r="J60" i="85" s="1"/>
  <c r="H76" i="85"/>
  <c r="J76" i="85" s="1"/>
  <c r="I90" i="76"/>
  <c r="I30" i="76"/>
  <c r="H63" i="85"/>
  <c r="H70" i="85"/>
  <c r="I105" i="75"/>
  <c r="I112" i="75"/>
  <c r="I147" i="63"/>
  <c r="J147" i="63" s="1"/>
  <c r="I155" i="63"/>
  <c r="I104" i="63"/>
  <c r="I39" i="76"/>
  <c r="H22" i="85"/>
  <c r="I35" i="63"/>
  <c r="J35" i="63" s="1"/>
  <c r="I162" i="75"/>
  <c r="H117" i="85"/>
  <c r="H113" i="85"/>
  <c r="H95" i="85"/>
  <c r="H94" i="85"/>
  <c r="I41" i="63"/>
  <c r="I40" i="63"/>
  <c r="J40" i="63" s="1"/>
  <c r="I40" i="76"/>
  <c r="I33" i="76"/>
  <c r="J33" i="76" s="1"/>
  <c r="I27" i="76"/>
  <c r="I119" i="76"/>
  <c r="I113" i="76"/>
  <c r="I102" i="76"/>
  <c r="J102" i="76" s="1"/>
  <c r="I100" i="76"/>
  <c r="I98" i="76"/>
  <c r="J98" i="76" s="1"/>
  <c r="I93" i="76"/>
  <c r="I163" i="76"/>
  <c r="J163" i="76" s="1"/>
  <c r="I153" i="76"/>
  <c r="I138" i="76"/>
  <c r="I135" i="76"/>
  <c r="J135" i="76" s="1"/>
  <c r="I132" i="76"/>
  <c r="J132" i="76" s="1"/>
  <c r="I12" i="76"/>
  <c r="I8" i="76"/>
  <c r="I49" i="75"/>
  <c r="I40" i="75"/>
  <c r="I107" i="75"/>
  <c r="I47" i="75"/>
  <c r="J47" i="75" s="1"/>
  <c r="I98" i="75"/>
  <c r="J98" i="75" s="1"/>
  <c r="I89" i="75"/>
  <c r="J89" i="75" s="1"/>
  <c r="I146" i="75"/>
  <c r="I136" i="75"/>
  <c r="I21" i="63"/>
  <c r="I16" i="63"/>
  <c r="J16" i="63" s="1"/>
  <c r="I102" i="63"/>
  <c r="I97" i="63"/>
  <c r="I84" i="63"/>
  <c r="I145" i="63"/>
  <c r="J145" i="63" s="1"/>
  <c r="I10" i="63"/>
  <c r="J10" i="63" s="1"/>
  <c r="I46" i="63"/>
  <c r="J46" i="63" s="1"/>
  <c r="I69" i="75"/>
  <c r="I102" i="75"/>
  <c r="J102" i="75" s="1"/>
  <c r="H39" i="85"/>
  <c r="J39" i="85" s="1"/>
  <c r="H27" i="85"/>
  <c r="J27" i="85" s="1"/>
  <c r="H43" i="85"/>
  <c r="I35" i="76"/>
  <c r="I117" i="76"/>
  <c r="J117" i="76" s="1"/>
  <c r="I65" i="76"/>
  <c r="H20" i="85"/>
  <c r="J20" i="85" s="1"/>
  <c r="H48" i="85"/>
  <c r="I110" i="75"/>
  <c r="I95" i="63"/>
  <c r="J95" i="63" s="1"/>
  <c r="I152" i="75"/>
  <c r="H61" i="85"/>
  <c r="I103" i="75"/>
  <c r="I153" i="63"/>
  <c r="I36" i="75"/>
  <c r="H52" i="85"/>
  <c r="H116" i="85"/>
  <c r="H112" i="85"/>
  <c r="H100" i="85"/>
  <c r="H99" i="85"/>
  <c r="J99" i="85" s="1"/>
  <c r="H92" i="85"/>
  <c r="J92" i="85" s="1"/>
  <c r="I39" i="63"/>
  <c r="J39" i="63" s="1"/>
  <c r="I45" i="76"/>
  <c r="J45" i="76" s="1"/>
  <c r="I25" i="76"/>
  <c r="J25" i="76" s="1"/>
  <c r="I21" i="76"/>
  <c r="I16" i="76"/>
  <c r="J16" i="76" s="1"/>
  <c r="I114" i="76"/>
  <c r="I112" i="76"/>
  <c r="I106" i="76"/>
  <c r="I161" i="76"/>
  <c r="J161" i="76" s="1"/>
  <c r="I151" i="76"/>
  <c r="J151" i="76" s="1"/>
  <c r="I147" i="76"/>
  <c r="J147" i="76" s="1"/>
  <c r="I142" i="76"/>
  <c r="J142" i="76" s="1"/>
  <c r="I133" i="76"/>
  <c r="I10" i="76"/>
  <c r="J10" i="76" s="1"/>
  <c r="I164" i="75"/>
  <c r="I8" i="75"/>
  <c r="I29" i="75"/>
  <c r="J29" i="75" s="1"/>
  <c r="I154" i="75"/>
  <c r="I27" i="63"/>
  <c r="I26" i="63"/>
  <c r="J26" i="63" s="1"/>
  <c r="I15" i="63"/>
  <c r="J15" i="63" s="1"/>
  <c r="I110" i="63"/>
  <c r="I94" i="63"/>
  <c r="I143" i="63"/>
  <c r="J143" i="63" s="1"/>
  <c r="I55" i="76"/>
  <c r="K66" i="76"/>
  <c r="H15" i="78" s="1"/>
  <c r="I60" i="75"/>
  <c r="I24" i="75"/>
  <c r="J24" i="75" s="1"/>
  <c r="I121" i="75"/>
  <c r="J121" i="75" s="1"/>
  <c r="I113" i="75"/>
  <c r="I67" i="75"/>
  <c r="J67" i="75" s="1"/>
  <c r="H19" i="85"/>
  <c r="J19" i="85" s="1"/>
  <c r="H42" i="85"/>
  <c r="J42" i="85" s="1"/>
  <c r="H64" i="85"/>
  <c r="J64" i="85" s="1"/>
  <c r="H50" i="85"/>
  <c r="J50" i="85" s="1"/>
  <c r="I25" i="63"/>
  <c r="I92" i="76"/>
  <c r="J92" i="76" s="1"/>
  <c r="J46" i="26" l="1"/>
  <c r="K46" i="26" s="1"/>
  <c r="J50" i="26"/>
  <c r="K50" i="26" s="1"/>
  <c r="I413" i="22"/>
  <c r="I664" i="22"/>
  <c r="I662" i="22" s="1"/>
  <c r="I371" i="22"/>
  <c r="I925" i="22"/>
  <c r="I341" i="22"/>
  <c r="I900" i="22"/>
  <c r="I384" i="22"/>
  <c r="I855" i="22"/>
  <c r="C34" i="66"/>
  <c r="I880" i="22"/>
  <c r="I987" i="22"/>
  <c r="I112" i="22"/>
  <c r="I730" i="22"/>
  <c r="I750" i="22" s="1"/>
  <c r="I765" i="22" s="1"/>
  <c r="F33" i="52"/>
  <c r="M11" i="65"/>
  <c r="I518" i="22"/>
  <c r="I552" i="22"/>
  <c r="I430" i="22"/>
  <c r="I202" i="22"/>
  <c r="J48" i="26"/>
  <c r="K48" i="26" s="1"/>
  <c r="I297" i="22"/>
  <c r="I19" i="22"/>
  <c r="I334" i="22"/>
  <c r="I124" i="22"/>
  <c r="I968" i="22"/>
  <c r="F23" i="52"/>
  <c r="I229" i="22"/>
  <c r="I772" i="22"/>
  <c r="I717" i="22"/>
  <c r="I745" i="22" s="1"/>
  <c r="I762" i="22" s="1"/>
  <c r="I931" i="22"/>
  <c r="I926" i="22"/>
  <c r="J20" i="26"/>
  <c r="K20" i="26" s="1"/>
  <c r="I729" i="22"/>
  <c r="I749" i="22" s="1"/>
  <c r="I759" i="22" s="1"/>
  <c r="I531" i="22"/>
  <c r="I103" i="22"/>
  <c r="I446" i="22"/>
  <c r="I480" i="22" s="1"/>
  <c r="I496" i="22" s="1"/>
  <c r="J19" i="26"/>
  <c r="K19" i="26" s="1"/>
  <c r="I962" i="22"/>
  <c r="F32" i="64"/>
  <c r="G32" i="64" s="1"/>
  <c r="I467" i="22"/>
  <c r="I488" i="22" s="1"/>
  <c r="I504" i="22" s="1"/>
  <c r="I800" i="22"/>
  <c r="I425" i="22"/>
  <c r="I45" i="22"/>
  <c r="W11" i="65"/>
  <c r="I215" i="22"/>
  <c r="I52" i="22"/>
  <c r="J24" i="26"/>
  <c r="K24" i="26" s="1"/>
  <c r="F11" i="64"/>
  <c r="H11" i="64" s="1"/>
  <c r="J57" i="26"/>
  <c r="K57" i="26" s="1"/>
  <c r="I578" i="22"/>
  <c r="J28" i="26"/>
  <c r="K28" i="26" s="1"/>
  <c r="I80" i="22"/>
  <c r="J26" i="26"/>
  <c r="K26" i="26" s="1"/>
  <c r="J78" i="75"/>
  <c r="G28" i="77" s="1"/>
  <c r="I999" i="22"/>
  <c r="I187" i="22"/>
  <c r="I585" i="22"/>
  <c r="J31" i="26"/>
  <c r="K31" i="26" s="1"/>
  <c r="I920" i="22"/>
  <c r="I857" i="22"/>
  <c r="I284" i="22"/>
  <c r="I283" i="22" s="1"/>
  <c r="I22" i="22"/>
  <c r="I974" i="22"/>
  <c r="F11" i="79"/>
  <c r="H11" i="79" s="1"/>
  <c r="E17" i="73"/>
  <c r="F8" i="78" s="1"/>
  <c r="E18" i="73"/>
  <c r="F9" i="78" s="1"/>
  <c r="I73" i="63"/>
  <c r="J73" i="63" s="1"/>
  <c r="J67" i="63"/>
  <c r="J64" i="63" s="1"/>
  <c r="H27" i="68" s="1"/>
  <c r="I656" i="22"/>
  <c r="I649" i="22" s="1"/>
  <c r="M29" i="77"/>
  <c r="I181" i="22"/>
  <c r="I180" i="22" s="1"/>
  <c r="I573" i="22"/>
  <c r="I210" i="22"/>
  <c r="I887" i="22"/>
  <c r="I863" i="22"/>
  <c r="I699" i="22"/>
  <c r="I739" i="22" s="1"/>
  <c r="I754" i="22" s="1"/>
  <c r="I821" i="22"/>
  <c r="I818" i="22" s="1"/>
  <c r="I886" i="22"/>
  <c r="I459" i="22"/>
  <c r="I483" i="22" s="1"/>
  <c r="I501" i="22" s="1"/>
  <c r="J75" i="76"/>
  <c r="J72" i="76" s="1"/>
  <c r="G27" i="78" s="1"/>
  <c r="I81" i="76"/>
  <c r="J81" i="76" s="1"/>
  <c r="J78" i="76" s="1"/>
  <c r="G28" i="78" s="1"/>
  <c r="E32" i="79"/>
  <c r="F32" i="79" s="1"/>
  <c r="G32" i="79" s="1"/>
  <c r="E10" i="79"/>
  <c r="F10" i="79" s="1"/>
  <c r="H10" i="79" s="1"/>
  <c r="J14" i="26"/>
  <c r="K14" i="26" s="1"/>
  <c r="J9" i="26"/>
  <c r="K9" i="26" s="1"/>
  <c r="J10" i="26"/>
  <c r="K10" i="26" s="1"/>
  <c r="J12" i="26"/>
  <c r="K12" i="26" s="1"/>
  <c r="I28" i="79"/>
  <c r="J28" i="79" s="1"/>
  <c r="I18" i="81"/>
  <c r="J18" i="81" s="1"/>
  <c r="J18" i="26"/>
  <c r="K18" i="26" s="1"/>
  <c r="J23" i="26"/>
  <c r="K23" i="26" s="1"/>
  <c r="J29" i="26"/>
  <c r="K29" i="26" s="1"/>
  <c r="J55" i="26"/>
  <c r="K55" i="26" s="1"/>
  <c r="J54" i="26"/>
  <c r="K54" i="26" s="1"/>
  <c r="I13" i="26"/>
  <c r="J13" i="26" s="1"/>
  <c r="K13" i="26" s="1"/>
  <c r="I12" i="81"/>
  <c r="J12" i="81" s="1"/>
  <c r="I28" i="81"/>
  <c r="J28" i="81" s="1"/>
  <c r="J59" i="63"/>
  <c r="I71" i="63"/>
  <c r="J71" i="63" s="1"/>
  <c r="D80" i="74"/>
  <c r="F19" i="77" s="1"/>
  <c r="D84" i="74"/>
  <c r="F23" i="77" s="1"/>
  <c r="D85" i="74"/>
  <c r="F24" i="77" s="1"/>
  <c r="D82" i="74"/>
  <c r="F21" i="77" s="1"/>
  <c r="D83" i="74"/>
  <c r="D81" i="74"/>
  <c r="F20" i="77" s="1"/>
  <c r="D79" i="74"/>
  <c r="D47" i="74"/>
  <c r="F15" i="77" s="1"/>
  <c r="D55" i="74"/>
  <c r="D59" i="74"/>
  <c r="D56" i="74"/>
  <c r="F33" i="77" s="1"/>
  <c r="D53" i="74"/>
  <c r="F30" i="77" s="1"/>
  <c r="D61" i="74"/>
  <c r="F38" i="77" s="1"/>
  <c r="D54" i="74"/>
  <c r="D58" i="74"/>
  <c r="F35" i="77" s="1"/>
  <c r="D60" i="74"/>
  <c r="F37" i="77" s="1"/>
  <c r="D57" i="74"/>
  <c r="F34" i="77" s="1"/>
  <c r="D22" i="74"/>
  <c r="D18" i="74"/>
  <c r="F9" i="77" s="1"/>
  <c r="D21" i="74"/>
  <c r="F41" i="77" s="1"/>
  <c r="D23" i="74"/>
  <c r="F43" i="77" s="1"/>
  <c r="D19" i="74"/>
  <c r="F45" i="77"/>
  <c r="D17" i="74"/>
  <c r="D24" i="74"/>
  <c r="F44" i="77" s="1"/>
  <c r="D20" i="74"/>
  <c r="F40" i="77" s="1"/>
  <c r="D43" i="74"/>
  <c r="D45" i="74"/>
  <c r="D44" i="74"/>
  <c r="F12" i="77" s="1"/>
  <c r="D46" i="74"/>
  <c r="F14" i="77" s="1"/>
  <c r="E84" i="73"/>
  <c r="F21" i="78" s="1"/>
  <c r="E82" i="73"/>
  <c r="F19" i="78" s="1"/>
  <c r="E87" i="73"/>
  <c r="F24" i="78" s="1"/>
  <c r="E83" i="73"/>
  <c r="F20" i="78" s="1"/>
  <c r="E86" i="73"/>
  <c r="F23" i="78" s="1"/>
  <c r="E81" i="73"/>
  <c r="F18" i="78" s="1"/>
  <c r="E58" i="73"/>
  <c r="F35" i="78" s="1"/>
  <c r="E54" i="73"/>
  <c r="E46" i="73"/>
  <c r="F14" i="78" s="1"/>
  <c r="E57" i="73"/>
  <c r="F34" i="78" s="1"/>
  <c r="E53" i="73"/>
  <c r="F30" i="78" s="1"/>
  <c r="E56" i="73"/>
  <c r="F33" i="78" s="1"/>
  <c r="E44" i="73"/>
  <c r="F12" i="78" s="1"/>
  <c r="E59" i="73"/>
  <c r="E55" i="73"/>
  <c r="E47" i="73"/>
  <c r="F15" i="78" s="1"/>
  <c r="E43" i="73"/>
  <c r="E61" i="73"/>
  <c r="F38" i="78" s="1"/>
  <c r="E45" i="73"/>
  <c r="E60" i="73"/>
  <c r="F37" i="78" s="1"/>
  <c r="E25" i="73"/>
  <c r="F45" i="78" s="1"/>
  <c r="E21" i="73"/>
  <c r="F41" i="78" s="1"/>
  <c r="E24" i="73"/>
  <c r="F44" i="78" s="1"/>
  <c r="E20" i="73"/>
  <c r="F40" i="78" s="1"/>
  <c r="E23" i="73"/>
  <c r="F43" i="78" s="1"/>
  <c r="E48" i="62"/>
  <c r="K15" i="68" s="1"/>
  <c r="E59" i="62"/>
  <c r="K35" i="68" s="1"/>
  <c r="E44" i="62"/>
  <c r="E54" i="62"/>
  <c r="K30" i="68" s="1"/>
  <c r="E62" i="62"/>
  <c r="K38" i="68" s="1"/>
  <c r="E47" i="62"/>
  <c r="K14" i="68" s="1"/>
  <c r="E58" i="62"/>
  <c r="K34" i="68" s="1"/>
  <c r="E45" i="62"/>
  <c r="K12" i="68" s="1"/>
  <c r="E61" i="62"/>
  <c r="K37" i="68" s="1"/>
  <c r="E57" i="62"/>
  <c r="K33" i="68" s="1"/>
  <c r="F24" i="62"/>
  <c r="K44" i="68" s="1"/>
  <c r="F18" i="62"/>
  <c r="K9" i="68" s="1"/>
  <c r="F21" i="62"/>
  <c r="K41" i="68" s="1"/>
  <c r="F25" i="62"/>
  <c r="K45" i="68" s="1"/>
  <c r="F20" i="62"/>
  <c r="K40" i="68" s="1"/>
  <c r="F23" i="62"/>
  <c r="K43" i="68" s="1"/>
  <c r="F17" i="62"/>
  <c r="K8" i="68" s="1"/>
  <c r="F1075" i="45"/>
  <c r="F1247" i="45"/>
  <c r="F1257" i="45" s="1"/>
  <c r="I704" i="22"/>
  <c r="I740" i="22" s="1"/>
  <c r="I755" i="22" s="1"/>
  <c r="I86" i="22"/>
  <c r="I269" i="22"/>
  <c r="I684" i="22"/>
  <c r="I567" i="22"/>
  <c r="I564" i="22" s="1"/>
  <c r="I874" i="22"/>
  <c r="I512" i="22"/>
  <c r="I655" i="22"/>
  <c r="I328" i="22"/>
  <c r="I418" i="22"/>
  <c r="I572" i="22"/>
  <c r="I33" i="22"/>
  <c r="I336" i="22"/>
  <c r="I119" i="22"/>
  <c r="I840" i="22"/>
  <c r="I39" i="22"/>
  <c r="I600" i="22"/>
  <c r="I153" i="22"/>
  <c r="I162" i="22"/>
  <c r="I767" i="22"/>
  <c r="I595" i="22"/>
  <c r="I635" i="22"/>
  <c r="I636" i="22" s="1"/>
  <c r="I28" i="22"/>
  <c r="I793" i="22"/>
  <c r="I663" i="22"/>
  <c r="I580" i="22"/>
  <c r="I957" i="22"/>
  <c r="I135" i="22"/>
  <c r="I776" i="22"/>
  <c r="I774" i="22" s="1"/>
  <c r="I81" i="22"/>
  <c r="I914" i="22"/>
  <c r="C21" i="78"/>
  <c r="C20" i="78"/>
  <c r="C23" i="78"/>
  <c r="C9" i="86"/>
  <c r="C36" i="85"/>
  <c r="C32" i="83"/>
  <c r="C34" i="84"/>
  <c r="B17" i="82"/>
  <c r="A10" i="87" s="1"/>
  <c r="J49" i="26"/>
  <c r="K49" i="26" s="1"/>
  <c r="J40" i="26"/>
  <c r="K40" i="26" s="1"/>
  <c r="G5" i="58" s="1"/>
  <c r="J37" i="26"/>
  <c r="K37" i="26" s="1"/>
  <c r="G9" i="70" s="1"/>
  <c r="J88" i="85"/>
  <c r="I21" i="81"/>
  <c r="J21" i="81" s="1"/>
  <c r="I27" i="81"/>
  <c r="J27" i="81" s="1"/>
  <c r="J63" i="85"/>
  <c r="J119" i="75"/>
  <c r="K116" i="75" s="1"/>
  <c r="H37" i="77" s="1"/>
  <c r="J163" i="75"/>
  <c r="J136" i="76"/>
  <c r="I695" i="22"/>
  <c r="I690" i="22" s="1"/>
  <c r="J109" i="85"/>
  <c r="J34" i="63"/>
  <c r="F865" i="45"/>
  <c r="J38" i="26"/>
  <c r="K38" i="26" s="1"/>
  <c r="F22" i="52"/>
  <c r="I356" i="22"/>
  <c r="D24" i="64"/>
  <c r="D25" i="64" s="1"/>
  <c r="I913" i="22"/>
  <c r="J94" i="63"/>
  <c r="J12" i="76"/>
  <c r="K9" i="76" s="1"/>
  <c r="H9" i="78" s="1"/>
  <c r="J36" i="75"/>
  <c r="J34" i="76"/>
  <c r="J155" i="75"/>
  <c r="J144" i="63"/>
  <c r="J30" i="85"/>
  <c r="J38" i="75"/>
  <c r="I525" i="22"/>
  <c r="I524" i="22" s="1"/>
  <c r="I306" i="22"/>
  <c r="I546" i="22"/>
  <c r="D34" i="52"/>
  <c r="D21" i="52"/>
  <c r="D30" i="52" s="1"/>
  <c r="J135" i="75"/>
  <c r="I194" i="22"/>
  <c r="I435" i="22"/>
  <c r="I477" i="22" s="1"/>
  <c r="I493" i="22" s="1"/>
  <c r="I705" i="22"/>
  <c r="I741" i="22" s="1"/>
  <c r="I756" i="22" s="1"/>
  <c r="I419" i="22"/>
  <c r="I189" i="22"/>
  <c r="I447" i="22"/>
  <c r="I466" i="22" s="1"/>
  <c r="I486" i="22" s="1"/>
  <c r="I497" i="22" s="1"/>
  <c r="F275" i="45"/>
  <c r="J51" i="26"/>
  <c r="K51" i="26" s="1"/>
  <c r="J41" i="26"/>
  <c r="K41" i="26" s="1"/>
  <c r="J21" i="26"/>
  <c r="K21" i="26" s="1"/>
  <c r="J39" i="26"/>
  <c r="K39" i="26" s="1"/>
  <c r="G42" i="58" s="1"/>
  <c r="H42" i="58" s="1"/>
  <c r="D25" i="81"/>
  <c r="I10" i="87"/>
  <c r="J10" i="87" s="1"/>
  <c r="K10" i="87" s="1"/>
  <c r="J27" i="76"/>
  <c r="I670" i="22"/>
  <c r="J152" i="75"/>
  <c r="J148" i="63"/>
  <c r="J23" i="85"/>
  <c r="I172" i="22"/>
  <c r="I33" i="79"/>
  <c r="J33" i="79" s="1"/>
  <c r="J133" i="63"/>
  <c r="I902" i="22"/>
  <c r="I313" i="22"/>
  <c r="K60" i="26"/>
  <c r="I118" i="22"/>
  <c r="V11" i="65"/>
  <c r="I209" i="22"/>
  <c r="D20" i="52"/>
  <c r="I783" i="22"/>
  <c r="I980" i="22"/>
  <c r="N11" i="65"/>
  <c r="J53" i="26"/>
  <c r="K53" i="26" s="1"/>
  <c r="J116" i="85"/>
  <c r="J134" i="63"/>
  <c r="J100" i="85"/>
  <c r="K96" i="85" s="1"/>
  <c r="K16" i="86" s="1"/>
  <c r="J36" i="63"/>
  <c r="K28" i="63" s="1"/>
  <c r="I44" i="68" s="1"/>
  <c r="I165" i="22"/>
  <c r="G19" i="54"/>
  <c r="G111" i="54" s="1"/>
  <c r="O11" i="65"/>
  <c r="F290" i="45"/>
  <c r="F288" i="45"/>
  <c r="D35" i="64"/>
  <c r="D34" i="64"/>
  <c r="D24" i="79"/>
  <c r="D25" i="79" s="1"/>
  <c r="H18" i="79"/>
  <c r="G18" i="79"/>
  <c r="I565" i="22"/>
  <c r="H32" i="87"/>
  <c r="G32" i="87"/>
  <c r="D34" i="81"/>
  <c r="D35" i="81"/>
  <c r="I42" i="26"/>
  <c r="E42" i="26"/>
  <c r="F46" i="52"/>
  <c r="F48" i="52"/>
  <c r="F45" i="52"/>
  <c r="F49" i="52"/>
  <c r="I44" i="26"/>
  <c r="D34" i="79"/>
  <c r="D35" i="79"/>
  <c r="J25" i="26"/>
  <c r="K25" i="26" s="1"/>
  <c r="I21" i="79"/>
  <c r="J21" i="79" s="1"/>
  <c r="J118" i="85"/>
  <c r="F302" i="45"/>
  <c r="F1114" i="45"/>
  <c r="F465" i="45"/>
  <c r="D23" i="87"/>
  <c r="K65" i="26"/>
  <c r="I36" i="79"/>
  <c r="J36" i="79" s="1"/>
  <c r="I27" i="64"/>
  <c r="J27" i="64" s="1"/>
  <c r="I33" i="64"/>
  <c r="J33" i="64" s="1"/>
  <c r="D22" i="87"/>
  <c r="F22" i="87" s="1"/>
  <c r="D15" i="26"/>
  <c r="D16" i="26"/>
  <c r="I43" i="26"/>
  <c r="E43" i="26"/>
  <c r="F68" i="84"/>
  <c r="I20" i="86" s="1"/>
  <c r="I51" i="82"/>
  <c r="F47" i="84"/>
  <c r="I35" i="86" s="1"/>
  <c r="I36" i="82"/>
  <c r="I12" i="82"/>
  <c r="F935" i="45"/>
  <c r="F1272" i="45"/>
  <c r="F1342" i="45"/>
  <c r="F1344" i="45"/>
  <c r="F660" i="45"/>
  <c r="F933" i="45"/>
  <c r="I620" i="22"/>
  <c r="I610" i="22"/>
  <c r="I626" i="22"/>
  <c r="J35" i="75"/>
  <c r="J110" i="75"/>
  <c r="J30" i="75"/>
  <c r="J17" i="76"/>
  <c r="K14" i="76" s="1"/>
  <c r="H40" i="78" s="1"/>
  <c r="J153" i="76"/>
  <c r="J133" i="76"/>
  <c r="K129" i="76" s="1"/>
  <c r="H18" i="78" s="1"/>
  <c r="J113" i="76"/>
  <c r="J137" i="76"/>
  <c r="J106" i="76"/>
  <c r="J8" i="76"/>
  <c r="K5" i="76" s="1"/>
  <c r="H8" i="78" s="1"/>
  <c r="J119" i="76"/>
  <c r="K116" i="76" s="1"/>
  <c r="H37" i="78" s="1"/>
  <c r="J84" i="63"/>
  <c r="J102" i="63"/>
  <c r="J24" i="83"/>
  <c r="F33" i="83"/>
  <c r="F40" i="83"/>
  <c r="F43" i="83"/>
  <c r="F34" i="83"/>
  <c r="J92" i="75"/>
  <c r="J69" i="75"/>
  <c r="K66" i="75" s="1"/>
  <c r="H15" i="77" s="1"/>
  <c r="H60" i="72"/>
  <c r="J49" i="75"/>
  <c r="K41" i="75" s="1"/>
  <c r="H45" i="77" s="1"/>
  <c r="J100" i="76"/>
  <c r="K97" i="76" s="1"/>
  <c r="H33" i="78" s="1"/>
  <c r="J155" i="63"/>
  <c r="I21" i="64"/>
  <c r="J21" i="64" s="1"/>
  <c r="G10" i="64"/>
  <c r="I10" i="64" s="1"/>
  <c r="J10" i="64" s="1"/>
  <c r="K10" i="64" s="1"/>
  <c r="I36" i="64"/>
  <c r="J36" i="64" s="1"/>
  <c r="I22" i="64"/>
  <c r="J22" i="64" s="1"/>
  <c r="I18" i="64"/>
  <c r="J18" i="64" s="1"/>
  <c r="I28" i="64"/>
  <c r="J28" i="64" s="1"/>
  <c r="E18" i="84"/>
  <c r="F18" i="84" s="1"/>
  <c r="I37" i="86" s="1"/>
  <c r="E16" i="84"/>
  <c r="F16" i="84" s="1"/>
  <c r="I8" i="86" s="1"/>
  <c r="D48" i="84"/>
  <c r="E19" i="84"/>
  <c r="F19" i="84" s="1"/>
  <c r="I38" i="86" s="1"/>
  <c r="F15" i="84"/>
  <c r="I7" i="86" s="1"/>
  <c r="F21" i="84"/>
  <c r="I40" i="86" s="1"/>
  <c r="F14" i="83"/>
  <c r="F15" i="83"/>
  <c r="F18" i="83"/>
  <c r="F20" i="83"/>
  <c r="F44" i="83"/>
  <c r="J57" i="85"/>
  <c r="J55" i="85" s="1"/>
  <c r="J89" i="85"/>
  <c r="J43" i="85"/>
  <c r="J41" i="85" s="1"/>
  <c r="J65" i="85"/>
  <c r="K59" i="85" s="1"/>
  <c r="K30" i="86" s="1"/>
  <c r="J16" i="85"/>
  <c r="J14" i="85" s="1"/>
  <c r="J66" i="75"/>
  <c r="G15" i="77" s="1"/>
  <c r="J8" i="75"/>
  <c r="K5" i="75" s="1"/>
  <c r="H8" i="77" s="1"/>
  <c r="J148" i="76"/>
  <c r="K144" i="76" s="1"/>
  <c r="H21" i="78" s="1"/>
  <c r="J112" i="63"/>
  <c r="H38" i="68" s="1"/>
  <c r="J70" i="85"/>
  <c r="J75" i="85"/>
  <c r="J32" i="85"/>
  <c r="J52" i="85"/>
  <c r="K46" i="85" s="1"/>
  <c r="K26" i="86" s="1"/>
  <c r="J61" i="85"/>
  <c r="J22" i="85"/>
  <c r="J81" i="85"/>
  <c r="J79" i="85" s="1"/>
  <c r="J51" i="85"/>
  <c r="J34" i="85"/>
  <c r="K26" i="85" s="1"/>
  <c r="K40" i="86" s="1"/>
  <c r="J78" i="85"/>
  <c r="K75" i="85" s="1"/>
  <c r="K34" i="86" s="1"/>
  <c r="J121" i="85"/>
  <c r="K115" i="85" s="1"/>
  <c r="K20" i="86" s="1"/>
  <c r="J119" i="85"/>
  <c r="J48" i="85"/>
  <c r="J113" i="85"/>
  <c r="J68" i="85"/>
  <c r="J94" i="85"/>
  <c r="J12" i="85"/>
  <c r="K9" i="85" s="1"/>
  <c r="K8" i="86" s="1"/>
  <c r="J120" i="85"/>
  <c r="J33" i="85"/>
  <c r="J8" i="85"/>
  <c r="K5" i="85" s="1"/>
  <c r="K7" i="86" s="1"/>
  <c r="J9" i="83"/>
  <c r="J112" i="75"/>
  <c r="J11" i="75"/>
  <c r="J9" i="75" s="1"/>
  <c r="G9" i="77" s="1"/>
  <c r="J162" i="75"/>
  <c r="J113" i="75"/>
  <c r="J107" i="75"/>
  <c r="K101" i="75" s="1"/>
  <c r="H34" i="77" s="1"/>
  <c r="J141" i="75"/>
  <c r="J132" i="75"/>
  <c r="K128" i="75" s="1"/>
  <c r="H18" i="77" s="1"/>
  <c r="J106" i="75"/>
  <c r="J114" i="75"/>
  <c r="K108" i="75" s="1"/>
  <c r="H35" i="77" s="1"/>
  <c r="J103" i="75"/>
  <c r="J136" i="75"/>
  <c r="J160" i="75"/>
  <c r="J18" i="75"/>
  <c r="G41" i="77" s="1"/>
  <c r="J31" i="75"/>
  <c r="K23" i="75" s="1"/>
  <c r="H43" i="77" s="1"/>
  <c r="J39" i="75"/>
  <c r="J147" i="75"/>
  <c r="K143" i="75" s="1"/>
  <c r="H21" i="77" s="1"/>
  <c r="J59" i="75"/>
  <c r="J57" i="75" s="1"/>
  <c r="G12" i="77" s="1"/>
  <c r="J105" i="75"/>
  <c r="J164" i="75"/>
  <c r="K157" i="75" s="1"/>
  <c r="J154" i="75"/>
  <c r="J146" i="75"/>
  <c r="J21" i="75"/>
  <c r="K18" i="75" s="1"/>
  <c r="H41" i="77" s="1"/>
  <c r="J93" i="75"/>
  <c r="J122" i="75"/>
  <c r="J120" i="75" s="1"/>
  <c r="G38" i="77" s="1"/>
  <c r="J12" i="75"/>
  <c r="K9" i="75" s="1"/>
  <c r="H9" i="77" s="1"/>
  <c r="J142" i="75"/>
  <c r="K138" i="75" s="1"/>
  <c r="H20" i="77" s="1"/>
  <c r="J65" i="75"/>
  <c r="K62" i="75" s="1"/>
  <c r="H14" i="77" s="1"/>
  <c r="J64" i="75"/>
  <c r="J62" i="75" s="1"/>
  <c r="G14" i="77" s="1"/>
  <c r="J44" i="76"/>
  <c r="G11" i="79"/>
  <c r="I11" i="79" s="1"/>
  <c r="J35" i="76"/>
  <c r="J122" i="76"/>
  <c r="J120" i="76" s="1"/>
  <c r="H6" i="71"/>
  <c r="J112" i="76"/>
  <c r="J93" i="76"/>
  <c r="K139" i="76"/>
  <c r="H20" i="78" s="1"/>
  <c r="J66" i="76"/>
  <c r="G15" i="78" s="1"/>
  <c r="H7" i="71"/>
  <c r="H5" i="71"/>
  <c r="H4" i="71"/>
  <c r="H9" i="71"/>
  <c r="J91" i="63"/>
  <c r="J89" i="63" s="1"/>
  <c r="H33" i="68" s="1"/>
  <c r="J51" i="63"/>
  <c r="J49" i="63" s="1"/>
  <c r="H12" i="68" s="1"/>
  <c r="J92" i="63"/>
  <c r="K89" i="63" s="1"/>
  <c r="I33" i="68" s="1"/>
  <c r="J115" i="63"/>
  <c r="K112" i="63" s="1"/>
  <c r="I38" i="68" s="1"/>
  <c r="J124" i="63"/>
  <c r="J153" i="63"/>
  <c r="J30" i="63"/>
  <c r="G12" i="79"/>
  <c r="I12" i="79" s="1"/>
  <c r="J12" i="79" s="1"/>
  <c r="J94" i="75"/>
  <c r="K88" i="75" s="1"/>
  <c r="H30" i="77" s="1"/>
  <c r="I12" i="64"/>
  <c r="J12" i="64" s="1"/>
  <c r="J31" i="63"/>
  <c r="J110" i="63"/>
  <c r="J108" i="63" s="1"/>
  <c r="H37" i="68" s="1"/>
  <c r="J41" i="63"/>
  <c r="K37" i="63" s="1"/>
  <c r="I45" i="68" s="1"/>
  <c r="J21" i="63"/>
  <c r="K18" i="63" s="1"/>
  <c r="I41" i="68" s="1"/>
  <c r="J85" i="63"/>
  <c r="J130" i="63"/>
  <c r="K126" i="63" s="1"/>
  <c r="I19" i="68" s="1"/>
  <c r="J25" i="63"/>
  <c r="J23" i="63" s="1"/>
  <c r="H43" i="68" s="1"/>
  <c r="J104" i="63"/>
  <c r="J107" i="76"/>
  <c r="K101" i="76" s="1"/>
  <c r="H34" i="78" s="1"/>
  <c r="J99" i="76"/>
  <c r="J97" i="76" s="1"/>
  <c r="G33" i="78" s="1"/>
  <c r="J17" i="63"/>
  <c r="K14" i="63" s="1"/>
  <c r="I40" i="68" s="1"/>
  <c r="J56" i="63"/>
  <c r="J54" i="63" s="1"/>
  <c r="H14" i="68" s="1"/>
  <c r="J18" i="63"/>
  <c r="H41" i="68" s="1"/>
  <c r="J156" i="63"/>
  <c r="J57" i="63"/>
  <c r="K54" i="63" s="1"/>
  <c r="I14" i="68" s="1"/>
  <c r="J97" i="63"/>
  <c r="E86" i="62"/>
  <c r="K23" i="68" s="1"/>
  <c r="H64" i="71"/>
  <c r="E82" i="62"/>
  <c r="K19" i="68" s="1"/>
  <c r="A7" i="87"/>
  <c r="B15" i="84"/>
  <c r="B14" i="83"/>
  <c r="B7" i="86"/>
  <c r="B5" i="85"/>
  <c r="E10" i="81"/>
  <c r="F10" i="81" s="1"/>
  <c r="E11" i="81"/>
  <c r="F11" i="81" s="1"/>
  <c r="J98" i="63"/>
  <c r="E83" i="62"/>
  <c r="K20" i="68" s="1"/>
  <c r="E87" i="62"/>
  <c r="K24" i="68" s="1"/>
  <c r="D49" i="70"/>
  <c r="C24" i="78"/>
  <c r="E84" i="62"/>
  <c r="K21" i="68" s="1"/>
  <c r="J105" i="63"/>
  <c r="J60" i="63"/>
  <c r="J82" i="63"/>
  <c r="E81" i="62"/>
  <c r="K18" i="68" s="1"/>
  <c r="D49" i="58"/>
  <c r="H65" i="21"/>
  <c r="H69" i="21"/>
  <c r="H67" i="21"/>
  <c r="H66" i="21"/>
  <c r="Q29" i="86"/>
  <c r="Q30" i="86"/>
  <c r="Q31" i="86" s="1"/>
  <c r="J25" i="83"/>
  <c r="J28" i="83"/>
  <c r="J23" i="83"/>
  <c r="J26" i="83"/>
  <c r="J4" i="83"/>
  <c r="J6" i="83"/>
  <c r="J5" i="83"/>
  <c r="J7" i="83"/>
  <c r="H61" i="72"/>
  <c r="H4" i="72"/>
  <c r="H9" i="72"/>
  <c r="H6" i="72"/>
  <c r="H5" i="72"/>
  <c r="H7" i="72"/>
  <c r="J14" i="75"/>
  <c r="G40" i="77" s="1"/>
  <c r="J55" i="75"/>
  <c r="J53" i="75" s="1"/>
  <c r="G11" i="77" s="1"/>
  <c r="J7" i="75"/>
  <c r="J5" i="75" s="1"/>
  <c r="G8" i="77" s="1"/>
  <c r="F55" i="82"/>
  <c r="D63" i="84"/>
  <c r="G55" i="82"/>
  <c r="D64" i="84"/>
  <c r="H29" i="72"/>
  <c r="H32" i="72"/>
  <c r="H28" i="72"/>
  <c r="H27" i="72"/>
  <c r="H30" i="72"/>
  <c r="E70" i="83"/>
  <c r="D68" i="84"/>
  <c r="J30" i="76"/>
  <c r="J48" i="76"/>
  <c r="J105" i="76"/>
  <c r="J59" i="76"/>
  <c r="J57" i="76" s="1"/>
  <c r="G12" i="78" s="1"/>
  <c r="J20" i="76"/>
  <c r="J18" i="76" s="1"/>
  <c r="G41" i="78" s="1"/>
  <c r="J31" i="76"/>
  <c r="K23" i="76" s="1"/>
  <c r="H43" i="78" s="1"/>
  <c r="E32" i="81"/>
  <c r="F32" i="81" s="1"/>
  <c r="J39" i="76"/>
  <c r="J90" i="76"/>
  <c r="J40" i="76"/>
  <c r="K32" i="76" s="1"/>
  <c r="H44" i="78" s="1"/>
  <c r="B115" i="75"/>
  <c r="J138" i="76"/>
  <c r="K134" i="76" s="1"/>
  <c r="H19" i="78" s="1"/>
  <c r="J164" i="76"/>
  <c r="H8" i="71"/>
  <c r="J31" i="85"/>
  <c r="J29" i="85"/>
  <c r="J58" i="85"/>
  <c r="K55" i="85" s="1"/>
  <c r="K29" i="86" s="1"/>
  <c r="J62" i="85"/>
  <c r="J90" i="85"/>
  <c r="K86" i="85" s="1"/>
  <c r="K14" i="86" s="1"/>
  <c r="J105" i="85"/>
  <c r="K101" i="85" s="1"/>
  <c r="K17" i="86" s="1"/>
  <c r="J112" i="85"/>
  <c r="J110" i="85"/>
  <c r="J111" i="85"/>
  <c r="J72" i="85"/>
  <c r="K66" i="85" s="1"/>
  <c r="K31" i="86" s="1"/>
  <c r="J17" i="85"/>
  <c r="K14" i="85" s="1"/>
  <c r="K37" i="86" s="1"/>
  <c r="J114" i="85"/>
  <c r="K107" i="85" s="1"/>
  <c r="K19" i="86" s="1"/>
  <c r="J101" i="85"/>
  <c r="J9" i="85"/>
  <c r="J95" i="85"/>
  <c r="K91" i="85" s="1"/>
  <c r="K15" i="86" s="1"/>
  <c r="J91" i="85"/>
  <c r="J24" i="85"/>
  <c r="K18" i="85" s="1"/>
  <c r="K38" i="86" s="1"/>
  <c r="J37" i="85"/>
  <c r="J28" i="75"/>
  <c r="J46" i="75"/>
  <c r="J40" i="75"/>
  <c r="K32" i="75" s="1"/>
  <c r="H44" i="77" s="1"/>
  <c r="J17" i="75"/>
  <c r="K14" i="75" s="1"/>
  <c r="H40" i="77" s="1"/>
  <c r="J123" i="75"/>
  <c r="K120" i="75" s="1"/>
  <c r="H38" i="77" s="1"/>
  <c r="J156" i="75"/>
  <c r="K149" i="75" s="1"/>
  <c r="H23" i="77" s="1"/>
  <c r="J104" i="75"/>
  <c r="J90" i="75"/>
  <c r="J60" i="75"/>
  <c r="K57" i="75" s="1"/>
  <c r="H12" i="77" s="1"/>
  <c r="J159" i="75"/>
  <c r="J100" i="75"/>
  <c r="K97" i="75" s="1"/>
  <c r="H33" i="77" s="1"/>
  <c r="J161" i="75"/>
  <c r="J153" i="75"/>
  <c r="J151" i="75"/>
  <c r="J145" i="75"/>
  <c r="J140" i="75"/>
  <c r="J137" i="75"/>
  <c r="K133" i="75" s="1"/>
  <c r="H19" i="77" s="1"/>
  <c r="J56" i="75"/>
  <c r="K53" i="75" s="1"/>
  <c r="H11" i="77" s="1"/>
  <c r="J116" i="75"/>
  <c r="G37" i="77" s="1"/>
  <c r="J123" i="76"/>
  <c r="K120" i="76" s="1"/>
  <c r="J21" i="76"/>
  <c r="K18" i="76" s="1"/>
  <c r="H41" i="78" s="1"/>
  <c r="J116" i="76"/>
  <c r="G37" i="78" s="1"/>
  <c r="J110" i="76"/>
  <c r="J103" i="76"/>
  <c r="J91" i="76"/>
  <c r="J160" i="76"/>
  <c r="J156" i="76"/>
  <c r="J55" i="76"/>
  <c r="J53" i="76" s="1"/>
  <c r="G11" i="78" s="1"/>
  <c r="J114" i="76"/>
  <c r="K108" i="76" s="1"/>
  <c r="H35" i="78" s="1"/>
  <c r="J26" i="76"/>
  <c r="J64" i="76"/>
  <c r="J62" i="76" s="1"/>
  <c r="G14" i="78" s="1"/>
  <c r="J165" i="76"/>
  <c r="K158" i="76" s="1"/>
  <c r="J154" i="76"/>
  <c r="J152" i="76"/>
  <c r="J49" i="76"/>
  <c r="K41" i="76" s="1"/>
  <c r="J65" i="76"/>
  <c r="K62" i="76" s="1"/>
  <c r="H14" i="78" s="1"/>
  <c r="J60" i="76"/>
  <c r="K57" i="76" s="1"/>
  <c r="H12" i="78" s="1"/>
  <c r="J56" i="76"/>
  <c r="K53" i="76" s="1"/>
  <c r="H11" i="78" s="1"/>
  <c r="J94" i="76"/>
  <c r="K88" i="76" s="1"/>
  <c r="H30" i="78" s="1"/>
  <c r="J157" i="76"/>
  <c r="K150" i="76" s="1"/>
  <c r="H23" i="78" s="1"/>
  <c r="J129" i="76"/>
  <c r="G18" i="78" s="1"/>
  <c r="J5" i="76"/>
  <c r="G8" i="78" s="1"/>
  <c r="J27" i="63"/>
  <c r="K23" i="63" s="1"/>
  <c r="I43" i="68" s="1"/>
  <c r="J11" i="63"/>
  <c r="J9" i="63" s="1"/>
  <c r="H9" i="68" s="1"/>
  <c r="J47" i="63"/>
  <c r="J45" i="63" s="1"/>
  <c r="H11" i="68" s="1"/>
  <c r="J111" i="63"/>
  <c r="K108" i="63" s="1"/>
  <c r="I37" i="68" s="1"/>
  <c r="J103" i="63"/>
  <c r="J99" i="63"/>
  <c r="K93" i="63" s="1"/>
  <c r="I34" i="68" s="1"/>
  <c r="J136" i="63"/>
  <c r="H21" i="68" s="1"/>
  <c r="J7" i="63"/>
  <c r="J5" i="63" s="1"/>
  <c r="J86" i="63"/>
  <c r="K80" i="63" s="1"/>
  <c r="I30" i="68" s="1"/>
  <c r="J106" i="63"/>
  <c r="K100" i="63" s="1"/>
  <c r="I35" i="68" s="1"/>
  <c r="J149" i="63"/>
  <c r="K142" i="63" s="1"/>
  <c r="I23" i="68" s="1"/>
  <c r="J83" i="63"/>
  <c r="J135" i="63"/>
  <c r="K131" i="63" s="1"/>
  <c r="I20" i="68" s="1"/>
  <c r="J157" i="63"/>
  <c r="K150" i="63" s="1"/>
  <c r="I24" i="68" s="1"/>
  <c r="J154" i="63"/>
  <c r="J152" i="63"/>
  <c r="J125" i="63"/>
  <c r="K121" i="63" s="1"/>
  <c r="I18" i="68" s="1"/>
  <c r="J52" i="63"/>
  <c r="K49" i="63" s="1"/>
  <c r="I12" i="68" s="1"/>
  <c r="J123" i="63"/>
  <c r="K58" i="63"/>
  <c r="I15" i="68" s="1"/>
  <c r="J48" i="63"/>
  <c r="K45" i="63" s="1"/>
  <c r="I11" i="68" s="1"/>
  <c r="J14" i="63"/>
  <c r="H40" i="68" s="1"/>
  <c r="J44" i="85"/>
  <c r="K41" i="85" s="1"/>
  <c r="K11" i="86" s="1"/>
  <c r="J9" i="76"/>
  <c r="G9" i="78" s="1"/>
  <c r="J144" i="76"/>
  <c r="G21" i="78" s="1"/>
  <c r="J14" i="76"/>
  <c r="G40" i="78" s="1"/>
  <c r="J5" i="85"/>
  <c r="J126" i="63"/>
  <c r="H19" i="68" s="1"/>
  <c r="J37" i="63"/>
  <c r="H45" i="68" s="1"/>
  <c r="I14" i="22"/>
  <c r="I12" i="22"/>
  <c r="J97" i="75"/>
  <c r="G33" i="77" s="1"/>
  <c r="J139" i="76"/>
  <c r="G20" i="78" s="1"/>
  <c r="J40" i="85"/>
  <c r="K37" i="85" s="1"/>
  <c r="K10" i="86" s="1"/>
  <c r="J82" i="85"/>
  <c r="K79" i="85" s="1"/>
  <c r="K35" i="86" s="1"/>
  <c r="I604" i="22"/>
  <c r="I602" i="22"/>
  <c r="J128" i="75"/>
  <c r="G18" i="77" s="1"/>
  <c r="J96" i="85"/>
  <c r="I820" i="22"/>
  <c r="G11" i="64" l="1"/>
  <c r="I11" i="64" s="1"/>
  <c r="J11" i="64" s="1"/>
  <c r="K11" i="64" s="1"/>
  <c r="H32" i="64"/>
  <c r="I32" i="64" s="1"/>
  <c r="J32" i="64" s="1"/>
  <c r="F8" i="77"/>
  <c r="D26" i="74"/>
  <c r="K11" i="68"/>
  <c r="E63" i="62"/>
  <c r="G27" i="58"/>
  <c r="H5" i="58"/>
  <c r="I282" i="22"/>
  <c r="E62" i="73"/>
  <c r="F11" i="77"/>
  <c r="D62" i="74"/>
  <c r="J86" i="85"/>
  <c r="M86" i="85" s="1"/>
  <c r="H8" i="68"/>
  <c r="I775" i="22"/>
  <c r="H32" i="79"/>
  <c r="I32" i="79" s="1"/>
  <c r="J32" i="79" s="1"/>
  <c r="K32" i="79" s="1"/>
  <c r="I819" i="22"/>
  <c r="I566" i="22"/>
  <c r="I182" i="22"/>
  <c r="F11" i="78"/>
  <c r="J18" i="85"/>
  <c r="J142" i="63"/>
  <c r="H23" i="68" s="1"/>
  <c r="I21" i="22"/>
  <c r="I20" i="22" s="1"/>
  <c r="F46" i="78"/>
  <c r="G10" i="79"/>
  <c r="I10" i="79" s="1"/>
  <c r="J10" i="79" s="1"/>
  <c r="Q41" i="68"/>
  <c r="R41" i="68" s="1"/>
  <c r="P41" i="68" s="1"/>
  <c r="Q40" i="68"/>
  <c r="R40" i="68" s="1"/>
  <c r="P40" i="68" s="1"/>
  <c r="Q23" i="68"/>
  <c r="Q38" i="68"/>
  <c r="Q29" i="68"/>
  <c r="R29" i="68" s="1"/>
  <c r="P29" i="68" s="1"/>
  <c r="Q12" i="68"/>
  <c r="Q9" i="68"/>
  <c r="Q43" i="68"/>
  <c r="R43" i="68" s="1"/>
  <c r="P43" i="68" s="1"/>
  <c r="Q19" i="68"/>
  <c r="R19" i="68" s="1"/>
  <c r="P19" i="68" s="1"/>
  <c r="Q24" i="68"/>
  <c r="R24" i="68" s="1"/>
  <c r="P24" i="68" s="1"/>
  <c r="Q33" i="68"/>
  <c r="Q30" i="68"/>
  <c r="R30" i="68" s="1"/>
  <c r="P30" i="68" s="1"/>
  <c r="Q14" i="68"/>
  <c r="R14" i="68" s="1"/>
  <c r="P14" i="68" s="1"/>
  <c r="Q8" i="68"/>
  <c r="Q44" i="68"/>
  <c r="R44" i="68" s="1"/>
  <c r="P44" i="68" s="1"/>
  <c r="Q20" i="68"/>
  <c r="Q18" i="68"/>
  <c r="Q34" i="68"/>
  <c r="Q28" i="68"/>
  <c r="R28" i="68" s="1"/>
  <c r="P28" i="68" s="1"/>
  <c r="Q15" i="68"/>
  <c r="R15" i="68" s="1"/>
  <c r="P15" i="68" s="1"/>
  <c r="Q45" i="68"/>
  <c r="Q21" i="68"/>
  <c r="Q37" i="68"/>
  <c r="Q35" i="68"/>
  <c r="Q27" i="68"/>
  <c r="R27" i="68" s="1"/>
  <c r="P27" i="68" s="1"/>
  <c r="Q11" i="68"/>
  <c r="I16" i="26"/>
  <c r="G8" i="69"/>
  <c r="I15" i="26"/>
  <c r="G6" i="70"/>
  <c r="H6" i="70" s="1"/>
  <c r="D9" i="77" s="1"/>
  <c r="G18" i="69"/>
  <c r="H18" i="69" s="1"/>
  <c r="D12" i="78" s="1"/>
  <c r="G35" i="58"/>
  <c r="G21" i="58"/>
  <c r="G6" i="58"/>
  <c r="H6" i="58" s="1"/>
  <c r="G9" i="68" s="1"/>
  <c r="G35" i="69"/>
  <c r="H35" i="69" s="1"/>
  <c r="D38" i="78" s="1"/>
  <c r="G18" i="58"/>
  <c r="G21" i="69"/>
  <c r="H21" i="69" s="1"/>
  <c r="D15" i="78" s="1"/>
  <c r="G6" i="69"/>
  <c r="H6" i="69" s="1"/>
  <c r="D9" i="78" s="1"/>
  <c r="G11" i="69"/>
  <c r="H11" i="69" s="1"/>
  <c r="D43" i="78" s="1"/>
  <c r="G13" i="70"/>
  <c r="H13" i="70" s="1"/>
  <c r="D45" i="77" s="1"/>
  <c r="G11" i="58"/>
  <c r="G13" i="58"/>
  <c r="G5" i="70"/>
  <c r="H5" i="70" s="1"/>
  <c r="D8" i="77" s="1"/>
  <c r="G32" i="58"/>
  <c r="H28" i="82"/>
  <c r="I28" i="82" s="1"/>
  <c r="G29" i="86" s="1"/>
  <c r="G11" i="70"/>
  <c r="H11" i="70" s="1"/>
  <c r="D43" i="77" s="1"/>
  <c r="G5" i="69"/>
  <c r="H5" i="69" s="1"/>
  <c r="D8" i="78" s="1"/>
  <c r="G8" i="70"/>
  <c r="H25" i="82"/>
  <c r="I25" i="82" s="1"/>
  <c r="G26" i="86" s="1"/>
  <c r="G27" i="70"/>
  <c r="H27" i="70" s="1"/>
  <c r="D30" i="77" s="1"/>
  <c r="G26" i="69"/>
  <c r="G25" i="69"/>
  <c r="G25" i="58"/>
  <c r="G24" i="69"/>
  <c r="G24" i="58"/>
  <c r="H24" i="58" s="1"/>
  <c r="G26" i="58"/>
  <c r="D86" i="74"/>
  <c r="F18" i="77"/>
  <c r="H24" i="77"/>
  <c r="H46" i="77" s="1"/>
  <c r="J134" i="76"/>
  <c r="G19" i="78" s="1"/>
  <c r="H24" i="78"/>
  <c r="H38" i="78"/>
  <c r="H45" i="78"/>
  <c r="G38" i="78"/>
  <c r="J70" i="63"/>
  <c r="H28" i="68" s="1"/>
  <c r="I8" i="68"/>
  <c r="J80" i="63"/>
  <c r="H30" i="68" s="1"/>
  <c r="J32" i="75"/>
  <c r="G44" i="77" s="1"/>
  <c r="J133" i="75"/>
  <c r="G19" i="77" s="1"/>
  <c r="J131" i="63"/>
  <c r="H20" i="68" s="1"/>
  <c r="I634" i="22"/>
  <c r="I523" i="22"/>
  <c r="H9" i="70"/>
  <c r="D41" i="77" s="1"/>
  <c r="H8" i="70"/>
  <c r="D40" i="77" s="1"/>
  <c r="H8" i="69"/>
  <c r="D40" i="78" s="1"/>
  <c r="B32" i="83"/>
  <c r="J12" i="63"/>
  <c r="K9" i="63" s="1"/>
  <c r="I9" i="68" s="1"/>
  <c r="B34" i="84"/>
  <c r="B36" i="85"/>
  <c r="G20" i="68"/>
  <c r="B9" i="86"/>
  <c r="G32" i="69"/>
  <c r="H30" i="82"/>
  <c r="I30" i="82" s="1"/>
  <c r="G31" i="86" s="1"/>
  <c r="H29" i="82"/>
  <c r="I29" i="82" s="1"/>
  <c r="G30" i="86" s="1"/>
  <c r="G31" i="69"/>
  <c r="G13" i="69"/>
  <c r="H8" i="82"/>
  <c r="I8" i="82" s="1"/>
  <c r="G38" i="86" s="1"/>
  <c r="H4" i="82"/>
  <c r="I4" i="82" s="1"/>
  <c r="G7" i="86" s="1"/>
  <c r="G27" i="69"/>
  <c r="G8" i="58"/>
  <c r="H8" i="58" s="1"/>
  <c r="G9" i="69"/>
  <c r="G21" i="70"/>
  <c r="G17" i="70"/>
  <c r="G9" i="58"/>
  <c r="H9" i="58" s="1"/>
  <c r="H7" i="82"/>
  <c r="I7" i="82" s="1"/>
  <c r="G37" i="86" s="1"/>
  <c r="G48" i="70"/>
  <c r="G12" i="58"/>
  <c r="H12" i="58" s="1"/>
  <c r="G41" i="69"/>
  <c r="H5" i="82"/>
  <c r="I5" i="82" s="1"/>
  <c r="G8" i="86" s="1"/>
  <c r="G45" i="58"/>
  <c r="H45" i="58" s="1"/>
  <c r="G43" i="70"/>
  <c r="G32" i="70"/>
  <c r="G31" i="58"/>
  <c r="H31" i="58" s="1"/>
  <c r="G31" i="70"/>
  <c r="H10" i="82"/>
  <c r="I10" i="82" s="1"/>
  <c r="G40" i="86" s="1"/>
  <c r="G35" i="70"/>
  <c r="G41" i="58"/>
  <c r="H41" i="58" s="1"/>
  <c r="G44" i="69"/>
  <c r="G39" i="69"/>
  <c r="H19" i="82"/>
  <c r="I19" i="82" s="1"/>
  <c r="G11" i="86" s="1"/>
  <c r="G34" i="70"/>
  <c r="H45" i="82"/>
  <c r="I45" i="82" s="1"/>
  <c r="G16" i="86" s="1"/>
  <c r="G43" i="58"/>
  <c r="H43" i="58" s="1"/>
  <c r="G17" i="58"/>
  <c r="H17" i="58" s="1"/>
  <c r="H49" i="82"/>
  <c r="I49" i="82" s="1"/>
  <c r="G20" i="86" s="1"/>
  <c r="G20" i="69"/>
  <c r="H48" i="82"/>
  <c r="I48" i="82" s="1"/>
  <c r="G19" i="86" s="1"/>
  <c r="G45" i="69"/>
  <c r="G45" i="70"/>
  <c r="G40" i="69"/>
  <c r="G30" i="70"/>
  <c r="G46" i="70"/>
  <c r="G46" i="58"/>
  <c r="H46" i="58" s="1"/>
  <c r="H44" i="82"/>
  <c r="I44" i="82" s="1"/>
  <c r="G15" i="86" s="1"/>
  <c r="H43" i="82"/>
  <c r="I43" i="82" s="1"/>
  <c r="G14" i="86" s="1"/>
  <c r="J28" i="63"/>
  <c r="H44" i="68" s="1"/>
  <c r="E78" i="72"/>
  <c r="J108" i="75"/>
  <c r="G35" i="77" s="1"/>
  <c r="F21" i="52"/>
  <c r="D31" i="52"/>
  <c r="E21" i="52"/>
  <c r="F34" i="52"/>
  <c r="E34" i="52"/>
  <c r="G18" i="70"/>
  <c r="H18" i="70" s="1"/>
  <c r="D12" i="77" s="1"/>
  <c r="H46" i="82"/>
  <c r="I46" i="82" s="1"/>
  <c r="G17" i="86" s="1"/>
  <c r="G49" i="70"/>
  <c r="G17" i="69"/>
  <c r="H33" i="82"/>
  <c r="I33" i="82" s="1"/>
  <c r="G34" i="86" s="1"/>
  <c r="G20" i="58"/>
  <c r="H20" i="58" s="1"/>
  <c r="G30" i="58"/>
  <c r="H30" i="58" s="1"/>
  <c r="G40" i="58"/>
  <c r="H40" i="58" s="1"/>
  <c r="G20" i="70"/>
  <c r="H18" i="82"/>
  <c r="I18" i="82" s="1"/>
  <c r="G12" i="70"/>
  <c r="G30" i="69"/>
  <c r="G12" i="69"/>
  <c r="H34" i="82"/>
  <c r="I34" i="82" s="1"/>
  <c r="G35" i="86" s="1"/>
  <c r="G42" i="69"/>
  <c r="G34" i="58"/>
  <c r="H34" i="58" s="1"/>
  <c r="G44" i="70"/>
  <c r="G34" i="69"/>
  <c r="F30" i="52"/>
  <c r="E30" i="52"/>
  <c r="H62" i="72"/>
  <c r="J66" i="85"/>
  <c r="M66" i="85" s="1"/>
  <c r="D28" i="52"/>
  <c r="D27" i="52"/>
  <c r="E20" i="52"/>
  <c r="F20" i="52"/>
  <c r="R23" i="86"/>
  <c r="C86" i="74"/>
  <c r="J41" i="76"/>
  <c r="E22" i="84"/>
  <c r="H65" i="72"/>
  <c r="J117" i="85"/>
  <c r="J115" i="85" s="1"/>
  <c r="I32" i="87"/>
  <c r="J32" i="87" s="1"/>
  <c r="K32" i="87" s="1"/>
  <c r="E16" i="26"/>
  <c r="J43" i="26"/>
  <c r="K43" i="26" s="1"/>
  <c r="E15" i="26"/>
  <c r="J15" i="26" s="1"/>
  <c r="J42" i="26"/>
  <c r="K42" i="26" s="1"/>
  <c r="H22" i="87"/>
  <c r="G22" i="87"/>
  <c r="Q25" i="86"/>
  <c r="R25" i="86" s="1"/>
  <c r="R24" i="86"/>
  <c r="F23" i="87"/>
  <c r="D24" i="87"/>
  <c r="F24" i="87" s="1"/>
  <c r="J44" i="26"/>
  <c r="K44" i="26" s="1"/>
  <c r="I18" i="79"/>
  <c r="J18" i="79" s="1"/>
  <c r="J59" i="85"/>
  <c r="M59" i="85" s="1"/>
  <c r="J46" i="85"/>
  <c r="M46" i="85" s="1"/>
  <c r="J23" i="76"/>
  <c r="G43" i="78" s="1"/>
  <c r="J32" i="76"/>
  <c r="G44" i="78" s="1"/>
  <c r="J37" i="86"/>
  <c r="M14" i="85"/>
  <c r="J35" i="86"/>
  <c r="M79" i="85"/>
  <c r="J29" i="86"/>
  <c r="M55" i="85"/>
  <c r="J17" i="86"/>
  <c r="M101" i="85"/>
  <c r="J10" i="86"/>
  <c r="M37" i="85"/>
  <c r="J29" i="83"/>
  <c r="J34" i="86"/>
  <c r="M75" i="85"/>
  <c r="J15" i="86"/>
  <c r="M91" i="85"/>
  <c r="J8" i="86"/>
  <c r="M9" i="85"/>
  <c r="J11" i="86"/>
  <c r="M41" i="85"/>
  <c r="J16" i="86"/>
  <c r="M96" i="85"/>
  <c r="J38" i="86"/>
  <c r="M18" i="85"/>
  <c r="J7" i="86"/>
  <c r="M5" i="85"/>
  <c r="J10" i="83"/>
  <c r="C26" i="74"/>
  <c r="H63" i="71"/>
  <c r="H65" i="71"/>
  <c r="H67" i="71"/>
  <c r="J58" i="63"/>
  <c r="H15" i="68" s="1"/>
  <c r="E38" i="84"/>
  <c r="F38" i="84" s="1"/>
  <c r="I26" i="86" s="1"/>
  <c r="E36" i="84"/>
  <c r="F36" i="84" s="1"/>
  <c r="I11" i="86" s="1"/>
  <c r="E46" i="84"/>
  <c r="F46" i="84" s="1"/>
  <c r="I34" i="86" s="1"/>
  <c r="E42" i="84"/>
  <c r="F42" i="84" s="1"/>
  <c r="I30" i="86" s="1"/>
  <c r="E35" i="84"/>
  <c r="F35" i="84" s="1"/>
  <c r="I10" i="86" s="1"/>
  <c r="E41" i="84"/>
  <c r="F41" i="84" s="1"/>
  <c r="I29" i="86" s="1"/>
  <c r="E43" i="84"/>
  <c r="F43" i="84" s="1"/>
  <c r="I31" i="86" s="1"/>
  <c r="F64" i="83"/>
  <c r="F65" i="83"/>
  <c r="F63" i="83"/>
  <c r="F66" i="83"/>
  <c r="F68" i="83"/>
  <c r="H68" i="21"/>
  <c r="H70" i="21"/>
  <c r="E25" i="71"/>
  <c r="H10" i="71"/>
  <c r="H11" i="71" s="1"/>
  <c r="C62" i="74"/>
  <c r="H33" i="72"/>
  <c r="H64" i="72"/>
  <c r="H10" i="72"/>
  <c r="J93" i="63"/>
  <c r="H34" i="68" s="1"/>
  <c r="F22" i="84"/>
  <c r="F50" i="83"/>
  <c r="D88" i="73"/>
  <c r="E88" i="73" s="1"/>
  <c r="K32" i="64"/>
  <c r="J100" i="63"/>
  <c r="H35" i="68" s="1"/>
  <c r="H11" i="81"/>
  <c r="G11" i="81"/>
  <c r="H10" i="81"/>
  <c r="G10" i="81"/>
  <c r="E83" i="21"/>
  <c r="F26" i="62"/>
  <c r="D26" i="62"/>
  <c r="H6" i="21"/>
  <c r="H5" i="21"/>
  <c r="H7" i="21"/>
  <c r="H9" i="21"/>
  <c r="F21" i="83"/>
  <c r="J8" i="83"/>
  <c r="H8" i="72"/>
  <c r="H11" i="72" s="1"/>
  <c r="H31" i="72"/>
  <c r="D69" i="84"/>
  <c r="E64" i="84" s="1"/>
  <c r="F64" i="84" s="1"/>
  <c r="I16" i="86" s="1"/>
  <c r="H32" i="81"/>
  <c r="G32" i="81"/>
  <c r="H66" i="71"/>
  <c r="J26" i="85"/>
  <c r="J107" i="85"/>
  <c r="J43" i="75"/>
  <c r="J25" i="75"/>
  <c r="J101" i="75"/>
  <c r="G34" i="77" s="1"/>
  <c r="J149" i="75"/>
  <c r="G23" i="77" s="1"/>
  <c r="J157" i="75"/>
  <c r="J91" i="75"/>
  <c r="J143" i="75"/>
  <c r="G21" i="77" s="1"/>
  <c r="J138" i="75"/>
  <c r="G20" i="77" s="1"/>
  <c r="J88" i="76"/>
  <c r="G30" i="78" s="1"/>
  <c r="J111" i="76"/>
  <c r="J104" i="76"/>
  <c r="J150" i="76"/>
  <c r="G23" i="78" s="1"/>
  <c r="J158" i="76"/>
  <c r="J121" i="63"/>
  <c r="H18" i="68" s="1"/>
  <c r="J150" i="63"/>
  <c r="H24" i="68" s="1"/>
  <c r="E13" i="64"/>
  <c r="F13" i="64" s="1"/>
  <c r="H13" i="64" s="1"/>
  <c r="K41" i="86"/>
  <c r="J11" i="79"/>
  <c r="K11" i="79" s="1"/>
  <c r="H67" i="72" l="1"/>
  <c r="H34" i="72"/>
  <c r="H71" i="21"/>
  <c r="R9" i="68"/>
  <c r="P9" i="68" s="1"/>
  <c r="G8" i="68"/>
  <c r="J31" i="86"/>
  <c r="H63" i="58"/>
  <c r="D87" i="74"/>
  <c r="H25" i="58"/>
  <c r="G28" i="68" s="1"/>
  <c r="L28" i="68" s="1"/>
  <c r="M28" i="68" s="1"/>
  <c r="N28" i="68" s="1"/>
  <c r="H11" i="58"/>
  <c r="G43" i="68" s="1"/>
  <c r="H21" i="58"/>
  <c r="G15" i="68" s="1"/>
  <c r="H27" i="58"/>
  <c r="G30" i="68" s="1"/>
  <c r="H13" i="58"/>
  <c r="G45" i="68" s="1"/>
  <c r="H26" i="58"/>
  <c r="G29" i="68" s="1"/>
  <c r="L29" i="68" s="1"/>
  <c r="H32" i="58"/>
  <c r="G35" i="68" s="1"/>
  <c r="H18" i="58"/>
  <c r="H35" i="58"/>
  <c r="G38" i="68" s="1"/>
  <c r="J14" i="86"/>
  <c r="K10" i="79"/>
  <c r="H46" i="78"/>
  <c r="R37" i="68"/>
  <c r="P37" i="68" s="1"/>
  <c r="R11" i="68"/>
  <c r="P11" i="68" s="1"/>
  <c r="R21" i="68"/>
  <c r="P21" i="68" s="1"/>
  <c r="R34" i="68"/>
  <c r="P34" i="68" s="1"/>
  <c r="R12" i="68"/>
  <c r="P12" i="68" s="1"/>
  <c r="R35" i="68"/>
  <c r="P35" i="68" s="1"/>
  <c r="R20" i="68"/>
  <c r="P20" i="68" s="1"/>
  <c r="R38" i="68"/>
  <c r="P38" i="68" s="1"/>
  <c r="R33" i="68"/>
  <c r="P33" i="68" s="1"/>
  <c r="R23" i="68"/>
  <c r="P23" i="68" s="1"/>
  <c r="R8" i="68"/>
  <c r="P8" i="68" s="1"/>
  <c r="Q46" i="68"/>
  <c r="R45" i="68"/>
  <c r="P45" i="68" s="1"/>
  <c r="R18" i="68"/>
  <c r="P18" i="68" s="1"/>
  <c r="J16" i="26"/>
  <c r="K16" i="26" s="1"/>
  <c r="J158" i="63"/>
  <c r="G25" i="70"/>
  <c r="H25" i="70" s="1"/>
  <c r="D28" i="77" s="1"/>
  <c r="I28" i="77" s="1"/>
  <c r="J28" i="77" s="1"/>
  <c r="K28" i="77" s="1"/>
  <c r="L28" i="77" s="1"/>
  <c r="N28" i="77" s="1"/>
  <c r="H25" i="69"/>
  <c r="D28" i="78" s="1"/>
  <c r="I28" i="78" s="1"/>
  <c r="G24" i="70"/>
  <c r="H24" i="70" s="1"/>
  <c r="D27" i="77" s="1"/>
  <c r="I27" i="77" s="1"/>
  <c r="J27" i="77" s="1"/>
  <c r="K27" i="77" s="1"/>
  <c r="L27" i="77" s="1"/>
  <c r="N27" i="77" s="1"/>
  <c r="H24" i="69"/>
  <c r="D27" i="78" s="1"/>
  <c r="G27" i="68"/>
  <c r="L27" i="68" s="1"/>
  <c r="G26" i="70"/>
  <c r="H26" i="69"/>
  <c r="G24" i="77"/>
  <c r="G24" i="78"/>
  <c r="G45" i="78"/>
  <c r="K158" i="63"/>
  <c r="F54" i="72"/>
  <c r="F24" i="71"/>
  <c r="E45" i="78" s="1"/>
  <c r="H44" i="70"/>
  <c r="D19" i="77" s="1"/>
  <c r="H49" i="70"/>
  <c r="D24" i="77" s="1"/>
  <c r="H46" i="70"/>
  <c r="D21" i="77" s="1"/>
  <c r="H43" i="70"/>
  <c r="H45" i="70"/>
  <c r="D20" i="77" s="1"/>
  <c r="H48" i="70"/>
  <c r="D23" i="77" s="1"/>
  <c r="H35" i="70"/>
  <c r="D38" i="77" s="1"/>
  <c r="H21" i="70"/>
  <c r="D15" i="77" s="1"/>
  <c r="H30" i="70"/>
  <c r="D33" i="77" s="1"/>
  <c r="H32" i="70"/>
  <c r="D35" i="77" s="1"/>
  <c r="H20" i="70"/>
  <c r="D14" i="77" s="1"/>
  <c r="H34" i="70"/>
  <c r="D37" i="77" s="1"/>
  <c r="H31" i="70"/>
  <c r="D34" i="77" s="1"/>
  <c r="H17" i="70"/>
  <c r="D11" i="77" s="1"/>
  <c r="H12" i="70"/>
  <c r="D44" i="77" s="1"/>
  <c r="H17" i="69"/>
  <c r="D11" i="78" s="1"/>
  <c r="H20" i="69"/>
  <c r="D14" i="78" s="1"/>
  <c r="H34" i="69"/>
  <c r="D37" i="78" s="1"/>
  <c r="H27" i="69"/>
  <c r="D30" i="78" s="1"/>
  <c r="H30" i="69"/>
  <c r="D33" i="78" s="1"/>
  <c r="H31" i="69"/>
  <c r="D34" i="78" s="1"/>
  <c r="H32" i="69"/>
  <c r="D35" i="78" s="1"/>
  <c r="H42" i="69"/>
  <c r="D21" i="78" s="1"/>
  <c r="H45" i="69"/>
  <c r="D24" i="78" s="1"/>
  <c r="H40" i="69"/>
  <c r="D19" i="78" s="1"/>
  <c r="H44" i="69"/>
  <c r="D23" i="78" s="1"/>
  <c r="H39" i="69"/>
  <c r="D18" i="78" s="1"/>
  <c r="H41" i="69"/>
  <c r="D20" i="78" s="1"/>
  <c r="H12" i="69"/>
  <c r="D44" i="78" s="1"/>
  <c r="H13" i="69"/>
  <c r="D45" i="78" s="1"/>
  <c r="H9" i="69"/>
  <c r="D41" i="78" s="1"/>
  <c r="G33" i="68"/>
  <c r="G11" i="68"/>
  <c r="G34" i="68"/>
  <c r="G23" i="68"/>
  <c r="G44" i="68"/>
  <c r="G41" i="68"/>
  <c r="G37" i="68"/>
  <c r="G14" i="68"/>
  <c r="G21" i="68"/>
  <c r="G24" i="68"/>
  <c r="G19" i="68"/>
  <c r="I11" i="82"/>
  <c r="H68" i="71"/>
  <c r="J26" i="86"/>
  <c r="J27" i="83"/>
  <c r="I50" i="82"/>
  <c r="E31" i="52"/>
  <c r="F31" i="52"/>
  <c r="G10" i="86"/>
  <c r="G41" i="86" s="1"/>
  <c r="I35" i="82"/>
  <c r="E28" i="52"/>
  <c r="F28" i="52"/>
  <c r="K15" i="26"/>
  <c r="F27" i="52"/>
  <c r="E27" i="52"/>
  <c r="I22" i="87"/>
  <c r="J22" i="87" s="1"/>
  <c r="H23" i="87"/>
  <c r="G23" i="87"/>
  <c r="H24" i="87"/>
  <c r="G24" i="87"/>
  <c r="J30" i="86"/>
  <c r="H46" i="68"/>
  <c r="J19" i="86"/>
  <c r="M107" i="85"/>
  <c r="M35" i="85"/>
  <c r="I37" i="82" s="1"/>
  <c r="J20" i="86"/>
  <c r="M115" i="85"/>
  <c r="J40" i="86"/>
  <c r="M26" i="85"/>
  <c r="M3" i="85" s="1"/>
  <c r="I13" i="82" s="1"/>
  <c r="E63" i="84"/>
  <c r="F63" i="84" s="1"/>
  <c r="I15" i="86" s="1"/>
  <c r="E62" i="84"/>
  <c r="E67" i="84"/>
  <c r="F67" i="84" s="1"/>
  <c r="I19" i="86" s="1"/>
  <c r="E65" i="84"/>
  <c r="F65" i="84" s="1"/>
  <c r="I17" i="86" s="1"/>
  <c r="H10" i="21"/>
  <c r="E81" i="71"/>
  <c r="E48" i="84"/>
  <c r="K22" i="83"/>
  <c r="I38" i="82" s="1"/>
  <c r="K3" i="83"/>
  <c r="I14" i="82" s="1"/>
  <c r="F46" i="77"/>
  <c r="H33" i="71"/>
  <c r="H31" i="71"/>
  <c r="H29" i="71"/>
  <c r="H30" i="71"/>
  <c r="H28" i="71"/>
  <c r="I10" i="81"/>
  <c r="J10" i="81" s="1"/>
  <c r="K10" i="81" s="1"/>
  <c r="I11" i="81"/>
  <c r="J11" i="81" s="1"/>
  <c r="K11" i="81" s="1"/>
  <c r="H8" i="21"/>
  <c r="H32" i="21"/>
  <c r="H31" i="21"/>
  <c r="H30" i="21"/>
  <c r="H34" i="21"/>
  <c r="J52" i="83"/>
  <c r="J55" i="83"/>
  <c r="J57" i="83"/>
  <c r="J53" i="83"/>
  <c r="J54" i="83"/>
  <c r="I32" i="81"/>
  <c r="J32" i="81" s="1"/>
  <c r="K32" i="81" s="1"/>
  <c r="J45" i="75"/>
  <c r="J44" i="75"/>
  <c r="J26" i="75"/>
  <c r="J27" i="75"/>
  <c r="J88" i="75"/>
  <c r="G30" i="77" s="1"/>
  <c r="J101" i="76"/>
  <c r="G34" i="78" s="1"/>
  <c r="J108" i="76"/>
  <c r="G13" i="64"/>
  <c r="I13" i="64" s="1"/>
  <c r="J13" i="64" s="1"/>
  <c r="H36" i="58" l="1"/>
  <c r="K7" i="58" s="1"/>
  <c r="K6" i="58"/>
  <c r="H11" i="21"/>
  <c r="F16" i="21" s="1"/>
  <c r="M29" i="68"/>
  <c r="N29" i="68" s="1"/>
  <c r="G12" i="68"/>
  <c r="H69" i="71"/>
  <c r="F77" i="71" s="1"/>
  <c r="E21" i="78" s="1"/>
  <c r="I21" i="78" s="1"/>
  <c r="P46" i="68"/>
  <c r="R46" i="68"/>
  <c r="O28" i="68"/>
  <c r="U28" i="68"/>
  <c r="T28" i="68"/>
  <c r="G18" i="68"/>
  <c r="H47" i="58"/>
  <c r="H50" i="70"/>
  <c r="D18" i="77"/>
  <c r="G40" i="68"/>
  <c r="M27" i="68"/>
  <c r="N27" i="68" s="1"/>
  <c r="J28" i="78"/>
  <c r="K28" i="78" s="1"/>
  <c r="L28" i="78" s="1"/>
  <c r="N28" i="78" s="1"/>
  <c r="H26" i="70"/>
  <c r="D29" i="77" s="1"/>
  <c r="I29" i="77" s="1"/>
  <c r="J29" i="77" s="1"/>
  <c r="K29" i="77" s="1"/>
  <c r="L29" i="77" s="1"/>
  <c r="N29" i="77" s="1"/>
  <c r="D29" i="78"/>
  <c r="I29" i="78" s="1"/>
  <c r="I27" i="78"/>
  <c r="F52" i="72"/>
  <c r="E34" i="77" s="1"/>
  <c r="G35" i="78"/>
  <c r="G46" i="78" s="1"/>
  <c r="H47" i="68"/>
  <c r="F41" i="72"/>
  <c r="E14" i="77" s="1"/>
  <c r="F55" i="72"/>
  <c r="E37" i="77" s="1"/>
  <c r="F43" i="72"/>
  <c r="F38" i="72"/>
  <c r="F51" i="72"/>
  <c r="E33" i="77" s="1"/>
  <c r="I33" i="77" s="1"/>
  <c r="J33" i="77" s="1"/>
  <c r="K33" i="77" s="1"/>
  <c r="F42" i="72"/>
  <c r="E15" i="77" s="1"/>
  <c r="F56" i="72"/>
  <c r="E38" i="77" s="1"/>
  <c r="I38" i="77" s="1"/>
  <c r="J38" i="77" s="1"/>
  <c r="K38" i="77" s="1"/>
  <c r="L38" i="77" s="1"/>
  <c r="N38" i="77" s="1"/>
  <c r="F39" i="72"/>
  <c r="E12" i="77" s="1"/>
  <c r="F48" i="72"/>
  <c r="E30" i="77" s="1"/>
  <c r="F53" i="72"/>
  <c r="E35" i="77" s="1"/>
  <c r="I35" i="77" s="1"/>
  <c r="J35" i="77" s="1"/>
  <c r="K35" i="77" s="1"/>
  <c r="L35" i="77" s="1"/>
  <c r="N35" i="77" s="1"/>
  <c r="F75" i="72"/>
  <c r="F72" i="72"/>
  <c r="E19" i="77" s="1"/>
  <c r="F76" i="72"/>
  <c r="E23" i="77" s="1"/>
  <c r="F73" i="72"/>
  <c r="E20" i="77" s="1"/>
  <c r="F77" i="72"/>
  <c r="E24" i="77" s="1"/>
  <c r="F74" i="72"/>
  <c r="E21" i="77" s="1"/>
  <c r="F71" i="72"/>
  <c r="F19" i="72"/>
  <c r="E41" i="77" s="1"/>
  <c r="F15" i="72"/>
  <c r="F21" i="72"/>
  <c r="E43" i="77" s="1"/>
  <c r="F16" i="72"/>
  <c r="E9" i="77" s="1"/>
  <c r="I9" i="77" s="1"/>
  <c r="J9" i="77" s="1"/>
  <c r="K9" i="77" s="1"/>
  <c r="E15" i="79" s="1"/>
  <c r="F15" i="79" s="1"/>
  <c r="G15" i="79" s="1"/>
  <c r="F22" i="72"/>
  <c r="E44" i="77" s="1"/>
  <c r="F18" i="72"/>
  <c r="E40" i="77" s="1"/>
  <c r="F23" i="72"/>
  <c r="E45" i="77" s="1"/>
  <c r="F80" i="71"/>
  <c r="E24" i="78" s="1"/>
  <c r="I24" i="78" s="1"/>
  <c r="F16" i="71"/>
  <c r="E8" i="78" s="1"/>
  <c r="I8" i="78" s="1"/>
  <c r="F17" i="71"/>
  <c r="E9" i="78" s="1"/>
  <c r="I9" i="78" s="1"/>
  <c r="J9" i="78" s="1"/>
  <c r="K9" i="78" s="1"/>
  <c r="E8" i="81" s="1"/>
  <c r="F8" i="81" s="1"/>
  <c r="F22" i="71"/>
  <c r="E43" i="78" s="1"/>
  <c r="I43" i="78" s="1"/>
  <c r="F19" i="71"/>
  <c r="E40" i="78" s="1"/>
  <c r="F23" i="71"/>
  <c r="E44" i="78" s="1"/>
  <c r="I44" i="78" s="1"/>
  <c r="F20" i="71"/>
  <c r="E41" i="78" s="1"/>
  <c r="I41" i="78" s="1"/>
  <c r="F79" i="21"/>
  <c r="J21" i="68" s="1"/>
  <c r="L21" i="68" s="1"/>
  <c r="F82" i="21"/>
  <c r="J24" i="68" s="1"/>
  <c r="L24" i="68" s="1"/>
  <c r="F78" i="21"/>
  <c r="J20" i="68" s="1"/>
  <c r="L20" i="68" s="1"/>
  <c r="F81" i="21"/>
  <c r="J23" i="68" s="1"/>
  <c r="L23" i="68" s="1"/>
  <c r="F77" i="21"/>
  <c r="J19" i="68" s="1"/>
  <c r="L19" i="68" s="1"/>
  <c r="F76" i="21"/>
  <c r="I46" i="68"/>
  <c r="I47" i="68" s="1"/>
  <c r="I23" i="87"/>
  <c r="J23" i="87" s="1"/>
  <c r="K23" i="87" s="1"/>
  <c r="I24" i="87"/>
  <c r="J24" i="87" s="1"/>
  <c r="K24" i="87" s="1"/>
  <c r="M83" i="85"/>
  <c r="I52" i="82" s="1"/>
  <c r="K46" i="68"/>
  <c r="K47" i="68" s="1"/>
  <c r="H52" i="70"/>
  <c r="J41" i="86"/>
  <c r="H53" i="70"/>
  <c r="I39" i="82"/>
  <c r="I15" i="82"/>
  <c r="E69" i="84"/>
  <c r="F62" i="84"/>
  <c r="I14" i="86" s="1"/>
  <c r="G17" i="83"/>
  <c r="H37" i="86" s="1"/>
  <c r="G20" i="83"/>
  <c r="H40" i="86" s="1"/>
  <c r="G14" i="83"/>
  <c r="H7" i="86" s="1"/>
  <c r="L7" i="86" s="1"/>
  <c r="M7" i="86" s="1"/>
  <c r="N7" i="86" s="1"/>
  <c r="G18" i="83"/>
  <c r="H38" i="86" s="1"/>
  <c r="L38" i="86" s="1"/>
  <c r="M38" i="86" s="1"/>
  <c r="N38" i="86" s="1"/>
  <c r="G15" i="83"/>
  <c r="H8" i="86" s="1"/>
  <c r="L8" i="86" s="1"/>
  <c r="M8" i="86" s="1"/>
  <c r="N8" i="86" s="1"/>
  <c r="E8" i="87" s="1"/>
  <c r="F8" i="87" s="1"/>
  <c r="G48" i="83"/>
  <c r="H34" i="86" s="1"/>
  <c r="L34" i="86" s="1"/>
  <c r="M34" i="86" s="1"/>
  <c r="N34" i="86" s="1"/>
  <c r="O34" i="86" s="1"/>
  <c r="R34" i="86" s="1"/>
  <c r="G49" i="83"/>
  <c r="H35" i="86" s="1"/>
  <c r="L35" i="86" s="1"/>
  <c r="M35" i="86" s="1"/>
  <c r="N35" i="86" s="1"/>
  <c r="O35" i="86" s="1"/>
  <c r="R35" i="86" s="1"/>
  <c r="G45" i="83"/>
  <c r="H31" i="86" s="1"/>
  <c r="G40" i="83"/>
  <c r="H26" i="86" s="1"/>
  <c r="G43" i="83"/>
  <c r="H29" i="86" s="1"/>
  <c r="G44" i="83"/>
  <c r="H30" i="86" s="1"/>
  <c r="L30" i="86" s="1"/>
  <c r="M30" i="86" s="1"/>
  <c r="N30" i="86" s="1"/>
  <c r="J58" i="83"/>
  <c r="G33" i="83"/>
  <c r="H10" i="86" s="1"/>
  <c r="L10" i="86" s="1"/>
  <c r="M10" i="86" s="1"/>
  <c r="N10" i="86" s="1"/>
  <c r="O10" i="86" s="1"/>
  <c r="R10" i="86" s="1"/>
  <c r="G34" i="83"/>
  <c r="H11" i="86" s="1"/>
  <c r="L11" i="86" s="1"/>
  <c r="M11" i="86" s="1"/>
  <c r="N11" i="86" s="1"/>
  <c r="O11" i="86" s="1"/>
  <c r="R11" i="86" s="1"/>
  <c r="H34" i="71"/>
  <c r="E23" i="79"/>
  <c r="F23" i="79" s="1"/>
  <c r="E59" i="71"/>
  <c r="H32" i="71"/>
  <c r="I45" i="78"/>
  <c r="E23" i="81"/>
  <c r="F23" i="81" s="1"/>
  <c r="H23" i="81" s="1"/>
  <c r="H33" i="21"/>
  <c r="H36" i="21" s="1"/>
  <c r="F41" i="21" s="1"/>
  <c r="E9" i="87"/>
  <c r="F9" i="87" s="1"/>
  <c r="E9" i="79"/>
  <c r="F9" i="79" s="1"/>
  <c r="J56" i="83"/>
  <c r="F70" i="83"/>
  <c r="J41" i="75"/>
  <c r="J23" i="75"/>
  <c r="G43" i="77" s="1"/>
  <c r="E25" i="81"/>
  <c r="F25" i="81" s="1"/>
  <c r="T29" i="68" l="1"/>
  <c r="F76" i="71"/>
  <c r="E20" i="78" s="1"/>
  <c r="I20" i="78" s="1"/>
  <c r="F79" i="71"/>
  <c r="E23" i="78" s="1"/>
  <c r="I23" i="78" s="1"/>
  <c r="U29" i="68"/>
  <c r="O29" i="68"/>
  <c r="F75" i="71"/>
  <c r="E19" i="78" s="1"/>
  <c r="I19" i="78" s="1"/>
  <c r="J19" i="78" s="1"/>
  <c r="K19" i="78" s="1"/>
  <c r="E24" i="81" s="1"/>
  <c r="F24" i="81" s="1"/>
  <c r="G24" i="81" s="1"/>
  <c r="F74" i="71"/>
  <c r="E18" i="78" s="1"/>
  <c r="I18" i="78" s="1"/>
  <c r="H35" i="71"/>
  <c r="F43" i="71" s="1"/>
  <c r="E14" i="78" s="1"/>
  <c r="F24" i="72"/>
  <c r="J18" i="68"/>
  <c r="L18" i="68" s="1"/>
  <c r="M18" i="68" s="1"/>
  <c r="N18" i="68" s="1"/>
  <c r="F83" i="21"/>
  <c r="J8" i="68"/>
  <c r="F57" i="72"/>
  <c r="O28" i="78"/>
  <c r="E11" i="77"/>
  <c r="I11" i="77" s="1"/>
  <c r="J11" i="77" s="1"/>
  <c r="K11" i="77" s="1"/>
  <c r="L11" i="77" s="1"/>
  <c r="N11" i="77" s="1"/>
  <c r="O27" i="68"/>
  <c r="U27" i="68"/>
  <c r="G46" i="68"/>
  <c r="T27" i="68"/>
  <c r="H48" i="58"/>
  <c r="H36" i="70"/>
  <c r="H55" i="70" s="1"/>
  <c r="D46" i="78"/>
  <c r="D46" i="77"/>
  <c r="J29" i="78"/>
  <c r="K29" i="78" s="1"/>
  <c r="L29" i="78" s="1"/>
  <c r="N29" i="78" s="1"/>
  <c r="J27" i="78"/>
  <c r="K27" i="78" s="1"/>
  <c r="L27" i="78" s="1"/>
  <c r="N27" i="78" s="1"/>
  <c r="E8" i="77"/>
  <c r="E18" i="77"/>
  <c r="I18" i="77" s="1"/>
  <c r="J18" i="77" s="1"/>
  <c r="K18" i="77" s="1"/>
  <c r="L18" i="77" s="1"/>
  <c r="N18" i="77" s="1"/>
  <c r="F78" i="72"/>
  <c r="G45" i="77"/>
  <c r="F55" i="71"/>
  <c r="E35" i="78" s="1"/>
  <c r="F19" i="21"/>
  <c r="J40" i="68" s="1"/>
  <c r="L40" i="68" s="1"/>
  <c r="F20" i="21"/>
  <c r="J41" i="68" s="1"/>
  <c r="L41" i="68" s="1"/>
  <c r="M41" i="68" s="1"/>
  <c r="N41" i="68" s="1"/>
  <c r="F17" i="21"/>
  <c r="J9" i="68" s="1"/>
  <c r="L9" i="68" s="1"/>
  <c r="F59" i="21"/>
  <c r="J38" i="68" s="1"/>
  <c r="L38" i="68" s="1"/>
  <c r="F23" i="21"/>
  <c r="J44" i="68" s="1"/>
  <c r="L44" i="68" s="1"/>
  <c r="F22" i="21"/>
  <c r="J43" i="68" s="1"/>
  <c r="L43" i="68" s="1"/>
  <c r="F24" i="21"/>
  <c r="J45" i="68" s="1"/>
  <c r="L45" i="68" s="1"/>
  <c r="M45" i="68" s="1"/>
  <c r="M21" i="68"/>
  <c r="N21" i="68" s="1"/>
  <c r="U21" i="68" s="1"/>
  <c r="L9" i="78"/>
  <c r="H54" i="70"/>
  <c r="J43" i="78"/>
  <c r="K43" i="78" s="1"/>
  <c r="L43" i="78" s="1"/>
  <c r="N43" i="78" s="1"/>
  <c r="J44" i="78"/>
  <c r="K44" i="78" s="1"/>
  <c r="L44" i="78" s="1"/>
  <c r="N44" i="78" s="1"/>
  <c r="J18" i="78"/>
  <c r="K18" i="78" s="1"/>
  <c r="L18" i="78" s="1"/>
  <c r="N18" i="78" s="1"/>
  <c r="J20" i="78"/>
  <c r="K20" i="78" s="1"/>
  <c r="L20" i="78" s="1"/>
  <c r="N20" i="78" s="1"/>
  <c r="J21" i="78"/>
  <c r="K21" i="78" s="1"/>
  <c r="L21" i="78" s="1"/>
  <c r="N21" i="78" s="1"/>
  <c r="J24" i="78"/>
  <c r="K24" i="78" s="1"/>
  <c r="L24" i="78" s="1"/>
  <c r="N24" i="78" s="1"/>
  <c r="J23" i="78"/>
  <c r="K23" i="78" s="1"/>
  <c r="L23" i="78" s="1"/>
  <c r="N23" i="78" s="1"/>
  <c r="O9" i="78"/>
  <c r="J41" i="78"/>
  <c r="K41" i="78" s="1"/>
  <c r="L41" i="78" s="1"/>
  <c r="N41" i="78" s="1"/>
  <c r="J45" i="78"/>
  <c r="K45" i="78" s="1"/>
  <c r="L45" i="78" s="1"/>
  <c r="N45" i="78" s="1"/>
  <c r="M19" i="68"/>
  <c r="N19" i="68" s="1"/>
  <c r="M24" i="68"/>
  <c r="N24" i="68" s="1"/>
  <c r="M23" i="68"/>
  <c r="N23" i="68" s="1"/>
  <c r="M20" i="68"/>
  <c r="N20" i="68" s="1"/>
  <c r="K22" i="87"/>
  <c r="K21" i="87" s="1"/>
  <c r="I40" i="77"/>
  <c r="J40" i="77" s="1"/>
  <c r="K40" i="77" s="1"/>
  <c r="L40" i="77" s="1"/>
  <c r="N40" i="77" s="1"/>
  <c r="I19" i="77"/>
  <c r="J19" i="77" s="1"/>
  <c r="K19" i="77" s="1"/>
  <c r="I15" i="77"/>
  <c r="J15" i="77" s="1"/>
  <c r="K15" i="77" s="1"/>
  <c r="I30" i="77"/>
  <c r="J30" i="77" s="1"/>
  <c r="K30" i="77" s="1"/>
  <c r="L30" i="77" s="1"/>
  <c r="N30" i="77" s="1"/>
  <c r="I21" i="77"/>
  <c r="J21" i="77" s="1"/>
  <c r="K21" i="77" s="1"/>
  <c r="I41" i="77"/>
  <c r="J41" i="77" s="1"/>
  <c r="K41" i="77" s="1"/>
  <c r="L41" i="77" s="1"/>
  <c r="N41" i="77" s="1"/>
  <c r="I24" i="77"/>
  <c r="J24" i="77" s="1"/>
  <c r="K24" i="77" s="1"/>
  <c r="L24" i="77" s="1"/>
  <c r="N24" i="77" s="1"/>
  <c r="I20" i="77"/>
  <c r="J20" i="77" s="1"/>
  <c r="K20" i="77" s="1"/>
  <c r="I12" i="77"/>
  <c r="J12" i="77" s="1"/>
  <c r="K12" i="77" s="1"/>
  <c r="L12" i="77" s="1"/>
  <c r="N12" i="77" s="1"/>
  <c r="I44" i="77"/>
  <c r="J44" i="77" s="1"/>
  <c r="K44" i="77" s="1"/>
  <c r="L44" i="77" s="1"/>
  <c r="N44" i="77" s="1"/>
  <c r="I23" i="77"/>
  <c r="J23" i="77" s="1"/>
  <c r="K23" i="77" s="1"/>
  <c r="L23" i="77" s="1"/>
  <c r="N23" i="77" s="1"/>
  <c r="I43" i="77"/>
  <c r="J43" i="77" s="1"/>
  <c r="K43" i="77" s="1"/>
  <c r="L43" i="77" s="1"/>
  <c r="N43" i="77" s="1"/>
  <c r="I41" i="86"/>
  <c r="F69" i="84"/>
  <c r="E24" i="64"/>
  <c r="F24" i="64" s="1"/>
  <c r="L26" i="86"/>
  <c r="M26" i="86" s="1"/>
  <c r="N26" i="86" s="1"/>
  <c r="O26" i="86" s="1"/>
  <c r="R26" i="86" s="1"/>
  <c r="G50" i="83"/>
  <c r="O30" i="86"/>
  <c r="R30" i="86" s="1"/>
  <c r="E29" i="87"/>
  <c r="F29" i="87" s="1"/>
  <c r="G29" i="87" s="1"/>
  <c r="L29" i="86"/>
  <c r="M29" i="86" s="1"/>
  <c r="N29" i="86" s="1"/>
  <c r="L40" i="86"/>
  <c r="M40" i="86" s="1"/>
  <c r="N40" i="86" s="1"/>
  <c r="L31" i="86"/>
  <c r="M31" i="86" s="1"/>
  <c r="N31" i="86" s="1"/>
  <c r="H15" i="79"/>
  <c r="I15" i="79" s="1"/>
  <c r="J15" i="79" s="1"/>
  <c r="K15" i="79" s="1"/>
  <c r="K51" i="83"/>
  <c r="I53" i="82" s="1"/>
  <c r="I54" i="82" s="1"/>
  <c r="E29" i="79"/>
  <c r="F29" i="79" s="1"/>
  <c r="H29" i="79" s="1"/>
  <c r="L33" i="77"/>
  <c r="N33" i="77" s="1"/>
  <c r="I37" i="77"/>
  <c r="J37" i="77" s="1"/>
  <c r="K37" i="77" s="1"/>
  <c r="L37" i="77" s="1"/>
  <c r="N37" i="77" s="1"/>
  <c r="I34" i="77"/>
  <c r="J34" i="77" s="1"/>
  <c r="K34" i="77" s="1"/>
  <c r="G23" i="79"/>
  <c r="H23" i="79"/>
  <c r="I40" i="78"/>
  <c r="F25" i="71"/>
  <c r="E23" i="64"/>
  <c r="F23" i="64" s="1"/>
  <c r="H23" i="64" s="1"/>
  <c r="I45" i="77"/>
  <c r="J45" i="77" s="1"/>
  <c r="G23" i="81"/>
  <c r="I23" i="81" s="1"/>
  <c r="J23" i="81" s="1"/>
  <c r="K23" i="81" s="1"/>
  <c r="E31" i="79"/>
  <c r="F31" i="79" s="1"/>
  <c r="H31" i="79" s="1"/>
  <c r="O8" i="86"/>
  <c r="R8" i="86" s="1"/>
  <c r="L9" i="77"/>
  <c r="N9" i="77" s="1"/>
  <c r="E8" i="79"/>
  <c r="F8" i="79" s="1"/>
  <c r="H8" i="79" s="1"/>
  <c r="E25" i="79"/>
  <c r="F25" i="79" s="1"/>
  <c r="G25" i="79" s="1"/>
  <c r="O38" i="86"/>
  <c r="R38" i="86" s="1"/>
  <c r="E34" i="87"/>
  <c r="F34" i="87" s="1"/>
  <c r="E38" i="79"/>
  <c r="F38" i="79" s="1"/>
  <c r="G38" i="79" s="1"/>
  <c r="I14" i="77"/>
  <c r="J14" i="77" s="1"/>
  <c r="K14" i="77" s="1"/>
  <c r="E34" i="79" s="1"/>
  <c r="F34" i="79" s="1"/>
  <c r="G34" i="79" s="1"/>
  <c r="E15" i="81"/>
  <c r="F15" i="81" s="1"/>
  <c r="J8" i="78"/>
  <c r="O8" i="78" s="1"/>
  <c r="G8" i="81"/>
  <c r="H8" i="81"/>
  <c r="G9" i="79"/>
  <c r="H9" i="79"/>
  <c r="E7" i="87"/>
  <c r="F7" i="87" s="1"/>
  <c r="O7" i="86"/>
  <c r="H25" i="81"/>
  <c r="G25" i="81"/>
  <c r="G9" i="87"/>
  <c r="H9" i="87"/>
  <c r="H8" i="87"/>
  <c r="G8" i="87"/>
  <c r="F40" i="71" l="1"/>
  <c r="E11" i="78" s="1"/>
  <c r="F44" i="71"/>
  <c r="E15" i="78" s="1"/>
  <c r="F45" i="71"/>
  <c r="F53" i="71"/>
  <c r="E33" i="78" s="1"/>
  <c r="I33" i="78" s="1"/>
  <c r="F50" i="71"/>
  <c r="E30" i="78" s="1"/>
  <c r="F54" i="71"/>
  <c r="E34" i="78" s="1"/>
  <c r="F52" i="71"/>
  <c r="F58" i="71"/>
  <c r="E38" i="78" s="1"/>
  <c r="F41" i="71"/>
  <c r="E12" i="78" s="1"/>
  <c r="F57" i="71"/>
  <c r="E37" i="78" s="1"/>
  <c r="F81" i="71"/>
  <c r="K8" i="78"/>
  <c r="I24" i="21"/>
  <c r="L8" i="68"/>
  <c r="G47" i="68"/>
  <c r="Q20" i="78"/>
  <c r="P21" i="78"/>
  <c r="Q19" i="78"/>
  <c r="P20" i="78"/>
  <c r="P18" i="78"/>
  <c r="P19" i="78"/>
  <c r="Q18" i="78"/>
  <c r="Q21" i="78"/>
  <c r="X19" i="68"/>
  <c r="O23" i="68"/>
  <c r="U23" i="68"/>
  <c r="O41" i="68"/>
  <c r="U41" i="68"/>
  <c r="O24" i="68"/>
  <c r="U24" i="68"/>
  <c r="O19" i="68"/>
  <c r="U19" i="68"/>
  <c r="O18" i="68"/>
  <c r="U18" i="68"/>
  <c r="O20" i="68"/>
  <c r="U20" i="68"/>
  <c r="E17" i="64"/>
  <c r="F17" i="64" s="1"/>
  <c r="H17" i="64" s="1"/>
  <c r="O21" i="68"/>
  <c r="T24" i="68"/>
  <c r="O29" i="78"/>
  <c r="O27" i="78"/>
  <c r="E46" i="77"/>
  <c r="I8" i="77"/>
  <c r="F45" i="21"/>
  <c r="J15" i="68" s="1"/>
  <c r="L15" i="68" s="1"/>
  <c r="F54" i="21"/>
  <c r="J33" i="68" s="1"/>
  <c r="L33" i="68" s="1"/>
  <c r="F58" i="21"/>
  <c r="J37" i="68" s="1"/>
  <c r="L37" i="68" s="1"/>
  <c r="F46" i="21"/>
  <c r="F44" i="21"/>
  <c r="J14" i="68" s="1"/>
  <c r="L14" i="68" s="1"/>
  <c r="F56" i="21"/>
  <c r="J35" i="68" s="1"/>
  <c r="L35" i="68" s="1"/>
  <c r="F43" i="21"/>
  <c r="F55" i="21"/>
  <c r="J34" i="68" s="1"/>
  <c r="L34" i="68" s="1"/>
  <c r="J11" i="68"/>
  <c r="L11" i="68" s="1"/>
  <c r="F42" i="21"/>
  <c r="J12" i="68" s="1"/>
  <c r="L12" i="68" s="1"/>
  <c r="F51" i="21"/>
  <c r="F57" i="21"/>
  <c r="E16" i="64"/>
  <c r="F16" i="64" s="1"/>
  <c r="G16" i="64" s="1"/>
  <c r="E16" i="81"/>
  <c r="F16" i="81" s="1"/>
  <c r="G16" i="81" s="1"/>
  <c r="E17" i="81"/>
  <c r="F17" i="81" s="1"/>
  <c r="H17" i="81" s="1"/>
  <c r="L19" i="78"/>
  <c r="N19" i="78" s="1"/>
  <c r="H24" i="81"/>
  <c r="I24" i="81" s="1"/>
  <c r="J24" i="81" s="1"/>
  <c r="K24" i="81" s="1"/>
  <c r="K22" i="81" s="1"/>
  <c r="E26" i="79"/>
  <c r="F26" i="79" s="1"/>
  <c r="H26" i="79" s="1"/>
  <c r="R19" i="78"/>
  <c r="O23" i="78"/>
  <c r="R20" i="78"/>
  <c r="V20" i="68"/>
  <c r="W21" i="68"/>
  <c r="R21" i="78"/>
  <c r="V18" i="68"/>
  <c r="W18" i="68"/>
  <c r="Y18" i="68"/>
  <c r="J40" i="78"/>
  <c r="K40" i="78" s="1"/>
  <c r="L40" i="78" s="1"/>
  <c r="N40" i="78" s="1"/>
  <c r="V21" i="68"/>
  <c r="T23" i="68"/>
  <c r="W19" i="68"/>
  <c r="O41" i="78"/>
  <c r="O44" i="78"/>
  <c r="X18" i="68"/>
  <c r="X20" i="68"/>
  <c r="Y21" i="68"/>
  <c r="O45" i="78"/>
  <c r="O24" i="78"/>
  <c r="R18" i="78"/>
  <c r="O43" i="78"/>
  <c r="Y20" i="68"/>
  <c r="X21" i="68"/>
  <c r="N45" i="68"/>
  <c r="M44" i="68"/>
  <c r="N44" i="68" s="1"/>
  <c r="Y19" i="68"/>
  <c r="W20" i="68"/>
  <c r="V19" i="68"/>
  <c r="R7" i="86"/>
  <c r="L15" i="77"/>
  <c r="N15" i="77" s="1"/>
  <c r="E20" i="79"/>
  <c r="F20" i="79" s="1"/>
  <c r="G20" i="79" s="1"/>
  <c r="E35" i="79"/>
  <c r="F35" i="79" s="1"/>
  <c r="G35" i="79" s="1"/>
  <c r="E24" i="79"/>
  <c r="F24" i="79" s="1"/>
  <c r="L19" i="77"/>
  <c r="N19" i="77" s="1"/>
  <c r="E16" i="79"/>
  <c r="F16" i="79" s="1"/>
  <c r="L20" i="77"/>
  <c r="N20" i="77" s="1"/>
  <c r="L21" i="77"/>
  <c r="N21" i="77" s="1"/>
  <c r="E17" i="79"/>
  <c r="F17" i="79" s="1"/>
  <c r="E14" i="79"/>
  <c r="F14" i="79" s="1"/>
  <c r="H14" i="79" s="1"/>
  <c r="E7" i="79"/>
  <c r="F7" i="79" s="1"/>
  <c r="G7" i="79" s="1"/>
  <c r="G69" i="83"/>
  <c r="H20" i="86" s="1"/>
  <c r="L20" i="86" s="1"/>
  <c r="M20" i="86" s="1"/>
  <c r="N20" i="86" s="1"/>
  <c r="G68" i="83"/>
  <c r="H19" i="86" s="1"/>
  <c r="L19" i="86" s="1"/>
  <c r="M19" i="86" s="1"/>
  <c r="N19" i="86" s="1"/>
  <c r="G65" i="83"/>
  <c r="H16" i="86" s="1"/>
  <c r="L16" i="86" s="1"/>
  <c r="M16" i="86" s="1"/>
  <c r="N16" i="86" s="1"/>
  <c r="G64" i="83"/>
  <c r="H15" i="86" s="1"/>
  <c r="L15" i="86" s="1"/>
  <c r="M15" i="86" s="1"/>
  <c r="N15" i="86" s="1"/>
  <c r="G63" i="83"/>
  <c r="H14" i="86" s="1"/>
  <c r="G66" i="83"/>
  <c r="H17" i="86" s="1"/>
  <c r="L17" i="86" s="1"/>
  <c r="M17" i="86" s="1"/>
  <c r="N17" i="86" s="1"/>
  <c r="I37" i="78"/>
  <c r="I34" i="78"/>
  <c r="I38" i="78"/>
  <c r="I30" i="78"/>
  <c r="I15" i="78"/>
  <c r="I14" i="78"/>
  <c r="I35" i="78"/>
  <c r="I12" i="78"/>
  <c r="G46" i="77"/>
  <c r="E19" i="79"/>
  <c r="F19" i="79" s="1"/>
  <c r="G24" i="64"/>
  <c r="H24" i="64"/>
  <c r="E25" i="87"/>
  <c r="F25" i="87" s="1"/>
  <c r="H25" i="87" s="1"/>
  <c r="L37" i="86"/>
  <c r="M37" i="86" s="1"/>
  <c r="N37" i="86" s="1"/>
  <c r="G21" i="83"/>
  <c r="H29" i="87"/>
  <c r="I29" i="87" s="1"/>
  <c r="J29" i="87" s="1"/>
  <c r="K29" i="87" s="1"/>
  <c r="O40" i="86"/>
  <c r="R40" i="86" s="1"/>
  <c r="E36" i="87"/>
  <c r="F36" i="87" s="1"/>
  <c r="H36" i="87" s="1"/>
  <c r="E28" i="87"/>
  <c r="F28" i="87" s="1"/>
  <c r="H28" i="87" s="1"/>
  <c r="O29" i="86"/>
  <c r="R29" i="86" s="1"/>
  <c r="E30" i="87"/>
  <c r="F30" i="87" s="1"/>
  <c r="O31" i="86"/>
  <c r="R31" i="86" s="1"/>
  <c r="G29" i="79"/>
  <c r="I29" i="79" s="1"/>
  <c r="J29" i="79" s="1"/>
  <c r="K29" i="79" s="1"/>
  <c r="I23" i="79"/>
  <c r="J23" i="79" s="1"/>
  <c r="K23" i="79" s="1"/>
  <c r="E30" i="79"/>
  <c r="F30" i="79" s="1"/>
  <c r="L34" i="77"/>
  <c r="N34" i="77" s="1"/>
  <c r="G23" i="64"/>
  <c r="I23" i="64" s="1"/>
  <c r="J23" i="64" s="1"/>
  <c r="K23" i="64" s="1"/>
  <c r="H25" i="79"/>
  <c r="I25" i="79" s="1"/>
  <c r="J25" i="79" s="1"/>
  <c r="K25" i="79" s="1"/>
  <c r="G31" i="79"/>
  <c r="I31" i="79" s="1"/>
  <c r="J31" i="79" s="1"/>
  <c r="K31" i="79" s="1"/>
  <c r="H34" i="79"/>
  <c r="I34" i="79" s="1"/>
  <c r="J34" i="79" s="1"/>
  <c r="K34" i="79" s="1"/>
  <c r="G8" i="79"/>
  <c r="I8" i="79" s="1"/>
  <c r="J8" i="79" s="1"/>
  <c r="K8" i="79" s="1"/>
  <c r="E25" i="64"/>
  <c r="F25" i="64" s="1"/>
  <c r="E38" i="64"/>
  <c r="F38" i="64" s="1"/>
  <c r="E37" i="64"/>
  <c r="F37" i="64" s="1"/>
  <c r="G34" i="87"/>
  <c r="H34" i="87"/>
  <c r="H38" i="79"/>
  <c r="I38" i="79" s="1"/>
  <c r="J38" i="79" s="1"/>
  <c r="K38" i="79" s="1"/>
  <c r="L14" i="77"/>
  <c r="N14" i="77" s="1"/>
  <c r="E37" i="79"/>
  <c r="F37" i="79" s="1"/>
  <c r="H15" i="81"/>
  <c r="G15" i="81"/>
  <c r="E14" i="81"/>
  <c r="F14" i="81" s="1"/>
  <c r="K45" i="77"/>
  <c r="I8" i="81"/>
  <c r="J8" i="81" s="1"/>
  <c r="K8" i="81" s="1"/>
  <c r="I9" i="87"/>
  <c r="J9" i="87" s="1"/>
  <c r="K9" i="87" s="1"/>
  <c r="I9" i="79"/>
  <c r="J9" i="79" s="1"/>
  <c r="K9" i="79" s="1"/>
  <c r="I8" i="87"/>
  <c r="J8" i="87" s="1"/>
  <c r="K8" i="87" s="1"/>
  <c r="I25" i="81"/>
  <c r="J25" i="81" s="1"/>
  <c r="H7" i="87"/>
  <c r="G7" i="87"/>
  <c r="J8" i="77" l="1"/>
  <c r="J46" i="77" s="1"/>
  <c r="J30" i="68"/>
  <c r="L30" i="68" s="1"/>
  <c r="L46" i="68" s="1"/>
  <c r="F60" i="21"/>
  <c r="M8" i="68"/>
  <c r="N8" i="68" s="1"/>
  <c r="O44" i="68"/>
  <c r="U44" i="68"/>
  <c r="O45" i="68"/>
  <c r="U45" i="68"/>
  <c r="G17" i="64"/>
  <c r="I17" i="64" s="1"/>
  <c r="J17" i="64" s="1"/>
  <c r="K17" i="64" s="1"/>
  <c r="I46" i="77"/>
  <c r="H16" i="64"/>
  <c r="I16" i="64" s="1"/>
  <c r="J16" i="64" s="1"/>
  <c r="K16" i="64" s="1"/>
  <c r="H16" i="81"/>
  <c r="I16" i="81" s="1"/>
  <c r="J16" i="81" s="1"/>
  <c r="K16" i="81" s="1"/>
  <c r="G17" i="81"/>
  <c r="I17" i="81" s="1"/>
  <c r="J17" i="81" s="1"/>
  <c r="K17" i="81" s="1"/>
  <c r="G26" i="79"/>
  <c r="I26" i="79" s="1"/>
  <c r="J26" i="79" s="1"/>
  <c r="K26" i="79" s="1"/>
  <c r="T45" i="68"/>
  <c r="O40" i="78"/>
  <c r="T44" i="68"/>
  <c r="J37" i="78"/>
  <c r="K37" i="78" s="1"/>
  <c r="L37" i="78" s="1"/>
  <c r="N37" i="78" s="1"/>
  <c r="J34" i="78"/>
  <c r="K34" i="78" s="1"/>
  <c r="L34" i="78" s="1"/>
  <c r="N34" i="78" s="1"/>
  <c r="J35" i="78"/>
  <c r="K35" i="78" s="1"/>
  <c r="L35" i="78" s="1"/>
  <c r="N35" i="78" s="1"/>
  <c r="J38" i="78"/>
  <c r="K38" i="78" s="1"/>
  <c r="L38" i="78" s="1"/>
  <c r="N38" i="78" s="1"/>
  <c r="J14" i="78"/>
  <c r="K14" i="78" s="1"/>
  <c r="E34" i="81" s="1"/>
  <c r="F34" i="81" s="1"/>
  <c r="J30" i="78"/>
  <c r="K30" i="78" s="1"/>
  <c r="L30" i="78" s="1"/>
  <c r="N30" i="78" s="1"/>
  <c r="J12" i="78"/>
  <c r="K12" i="78" s="1"/>
  <c r="L12" i="78" s="1"/>
  <c r="N12" i="78" s="1"/>
  <c r="J15" i="78"/>
  <c r="K15" i="78" s="1"/>
  <c r="J33" i="78"/>
  <c r="K33" i="78" s="1"/>
  <c r="L33" i="78" s="1"/>
  <c r="N33" i="78" s="1"/>
  <c r="M9" i="68"/>
  <c r="M43" i="68"/>
  <c r="N43" i="68" s="1"/>
  <c r="M40" i="68"/>
  <c r="N40" i="68" s="1"/>
  <c r="M14" i="68"/>
  <c r="N14" i="68" s="1"/>
  <c r="H20" i="79"/>
  <c r="I20" i="79" s="1"/>
  <c r="J20" i="79" s="1"/>
  <c r="K20" i="79" s="1"/>
  <c r="H35" i="79"/>
  <c r="I35" i="79" s="1"/>
  <c r="J35" i="79" s="1"/>
  <c r="K35" i="79" s="1"/>
  <c r="K33" i="79" s="1"/>
  <c r="H7" i="79"/>
  <c r="I7" i="79" s="1"/>
  <c r="J7" i="79" s="1"/>
  <c r="K7" i="79" s="1"/>
  <c r="K6" i="79" s="1"/>
  <c r="G14" i="79"/>
  <c r="I14" i="79" s="1"/>
  <c r="J14" i="79" s="1"/>
  <c r="K14" i="79" s="1"/>
  <c r="H24" i="79"/>
  <c r="G24" i="79"/>
  <c r="G16" i="79"/>
  <c r="H16" i="79"/>
  <c r="G17" i="79"/>
  <c r="H17" i="79"/>
  <c r="G70" i="83"/>
  <c r="I11" i="78"/>
  <c r="F59" i="71"/>
  <c r="G19" i="79"/>
  <c r="H19" i="79"/>
  <c r="H14" i="81"/>
  <c r="G14" i="81"/>
  <c r="I24" i="64"/>
  <c r="J24" i="64" s="1"/>
  <c r="K24" i="64" s="1"/>
  <c r="K22" i="64" s="1"/>
  <c r="G25" i="87"/>
  <c r="I25" i="87" s="1"/>
  <c r="J25" i="87" s="1"/>
  <c r="K25" i="87" s="1"/>
  <c r="K20" i="87" s="1"/>
  <c r="G36" i="87"/>
  <c r="I36" i="87" s="1"/>
  <c r="J36" i="87" s="1"/>
  <c r="K36" i="87" s="1"/>
  <c r="K35" i="87" s="1"/>
  <c r="O37" i="86"/>
  <c r="R37" i="86" s="1"/>
  <c r="E33" i="87"/>
  <c r="F33" i="87" s="1"/>
  <c r="G28" i="87"/>
  <c r="I28" i="87" s="1"/>
  <c r="J28" i="87" s="1"/>
  <c r="H30" i="87"/>
  <c r="G30" i="87"/>
  <c r="E15" i="87"/>
  <c r="F15" i="87" s="1"/>
  <c r="H15" i="87" s="1"/>
  <c r="O16" i="86"/>
  <c r="R16" i="86" s="1"/>
  <c r="O19" i="86"/>
  <c r="R19" i="86" s="1"/>
  <c r="E18" i="87"/>
  <c r="F18" i="87" s="1"/>
  <c r="G18" i="87" s="1"/>
  <c r="O15" i="86"/>
  <c r="R15" i="86" s="1"/>
  <c r="E14" i="87"/>
  <c r="F14" i="87" s="1"/>
  <c r="G14" i="87" s="1"/>
  <c r="O20" i="86"/>
  <c r="R20" i="86" s="1"/>
  <c r="E19" i="87"/>
  <c r="F19" i="87" s="1"/>
  <c r="G19" i="87" s="1"/>
  <c r="O17" i="86"/>
  <c r="R17" i="86" s="1"/>
  <c r="E16" i="87"/>
  <c r="F16" i="87" s="1"/>
  <c r="G16" i="87" s="1"/>
  <c r="G30" i="79"/>
  <c r="H30" i="79"/>
  <c r="E38" i="81"/>
  <c r="F38" i="81" s="1"/>
  <c r="E37" i="81"/>
  <c r="F37" i="81" s="1"/>
  <c r="G25" i="64"/>
  <c r="H25" i="64"/>
  <c r="H37" i="64"/>
  <c r="G37" i="64"/>
  <c r="H38" i="64"/>
  <c r="G38" i="64"/>
  <c r="I34" i="87"/>
  <c r="J34" i="87" s="1"/>
  <c r="K34" i="87" s="1"/>
  <c r="H37" i="79"/>
  <c r="G37" i="79"/>
  <c r="L14" i="86"/>
  <c r="H41" i="86"/>
  <c r="I15" i="81"/>
  <c r="J15" i="81" s="1"/>
  <c r="K15" i="81" s="1"/>
  <c r="L8" i="78"/>
  <c r="E7" i="81"/>
  <c r="L45" i="77"/>
  <c r="E39" i="79"/>
  <c r="F39" i="79" s="1"/>
  <c r="I7" i="87"/>
  <c r="J7" i="87" s="1"/>
  <c r="K7" i="87" s="1"/>
  <c r="K6" i="87" s="1"/>
  <c r="K25" i="81"/>
  <c r="T8" i="68" l="1"/>
  <c r="U8" i="68"/>
  <c r="O8" i="68"/>
  <c r="E14" i="64"/>
  <c r="F14" i="64" s="1"/>
  <c r="H14" i="64" s="1"/>
  <c r="M30" i="68"/>
  <c r="N30" i="68" s="1"/>
  <c r="U30" i="68" s="1"/>
  <c r="K8" i="77"/>
  <c r="J46" i="68"/>
  <c r="J47" i="68" s="1"/>
  <c r="O43" i="68"/>
  <c r="U43" i="68"/>
  <c r="O14" i="68"/>
  <c r="U14" i="68"/>
  <c r="O40" i="68"/>
  <c r="U40" i="68"/>
  <c r="N9" i="68"/>
  <c r="U9" i="68" s="1"/>
  <c r="E29" i="81"/>
  <c r="F29" i="81" s="1"/>
  <c r="H29" i="81" s="1"/>
  <c r="E39" i="81"/>
  <c r="F39" i="81" s="1"/>
  <c r="H39" i="81" s="1"/>
  <c r="E30" i="81"/>
  <c r="F30" i="81" s="1"/>
  <c r="H30" i="81" s="1"/>
  <c r="E34" i="64"/>
  <c r="F34" i="64" s="1"/>
  <c r="H34" i="64" s="1"/>
  <c r="E31" i="81"/>
  <c r="F31" i="81" s="1"/>
  <c r="G31" i="81" s="1"/>
  <c r="E19" i="64"/>
  <c r="F19" i="64" s="1"/>
  <c r="H19" i="64" s="1"/>
  <c r="T43" i="68"/>
  <c r="T9" i="68"/>
  <c r="O15" i="78"/>
  <c r="O30" i="78"/>
  <c r="O38" i="78"/>
  <c r="O34" i="78"/>
  <c r="E35" i="81"/>
  <c r="F35" i="81" s="1"/>
  <c r="E20" i="81"/>
  <c r="F20" i="81" s="1"/>
  <c r="L15" i="78"/>
  <c r="N15" i="78" s="1"/>
  <c r="O33" i="78"/>
  <c r="O12" i="78"/>
  <c r="O14" i="78"/>
  <c r="O35" i="78"/>
  <c r="O37" i="78"/>
  <c r="J11" i="78"/>
  <c r="K11" i="78" s="1"/>
  <c r="L11" i="78" s="1"/>
  <c r="L14" i="78"/>
  <c r="N14" i="78" s="1"/>
  <c r="E19" i="81"/>
  <c r="F19" i="81" s="1"/>
  <c r="M34" i="68"/>
  <c r="N34" i="68" s="1"/>
  <c r="U34" i="68" s="1"/>
  <c r="M38" i="68"/>
  <c r="N38" i="68" s="1"/>
  <c r="T14" i="68"/>
  <c r="T41" i="68"/>
  <c r="M15" i="68"/>
  <c r="N15" i="68" s="1"/>
  <c r="U15" i="68" s="1"/>
  <c r="M33" i="68"/>
  <c r="N33" i="68" s="1"/>
  <c r="M37" i="68"/>
  <c r="N37" i="68" s="1"/>
  <c r="T40" i="68"/>
  <c r="M35" i="68"/>
  <c r="N35" i="68" s="1"/>
  <c r="M12" i="68"/>
  <c r="I16" i="79"/>
  <c r="J16" i="79" s="1"/>
  <c r="K16" i="79" s="1"/>
  <c r="I17" i="79"/>
  <c r="J17" i="79" s="1"/>
  <c r="K17" i="79" s="1"/>
  <c r="I24" i="79"/>
  <c r="J24" i="79" s="1"/>
  <c r="K24" i="79" s="1"/>
  <c r="K22" i="79" s="1"/>
  <c r="K21" i="79" s="1"/>
  <c r="E46" i="78"/>
  <c r="I19" i="79"/>
  <c r="J19" i="79" s="1"/>
  <c r="K19" i="79" s="1"/>
  <c r="K18" i="79" s="1"/>
  <c r="I14" i="81"/>
  <c r="J14" i="81" s="1"/>
  <c r="K14" i="81" s="1"/>
  <c r="K13" i="81" s="1"/>
  <c r="E7" i="64"/>
  <c r="F7" i="64" s="1"/>
  <c r="G7" i="64" s="1"/>
  <c r="K33" i="87"/>
  <c r="K31" i="87" s="1"/>
  <c r="G33" i="87"/>
  <c r="H33" i="87"/>
  <c r="H16" i="87"/>
  <c r="I16" i="87" s="1"/>
  <c r="J16" i="87" s="1"/>
  <c r="K16" i="87" s="1"/>
  <c r="H14" i="87"/>
  <c r="I14" i="87" s="1"/>
  <c r="J14" i="87" s="1"/>
  <c r="K14" i="87" s="1"/>
  <c r="I30" i="87"/>
  <c r="J30" i="87" s="1"/>
  <c r="K30" i="87" s="1"/>
  <c r="K28" i="87" s="1"/>
  <c r="K27" i="87" s="1"/>
  <c r="K26" i="87" s="1"/>
  <c r="H19" i="87"/>
  <c r="I19" i="87" s="1"/>
  <c r="J19" i="87" s="1"/>
  <c r="K19" i="87" s="1"/>
  <c r="K18" i="87" s="1"/>
  <c r="K17" i="87" s="1"/>
  <c r="G15" i="87"/>
  <c r="I15" i="87" s="1"/>
  <c r="J15" i="87" s="1"/>
  <c r="K15" i="87" s="1"/>
  <c r="H18" i="87"/>
  <c r="I18" i="87" s="1"/>
  <c r="J18" i="87" s="1"/>
  <c r="I30" i="79"/>
  <c r="J30" i="79" s="1"/>
  <c r="K30" i="79" s="1"/>
  <c r="K28" i="79" s="1"/>
  <c r="K27" i="79" s="1"/>
  <c r="G38" i="81"/>
  <c r="H38" i="81"/>
  <c r="G37" i="81"/>
  <c r="H37" i="81"/>
  <c r="E26" i="64"/>
  <c r="F26" i="64" s="1"/>
  <c r="E9" i="64"/>
  <c r="F9" i="64" s="1"/>
  <c r="I25" i="64"/>
  <c r="J25" i="64" s="1"/>
  <c r="K25" i="64" s="1"/>
  <c r="I38" i="64"/>
  <c r="J38" i="64" s="1"/>
  <c r="K38" i="64" s="1"/>
  <c r="I37" i="64"/>
  <c r="J37" i="64" s="1"/>
  <c r="K37" i="64" s="1"/>
  <c r="M11" i="68"/>
  <c r="T11" i="68" s="1"/>
  <c r="I37" i="79"/>
  <c r="J37" i="79" s="1"/>
  <c r="K37" i="79" s="1"/>
  <c r="K36" i="79" s="1"/>
  <c r="M14" i="86"/>
  <c r="N14" i="86" s="1"/>
  <c r="L41" i="86"/>
  <c r="I46" i="78"/>
  <c r="F7" i="81"/>
  <c r="H34" i="81"/>
  <c r="G34" i="81"/>
  <c r="N45" i="77"/>
  <c r="H39" i="79"/>
  <c r="G39" i="79"/>
  <c r="E39" i="64" l="1"/>
  <c r="F39" i="64" s="1"/>
  <c r="H39" i="64" s="1"/>
  <c r="O30" i="68"/>
  <c r="T30" i="68"/>
  <c r="G14" i="64"/>
  <c r="I14" i="64" s="1"/>
  <c r="J14" i="64" s="1"/>
  <c r="K14" i="64" s="1"/>
  <c r="L8" i="77"/>
  <c r="K46" i="77"/>
  <c r="O33" i="68"/>
  <c r="U33" i="68"/>
  <c r="O35" i="68"/>
  <c r="U35" i="68"/>
  <c r="O38" i="68"/>
  <c r="U38" i="68"/>
  <c r="O37" i="68"/>
  <c r="U37" i="68"/>
  <c r="E30" i="64"/>
  <c r="F30" i="64" s="1"/>
  <c r="G30" i="64" s="1"/>
  <c r="O34" i="68"/>
  <c r="E20" i="64"/>
  <c r="F20" i="64" s="1"/>
  <c r="G20" i="64" s="1"/>
  <c r="O15" i="68"/>
  <c r="E15" i="64"/>
  <c r="F15" i="64" s="1"/>
  <c r="H15" i="64" s="1"/>
  <c r="O9" i="68"/>
  <c r="N12" i="68"/>
  <c r="T12" i="68"/>
  <c r="E8" i="64"/>
  <c r="F8" i="64" s="1"/>
  <c r="G8" i="64" s="1"/>
  <c r="M46" i="68"/>
  <c r="G39" i="81"/>
  <c r="I39" i="81" s="1"/>
  <c r="J39" i="81" s="1"/>
  <c r="K39" i="81" s="1"/>
  <c r="G29" i="81"/>
  <c r="I29" i="81" s="1"/>
  <c r="J29" i="81" s="1"/>
  <c r="K29" i="81" s="1"/>
  <c r="G30" i="81"/>
  <c r="I30" i="81" s="1"/>
  <c r="J30" i="81" s="1"/>
  <c r="K30" i="81" s="1"/>
  <c r="G34" i="64"/>
  <c r="I34" i="64" s="1"/>
  <c r="J34" i="64" s="1"/>
  <c r="K34" i="64" s="1"/>
  <c r="H31" i="81"/>
  <c r="I31" i="81" s="1"/>
  <c r="J31" i="81" s="1"/>
  <c r="K31" i="81" s="1"/>
  <c r="E29" i="64"/>
  <c r="F29" i="64" s="1"/>
  <c r="H29" i="64" s="1"/>
  <c r="E35" i="64"/>
  <c r="F35" i="64" s="1"/>
  <c r="G35" i="64" s="1"/>
  <c r="G19" i="64"/>
  <c r="I19" i="64" s="1"/>
  <c r="J19" i="64" s="1"/>
  <c r="K19" i="64" s="1"/>
  <c r="N46" i="78"/>
  <c r="E31" i="64"/>
  <c r="F31" i="64" s="1"/>
  <c r="H31" i="64" s="1"/>
  <c r="T15" i="68"/>
  <c r="T34" i="68"/>
  <c r="O11" i="78"/>
  <c r="C12" i="88" s="1"/>
  <c r="H20" i="81"/>
  <c r="G20" i="81"/>
  <c r="T35" i="68"/>
  <c r="H35" i="81"/>
  <c r="G35" i="81"/>
  <c r="H19" i="81"/>
  <c r="G19" i="81"/>
  <c r="T33" i="68"/>
  <c r="T38" i="68"/>
  <c r="T37" i="68"/>
  <c r="K13" i="79"/>
  <c r="K12" i="79" s="1"/>
  <c r="K40" i="79" s="1"/>
  <c r="H7" i="64"/>
  <c r="I7" i="64" s="1"/>
  <c r="J7" i="64" s="1"/>
  <c r="K7" i="64" s="1"/>
  <c r="I33" i="87"/>
  <c r="J33" i="87" s="1"/>
  <c r="I38" i="81"/>
  <c r="J38" i="81" s="1"/>
  <c r="K38" i="81" s="1"/>
  <c r="I37" i="81"/>
  <c r="J37" i="81" s="1"/>
  <c r="K37" i="81" s="1"/>
  <c r="H9" i="64"/>
  <c r="G9" i="64"/>
  <c r="G26" i="64"/>
  <c r="H26" i="64"/>
  <c r="K36" i="64"/>
  <c r="N11" i="68"/>
  <c r="U11" i="68" s="1"/>
  <c r="O14" i="86"/>
  <c r="E13" i="87"/>
  <c r="F13" i="87" s="1"/>
  <c r="J46" i="78"/>
  <c r="I34" i="81"/>
  <c r="J34" i="81" s="1"/>
  <c r="K34" i="81" s="1"/>
  <c r="H7" i="81"/>
  <c r="G7" i="81"/>
  <c r="I39" i="79"/>
  <c r="J39" i="79" s="1"/>
  <c r="K39" i="79" s="1"/>
  <c r="E6" i="88" l="1"/>
  <c r="I6" i="88" s="1"/>
  <c r="G39" i="64"/>
  <c r="I39" i="64" s="1"/>
  <c r="J39" i="64" s="1"/>
  <c r="K39" i="64" s="1"/>
  <c r="L46" i="77"/>
  <c r="N8" i="77"/>
  <c r="N46" i="77" s="1"/>
  <c r="C8" i="88"/>
  <c r="C9" i="88"/>
  <c r="C7" i="88"/>
  <c r="C6" i="88"/>
  <c r="T46" i="68"/>
  <c r="H20" i="64"/>
  <c r="I20" i="64" s="1"/>
  <c r="J20" i="64" s="1"/>
  <c r="K20" i="64" s="1"/>
  <c r="K18" i="64" s="1"/>
  <c r="O12" i="68"/>
  <c r="U12" i="68"/>
  <c r="U46" i="68" s="1"/>
  <c r="U47" i="68" s="1"/>
  <c r="H30" i="64"/>
  <c r="I30" i="64" s="1"/>
  <c r="J30" i="64" s="1"/>
  <c r="K30" i="64" s="1"/>
  <c r="G15" i="64"/>
  <c r="I15" i="64" s="1"/>
  <c r="J15" i="64" s="1"/>
  <c r="K15" i="64" s="1"/>
  <c r="K13" i="64" s="1"/>
  <c r="N46" i="68"/>
  <c r="O11" i="68"/>
  <c r="H8" i="64"/>
  <c r="I8" i="64" s="1"/>
  <c r="J8" i="64" s="1"/>
  <c r="K8" i="64" s="1"/>
  <c r="K28" i="81"/>
  <c r="K27" i="81" s="1"/>
  <c r="E9" i="88"/>
  <c r="I9" i="88" s="1"/>
  <c r="G29" i="64"/>
  <c r="I29" i="64" s="1"/>
  <c r="J29" i="64" s="1"/>
  <c r="K29" i="64" s="1"/>
  <c r="H35" i="64"/>
  <c r="I35" i="64" s="1"/>
  <c r="J35" i="64" s="1"/>
  <c r="K35" i="64" s="1"/>
  <c r="K33" i="64" s="1"/>
  <c r="E7" i="88"/>
  <c r="I7" i="88" s="1"/>
  <c r="E8" i="88"/>
  <c r="I8" i="88" s="1"/>
  <c r="E14" i="88"/>
  <c r="I14" i="88" s="1"/>
  <c r="E13" i="88"/>
  <c r="I13" i="88" s="1"/>
  <c r="E12" i="88"/>
  <c r="I12" i="88" s="1"/>
  <c r="C14" i="88"/>
  <c r="C13" i="88"/>
  <c r="G31" i="64"/>
  <c r="I31" i="64" s="1"/>
  <c r="J31" i="64" s="1"/>
  <c r="K31" i="64" s="1"/>
  <c r="I19" i="81"/>
  <c r="J19" i="81" s="1"/>
  <c r="K19" i="81" s="1"/>
  <c r="I20" i="81"/>
  <c r="J20" i="81" s="1"/>
  <c r="K20" i="81" s="1"/>
  <c r="I35" i="81"/>
  <c r="J35" i="81" s="1"/>
  <c r="K35" i="81" s="1"/>
  <c r="K33" i="81" s="1"/>
  <c r="R14" i="86"/>
  <c r="R41" i="86" s="1"/>
  <c r="O41" i="86"/>
  <c r="K36" i="81"/>
  <c r="I26" i="64"/>
  <c r="J26" i="64" s="1"/>
  <c r="K26" i="64" s="1"/>
  <c r="K21" i="64" s="1"/>
  <c r="I9" i="64"/>
  <c r="J9" i="64" s="1"/>
  <c r="K9" i="64" s="1"/>
  <c r="H13" i="87"/>
  <c r="G13" i="87"/>
  <c r="I7" i="81"/>
  <c r="J7" i="81" s="1"/>
  <c r="K7" i="81" s="1"/>
  <c r="L46" i="78"/>
  <c r="E26" i="81"/>
  <c r="F26" i="81" s="1"/>
  <c r="E9" i="81"/>
  <c r="K46" i="78"/>
  <c r="O46" i="68" l="1"/>
  <c r="D9" i="88"/>
  <c r="H9" i="88" s="1"/>
  <c r="G9" i="88" s="1"/>
  <c r="K6" i="64"/>
  <c r="D6" i="88"/>
  <c r="H6" i="88" s="1"/>
  <c r="D8" i="88"/>
  <c r="H8" i="88" s="1"/>
  <c r="G8" i="88" s="1"/>
  <c r="I10" i="88"/>
  <c r="D7" i="88"/>
  <c r="H7" i="88" s="1"/>
  <c r="G7" i="88" s="1"/>
  <c r="K18" i="81"/>
  <c r="K12" i="81" s="1"/>
  <c r="D13" i="88"/>
  <c r="H13" i="88" s="1"/>
  <c r="G13" i="88" s="1"/>
  <c r="D12" i="88"/>
  <c r="H12" i="88" s="1"/>
  <c r="D14" i="88"/>
  <c r="H14" i="88" s="1"/>
  <c r="G14" i="88" s="1"/>
  <c r="I15" i="88"/>
  <c r="K12" i="64"/>
  <c r="K28" i="64"/>
  <c r="K27" i="64" s="1"/>
  <c r="I13" i="87"/>
  <c r="J13" i="87" s="1"/>
  <c r="K13" i="87" s="1"/>
  <c r="K12" i="87" s="1"/>
  <c r="K11" i="87" s="1"/>
  <c r="K37" i="87" s="1"/>
  <c r="F9" i="81"/>
  <c r="E40" i="81"/>
  <c r="G26" i="81"/>
  <c r="H26" i="81"/>
  <c r="I16" i="88" l="1"/>
  <c r="G6" i="88"/>
  <c r="G10" i="88" s="1"/>
  <c r="H10" i="88"/>
  <c r="G12" i="88"/>
  <c r="G15" i="88" s="1"/>
  <c r="H15" i="88"/>
  <c r="K40" i="64"/>
  <c r="I26" i="81"/>
  <c r="J26" i="81" s="1"/>
  <c r="K26" i="81" s="1"/>
  <c r="K21" i="81" s="1"/>
  <c r="G9" i="81"/>
  <c r="H9" i="81"/>
  <c r="H16" i="88" l="1"/>
  <c r="G16" i="88"/>
  <c r="I9" i="81"/>
  <c r="J9" i="81" s="1"/>
  <c r="K9" i="81" s="1"/>
  <c r="K6" i="81" s="1"/>
  <c r="K40" i="81" s="1"/>
  <c r="G7" i="47" l="1"/>
</calcChain>
</file>

<file path=xl/comments1.xml><?xml version="1.0" encoding="utf-8"?>
<comments xmlns="http://schemas.openxmlformats.org/spreadsheetml/2006/main">
  <authors>
    <author>PhongDH</author>
    <author>Pham Hong Thang</author>
  </authors>
  <commentList>
    <comment ref="E47" authorId="0">
      <text>
        <r>
          <rPr>
            <b/>
            <sz val="9"/>
            <color indexed="81"/>
            <rFont val="Tahoma"/>
            <family val="2"/>
          </rPr>
          <t>PhongDH:</t>
        </r>
        <r>
          <rPr>
            <sz val="9"/>
            <color indexed="81"/>
            <rFont val="Tahoma"/>
            <family val="2"/>
          </rPr>
          <t xml:space="preserve">
hạ KS3</t>
        </r>
      </text>
    </comment>
    <comment ref="F60" authorId="1">
      <text>
        <r>
          <rPr>
            <b/>
            <sz val="9"/>
            <color indexed="81"/>
            <rFont val="Tahoma"/>
            <family val="2"/>
          </rPr>
          <t>Pham Hong Thang:</t>
        </r>
        <r>
          <rPr>
            <sz val="9"/>
            <color indexed="81"/>
            <rFont val="Tahoma"/>
            <family val="2"/>
          </rPr>
          <t xml:space="preserve">
Áp dụng theo tích hợp dữ liệu không gian cấp xã lên cấp huyện của đất lúa</t>
        </r>
      </text>
    </comment>
  </commentList>
</comments>
</file>

<file path=xl/comments10.xml><?xml version="1.0" encoding="utf-8"?>
<comments xmlns="http://schemas.openxmlformats.org/spreadsheetml/2006/main">
  <authors>
    <author>Pham Hong Thang</author>
  </authors>
  <commentList>
    <comment ref="N6" authorId="0">
      <text>
        <r>
          <rPr>
            <b/>
            <sz val="9"/>
            <color indexed="81"/>
            <rFont val="Tahoma"/>
            <family val="2"/>
          </rPr>
          <t>Pham Hong Thang:</t>
        </r>
        <r>
          <rPr>
            <sz val="9"/>
            <color indexed="81"/>
            <rFont val="Tahoma"/>
            <family val="2"/>
          </rPr>
          <t xml:space="preserve">
từ 1985-2014</t>
        </r>
      </text>
    </comment>
    <comment ref="P6" authorId="0">
      <text>
        <r>
          <rPr>
            <b/>
            <sz val="9"/>
            <color indexed="81"/>
            <rFont val="Tahoma"/>
            <family val="2"/>
          </rPr>
          <t>Pham Hong Thang:</t>
        </r>
        <r>
          <rPr>
            <sz val="9"/>
            <color indexed="81"/>
            <rFont val="Tahoma"/>
            <family val="2"/>
          </rPr>
          <t xml:space="preserve">
từ 1985-2014</t>
        </r>
      </text>
    </comment>
    <comment ref="C8" authorId="0">
      <text>
        <r>
          <rPr>
            <b/>
            <sz val="9"/>
            <color indexed="81"/>
            <rFont val="Tahoma"/>
            <family val="2"/>
          </rPr>
          <t>Pham Hong Thang:</t>
        </r>
        <r>
          <rPr>
            <sz val="9"/>
            <color indexed="81"/>
            <rFont val="Tahoma"/>
            <family val="2"/>
          </rPr>
          <t xml:space="preserve">
Chỉ tính cấp quốc gia, ko có cấp vùng</t>
        </r>
      </text>
    </comment>
    <comment ref="C22" authorId="0">
      <text>
        <r>
          <rPr>
            <b/>
            <sz val="9"/>
            <color indexed="81"/>
            <rFont val="Tahoma"/>
            <family val="2"/>
          </rPr>
          <t>Pham Hong Thang:</t>
        </r>
        <r>
          <rPr>
            <sz val="9"/>
            <color indexed="81"/>
            <rFont val="Tahoma"/>
            <family val="2"/>
          </rPr>
          <t xml:space="preserve">
thông tư chỉ có lập cho cả nước, thực tế dc tổng hợp từ vùng</t>
        </r>
      </text>
    </comment>
    <comment ref="F28" authorId="0">
      <text>
        <r>
          <rPr>
            <b/>
            <sz val="9"/>
            <color indexed="81"/>
            <rFont val="Tahoma"/>
            <family val="2"/>
          </rPr>
          <t>Pham Hong Thang:</t>
        </r>
        <r>
          <rPr>
            <sz val="9"/>
            <color indexed="81"/>
            <rFont val="Tahoma"/>
            <family val="2"/>
          </rPr>
          <t xml:space="preserve">
2009 ko có thống kê</t>
        </r>
      </text>
    </comment>
    <comment ref="T33" authorId="0">
      <text>
        <r>
          <rPr>
            <b/>
            <sz val="9"/>
            <color indexed="81"/>
            <rFont val="Tahoma"/>
            <family val="2"/>
          </rPr>
          <t>Pham Hong Thang:</t>
        </r>
        <r>
          <rPr>
            <sz val="9"/>
            <color indexed="81"/>
            <rFont val="Tahoma"/>
            <family val="2"/>
          </rPr>
          <t xml:space="preserve">
Tổng 6 vùng + cả nước = 32.5 mảnh A0</t>
        </r>
      </text>
    </comment>
  </commentList>
</comments>
</file>

<file path=xl/comments11.xml><?xml version="1.0" encoding="utf-8"?>
<comments xmlns="http://schemas.openxmlformats.org/spreadsheetml/2006/main">
  <authors>
    <author>User</author>
  </authors>
  <commentList>
    <comment ref="B6" authorId="0">
      <text>
        <r>
          <rPr>
            <b/>
            <sz val="8"/>
            <color indexed="81"/>
            <rFont val="Tahoma"/>
            <family val="2"/>
          </rPr>
          <t>User:</t>
        </r>
        <r>
          <rPr>
            <sz val="8"/>
            <color indexed="81"/>
            <rFont val="Tahoma"/>
            <family val="2"/>
          </rPr>
          <t xml:space="preserve">
</t>
        </r>
        <r>
          <rPr>
            <sz val="12"/>
            <color indexed="81"/>
            <rFont val="Tahoma"/>
            <family val="2"/>
          </rPr>
          <t>Vênh, mâu thuẫn tổng số thửa đo đạc và trên địa bàn</t>
        </r>
      </text>
    </comment>
  </commentList>
</comments>
</file>

<file path=xl/comments2.xml><?xml version="1.0" encoding="utf-8"?>
<comments xmlns="http://schemas.openxmlformats.org/spreadsheetml/2006/main">
  <authors>
    <author>MaiXuanLong</author>
  </authors>
  <commentList>
    <comment ref="B12" authorId="0">
      <text>
        <r>
          <rPr>
            <b/>
            <sz val="9"/>
            <color indexed="81"/>
            <rFont val="Tahoma"/>
            <family val="2"/>
          </rPr>
          <t>MaiXuanLong:</t>
        </r>
        <r>
          <rPr>
            <sz val="9"/>
            <color indexed="81"/>
            <rFont val="Tahoma"/>
            <family val="2"/>
          </rPr>
          <t xml:space="preserve">
</t>
        </r>
      </text>
    </comment>
    <comment ref="B31" authorId="0">
      <text>
        <r>
          <rPr>
            <b/>
            <sz val="9"/>
            <color indexed="81"/>
            <rFont val="Tahoma"/>
            <family val="2"/>
          </rPr>
          <t>MaiXuanLong:</t>
        </r>
        <r>
          <rPr>
            <sz val="9"/>
            <color indexed="81"/>
            <rFont val="Tahoma"/>
            <family val="2"/>
          </rPr>
          <t xml:space="preserve">
</t>
        </r>
      </text>
    </comment>
    <comment ref="B60" authorId="0">
      <text>
        <r>
          <rPr>
            <b/>
            <sz val="9"/>
            <color indexed="81"/>
            <rFont val="Tahoma"/>
            <family val="2"/>
          </rPr>
          <t>MaiXuanLong:</t>
        </r>
        <r>
          <rPr>
            <sz val="9"/>
            <color indexed="81"/>
            <rFont val="Tahoma"/>
            <family val="2"/>
          </rPr>
          <t xml:space="preserve">
</t>
        </r>
      </text>
    </comment>
  </commentList>
</comments>
</file>

<file path=xl/comments3.xml><?xml version="1.0" encoding="utf-8"?>
<comments xmlns="http://schemas.openxmlformats.org/spreadsheetml/2006/main">
  <authors>
    <author>Pham Hong Thang</author>
  </authors>
  <commentList>
    <comment ref="D40" authorId="0">
      <text>
        <r>
          <rPr>
            <b/>
            <sz val="9"/>
            <color indexed="81"/>
            <rFont val="Tahoma"/>
            <family val="2"/>
          </rPr>
          <t>Pham Hong Thang:</t>
        </r>
        <r>
          <rPr>
            <sz val="9"/>
            <color indexed="81"/>
            <rFont val="Tahoma"/>
            <family val="2"/>
          </rPr>
          <t xml:space="preserve">
chuyển từ lớp dữ liệu thành bộ dữ liệu cho đồng nhất dv tính</t>
        </r>
      </text>
    </comment>
    <comment ref="F53" authorId="0">
      <text>
        <r>
          <rPr>
            <b/>
            <sz val="9"/>
            <color indexed="81"/>
            <rFont val="Tahoma"/>
            <family val="2"/>
          </rPr>
          <t>Pham Hong Thang:</t>
        </r>
        <r>
          <rPr>
            <sz val="9"/>
            <color indexed="81"/>
            <rFont val="Tahoma"/>
            <family val="2"/>
          </rPr>
          <t xml:space="preserve">
Áp dụng theo tích hợp dữ liệu không gian cấp xã lên cấp huyện của đất lúa</t>
        </r>
      </text>
    </comment>
  </commentList>
</comments>
</file>

<file path=xl/comments4.xml><?xml version="1.0" encoding="utf-8"?>
<comments xmlns="http://schemas.openxmlformats.org/spreadsheetml/2006/main">
  <authors>
    <author>MaiXuanLong</author>
  </authors>
  <commentList>
    <comment ref="B14" authorId="0">
      <text>
        <r>
          <rPr>
            <b/>
            <sz val="9"/>
            <color indexed="81"/>
            <rFont val="Tahoma"/>
            <family val="2"/>
          </rPr>
          <t>MaiXuanLong:</t>
        </r>
        <r>
          <rPr>
            <sz val="9"/>
            <color indexed="81"/>
            <rFont val="Tahoma"/>
            <family val="2"/>
          </rPr>
          <t xml:space="preserve">
</t>
        </r>
      </text>
    </comment>
    <comment ref="B39" authorId="0">
      <text>
        <r>
          <rPr>
            <b/>
            <sz val="9"/>
            <color indexed="81"/>
            <rFont val="Tahoma"/>
            <family val="2"/>
          </rPr>
          <t>MaiXuanLong:</t>
        </r>
        <r>
          <rPr>
            <sz val="9"/>
            <color indexed="81"/>
            <rFont val="Tahoma"/>
            <family val="2"/>
          </rPr>
          <t xml:space="preserve">
</t>
        </r>
      </text>
    </comment>
    <comment ref="B74" authorId="0">
      <text>
        <r>
          <rPr>
            <b/>
            <sz val="9"/>
            <color indexed="81"/>
            <rFont val="Tahoma"/>
            <family val="2"/>
          </rPr>
          <t>MaiXuanLong:</t>
        </r>
        <r>
          <rPr>
            <sz val="9"/>
            <color indexed="81"/>
            <rFont val="Tahoma"/>
            <family val="2"/>
          </rPr>
          <t xml:space="preserve">
</t>
        </r>
      </text>
    </comment>
  </commentList>
</comments>
</file>

<file path=xl/comments5.xml><?xml version="1.0" encoding="utf-8"?>
<comments xmlns="http://schemas.openxmlformats.org/spreadsheetml/2006/main">
  <authors>
    <author>Pham Hong Thang</author>
  </authors>
  <commentList>
    <comment ref="F49" authorId="0">
      <text>
        <r>
          <rPr>
            <b/>
            <sz val="9"/>
            <color indexed="81"/>
            <rFont val="Tahoma"/>
            <family val="2"/>
          </rPr>
          <t>Pham Hong Thang:</t>
        </r>
        <r>
          <rPr>
            <sz val="9"/>
            <color indexed="81"/>
            <rFont val="Tahoma"/>
            <family val="2"/>
          </rPr>
          <t xml:space="preserve">
Áp dụng theo tích hợp dữ liệu không gian cấp xã lên cấp huyện của đất lúa</t>
        </r>
      </text>
    </comment>
  </commentList>
</comments>
</file>

<file path=xl/comments6.xml><?xml version="1.0" encoding="utf-8"?>
<comments xmlns="http://schemas.openxmlformats.org/spreadsheetml/2006/main">
  <authors>
    <author>MaiXuanLong</author>
  </authors>
  <commentList>
    <comment ref="B14" authorId="0">
      <text>
        <r>
          <rPr>
            <b/>
            <sz val="9"/>
            <color indexed="81"/>
            <rFont val="Tahoma"/>
            <family val="2"/>
          </rPr>
          <t>MaiXuanLong:</t>
        </r>
        <r>
          <rPr>
            <sz val="9"/>
            <color indexed="81"/>
            <rFont val="Tahoma"/>
            <family val="2"/>
          </rPr>
          <t xml:space="preserve">
</t>
        </r>
      </text>
    </comment>
    <comment ref="B38" authorId="0">
      <text>
        <r>
          <rPr>
            <b/>
            <sz val="9"/>
            <color indexed="81"/>
            <rFont val="Tahoma"/>
            <family val="2"/>
          </rPr>
          <t>MaiXuanLong:</t>
        </r>
        <r>
          <rPr>
            <sz val="9"/>
            <color indexed="81"/>
            <rFont val="Tahoma"/>
            <family val="2"/>
          </rPr>
          <t xml:space="preserve">
</t>
        </r>
      </text>
    </comment>
    <comment ref="B72" authorId="0">
      <text>
        <r>
          <rPr>
            <b/>
            <sz val="9"/>
            <color indexed="81"/>
            <rFont val="Tahoma"/>
            <family val="2"/>
          </rPr>
          <t>MaiXuanLong:</t>
        </r>
        <r>
          <rPr>
            <sz val="9"/>
            <color indexed="81"/>
            <rFont val="Tahoma"/>
            <family val="2"/>
          </rPr>
          <t xml:space="preserve">
</t>
        </r>
      </text>
    </comment>
  </commentList>
</comments>
</file>

<file path=xl/comments7.xml><?xml version="1.0" encoding="utf-8"?>
<comments xmlns="http://schemas.openxmlformats.org/spreadsheetml/2006/main">
  <authors>
    <author>PhongDH</author>
    <author>Pham Hong Thang</author>
  </authors>
  <commentList>
    <comment ref="E47" authorId="0">
      <text>
        <r>
          <rPr>
            <b/>
            <sz val="9"/>
            <color indexed="81"/>
            <rFont val="Tahoma"/>
            <family val="2"/>
          </rPr>
          <t>PhongDH:</t>
        </r>
        <r>
          <rPr>
            <sz val="9"/>
            <color indexed="81"/>
            <rFont val="Tahoma"/>
            <family val="2"/>
          </rPr>
          <t xml:space="preserve">
hạ KS3</t>
        </r>
      </text>
    </comment>
    <comment ref="E49" authorId="0">
      <text>
        <r>
          <rPr>
            <b/>
            <sz val="9"/>
            <color indexed="81"/>
            <rFont val="Tahoma"/>
            <family val="2"/>
          </rPr>
          <t>PhongDH:</t>
        </r>
        <r>
          <rPr>
            <sz val="9"/>
            <color indexed="81"/>
            <rFont val="Tahoma"/>
            <family val="2"/>
          </rPr>
          <t xml:space="preserve">
hạ KS3</t>
        </r>
      </text>
    </comment>
    <comment ref="F59" authorId="1">
      <text>
        <r>
          <rPr>
            <b/>
            <sz val="9"/>
            <color indexed="81"/>
            <rFont val="Tahoma"/>
            <family val="2"/>
          </rPr>
          <t>Pham Hong Thang:</t>
        </r>
        <r>
          <rPr>
            <sz val="9"/>
            <color indexed="81"/>
            <rFont val="Tahoma"/>
            <family val="2"/>
          </rPr>
          <t xml:space="preserve">
Áp dụng theo tích hợp dữ liệu không gian cấp xã lên cấp huyện của đất lúa</t>
        </r>
      </text>
    </comment>
  </commentList>
</comments>
</file>

<file path=xl/comments8.xml><?xml version="1.0" encoding="utf-8"?>
<comments xmlns="http://schemas.openxmlformats.org/spreadsheetml/2006/main">
  <authors>
    <author>MaiXuanLong</author>
  </authors>
  <commentList>
    <comment ref="B36" authorId="0">
      <text>
        <r>
          <rPr>
            <b/>
            <sz val="9"/>
            <color indexed="81"/>
            <rFont val="Tahoma"/>
            <family val="2"/>
          </rPr>
          <t>MaiXuanLong:</t>
        </r>
        <r>
          <rPr>
            <sz val="9"/>
            <color indexed="81"/>
            <rFont val="Tahoma"/>
            <family val="2"/>
          </rPr>
          <t xml:space="preserve">
</t>
        </r>
      </text>
    </comment>
    <comment ref="B69" authorId="0">
      <text>
        <r>
          <rPr>
            <b/>
            <sz val="9"/>
            <color indexed="81"/>
            <rFont val="Tahoma"/>
            <family val="2"/>
          </rPr>
          <t>MaiXuanLong:</t>
        </r>
        <r>
          <rPr>
            <sz val="9"/>
            <color indexed="81"/>
            <rFont val="Tahoma"/>
            <family val="2"/>
          </rPr>
          <t xml:space="preserve">
</t>
        </r>
      </text>
    </comment>
  </commentList>
</comments>
</file>

<file path=xl/comments9.xml><?xml version="1.0" encoding="utf-8"?>
<comments xmlns="http://schemas.openxmlformats.org/spreadsheetml/2006/main">
  <authors>
    <author>Pham Hong Thang</author>
  </authors>
  <commentList>
    <comment ref="K6" authorId="0">
      <text>
        <r>
          <rPr>
            <b/>
            <sz val="9"/>
            <color indexed="81"/>
            <rFont val="Tahoma"/>
            <family val="2"/>
          </rPr>
          <t>Pham Hong Thang:</t>
        </r>
        <r>
          <rPr>
            <sz val="9"/>
            <color indexed="81"/>
            <rFont val="Tahoma"/>
            <family val="2"/>
          </rPr>
          <t xml:space="preserve">
từ 1985-2014</t>
        </r>
      </text>
    </comment>
  </commentList>
</comments>
</file>

<file path=xl/sharedStrings.xml><?xml version="1.0" encoding="utf-8"?>
<sst xmlns="http://schemas.openxmlformats.org/spreadsheetml/2006/main" count="5364" uniqueCount="1017">
  <si>
    <t>Bổ sung hoàn thiện thông tin thuộc tinh cho CSDL đã có (Cho Qtr 4: Áp dụng cho số trường thông tin còn thiếu so với chuẩn</t>
  </si>
  <si>
    <t>Khấu hao /1 ca</t>
  </si>
  <si>
    <t>Danh mục dụng cụ</t>
  </si>
  <si>
    <t>Danh mục vật liệu</t>
  </si>
  <si>
    <t>Công suất
(kw/h)</t>
  </si>
  <si>
    <r>
      <t xml:space="preserve">Thời gian
SD máy
</t>
    </r>
    <r>
      <rPr>
        <sz val="12"/>
        <rFont val="Times New Roman"/>
        <family val="1"/>
      </rPr>
      <t>(năm)</t>
    </r>
  </si>
  <si>
    <t>Ghi chú</t>
  </si>
  <si>
    <t>Định biên</t>
  </si>
  <si>
    <t>Điện năng</t>
  </si>
  <si>
    <t>TT</t>
  </si>
  <si>
    <t>A</t>
  </si>
  <si>
    <t>B</t>
  </si>
  <si>
    <t>C</t>
  </si>
  <si>
    <t>PCTN</t>
  </si>
  <si>
    <t>STT</t>
  </si>
  <si>
    <t>I</t>
  </si>
  <si>
    <t>Đơn giá
(đ/ca)</t>
  </si>
  <si>
    <t>Danh mục thiết bị</t>
  </si>
  <si>
    <t>Định mức</t>
  </si>
  <si>
    <t>Nguyên giá</t>
  </si>
  <si>
    <t>Thành tiền</t>
  </si>
  <si>
    <t>ĐVT</t>
  </si>
  <si>
    <t>Bút bi</t>
  </si>
  <si>
    <t>CHI PHÍ KHẤU HAO MÁY VÀ THIẾT BỊ</t>
  </si>
  <si>
    <t>Máy photocopy</t>
  </si>
  <si>
    <t>Điều hoà nhiệt độ</t>
  </si>
  <si>
    <t>Số</t>
  </si>
  <si>
    <t>Bàn làm việc</t>
  </si>
  <si>
    <t>Hệ số</t>
  </si>
  <si>
    <t>lương</t>
  </si>
  <si>
    <t>Lao động phổ thông</t>
  </si>
  <si>
    <t>BẢNG CHIẾT TÍNH ĐƠN GIÁ TIỀN CÔNG LAO ĐỘNG</t>
  </si>
  <si>
    <t>Bậc việc</t>
  </si>
  <si>
    <t>Lương CB</t>
  </si>
  <si>
    <t>lương cb</t>
  </si>
  <si>
    <t>Lương phụ</t>
  </si>
  <si>
    <t>Bình quân</t>
  </si>
  <si>
    <t>Tổng cộng</t>
  </si>
  <si>
    <t>lương CB</t>
  </si>
  <si>
    <t>I- NGOẠI NGHIỆP:</t>
  </si>
  <si>
    <t>III/ PHỤ CẤP KHU VỰC (0.1):</t>
  </si>
  <si>
    <t>Ngoại nghiệp</t>
  </si>
  <si>
    <t>Nội nghiệp</t>
  </si>
  <si>
    <t>Phụ cấp</t>
  </si>
  <si>
    <t>độc hại</t>
  </si>
  <si>
    <t>Kỹ thuật viên</t>
  </si>
  <si>
    <t>Nhóm 2</t>
  </si>
  <si>
    <t>Nhóm 3</t>
  </si>
  <si>
    <t>Kỹ sư</t>
  </si>
  <si>
    <t>1 ngày công</t>
  </si>
  <si>
    <t>Hộp đựng tài liệu</t>
  </si>
  <si>
    <t>Túi đựng tài liệu</t>
  </si>
  <si>
    <t>Dập ghim</t>
  </si>
  <si>
    <t>Ổ ghi đĩa DVD</t>
  </si>
  <si>
    <t xml:space="preserve">Ghế </t>
  </si>
  <si>
    <t>Quạt trần 0,1 kW</t>
  </si>
  <si>
    <t>Đèn neon 0,04 kW</t>
  </si>
  <si>
    <t>Tủ đựng tài liệu</t>
  </si>
  <si>
    <t>Giá để tài liệu</t>
  </si>
  <si>
    <t xml:space="preserve">Điện năng </t>
  </si>
  <si>
    <t>Lái xe</t>
  </si>
  <si>
    <t>Nhóm 1</t>
  </si>
  <si>
    <t>3.1.1</t>
  </si>
  <si>
    <t>3.1.2</t>
  </si>
  <si>
    <t>4.3.1</t>
  </si>
  <si>
    <t>II</t>
  </si>
  <si>
    <t>Thu thập dữ liệu, tài liệu</t>
  </si>
  <si>
    <t>3.2.1</t>
  </si>
  <si>
    <t>3.2.2</t>
  </si>
  <si>
    <t>4.1.1</t>
  </si>
  <si>
    <t>4.1.2</t>
  </si>
  <si>
    <t>III</t>
  </si>
  <si>
    <t>IV</t>
  </si>
  <si>
    <t>Chuyển đổi các đối tượng không gian địa chính bổ sung vào CSDL hiện có</t>
  </si>
  <si>
    <t>Huyện</t>
  </si>
  <si>
    <t>Tỉnh</t>
  </si>
  <si>
    <t>V</t>
  </si>
  <si>
    <t>Thời hạn
(tháng)</t>
  </si>
  <si>
    <t>Đồng</t>
  </si>
  <si>
    <t>ĐVT:</t>
  </si>
  <si>
    <t>Đơn giá
(đồng)</t>
  </si>
  <si>
    <t>Thành tiền
(đồng)</t>
  </si>
  <si>
    <t>Máy tính để bàn</t>
  </si>
  <si>
    <t>Máy in laser</t>
  </si>
  <si>
    <t>đồng</t>
  </si>
  <si>
    <t>Giấy in A4</t>
  </si>
  <si>
    <t>Mực in laser</t>
  </si>
  <si>
    <t>Mực máy photocopy</t>
  </si>
  <si>
    <t xml:space="preserve">Sổ </t>
  </si>
  <si>
    <t xml:space="preserve">Đĩa CD </t>
  </si>
  <si>
    <t xml:space="preserve">Đĩa DVD </t>
  </si>
  <si>
    <t>Hộp ghim kẹp</t>
  </si>
  <si>
    <t>Hộp ghim dập</t>
  </si>
  <si>
    <t>Giấy note</t>
  </si>
  <si>
    <t>Cặp để tài liệu</t>
  </si>
  <si>
    <t>CHI PHÍ VẬT LIỆU</t>
  </si>
  <si>
    <t>Máy Scan</t>
  </si>
  <si>
    <t>Tách. lọc từ nội dung BĐĐC các đối tượng cần bổ sung để hoàn thiện dữ liệu không gian địa chính</t>
  </si>
  <si>
    <t>4.3.2</t>
  </si>
  <si>
    <t>Chuẩn hóa đối tượng không gian bổ sung cho phù hợp với yêu cầu của chuẩn dữ liệu địa chính</t>
  </si>
  <si>
    <t>Nhập thông tin thuộc tính của đối tượng không gian địa chính bổ sung từ nội dung BĐĐC và từ hồ sơ cấp GCN. hồ sơ đăng kí biến động</t>
  </si>
  <si>
    <t>Hao hụt 5%</t>
  </si>
  <si>
    <t>Thời hạn</t>
  </si>
  <si>
    <t>Đơn giá</t>
  </si>
  <si>
    <t>(đồng)</t>
  </si>
  <si>
    <t>KK1</t>
  </si>
  <si>
    <t>KK2</t>
  </si>
  <si>
    <t>KK3</t>
  </si>
  <si>
    <t>(ca)</t>
  </si>
  <si>
    <t>Thu thập tài liệu</t>
  </si>
  <si>
    <t>Dụng cụ nhỏ 5%</t>
  </si>
  <si>
    <t>Dụng cụ nhỏ 8%</t>
  </si>
  <si>
    <t xml:space="preserve">Phụ lục </t>
  </si>
  <si>
    <t>DANH MỤC CÁC TRƯỜNG THUỘC TÍNH DỮ LIỆU ĐỊA CHÍNH</t>
  </si>
  <si>
    <t>(Trên cơ sở hiện trạng hồ sơ cấp GCN và quy định của chuẩn dư liệu địa chính (TT30)</t>
  </si>
  <si>
    <t>Danh mục đối tượng quản lý</t>
  </si>
  <si>
    <t xml:space="preserve">Mã ưu tiên </t>
  </si>
  <si>
    <t>Số trường</t>
  </si>
  <si>
    <t>Sai số cho phép</t>
  </si>
  <si>
    <t>&lt; 5%</t>
  </si>
  <si>
    <t>Tổ chức: người đại diện</t>
  </si>
  <si>
    <t>Tên</t>
  </si>
  <si>
    <t>Số nhà</t>
  </si>
  <si>
    <t>Đường phố</t>
  </si>
  <si>
    <t>Tổ dân phố</t>
  </si>
  <si>
    <t>xã, phường</t>
  </si>
  <si>
    <t>Quận huyện</t>
  </si>
  <si>
    <t>Đối tượng sử dụng</t>
  </si>
  <si>
    <t>Diện tích</t>
  </si>
  <si>
    <t>Loại đất</t>
  </si>
  <si>
    <t>Loại đất cũ</t>
  </si>
  <si>
    <t>Dịa chỉ thửa</t>
  </si>
  <si>
    <t>Ngõ phố</t>
  </si>
  <si>
    <t>Xứ đồng</t>
  </si>
  <si>
    <t>Tỷ lệ bản đồ</t>
  </si>
  <si>
    <t>Loại tài liệu đo đạc</t>
  </si>
  <si>
    <t>Ngày hoàn thành</t>
  </si>
  <si>
    <t>Phương pháp đo</t>
  </si>
  <si>
    <t>Mức độ chính xác</t>
  </si>
  <si>
    <t>Loại tài liệu đo đac</t>
  </si>
  <si>
    <t>Đơn vị đo đac</t>
  </si>
  <si>
    <t>Tổng số trường hiện tại</t>
  </si>
  <si>
    <t>Tổng số trường biến động</t>
  </si>
  <si>
    <t>Tài sản gắn liền với đất</t>
  </si>
  <si>
    <t>(15% GCN)</t>
  </si>
  <si>
    <t>Nhà</t>
  </si>
  <si>
    <t>Số thứ tự tài sản</t>
  </si>
  <si>
    <t>Tên nhà</t>
  </si>
  <si>
    <t>Diện tích XD</t>
  </si>
  <si>
    <t>Diện tích sàn</t>
  </si>
  <si>
    <t>Loại công năng</t>
  </si>
  <si>
    <t>Kết cấu</t>
  </si>
  <si>
    <t>Cấp nhà</t>
  </si>
  <si>
    <t>Số Tầng</t>
  </si>
  <si>
    <t>Năm hoàn thành</t>
  </si>
  <si>
    <t>Tổng số căn hộ</t>
  </si>
  <si>
    <t>Tổng</t>
  </si>
  <si>
    <t>tính cho nhà trên thửa</t>
  </si>
  <si>
    <t>Căn hộ</t>
  </si>
  <si>
    <t>Số hiệu căn hộ</t>
  </si>
  <si>
    <t>Số tầng</t>
  </si>
  <si>
    <t>Địa chỉ</t>
  </si>
  <si>
    <t>Nội dung công việc</t>
  </si>
  <si>
    <t>Công nhóm</t>
  </si>
  <si>
    <t>Công đơn</t>
  </si>
  <si>
    <t>Tổng cho căn hộ</t>
  </si>
  <si>
    <t>GCN cho căn hộ</t>
  </si>
  <si>
    <t>Công trình xây dựng</t>
  </si>
  <si>
    <t>Tên công trình</t>
  </si>
  <si>
    <t>Tên hạng mục</t>
  </si>
  <si>
    <t>Diện tích xây dựng</t>
  </si>
  <si>
    <t>Công năng</t>
  </si>
  <si>
    <t>Loại cấp công trình</t>
  </si>
  <si>
    <t>năm hoàn thành</t>
  </si>
  <si>
    <t>Tổng cho CTXD</t>
  </si>
  <si>
    <t>GCN choCTXD</t>
  </si>
  <si>
    <t>Rừng</t>
  </si>
  <si>
    <t>Số TT</t>
  </si>
  <si>
    <t>Loại nguồn gốc</t>
  </si>
  <si>
    <t>Cây lâu năm</t>
  </si>
  <si>
    <t>Nguồn gốc</t>
  </si>
  <si>
    <t>Tổng cho GCN Tsản khác</t>
  </si>
  <si>
    <t>GCN cho TS khác</t>
  </si>
  <si>
    <t>Dữ liệu về quyền</t>
  </si>
  <si>
    <t>GCN thửa đất nói chung</t>
  </si>
  <si>
    <t>Mục đích sử dụng</t>
  </si>
  <si>
    <t>Diện tích riêng</t>
  </si>
  <si>
    <t>Diện tích chung</t>
  </si>
  <si>
    <t>Mục đích chi tiết</t>
  </si>
  <si>
    <t>Mục đích sử dụng phụ</t>
  </si>
  <si>
    <t>Thời hạn sử dụng</t>
  </si>
  <si>
    <t>Loại thời hạn</t>
  </si>
  <si>
    <t>Ngày hết hạn</t>
  </si>
  <si>
    <t>Nguồn gốc sử dụng đất</t>
  </si>
  <si>
    <t>Giấy chứng nhận</t>
  </si>
  <si>
    <t>Số vào sổ</t>
  </si>
  <si>
    <t>Số phát hành</t>
  </si>
  <si>
    <t>Mã vạch</t>
  </si>
  <si>
    <t>Ngày vào sổ cấp giấy</t>
  </si>
  <si>
    <t>Người nhận giấy</t>
  </si>
  <si>
    <t>Quyết định cấp giấy</t>
  </si>
  <si>
    <t>Văn bản pháp lý</t>
  </si>
  <si>
    <t>Loại văn bản</t>
  </si>
  <si>
    <t>Số văn bản</t>
  </si>
  <si>
    <t>Ngày ban hành</t>
  </si>
  <si>
    <t>CQ ban hành</t>
  </si>
  <si>
    <t>Quyền sử dụng và sở hữu tài sản (chung cư)</t>
  </si>
  <si>
    <t>GCN Tài sản (căn hộ)</t>
  </si>
  <si>
    <t>Loại tài sản</t>
  </si>
  <si>
    <t>Loại hình sở hữu</t>
  </si>
  <si>
    <t>Sở hữu chung riêng</t>
  </si>
  <si>
    <t>Tầng số</t>
  </si>
  <si>
    <t>Mô tả hạng mục</t>
  </si>
  <si>
    <t>Thời hạn sở hữu</t>
  </si>
  <si>
    <t>Nghĩa vụ tài chính</t>
  </si>
  <si>
    <t>Loại nghĩa vụ tài chính</t>
  </si>
  <si>
    <t>Tổng số tiền</t>
  </si>
  <si>
    <t>Loại chế độ miễn giảm</t>
  </si>
  <si>
    <t>Mức miễn giảm</t>
  </si>
  <si>
    <t>Ngày bắt đầu miễn giảm</t>
  </si>
  <si>
    <t>Ngày hết hạn miễn giảm</t>
  </si>
  <si>
    <t>Quyết định</t>
  </si>
  <si>
    <t>Ngày ra QĐ</t>
  </si>
  <si>
    <t>CQ ra QĐ</t>
  </si>
  <si>
    <t>Nợ nghĩa vụ tài chính</t>
  </si>
  <si>
    <t>Số thông báo cho nợ</t>
  </si>
  <si>
    <t>CQ ra thông báo cho nợ</t>
  </si>
  <si>
    <t>ngày ra thông báo</t>
  </si>
  <si>
    <t>Số tiền nợ</t>
  </si>
  <si>
    <t>Hoàn thành nghĩa vụ tài chính</t>
  </si>
  <si>
    <t>Số tiền nộp</t>
  </si>
  <si>
    <t>Số năm nộp</t>
  </si>
  <si>
    <t>Ngày nộp</t>
  </si>
  <si>
    <t>Số chứng từ</t>
  </si>
  <si>
    <t>Loại chứng từ</t>
  </si>
  <si>
    <t>Hạn chế quyền sử dụng</t>
  </si>
  <si>
    <t>loại hạn chế</t>
  </si>
  <si>
    <t>Số văn bản pháp lý</t>
  </si>
  <si>
    <t>Hạn chế khác</t>
  </si>
  <si>
    <t>Hồ sơ giao dịch</t>
  </si>
  <si>
    <t>Loại giao dịch</t>
  </si>
  <si>
    <t>Số thứ tự hồ sơ</t>
  </si>
  <si>
    <t>Số hồ sơ lưu trữ</t>
  </si>
  <si>
    <t>Ngày tiếp nhận</t>
  </si>
  <si>
    <t>Ngày chấp nhận</t>
  </si>
  <si>
    <t>Loại cơ quan thụ lý</t>
  </si>
  <si>
    <t>Loại CQ phê duyệt</t>
  </si>
  <si>
    <t>Người  được  ủy quyền</t>
  </si>
  <si>
    <t>Giao dịch bảo đảm</t>
  </si>
  <si>
    <t>Loại giao dịch bảo đảm</t>
  </si>
  <si>
    <t>Số tiền</t>
  </si>
  <si>
    <t>Đơn vị tính</t>
  </si>
  <si>
    <t>Đơn vị thời gian tính giá tiền thuê đất</t>
  </si>
  <si>
    <t>Điện tích</t>
  </si>
  <si>
    <t>Ngày bắt đầu</t>
  </si>
  <si>
    <t>Người nhận</t>
  </si>
  <si>
    <t>Người bảo lãnh</t>
  </si>
  <si>
    <t>Tình trạng  sử dụng đất</t>
  </si>
  <si>
    <t>Tình trạng sở hữu nhà và tài sản</t>
  </si>
  <si>
    <t>Quyền sử dụng đất</t>
  </si>
  <si>
    <t>Quyền quản lý đất</t>
  </si>
  <si>
    <t>Quyền sở hữu nhà ở và tài sản</t>
  </si>
  <si>
    <t>Tổng số trường</t>
  </si>
  <si>
    <t>Ghi chú:</t>
  </si>
  <si>
    <t>Bắt buộc cho mọi hồ sơ, nhập thủ công từ hồ sơ lưu</t>
  </si>
  <si>
    <t xml:space="preserve">Do đặc điểm về sử dụng bản đồ trong cấp GCNCó thể có, có thể không có (trường hợp để trống coi như SH cũ và mới trùng nhau) </t>
  </si>
  <si>
    <t>Do tình trạng hồ sơ có thể có, có thể không có</t>
  </si>
  <si>
    <t>Có thể có hoặc không có tuỳ thuộc loại đất, loại TS trên đất</t>
  </si>
  <si>
    <t>Có thể cài đặt sẵn thư viện địa danh hành chính các cấp trong hệ thống của phần mềm để lựa chọn, không nhập thủ công</t>
  </si>
  <si>
    <t>Nhóm TT</t>
  </si>
  <si>
    <t xml:space="preserve">Tổng số trường TT </t>
  </si>
  <si>
    <t>Công nhập TT30</t>
  </si>
  <si>
    <t>1595/BTTTT</t>
  </si>
  <si>
    <t>Nhóm thông tin</t>
  </si>
  <si>
    <t>Thông tin về chủ sử dụng</t>
  </si>
  <si>
    <t>Thông tin về thửa đất</t>
  </si>
  <si>
    <t>Thửa không có tài sản (đất NN, LN)</t>
  </si>
  <si>
    <t>Thửa  có tài sản là nhà (đất ở, TC)</t>
  </si>
  <si>
    <t>Thửa  có tài sản là CTXD</t>
  </si>
  <si>
    <t>Thửa  có tài sản khác</t>
  </si>
  <si>
    <t>Thông tin về căn hộ</t>
  </si>
  <si>
    <t>Thông tin về quyền</t>
  </si>
  <si>
    <t xml:space="preserve">GCN thửa đất </t>
  </si>
  <si>
    <t>GCN căn hộ</t>
  </si>
  <si>
    <t>Thông tin về nghĩa vụ TC</t>
  </si>
  <si>
    <t>VI</t>
  </si>
  <si>
    <t xml:space="preserve">Công nhập tin theo loại GCN </t>
  </si>
  <si>
    <t>GCN thửa đất (1GCN/1 thửa) cấp lần đầu</t>
  </si>
  <si>
    <t>không có tài sản (đất NN, LN)</t>
  </si>
  <si>
    <t>có tài sản là nhà (đất ở, TC)</t>
  </si>
  <si>
    <t>có tài sản là CTXD</t>
  </si>
  <si>
    <t>có tài sản khác</t>
  </si>
  <si>
    <t>GCN căn hộ cấp lần đầu</t>
  </si>
  <si>
    <r>
      <t xml:space="preserve">GCN thửa đất có cấp đổi </t>
    </r>
    <r>
      <rPr>
        <i/>
        <sz val="12"/>
        <color indexed="18"/>
        <rFont val="Times New Roman"/>
        <family val="1"/>
      </rPr>
      <t>(cấp lần đầu + cấp đổi)</t>
    </r>
  </si>
  <si>
    <t>1GCN/1 thửa</t>
  </si>
  <si>
    <t>Không có tài sản (đất NN, LN)</t>
  </si>
  <si>
    <t xml:space="preserve">Biến động thửa </t>
  </si>
  <si>
    <t>do thu hồi một phần,  hoặc theo số liệu đo mới. Không áp dụng cho tách hợp tạo thửa mới, dồn điền đổi thửa )</t>
  </si>
  <si>
    <r>
      <t>Biến động chủ (</t>
    </r>
    <r>
      <rPr>
        <i/>
        <sz val="12"/>
        <rFont val="Times New Roman"/>
        <family val="1"/>
      </rPr>
      <t>giao dịch mua bán, chuyển nhượng)</t>
    </r>
  </si>
  <si>
    <t>Có tài sản (chỉ áp dụng cho TS là nhà)</t>
  </si>
  <si>
    <t>Biến động thửa</t>
  </si>
  <si>
    <t>Biến động chủ</t>
  </si>
  <si>
    <t>Thông tin đăng ký phục vụ cấp mới GCN</t>
  </si>
  <si>
    <t>4..2</t>
  </si>
  <si>
    <t>Thông tin đăng ký phục vụ cấp đổi GCN</t>
  </si>
  <si>
    <t>Ap dụng cho trường hợp thông tin cấp GCN đã nhập theo hiện trạng hồ sơ, mục này chỉ nhập bổ sung TT cho cấp đổi</t>
  </si>
  <si>
    <t>Quét hồ sơ</t>
  </si>
  <si>
    <t>Khổ A3</t>
  </si>
  <si>
    <t>Khổ A4</t>
  </si>
  <si>
    <t>Thông tin khác (Hồ sơ giao dịch)</t>
  </si>
  <si>
    <t>Thông tin khác (Giao dịch bảo đảm)</t>
  </si>
  <si>
    <t xml:space="preserve">Nếu có loại hồ sơ khác thì thay thế </t>
  </si>
  <si>
    <t xml:space="preserve">mức 1&lt; 15 kí tự, Mức 2  từ 16 đến 50 </t>
  </si>
  <si>
    <t>II. Nội dung, cấu trúc và kiểu thông tin của siêu dữ liệu địa chính</t>
  </si>
  <si>
    <t>Nội dung, cấu trúc và kiểu thông tin của siêu dữ liệu địa chính được xây dựng tuân thủ theo đúng chuẩn quốc tế về siêu dữ liệu địa lý. Do vậy ký hiệu trường thông tin phải đặt  theo đúng thuật ngữ tiếng Anh để tương thích với chuẩn quốc tế.</t>
  </si>
  <si>
    <t>II.1 Các nhóm thông tin của siêu dữ liệu địa chính</t>
  </si>
  <si>
    <t>1. Nhóm thông tin mô tả về siêu dữ liệu địa chính</t>
  </si>
  <si>
    <t>Mã thông tin</t>
  </si>
  <si>
    <t>Phân cấp thông tin</t>
  </si>
  <si>
    <t>Ký hiệu trường thông tin</t>
  </si>
  <si>
    <t>Kiểu giá trị</t>
  </si>
  <si>
    <t>Độ dài</t>
  </si>
  <si>
    <t>Điều kiện (bắt buộc, không bắt buộc, bắt buộc thoả mãn điều kiện khác)</t>
  </si>
  <si>
    <t>Mô tả</t>
  </si>
  <si>
    <t xml:space="preserve">Thông tin mô tả siêu dữ liệu </t>
  </si>
  <si>
    <t>Mã tài liệu</t>
  </si>
  <si>
    <t>fileIdentifier</t>
  </si>
  <si>
    <t>Chuỗi ký tự</t>
  </si>
  <si>
    <t>CharacterString</t>
  </si>
  <si>
    <t>Là mã nhận dạng duy nhất được gán cho mỗi tài liệu siêu dữ liệu</t>
  </si>
  <si>
    <t>Ngôn ngữ</t>
  </si>
  <si>
    <t>language</t>
  </si>
  <si>
    <t>Là ngôn ngữ chính thức được sử dụng trong thông tin mô tả của siêu dữ liệu.</t>
  </si>
  <si>
    <t>Bảng mã ký tự</t>
  </si>
  <si>
    <t>characterSet</t>
  </si>
  <si>
    <t>Mã tài liệu gốc</t>
  </si>
  <si>
    <t>parentIdentifier</t>
  </si>
  <si>
    <t xml:space="preserve">Là mã nhận dạng của siêu dữ liệu được sử dụng làm cơ sở để lập siêu dữ liệu. </t>
  </si>
  <si>
    <t>Phạm vi mô tả</t>
  </si>
  <si>
    <t>hierachyLevel</t>
  </si>
  <si>
    <t xml:space="preserve">Là phạm vi dữ liệu địa chính mà siêu dữ liệu mô tả. </t>
  </si>
  <si>
    <t>Ngày lập</t>
  </si>
  <si>
    <t>dateStamp</t>
  </si>
  <si>
    <t>Ngày tháng</t>
  </si>
  <si>
    <t>Date</t>
  </si>
  <si>
    <t xml:space="preserve">Là ngày lập siêu dữ liệu. </t>
  </si>
  <si>
    <t>Đơn vị lập</t>
  </si>
  <si>
    <t>Chi tiết tại mục II.2.1</t>
  </si>
  <si>
    <t>Là thông tin của đơn vị lập siêu dữ liệu.</t>
  </si>
  <si>
    <t>Tên chuẩn</t>
  </si>
  <si>
    <t>metadataStandardName</t>
  </si>
  <si>
    <t>Là tên đầy đủ của chuẩn siêu dữ liệu được áp dụng để lập siêu dữ liệu.</t>
  </si>
  <si>
    <t>Phiên bản</t>
  </si>
  <si>
    <t>metadataStandardVersion</t>
  </si>
  <si>
    <t>Là phiên bản của chuẩn siêu dữ liệu được áp dụng để lập siêu dữ liệu.</t>
  </si>
  <si>
    <t>2. Nhóm thông tin mô tả về dữ liệu địa chính</t>
  </si>
  <si>
    <t>Thông tin khái quát</t>
  </si>
  <si>
    <t>Trích yếu</t>
  </si>
  <si>
    <t>title</t>
  </si>
  <si>
    <t>Là các thông tin trích dẫn về phương pháp xây dựng, phương pháp thu thập tài liệu gốc...</t>
  </si>
  <si>
    <t>Ngày nghiệm thu</t>
  </si>
  <si>
    <t>date</t>
  </si>
  <si>
    <t>Là ngày nghiệm thu dữ liệu địa chính.</t>
  </si>
  <si>
    <t>Tóm tắt</t>
  </si>
  <si>
    <t>abstract</t>
  </si>
  <si>
    <t>Là mô tả ngắn gọn về nội dung dữ liệu địa chính.</t>
  </si>
  <si>
    <t>Mục đích</t>
  </si>
  <si>
    <t>purpose</t>
  </si>
  <si>
    <t>Là mục đích xây dựng dữ liệu địa chính.</t>
  </si>
  <si>
    <t>Kiểu mô hình dữ liệu không gian</t>
  </si>
  <si>
    <t>spatialRepresentationType</t>
  </si>
  <si>
    <t>Là kiểu mô hình dữ liệu không gian như vectơ, raster.</t>
  </si>
  <si>
    <t>Hiện trạng</t>
  </si>
  <si>
    <t>status</t>
  </si>
  <si>
    <t>Là tình trạng hiện thời của dữ liệu địa chính như đã hoàn thành, đang thi công...</t>
  </si>
  <si>
    <t xml:space="preserve">Là ngôn ngữ được sử dụng trong dữ liệu địa chính. </t>
  </si>
  <si>
    <t xml:space="preserve">Là tên đầy đủ của bảng mã ký tự chuẩn được sử dụng trong dữ liệu địa chính. </t>
  </si>
  <si>
    <t>Chủ đề</t>
  </si>
  <si>
    <t>topicCategory</t>
  </si>
  <si>
    <t>Là các chủ đề chính của dữ liệu địa chính.</t>
  </si>
  <si>
    <t>Từ khóa</t>
  </si>
  <si>
    <t>Tên từ khóa</t>
  </si>
  <si>
    <t>keyword</t>
  </si>
  <si>
    <t>Tên từ khoá, ví dụ như Hà nội, giao thông…</t>
  </si>
  <si>
    <t>Loại từ khóa</t>
  </si>
  <si>
    <t>type</t>
  </si>
  <si>
    <t>Gồm hai loại: địa danh và chủ đề dữ liệu.</t>
  </si>
  <si>
    <t>Ảnh đại diện</t>
  </si>
  <si>
    <t>graphicOverview</t>
  </si>
  <si>
    <t>Tên tệp ảnh</t>
  </si>
  <si>
    <t>fileName</t>
  </si>
  <si>
    <t>Là tên tệp ảnh đại diện cho dữ liệu</t>
  </si>
  <si>
    <t>Mô tả tệp ảnh</t>
  </si>
  <si>
    <t>fileDescription</t>
  </si>
  <si>
    <t>Là mô tả bổ sung về tệp ảnh đại diện</t>
  </si>
  <si>
    <t>Định dạng</t>
  </si>
  <si>
    <t>fileType</t>
  </si>
  <si>
    <t>Là tên định dạng ảnh đại diện (ví dụ: GIF, JPEG, TIFF...).</t>
  </si>
  <si>
    <t>Tỷ lệ</t>
  </si>
  <si>
    <t>Mẫu số tỉ lệ</t>
  </si>
  <si>
    <t>spatialResolution</t>
  </si>
  <si>
    <t>Là mẫu số tỉ lệ bản đồ địa chính tương ứng.</t>
  </si>
  <si>
    <t>Phạm vi</t>
  </si>
  <si>
    <t>description</t>
  </si>
  <si>
    <t>Giới hạn theo tọa độ địa lý</t>
  </si>
  <si>
    <t xml:space="preserve">Chi tiết tại mục II.2.2 </t>
  </si>
  <si>
    <t>Giới hạn theo tọa độ phẳng</t>
  </si>
  <si>
    <t>Chi tiết tại mục II.2.3</t>
  </si>
  <si>
    <t>Ràng buộc pháp luật</t>
  </si>
  <si>
    <t>Giới hạn sử dụng</t>
  </si>
  <si>
    <t>useLimitation</t>
  </si>
  <si>
    <t>2a</t>
  </si>
  <si>
    <t>2b</t>
  </si>
  <si>
    <t>2b.1</t>
  </si>
  <si>
    <t>2b.2</t>
  </si>
  <si>
    <t>Giới hạn sử dụng dữ liệu địa chính, ví dụ: Không được chuyển giao cho người sử dụng thứ 3.</t>
  </si>
  <si>
    <t>Đơn vị xây dựng dữ liệu</t>
  </si>
  <si>
    <t xml:space="preserve">Chi tiết tại mục II.2.1 </t>
  </si>
  <si>
    <t>Đơn vị quản lý dữ liệu</t>
  </si>
  <si>
    <t>Đơn vị phân phối dữ liệu</t>
  </si>
  <si>
    <t>3. Nhóm thông tin mô tả về chất lượng dữ liệu</t>
  </si>
  <si>
    <t>Mức đánh giá chất lượng</t>
  </si>
  <si>
    <t>level</t>
  </si>
  <si>
    <t>Đánh giá chất lượng dữ liệu theo danh mục mức đánh giá chất lượng dữ liệu.</t>
  </si>
  <si>
    <t xml:space="preserve">Mô tả </t>
  </si>
  <si>
    <t>levelDescription</t>
  </si>
  <si>
    <t xml:space="preserve">Mô tả phạm vi sản phẩm dữ liệu địa chính được đánh giá chất lượng theo không gian và thời gian. </t>
  </si>
  <si>
    <t>Giới hạn theo đường bao</t>
  </si>
  <si>
    <t xml:space="preserve">Chi tiết tại mục II.2.3 </t>
  </si>
  <si>
    <t>statement</t>
  </si>
  <si>
    <t>Mô tả nguồn gốc của dữ liệu.</t>
  </si>
  <si>
    <t>Báo cáo</t>
  </si>
  <si>
    <t>Loại phương pháp</t>
  </si>
  <si>
    <t>evaluationMethodType</t>
  </si>
  <si>
    <t>Loại phương pháp được sử dụng để đánh giá một chỉ tiêu chất lượng nhất định, ví dụ: theo phương pháp đánh giá mức độ đầy đủ thông tin.</t>
  </si>
  <si>
    <t>Mô tả phương pháp kiểm tra</t>
  </si>
  <si>
    <t>evaluationMethodDescription</t>
  </si>
  <si>
    <t>Các mô tả chi tiết về phương pháp được sử dụng để đánh giá một chỉ tiêu chất lượng nhất định.</t>
  </si>
  <si>
    <t>Kết luận</t>
  </si>
  <si>
    <t>specification</t>
  </si>
  <si>
    <t>Mô tả về kết qủa chất lượng.</t>
  </si>
  <si>
    <t>Giải thích</t>
  </si>
  <si>
    <t>explanation</t>
  </si>
  <si>
    <t>Giải thích về kết qủa chất lượng.</t>
  </si>
  <si>
    <t xml:space="preserve">Kết luận </t>
  </si>
  <si>
    <t>Pass</t>
  </si>
  <si>
    <t>Logic</t>
  </si>
  <si>
    <t>Boolean</t>
  </si>
  <si>
    <t>Kết luận về chất lượng đạt hay không đạt yêu cầu đề ra.</t>
  </si>
  <si>
    <t>4. Nhóm thông tin mô tả cách thức trao đổi phân phối dữ liệu</t>
  </si>
  <si>
    <t>Định dạng file phân phối, trao đổi</t>
  </si>
  <si>
    <t>name</t>
  </si>
  <si>
    <t>version</t>
  </si>
  <si>
    <t>Loại phiên bản định dạng lưu trữ dữ liệu địa chính.</t>
  </si>
  <si>
    <t>Cách thức phân phối</t>
  </si>
  <si>
    <t>Phân phối trực tuyến</t>
  </si>
  <si>
    <t>Địa chỉ trực tuyến</t>
  </si>
  <si>
    <t>linkage</t>
  </si>
  <si>
    <t>Phân phối phi trực tuyến</t>
  </si>
  <si>
    <t>Tên phương tiện phân phối</t>
  </si>
  <si>
    <t>mediumNote</t>
  </si>
  <si>
    <t>5. Nhóm thông tin mô tả về Hệ quy chiếu tọa độ</t>
  </si>
  <si>
    <t>Mã hệ quy chiếu</t>
  </si>
  <si>
    <t>code</t>
  </si>
  <si>
    <t>VN-2000.</t>
  </si>
  <si>
    <t>Thông tin hệ quy chiếu</t>
  </si>
  <si>
    <t>Tên hệ quy chiếu</t>
  </si>
  <si>
    <t>Tên đầy đủ của Hệ quy chiếu tọa độ.</t>
  </si>
  <si>
    <t>Ngày ban hành Quyết định áp dụng Hệ quy chiếu tọa độ.</t>
  </si>
  <si>
    <t>Múi chiếu</t>
  </si>
  <si>
    <t>zone</t>
  </si>
  <si>
    <t>Là múi chiếu được áp dụng để xây dựng dữ liệu địa chính.</t>
  </si>
  <si>
    <t>Kinh tuyến trục</t>
  </si>
  <si>
    <t>longitudeOfCentralMeridian</t>
  </si>
  <si>
    <t>Là kinh tuyến trục được áp dụng để xây dựng dữ liệu địa chính.</t>
  </si>
  <si>
    <t>II.2  Thông tin chi tiết cho các nhóm thông tin mô tả siêu dữ liệu</t>
  </si>
  <si>
    <t>II.2.1 Thông tin về đơn vị liên quan đến dữ liệu địa chính</t>
  </si>
  <si>
    <t>Tên đơn vị</t>
  </si>
  <si>
    <t>organisationName</t>
  </si>
  <si>
    <t>Tên của cơ quan, tổ chức có liên quan đến dữ liệu địa chính.</t>
  </si>
  <si>
    <t>Người đại diện</t>
  </si>
  <si>
    <t>individualName</t>
  </si>
  <si>
    <t>Tên của người đại diện cho cơ quan, tổ chức có liên quan đến dữ liệu địa chính.</t>
  </si>
  <si>
    <t>Chức vụ</t>
  </si>
  <si>
    <t>positionName</t>
  </si>
  <si>
    <t>Chức vụ của người đại diện cho cơ quan, tổ chức có liên quan đến dữ liệu địa chính.</t>
  </si>
  <si>
    <t>Vai trò</t>
  </si>
  <si>
    <t>role</t>
  </si>
  <si>
    <t>Vai trò của cơ quan, tổ chức có liên quan đến dữ liệu địa chính.</t>
  </si>
  <si>
    <t>Thông tin liên hệ</t>
  </si>
  <si>
    <t>Linkage</t>
  </si>
  <si>
    <t>Địa chỉ trang web của cơ quan, tổ chức có liên quan đến dữ liệu địa chính.</t>
  </si>
  <si>
    <t>Mô tả thêm về trang web của cơ quan, tổ chức có liên quan đến dữ liệu địa chính.</t>
  </si>
  <si>
    <t xml:space="preserve">Thời gian có thể liên hệ </t>
  </si>
  <si>
    <t>hoursOfService</t>
  </si>
  <si>
    <t>Thời gian có thể liên hệ thông qua trang web chủ.</t>
  </si>
  <si>
    <t>Chỉ dẫn liên hệ</t>
  </si>
  <si>
    <t>contactInstructions</t>
  </si>
  <si>
    <t>Các chỉ dẫn bổ sung nhằm giúp cho người có nhu cầu có thể liên hệ với các cơ quan, tổ chức có liên quan đến dữ liệu địa chính.</t>
  </si>
  <si>
    <t>Điện thoại</t>
  </si>
  <si>
    <t>phone</t>
  </si>
  <si>
    <t>Số điện thoại liên hệ của cơ quan, tổ chức có liên quan đến dữ liệu địa chính.</t>
  </si>
  <si>
    <t>Địa chỉ chi tiết</t>
  </si>
  <si>
    <t>deliveryPoint</t>
  </si>
  <si>
    <t>Số nhà, ngõ, đường phố, phường (xã, thị trấn).</t>
  </si>
  <si>
    <t>city</t>
  </si>
  <si>
    <t>Tên quận, huyện, thị xã, thành phố trực thuộc tỉnh.</t>
  </si>
  <si>
    <t>administrativeArea</t>
  </si>
  <si>
    <t>Tên tỉnh, thành phố trực thuộc Trung ương.</t>
  </si>
  <si>
    <t>Quốc gia</t>
  </si>
  <si>
    <t>country</t>
  </si>
  <si>
    <t>Việt Nam.</t>
  </si>
  <si>
    <t>Thư điện tử</t>
  </si>
  <si>
    <t>electronicMailAddress</t>
  </si>
  <si>
    <t>Địa chỉ thư điện tử.</t>
  </si>
  <si>
    <t>II.2.2  Thông tin về phạm vi theo tọa độ địa lý</t>
  </si>
  <si>
    <t>Kinh độ Tây</t>
  </si>
  <si>
    <t>westBoundLongitude</t>
  </si>
  <si>
    <t>Độ</t>
  </si>
  <si>
    <t>Angle</t>
  </si>
  <si>
    <t>Giá trị độ kinh Tây.</t>
  </si>
  <si>
    <t>Kinh độ Đông</t>
  </si>
  <si>
    <t>eastBoundLongitude</t>
  </si>
  <si>
    <t>Giá trị độ kinh Đông.</t>
  </si>
  <si>
    <t>Vĩ độ Bắc</t>
  </si>
  <si>
    <t>northBoundLatitude</t>
  </si>
  <si>
    <t>Giá trị độ vĩ Bắc.</t>
  </si>
  <si>
    <t>Vĩ độ Nam</t>
  </si>
  <si>
    <t>southBoundLatitude</t>
  </si>
  <si>
    <t>Giá trị độ vĩ Nam.</t>
  </si>
  <si>
    <t>II.2.3 Thông tin về phạm vi theo tọa độ phẳng</t>
  </si>
  <si>
    <t>Tọa độ Tây</t>
  </si>
  <si>
    <t>westBoundCoordinate</t>
  </si>
  <si>
    <t>Số thực</t>
  </si>
  <si>
    <t>Real</t>
  </si>
  <si>
    <t>Giá trị Tọa độ Tây.</t>
  </si>
  <si>
    <t>Tọa độ Đông</t>
  </si>
  <si>
    <t>eastBoundCoordinate</t>
  </si>
  <si>
    <t>Giá trị Tọa độ Đông.</t>
  </si>
  <si>
    <t>Tọa độ Bắc</t>
  </si>
  <si>
    <t>northBoundCoordinate</t>
  </si>
  <si>
    <t>Giá trị Tọa độ Bắc.</t>
  </si>
  <si>
    <t>Tọa độ Nam</t>
  </si>
  <si>
    <t>southBoundCoordinate</t>
  </si>
  <si>
    <t>Giá trị Tọa độ Nam.</t>
  </si>
  <si>
    <r>
      <t>Là tên đầy đủ của bảng mã ký tự chuẩn ISO được sử dụng để mã hoá thông tin của siêu dữ liệu</t>
    </r>
    <r>
      <rPr>
        <sz val="12"/>
        <color indexed="10"/>
        <rFont val="Times New Roman"/>
        <family val="1"/>
      </rPr>
      <t>.</t>
    </r>
    <r>
      <rPr>
        <sz val="12"/>
        <rFont val="Times New Roman"/>
        <family val="1"/>
      </rPr>
      <t xml:space="preserve"> </t>
    </r>
  </si>
  <si>
    <r>
      <t xml:space="preserve">Thông tin về phạm vi của dữ liệu địa chính: </t>
    </r>
    <r>
      <rPr>
        <sz val="12"/>
        <color indexed="60"/>
        <rFont val="Times New Roman"/>
        <family val="1"/>
      </rPr>
      <t>p</t>
    </r>
    <r>
      <rPr>
        <sz val="12"/>
        <rFont val="Times New Roman"/>
        <family val="1"/>
      </rPr>
      <t>hạm vi theo tọa độ địa lý, toạ độ phẳng</t>
    </r>
  </si>
  <si>
    <r>
      <t>Tên của định dạng lưu trữ dữ liệu địa chính</t>
    </r>
    <r>
      <rPr>
        <sz val="12"/>
        <color indexed="60"/>
        <rFont val="Times New Roman"/>
        <family val="1"/>
      </rPr>
      <t>.</t>
    </r>
  </si>
  <si>
    <r>
      <t>Địa chỉ liên kết trực tuyến</t>
    </r>
    <r>
      <rPr>
        <sz val="12"/>
        <color indexed="60"/>
        <rFont val="Times New Roman"/>
        <family val="1"/>
      </rPr>
      <t>.</t>
    </r>
  </si>
  <si>
    <r>
      <t>Mô tả bổ sung về đường liên kết trực tuyến</t>
    </r>
    <r>
      <rPr>
        <sz val="12"/>
        <color indexed="60"/>
        <rFont val="Times New Roman"/>
        <family val="1"/>
      </rPr>
      <t>.</t>
    </r>
  </si>
  <si>
    <r>
      <t>Tên của thiết bị lưu trữ dữ liệu địa chính</t>
    </r>
    <r>
      <rPr>
        <sz val="12"/>
        <color indexed="60"/>
        <rFont val="Times New Roman"/>
        <family val="1"/>
      </rPr>
      <t>.</t>
    </r>
  </si>
  <si>
    <r>
      <t>Các ghi chú bổ sung về phương pháp lưu trữ (nếu có)</t>
    </r>
    <r>
      <rPr>
        <sz val="12"/>
        <color indexed="60"/>
        <rFont val="Times New Roman"/>
        <family val="1"/>
      </rPr>
      <t>.</t>
    </r>
  </si>
  <si>
    <t>Áp dụng cho 5 hạng mục kiểm tra</t>
  </si>
  <si>
    <t>4.1</t>
  </si>
  <si>
    <t>Thu thập tài liệu (Bước 2)</t>
  </si>
  <si>
    <t>Công tác chuẩn bị (Bước 1)</t>
  </si>
  <si>
    <t>Cái</t>
  </si>
  <si>
    <t>Thiết bị mạng</t>
  </si>
  <si>
    <t>Bộ</t>
  </si>
  <si>
    <t>Các bước công việc</t>
  </si>
  <si>
    <t>Rà soát, đánh giá và phân loại tài liệu (Bước 3)</t>
  </si>
  <si>
    <t>Quét (chụp) giấy tờ pháp lý và xử lý tập tin (Bước 5)</t>
  </si>
  <si>
    <t>Xây dựng dữ liệu không gian (Bước 4)</t>
  </si>
  <si>
    <t>kW</t>
  </si>
  <si>
    <t>Xã</t>
  </si>
  <si>
    <t>Xây dựng dữ liệu thuộc tính thống kê, kiểm kê đất đai (Bước 6)</t>
  </si>
  <si>
    <t>Đối soát, hoàn thiện dữ liệu thống kê, kiểm kê đất đai (Bước 7)</t>
  </si>
  <si>
    <t>Xây dựng siêu dữ liệu thống kê, kiểm kê đất đai (Bước 8)</t>
  </si>
  <si>
    <t>Kiểm tra, nghiệm thu cơ sở dữ liệu thống kê, kiểm kê đất đai (Bước 9)</t>
  </si>
  <si>
    <t>Trang A3</t>
  </si>
  <si>
    <t>Trang A4</t>
  </si>
  <si>
    <t>5.1.2</t>
  </si>
  <si>
    <t>Khoanh đất</t>
  </si>
  <si>
    <t>Trang A0</t>
  </si>
  <si>
    <t>DANH MỤC CÁC TRƯỜNG THỐNG KÊ, KIỂM KÊ</t>
  </si>
  <si>
    <t>Danh mục kiểm kê</t>
  </si>
  <si>
    <t>Khoanh đất khoanh vẽ</t>
  </si>
  <si>
    <t>đối tượng sử dụng/quản lý</t>
  </si>
  <si>
    <t>Khoanh đất hiện trạng</t>
  </si>
  <si>
    <t>Bản đồ</t>
  </si>
  <si>
    <t>Thuộc tính</t>
  </si>
  <si>
    <t>Khoanh đất theo khu vực tổng hợp</t>
  </si>
  <si>
    <t>Mã loại đất pháp lý</t>
  </si>
  <si>
    <t>Mã Loại đất hiện trạng</t>
  </si>
  <si>
    <t>Mã đối tượng sử dụng/quản lý</t>
  </si>
  <si>
    <t>Số thứ tự khoanh đất</t>
  </si>
  <si>
    <t>I.1</t>
  </si>
  <si>
    <t>I.2</t>
  </si>
  <si>
    <t>Mã khu vực tổng hợp</t>
  </si>
  <si>
    <t>Trường dữ liệu</t>
  </si>
  <si>
    <t>Đất NN</t>
  </si>
  <si>
    <t>Đất Phi NN</t>
  </si>
  <si>
    <t>Chưa sử dụng</t>
  </si>
  <si>
    <t>Thống kê đất đai</t>
  </si>
  <si>
    <t>II.1</t>
  </si>
  <si>
    <t>II.2</t>
  </si>
  <si>
    <t>Đối tượng quản lý, sử dụng</t>
  </si>
  <si>
    <t>Đối tượng quản lý</t>
  </si>
  <si>
    <t>Máy Scan A4</t>
  </si>
  <si>
    <t>Máy Scan A3</t>
  </si>
  <si>
    <t>Thiết bị lưu trữ</t>
  </si>
  <si>
    <t>Thành tiền (khoanh)</t>
  </si>
  <si>
    <t>Đơn vị tính: đồng</t>
  </si>
  <si>
    <t>Tên sản phẩm</t>
  </si>
  <si>
    <t>Đơn vị</t>
  </si>
  <si>
    <t>Chi phí LĐKT</t>
  </si>
  <si>
    <t>Chi phí dụng cụ</t>
  </si>
  <si>
    <t>Chi phí vật liệu</t>
  </si>
  <si>
    <t>Chi phí sử dụng máy</t>
  </si>
  <si>
    <t>Chi phí trực tiếp</t>
  </si>
  <si>
    <t>Chi phí chung 15%</t>
  </si>
  <si>
    <t>Đơn giá sản phẩm</t>
  </si>
  <si>
    <r>
      <t xml:space="preserve">Đơn giá sản phẩm </t>
    </r>
    <r>
      <rPr>
        <b/>
        <sz val="10"/>
        <rFont val="Times New Roman"/>
        <family val="1"/>
        <charset val="163"/>
      </rPr>
      <t>(trừ khấu hao)</t>
    </r>
  </si>
  <si>
    <t>s¶n phÈm</t>
  </si>
  <si>
    <t>tÝnh</t>
  </si>
  <si>
    <t>Khấu hao</t>
  </si>
  <si>
    <t>Năng lượng</t>
  </si>
  <si>
    <t>Máy in laser A4</t>
  </si>
  <si>
    <t>KHỐI LƯỢNG TỈNH HÀ NAM - VLAP</t>
  </si>
  <si>
    <t>Tên ĐVHC</t>
  </si>
  <si>
    <t>Huyện Duy Tiên</t>
  </si>
  <si>
    <t>Huyện Thanh Liêm</t>
  </si>
  <si>
    <t>Huyện Kim Bảng</t>
  </si>
  <si>
    <t>Huyện Bình Lục</t>
  </si>
  <si>
    <t>TP. Phủ Lý</t>
  </si>
  <si>
    <t>Số xã</t>
  </si>
  <si>
    <t>1985-2010</t>
  </si>
  <si>
    <t>Chỉ tiêu loại đất</t>
  </si>
  <si>
    <t>QUY ĐỔI THEO ĐƠN VỊ TÍNH CỦA ĐỊNH MỨC</t>
  </si>
  <si>
    <t>A0</t>
  </si>
  <si>
    <t>A3</t>
  </si>
  <si>
    <t>A4</t>
  </si>
  <si>
    <t>Trường DL nhập</t>
  </si>
  <si>
    <t>Trường DL chuyển đổi</t>
  </si>
  <si>
    <t>Ký hiệu biểu</t>
  </si>
  <si>
    <t>Tên biểu</t>
  </si>
  <si>
    <t>Biểu 01/TKĐĐ</t>
  </si>
  <si>
    <t>Thống kê, kiểm kê diện tích đất đai</t>
  </si>
  <si>
    <t>Biểu 02/TKĐĐ</t>
  </si>
  <si>
    <t>Thống kê, kiểm kê diện tích đất nông nghiệp</t>
  </si>
  <si>
    <t>Biểu 03/TKĐĐ</t>
  </si>
  <si>
    <t>Thống kê, kiểm kê diện tích đất phi nông nghiệp</t>
  </si>
  <si>
    <t>Biểu 04/TKĐĐ</t>
  </si>
  <si>
    <t>Thống kê, kiểm kê diện tích đất phân theo đơn vị hành chính</t>
  </si>
  <si>
    <t>Biểu 05a/TKĐĐ</t>
  </si>
  <si>
    <t>Thống kê, kiểm kê diện tích đất theo mục đích được giao, được thuê, được chuyển mục đích sử dụng đất nhưng chưa thực hiện</t>
  </si>
  <si>
    <t>Biểu 05b/TKĐĐ</t>
  </si>
  <si>
    <t>Tổng hợp các trường hợp được giao, được thuê, được chuyển mục đích sử dụng đất nhưng chưa thực hiện</t>
  </si>
  <si>
    <t>Biểu 06a/TKĐĐ</t>
  </si>
  <si>
    <t>Kiểm kê diện tích đất đã chuyển mục đích sử dụng khác với hồ sơ địa chính</t>
  </si>
  <si>
    <t>Biểu 06b/TKĐĐ</t>
  </si>
  <si>
    <t>Danh sách các trường hợp đã chuyển mục đích sử dụng đất khác với hồ sơ địa chính</t>
  </si>
  <si>
    <t>Biểu 07/TKĐĐ</t>
  </si>
  <si>
    <t>Kiểm kê diện tích đất có sử dụng kết hợp vào mục đích khác</t>
  </si>
  <si>
    <t>Biểu 08/TKĐĐ</t>
  </si>
  <si>
    <t>Kiểm kê diện tích đất khu bảo tồn thiên nhiên và đa dạng sinh học</t>
  </si>
  <si>
    <t>Biểu 09/TKĐĐ</t>
  </si>
  <si>
    <t>Kiểm kê diện tích đất trong các khu vực tổng hợp</t>
  </si>
  <si>
    <t>Biểu 10/TKĐĐ</t>
  </si>
  <si>
    <t>Phân tích nguyên nhân tăng, giảm diện tích của các loại đất</t>
  </si>
  <si>
    <t>Biểu 11/TKĐĐ</t>
  </si>
  <si>
    <t>Cơ cấu diện tích theo mục đích sử dụng đất và đối tượng sử dụng, quản lý đất</t>
  </si>
  <si>
    <t>Biểu 12/TKĐĐ</t>
  </si>
  <si>
    <t>Biến động diện tích theo mục đích sử dụng đất</t>
  </si>
  <si>
    <t>Biểu 13/TKĐĐ</t>
  </si>
  <si>
    <t>So sánh hiện trạng sử dụng đất và kế hoạch sử dụng đất trong kỳ quy hoạch</t>
  </si>
  <si>
    <t>Biểu 14/TKĐĐ</t>
  </si>
  <si>
    <t>Thống kê, kiểm kê diện tích đất quốc phòng, đất an ninh</t>
  </si>
  <si>
    <t>Số liệu thống kê, kiểm kê của 1 xã</t>
  </si>
  <si>
    <t>Dạng số</t>
  </si>
  <si>
    <t>Dạng giấy</t>
  </si>
  <si>
    <t>Bản đồ kết quả điều tra khoanh vẽ</t>
  </si>
  <si>
    <t>Bản đồ hiện trạng</t>
  </si>
  <si>
    <t>Báo cáo thuyết minh kiểm kê đất đai</t>
  </si>
  <si>
    <t>Báo cáo thuyết minh thành lập bản đồ hiện trạng</t>
  </si>
  <si>
    <t>Thống kê, kiểm kê đất đai 2014</t>
  </si>
  <si>
    <t>Kiểm kê đất đai 1985-2010</t>
  </si>
  <si>
    <t>Trường dữ liệu thống kê</t>
  </si>
  <si>
    <t>Trường dữ liệu kiểm kê</t>
  </si>
  <si>
    <t>Ao</t>
  </si>
  <si>
    <t>Phụ lục 01 TK khoanh đất</t>
  </si>
  <si>
    <t>Scan A0</t>
  </si>
  <si>
    <t>Scan A3</t>
  </si>
  <si>
    <t>Scan A4</t>
  </si>
  <si>
    <t>Trường dữ liệu nhập</t>
  </si>
  <si>
    <t>Trường dữ liệu chuyển đổi</t>
  </si>
  <si>
    <t>Khối lượng</t>
  </si>
  <si>
    <t>-đối chiếu số liệu TK và biểu số liệu in ra đóng dấu
- 2 ks 1 ks bản đồ, 1 ks số liệu TKKK</t>
  </si>
  <si>
    <t>chia làm 2 loại lớp khoanh đất khoanh vẽ + các thuộc tính; khoanh đất hiện trạng + nền địa lý</t>
  </si>
  <si>
    <t>vật liệu tính khoảng 10%</t>
  </si>
  <si>
    <t>- mỗi kỳ số liệu 1 công; tại nhiều cơ quan khác nhau (làm việc thống nhất tài liệu cần thu thập (1 KS3), tập hợp tài liệu qua các thời kỳ 1 công)</t>
  </si>
  <si>
    <t>4.1.3</t>
  </si>
  <si>
    <t>Rà soát dữ liệu không gian để xử lý các lỗi dọc biên giữa các đơn vị hành chính tiếp giáp nhau</t>
  </si>
  <si>
    <t>5.1.1</t>
  </si>
  <si>
    <t>4.1.4</t>
  </si>
  <si>
    <t>Làm thử + tham khảo định mức kiểm kê đất đai lập bản đồ hiện trạng sử dụng đất cấp xã mục 2.4.3, 1KS3, 12 công/xã</t>
  </si>
  <si>
    <t>Theo kết quả làm thử</t>
  </si>
  <si>
    <t>Áp dụng định mức Quy trình xây dựng CSDL địa chính</t>
  </si>
  <si>
    <t xml:space="preserve">-Làm thử + tham khảo định mức phần II Kiểm kê đất đai lập bản đồ HT cấp huyện mục Kiểm tra thẩm định kết quả kiểm kê đất đai cấp xã 2KS3, 7.5 công/huyện </t>
  </si>
  <si>
    <t>Làm thử + Tham khảo định mức phần I kiểm kê đất đai lập bản đồ hiện trạng sử dụng đất, mục 4 phục vụ kiểm tra nghiệm thu 1KTV4, 2 công/xã</t>
  </si>
  <si>
    <t>Chuẩn hóa các lớp đối tượng không gian kiểm kê đất đai</t>
  </si>
  <si>
    <t>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 kết quả điều tra kiểm kê, bản đồ hiện trạng sử dụng đất</t>
  </si>
  <si>
    <t>Chuyển đổi các lớp đối tượng không gian kiểm kê đất đai từ tệp (File) bản đồ số vào cơ sở dữ liệu theo đơn vị hành chính</t>
  </si>
  <si>
    <t>Chuẩn hóa các lớp đối tượng không gian kiểm kê đất đai chưa phù hợp</t>
  </si>
  <si>
    <t>Rà soát chuẩn hóa thông tin thuộc tính cho từng đối tượng không gian kiểm kê đất đai</t>
  </si>
  <si>
    <t>Chuyển đổi và tích hợp không gian kiểm kê đất đai</t>
  </si>
  <si>
    <t>Bộ CSDL</t>
  </si>
  <si>
    <t>Vùng</t>
  </si>
  <si>
    <t>Số mảnh A0</t>
  </si>
  <si>
    <t>Đồng bằng SH</t>
  </si>
  <si>
    <t>Đông Nam Bộ</t>
  </si>
  <si>
    <t>TD Miền núi phía bắc</t>
  </si>
  <si>
    <t>Bắc Trung Bộ</t>
  </si>
  <si>
    <t>Đồng bằng SCL</t>
  </si>
  <si>
    <t>Vùnng DHNTB</t>
  </si>
  <si>
    <t>Vùng Tây Nguyên</t>
  </si>
  <si>
    <t>Số liệu thống kê, kiểm kê cấp xã, huyện, tỉnh</t>
  </si>
  <si>
    <t>Phụ lục 01</t>
  </si>
  <si>
    <t>Thống kê khoanh đất hiện trạng</t>
  </si>
  <si>
    <t>Cấp thực hiện</t>
  </si>
  <si>
    <t>Kiểm kê đất đai 1 kỳ</t>
  </si>
  <si>
    <t>Thống kê đất đai 1 năm</t>
  </si>
  <si>
    <t>x</t>
  </si>
  <si>
    <t>mảnh bản đồ</t>
  </si>
  <si>
    <t>X</t>
  </si>
  <si>
    <t>H</t>
  </si>
  <si>
    <t>T</t>
  </si>
  <si>
    <t>Khối lượng cho 1 năm thống kê</t>
  </si>
  <si>
    <t>Khối lượng  cho 1 kỳ kiểm kê</t>
  </si>
  <si>
    <t>Cấp xã</t>
  </si>
  <si>
    <t>Cấp huyện</t>
  </si>
  <si>
    <t>Cấp tỉnh</t>
  </si>
  <si>
    <t>Bảng biểu</t>
  </si>
  <si>
    <t>Báo cáo thuyết minh</t>
  </si>
  <si>
    <t>ĐVT: VN Đồng</t>
  </si>
  <si>
    <t>Chi phí Trực tiếp</t>
  </si>
  <si>
    <t>Chi phí chung (15%)</t>
  </si>
  <si>
    <t>Chi phí KTNT (4%)</t>
  </si>
  <si>
    <t>Tổng Chi phí trước thuế</t>
  </si>
  <si>
    <t>Thuế VAT (10%)</t>
  </si>
  <si>
    <t>Xây dựng cơ sở dữ liệu thống kê, kiểm kê</t>
  </si>
  <si>
    <t>Số năm thống kê</t>
  </si>
  <si>
    <t>Số kỳ kiểm kê</t>
  </si>
  <si>
    <t>ĐƠN GIÁ XÂY DỰNG CSDL THỐNG KÊ, KIỂM KÊ CẤP XÃ THEO DỰ THẢO THÔNG TƯ ĐỊNH MỨC</t>
  </si>
  <si>
    <t>Tổng Chi phí theo dự thảo</t>
  </si>
  <si>
    <t>Giải trình</t>
  </si>
  <si>
    <t>VN Đồng</t>
  </si>
  <si>
    <t>Bộ CSDL là CSDLxây dựng cho 1 kỳ kiểm kê trong phạm vi đơn vị hành chính 1 tỉnh hoặc 1 năm thống kê trong phạm vi đơn vị hành chính 1 tỉnh.</t>
  </si>
  <si>
    <t>Mảnh bản đồ tiêu chuẩn kích thước khổ A0 (840x1200 mm), tỷ lệ 1:50.000</t>
  </si>
  <si>
    <t>Mảnh BĐ</t>
  </si>
  <si>
    <t>ĐƠN GIÁ XÂY DỰNG CSDL THỐNG KÊ, KIỂM KÊ CẤP TỈNH THEO DỰ THẢO THÔNG TƯ ĐỊNH MỨC</t>
  </si>
  <si>
    <t>Chuẩn hóa các lớp đối tượng bản đồ hiện trạng sử dụng đất</t>
  </si>
  <si>
    <t>Thực hiện đối soát, hoàn thiện dữ liệu, tạo liên kết dữ liệu</t>
  </si>
  <si>
    <t>Thu nhận các thông tin cần thiết về các dữ liệu để xây dựng siêu dữ liệu</t>
  </si>
  <si>
    <t>Nhập thông tin siêu dữ liệu</t>
  </si>
  <si>
    <t>CHI PHÍ CÔNG CỤ, DỤNG CỤ XÂY DỰNG CSDL THỐNG KÊ, KIỂM KÊ CẤP VÙNG, CẢ NƯỚC</t>
  </si>
  <si>
    <t>ĐỊNH MỨC LAO ĐỘNG XÂY DỰNG CƠ SỞ DỮ LIỆU THỐNG KÊ , KIỂM KÊ CẤP VÙNG, CẢ NƯỚC</t>
  </si>
  <si>
    <t>Vùng,cả nước</t>
  </si>
  <si>
    <t>Vùng, cả nước</t>
  </si>
  <si>
    <t>quy đổi số bộ CSDL cấp tỉnh, huyện, xã</t>
  </si>
  <si>
    <t>Bộ CSDL 7 vùng + cả nước</t>
  </si>
  <si>
    <t>Công tác chuẩn bị</t>
  </si>
  <si>
    <t>Thu thập tài liệu, dữ liệu</t>
  </si>
  <si>
    <t>Rà soát, đánh giá, phân loại và sắp xếp tài liệu, dữ liệu</t>
  </si>
  <si>
    <t>Quét giấy tờ pháp lý và xử lý tệp tin</t>
  </si>
  <si>
    <t>Đối với tài liệu, số liệu là bảng, biểu dạng số thì thực hiện như sau:</t>
  </si>
  <si>
    <t>Nhóm 2 (1KTV4+1KS2)</t>
  </si>
  <si>
    <t>1.1</t>
  </si>
  <si>
    <t>1.2</t>
  </si>
  <si>
    <t>Xây dựng dữ liệu không gian</t>
  </si>
  <si>
    <t>Chuẩn hóa các lớp đối tượng không gian hiện trạng sử dụng đất</t>
  </si>
  <si>
    <t>3.1</t>
  </si>
  <si>
    <t>Nhập bổ sung các thông tin thuộc tính cho đối tượng không gian bản đồ hiện trạng sử dụng đất còn thiếu (nếu có)</t>
  </si>
  <si>
    <t>Rà soát chuẩn hóa thông tin thuộc tính cho từng đối tượng không gian hiện trạng sử dụng đất</t>
  </si>
  <si>
    <t>3.2</t>
  </si>
  <si>
    <t>Chuyển đổi và tích hợp dữ liệu không gian hiện trạng sử dụng đất</t>
  </si>
  <si>
    <t>Chuyển đổi các lớp dữ liệu không gian hiện trạng sử dụng đất từ tệp (File) bản đồ số vào cơ sở dữ liệu</t>
  </si>
  <si>
    <t>Rà soát dữ liệu không gian hiện trạng sử dụng đất để xử lý các lỗi dọc biên giữa các tỉnh, các vùng</t>
  </si>
  <si>
    <t>Quét giấy tờ pháp lý và xử lý tập tin</t>
  </si>
  <si>
    <t>Thành tiền (đồng)</t>
  </si>
  <si>
    <t>Khấu hao (đồng)</t>
  </si>
  <si>
    <t>Năng lượng (đồng)</t>
  </si>
  <si>
    <t>Khấu hao
(đồng)</t>
  </si>
  <si>
    <t>1KS3</t>
  </si>
  <si>
    <t>1KTV4</t>
  </si>
  <si>
    <t>1KS1</t>
  </si>
  <si>
    <t>1KS2</t>
  </si>
  <si>
    <t>Đơn giá nhân công</t>
  </si>
  <si>
    <t>Thành tiền (theo ĐVT)</t>
  </si>
  <si>
    <t>Đối soát, hoàn thiện dữ liệu kiểm kê đất đai</t>
  </si>
  <si>
    <t>Tạo danh mục tra cứu hồ sơ quét trong cơ sở dữ liệu kiểm kê đất đai</t>
  </si>
  <si>
    <t>Nhập thông tin siêu dữ liệu kiểm kê đất đai</t>
  </si>
  <si>
    <t>Quét các giấy tờ đưa vào cơ sở dữ liệu kiểm kê đất đai. Chế độ quét của thiết bị được thiết lập theo hệ màu RGB với độ phân giải tối thiểu là 150 DPI. Các tài liệu quét bao gồm: các báo cáo, biểu, bảng số liệu kiểm kê đất đai cấp vùng và cả nước</t>
  </si>
  <si>
    <t>Xử lý các tệp tin quét hình thành tệp (File) hồ sơ quét tài liệu kiểm kê đất đai dạng số, lưu trữ dưới khuôn dạng tệp tin PDF; chất lượng hình ảnh số phải sắc nét và rõ ràng, các hình ảnh được sắp xếp theo cùng một hướng, hình ảnh phải được quét vuông góc, không được cong vênh</t>
  </si>
  <si>
    <t>Đối với tài liệu, số liệu là bảng, biểu dạng số</t>
  </si>
  <si>
    <t>Nhập bổ sung các thông tin thuộc tính cho đối tượng không gian kiểm kê đất đai còn thiếu (nếu có)</t>
  </si>
  <si>
    <t>Hệ số điều chỉnh đối với Mục 4. Xây dựng dữ liệu không gian</t>
  </si>
  <si>
    <t>Tỷ lệ 1:1000</t>
  </si>
  <si>
    <t>Tỷ lệ 1:2000</t>
  </si>
  <si>
    <t>Tỷ lệ 1:5000</t>
  </si>
  <si>
    <t>Tỷ lệ 1:10.000</t>
  </si>
  <si>
    <t>Hệ số k điều chỉnh định mức</t>
  </si>
  <si>
    <t>Đơn vị tính Bộ dữ liệu được tính cho 1 chu kỳ kiểm kê trong phạm vi đơn vị hành chính 1 huyện</t>
  </si>
  <si>
    <t>Tỷ lệ 1:25.000</t>
  </si>
  <si>
    <t>Đơn vị tính Bộ dữ liệu được tính cho 1 chu kỳ kiểm kê trong phạm vi đơn vị hành chính 1 tỉnh</t>
  </si>
  <si>
    <t>Tỷ lệ 1:50.000</t>
  </si>
  <si>
    <t>Tỷ lệ 1:100.000</t>
  </si>
  <si>
    <t>Tỷ lệ 1:1.000.000</t>
  </si>
  <si>
    <t>Tỷ lệ 1:250.000</t>
  </si>
  <si>
    <t>Lập bảng đối chiếu giữa lớp đối tượng không gian kiểm kê đất đai với nội dung tương ứng trong bản đồ hiện trạng sử dụng đất để tách, lọc các đối tượng từ nội dung bản đồ hiện trạng sử dụng đất</t>
  </si>
  <si>
    <t>Đơn vị tính Bộ dữ liệu được tính cho 1 chu kỳ kiểm kê trong phạm vi cả nước</t>
  </si>
  <si>
    <t>Hệ số (k) điều chỉnh định mức</t>
  </si>
  <si>
    <t>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t>
  </si>
  <si>
    <t>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t>
  </si>
  <si>
    <t>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t>
  </si>
  <si>
    <t>Tạo danh mục tra cứu hồ sơ quét trong cơ sở dữ liệu thống kê, kiểm kê đất đai</t>
  </si>
  <si>
    <t>Xây dựng dữ liệu thuộc tính thống kê, kiểm kê đất đai</t>
  </si>
  <si>
    <t>Lập mô hình chuyển đổi cơ sở dữ liệu thống kê, kiểm kê đất đai</t>
  </si>
  <si>
    <t>Chuyển đổi vào cơ sở dữ liệu thống kê, kiểm kê đất đai</t>
  </si>
  <si>
    <t>Đối với tài liệu, số liệu là báo cáo dạng số thì tạo danh mục tra cứu trong cơ sở dữ liệu thống kê, kiểm kê đất đai</t>
  </si>
  <si>
    <t>Xây dựng siêu dữ liệu thống kê, kiểm kê đất đai</t>
  </si>
  <si>
    <t>Thu nhận các thông tin cần thiết để xây dựng siêu dữ liệu (thông tin mô tả dữ liệu) thống kê, kiểm kê đất đai</t>
  </si>
  <si>
    <t>Phục vụ kiểm tra, nghiệm thu cơ sở dữ liệu thống kê, kiểm kê đất đai</t>
  </si>
  <si>
    <t>Thực hiện kiểm tra tổng thể cơ sở dữ liệu thống kê, kiểm kê đất đai và tích hợp vào hệ thống ngay sau khi được nghiệm thu để phục vụ quản lý, vận hành, khai thác sử dụng.</t>
  </si>
  <si>
    <t>Đơn vị thi công chuẩn bị tài liệu và phục vụ giám sát kiểm tra, nghiệm thu.</t>
  </si>
  <si>
    <t>Đóng gói giao nộp cơ sở dữ liệu thống kê, kiểm kê đất đai</t>
  </si>
  <si>
    <t>Chuẩn bị nhân lực, địa điểm làm việc; Chuẩn bị vật tư, thiết bị, dụng cụ, phần mềm phục vụ cho công tác xây dựng cơ sở dữ liệu thống kê, kiểm kê đất đai</t>
  </si>
  <si>
    <t>2.1</t>
  </si>
  <si>
    <t>Thu thập tài liệu, dữ liệu thống kê</t>
  </si>
  <si>
    <t>Thu thập tài liệu, dữ liệu kiểm kê</t>
  </si>
  <si>
    <t>2.2</t>
  </si>
  <si>
    <t>Lớp dữ liệu</t>
  </si>
  <si>
    <t>Đơn vị tính Bộ dữ liệu được tính cho 1 năm thống kê hoặc 1 kỳ kiểm kê  và trong phạm vi đơn vị hành chính 1 xã</t>
  </si>
  <si>
    <t>Đơn vị tính Lớp dữ liệu được hiểu là lớp dữ liệu không gian theo quy định của thông tư 75 quy định kỹ thuật về cơ sở dữ liệu đất đai</t>
  </si>
  <si>
    <t>Đối soát, hoàn thiện dữ liệu thống kê, kiểm kê đất đai</t>
  </si>
  <si>
    <t>Đối soát, hoàn thiện dữ liệu thống kê đất đai</t>
  </si>
  <si>
    <t>Nhóm 2 (1KTV4+1KS3)</t>
  </si>
  <si>
    <t>Khối lượng tạm tính</t>
  </si>
  <si>
    <t>Trang A3,  trang A4</t>
  </si>
  <si>
    <t>Trang A3, Trang A4</t>
  </si>
  <si>
    <t>Kiểm tra, nghiệm thu cơ sở dữ liệu thống kê, kiểm kê đất đai</t>
  </si>
  <si>
    <t>Đơn vị thi công chuẩn bị tài liệu và phục vụ giám sát, kiểm tra, nghiệm thu. Đóng gói giao nộp cơ sở dữ liệu thống kê, kiểm kê đất đai</t>
  </si>
  <si>
    <t/>
  </si>
  <si>
    <t>căn cứ vào số lượng khonh và phức tạp về đối tượng đồ họa khonh đất</t>
  </si>
  <si>
    <t>Hệ số K điều chỉnh định mức</t>
  </si>
  <si>
    <t>Rà soát, đánh giá, phân loại và sắp xếp tài liệu, dữ liệu thống kê và lập báo cáo kết quản thực hiện</t>
  </si>
  <si>
    <t>Rà soát, đánh giá, phân loại và sắp xếp tài liệu, dữ liệu kiểm kê và lập báo cáo kết quản thực hiện</t>
  </si>
  <si>
    <t>- Bộ dữ liệu lưu trữ phân tán, phải thông báo để chuẩn bị tài liệu, số liệu</t>
  </si>
  <si>
    <t>- Hệ thống bản đồ lưu trữ phân tán, trên các định dạng khác nhau, do các cơ quan khác nhau quản lý</t>
  </si>
  <si>
    <t>- tính công cho bản dồ cả nước (ví dụ 1 công), bản đồ vùng, chia trung bình (ví dụ 0,5 c)</t>
  </si>
  <si>
    <t>1.1.1</t>
  </si>
  <si>
    <t>1.1.2</t>
  </si>
  <si>
    <t>Bộ dữ liệu theo xã</t>
  </si>
  <si>
    <t>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t>
  </si>
  <si>
    <t>Bộ cơ sở dữ liệu theo huyện</t>
  </si>
  <si>
    <t>Bộ dữ liệu cho cả nước</t>
  </si>
  <si>
    <t>Đối soát, hoàn thiện dữ liệu</t>
  </si>
  <si>
    <t>Hệ quản trị cơ sở dữ liệu thuộc tính</t>
  </si>
  <si>
    <t>(MicroSoft SQL Server hoặc tương đương)</t>
  </si>
  <si>
    <t>Hệ quản trị dữ liệu không gian</t>
  </si>
  <si>
    <t xml:space="preserve">Phần mềm ArcGIS Server của hãng ESRI (17.000 $). </t>
  </si>
  <si>
    <t xml:space="preserve">Phần mềm biên tập bản đồ </t>
  </si>
  <si>
    <t>Phần mềm ArcEditor của hãng ESRI (7.000 $)</t>
  </si>
  <si>
    <t>Lập bảng đối chiếu giữa lớp đối tượng không gian kiểm kê đất đai với nội dung tương ứng trong bản đồ hiện trạng sử dụng đất để tách, lọc các đối tượng từ nội dung bản đồ</t>
  </si>
  <si>
    <t>4.2</t>
  </si>
  <si>
    <t>4.2.1</t>
  </si>
  <si>
    <t>4.2.2</t>
  </si>
  <si>
    <t>5.1</t>
  </si>
  <si>
    <t>5.2</t>
  </si>
  <si>
    <t>5.3</t>
  </si>
  <si>
    <t>6.1</t>
  </si>
  <si>
    <t>6.1.1</t>
  </si>
  <si>
    <t>6.1.2</t>
  </si>
  <si>
    <t>6.2</t>
  </si>
  <si>
    <t>7.1</t>
  </si>
  <si>
    <t>7.2</t>
  </si>
  <si>
    <t>8.1</t>
  </si>
  <si>
    <t>8.2</t>
  </si>
  <si>
    <t>9.1</t>
  </si>
  <si>
    <t>9.2</t>
  </si>
  <si>
    <t>9.3</t>
  </si>
  <si>
    <t>3.1.3</t>
  </si>
  <si>
    <t>3.1.4</t>
  </si>
  <si>
    <t>4.3</t>
  </si>
  <si>
    <t>Có khấu hao phần mềm</t>
  </si>
  <si>
    <t>Không có khấu hao phần mềm</t>
  </si>
  <si>
    <t>3.3</t>
  </si>
  <si>
    <t>Máy server có hệ điều hành Windows server bản quyền</t>
  </si>
  <si>
    <t>Định mức (Công nhóm/Xã)</t>
  </si>
  <si>
    <t>Định mức (Công nhóm/tỉnh)</t>
  </si>
  <si>
    <t>1.3</t>
  </si>
  <si>
    <t>1.4</t>
  </si>
  <si>
    <r>
      <t xml:space="preserve">Định mức </t>
    </r>
    <r>
      <rPr>
        <sz val="12"/>
        <rFont val="Times New Roman"/>
        <family val="1"/>
      </rPr>
      <t>(tính cho 01 xã)</t>
    </r>
  </si>
  <si>
    <r>
      <t xml:space="preserve">Công suất
</t>
    </r>
    <r>
      <rPr>
        <sz val="12"/>
        <rFont val="Times New Roman"/>
        <family val="1"/>
      </rPr>
      <t>(kw/h)</t>
    </r>
  </si>
  <si>
    <r>
      <t xml:space="preserve">Định mức </t>
    </r>
    <r>
      <rPr>
        <sz val="12"/>
        <rFont val="Times New Roman"/>
        <family val="1"/>
      </rPr>
      <t>(tính cho 01 kỳ kiểm kê hoặc 1 năm thống kê)</t>
    </r>
  </si>
  <si>
    <r>
      <t>Định mức</t>
    </r>
    <r>
      <rPr>
        <sz val="12"/>
        <rFont val="Times New Roman"/>
        <family val="1"/>
      </rPr>
      <t xml:space="preserve"> (tính cho 01 lớp dữ liệu)</t>
    </r>
  </si>
  <si>
    <r>
      <t xml:space="preserve">Định mức
</t>
    </r>
    <r>
      <rPr>
        <sz val="12"/>
        <rFont val="Times New Roman"/>
        <family val="1"/>
      </rPr>
      <t>(tính cho 01 xã)</t>
    </r>
  </si>
  <si>
    <r>
      <t xml:space="preserve">Định mức
</t>
    </r>
    <r>
      <rPr>
        <sz val="12"/>
        <rFont val="Times New Roman"/>
        <family val="1"/>
      </rPr>
      <t>(tính cho 01 kỳ kiểm kê hoặc 1 năm thống kê)</t>
    </r>
  </si>
  <si>
    <r>
      <t xml:space="preserve">Định mức
</t>
    </r>
    <r>
      <rPr>
        <sz val="12"/>
        <rFont val="Times New Roman"/>
        <family val="1"/>
      </rPr>
      <t>(tính cho 01 lớp dữ liệu)</t>
    </r>
  </si>
  <si>
    <t>Gram</t>
  </si>
  <si>
    <t>Hộp</t>
  </si>
  <si>
    <t>Quyển</t>
  </si>
  <si>
    <t>Định mức (Công/Lớp dữ liệu)</t>
  </si>
  <si>
    <t>Nhóm 2 
(1 KTV4 + 1KS2)</t>
  </si>
  <si>
    <t>Nhóm 2 
(1KTV4 + 1KS3)</t>
  </si>
  <si>
    <r>
      <t xml:space="preserve">Định mức </t>
    </r>
    <r>
      <rPr>
        <sz val="12"/>
        <rFont val="Times New Roman"/>
        <family val="1"/>
      </rPr>
      <t>(tính cho 01 tỉnh)</t>
    </r>
  </si>
  <si>
    <t>Định mức (tính cho 01 kỳ kiểm kê hoặc 01 năm thống kê)</t>
  </si>
  <si>
    <t>KW</t>
  </si>
  <si>
    <r>
      <t xml:space="preserve">Định mức
</t>
    </r>
    <r>
      <rPr>
        <sz val="12"/>
        <rFont val="Times New Roman"/>
        <family val="1"/>
      </rPr>
      <t>(tính cho 01 kỳ kiểm kê hoặc 01 năm thống kê)</t>
    </r>
  </si>
  <si>
    <r>
      <t xml:space="preserve">Thời hạn
</t>
    </r>
    <r>
      <rPr>
        <sz val="12"/>
        <rFont val="Times New Roman"/>
        <family val="1"/>
      </rPr>
      <t>(tháng)</t>
    </r>
  </si>
  <si>
    <r>
      <t xml:space="preserve">Định mức
</t>
    </r>
    <r>
      <rPr>
        <sz val="12"/>
        <rFont val="Times New Roman"/>
        <family val="1"/>
      </rPr>
      <t>(tính cho 01 tỉnh)</t>
    </r>
  </si>
  <si>
    <r>
      <t xml:space="preserve">Định mức </t>
    </r>
    <r>
      <rPr>
        <sz val="12"/>
        <rFont val="Times New Roman"/>
        <family val="1"/>
      </rPr>
      <t>(tính cho 01 lớp dữ liệu)</t>
    </r>
  </si>
  <si>
    <t>Định mức
(tính cho 01 huyện)</t>
  </si>
  <si>
    <r>
      <t xml:space="preserve">Định mức
</t>
    </r>
    <r>
      <rPr>
        <sz val="12"/>
        <rFont val="Times New Roman"/>
        <family val="1"/>
      </rPr>
      <t>(tính cho 01 huyện)</t>
    </r>
  </si>
  <si>
    <r>
      <t xml:space="preserve">Định mức 
</t>
    </r>
    <r>
      <rPr>
        <sz val="12"/>
        <rFont val="Times New Roman"/>
        <family val="1"/>
      </rPr>
      <t>(Công/Lớp dữ liệu)</t>
    </r>
  </si>
  <si>
    <r>
      <t xml:space="preserve">Định mức 
</t>
    </r>
    <r>
      <rPr>
        <sz val="12"/>
        <rFont val="Times New Roman"/>
        <family val="1"/>
      </rPr>
      <t>(Công nhóm/cả nước)</t>
    </r>
  </si>
  <si>
    <t>Nhóm 2 
(1KTV4+1KS3)</t>
  </si>
  <si>
    <t>Kw</t>
  </si>
  <si>
    <t>Định mức
(tính cho 01 kỳ kiểm kê hoạc 01 năm thống kê)</t>
  </si>
  <si>
    <r>
      <t xml:space="preserve">Định mức
</t>
    </r>
    <r>
      <rPr>
        <sz val="12"/>
        <rFont val="Times New Roman"/>
        <family val="1"/>
      </rPr>
      <t>(tính cho vùng hoặc cả nước)</t>
    </r>
  </si>
  <si>
    <t>Nhân công</t>
  </si>
  <si>
    <t>Vật liệu</t>
  </si>
  <si>
    <t>Thiết bị</t>
  </si>
  <si>
    <t>Dụng cụ</t>
  </si>
  <si>
    <t>Thành tiền
(theo ĐVT)</t>
  </si>
  <si>
    <t>Định mức (Công nhóm/01 kỳ kiểm kê hoặc 01 năm thống kê)</t>
  </si>
  <si>
    <t xml:space="preserve"> có hệ điều hành Windows bản quyền</t>
  </si>
  <si>
    <t>có hệ điều hành Windows server bản quyền</t>
  </si>
  <si>
    <t>Máy chủ</t>
  </si>
  <si>
    <t>Tập</t>
  </si>
  <si>
    <t>1</t>
  </si>
  <si>
    <t xml:space="preserve"> TỔNG HỢP ĐƠN GIÁ XÂY DỰNG CSDL THỐNG KÊ, KIỂM KÊ ĐẤT ĐAI CẢ NƯỚC</t>
  </si>
  <si>
    <t>Năm TK</t>
  </si>
  <si>
    <t>Kỳ KK</t>
  </si>
  <si>
    <t>Năm TK hoặc Kỳ KK</t>
  </si>
  <si>
    <t>Chuyển đổi vào cơ sở dữ liệu thống kê,  kiểm kê đất đai</t>
  </si>
  <si>
    <t>Thực hiện đối soát, hoàn thiện dữ liệu, tạo liên kết dữ liệu thống kê, kiểm kê đất đai</t>
  </si>
  <si>
    <t>Trang A3, trang A4</t>
  </si>
  <si>
    <t>Tính cho giai đoạn 2000-2018</t>
  </si>
  <si>
    <r>
      <rPr>
        <b/>
        <sz val="12"/>
        <rFont val="Times New Roman"/>
        <family val="1"/>
      </rPr>
      <t>Cột 14: Khối lượng được tính bao gồm số liệu thống kê, kiểm kê đất đai cả nước tính từ năm 2000 đến năm 2018, trong đó:</t>
    </r>
    <r>
      <rPr>
        <sz val="12"/>
        <rFont val="Times New Roman"/>
        <family val="1"/>
      </rPr>
      <t xml:space="preserve">
- Số năm TK = có 14 năm TK (trừ 4 năm trùng với kỳ kiểm kê không thực hiện thống kê) * (7 vùng kt-xh + 1 cả nước) = 112;
- Số kỳ kiểm kê = 4 * (7 vùng kt-xh + 1 cả nước) = 32
- Số trang A3: (Số trang 1 kỳ KK*4 năm KK + số trang 1 năm TK*14 năm TK)*(7 vùng kt-xh+ 1 cả nước); trong đó  số trang 1 kỳ KK = 15 ; Số trang 1 năm TK = 11
- Số trang A4: (Số trang 1 kỳ KK*4 năm KK + số trang 1 năm TK*14 năm TK)*(7 vùng kt-xh+ 1 cả nước); trong đó  số trang 1 kỳ KK = 75 ; Số trang 1 năm TK = 50 
</t>
    </r>
    <r>
      <rPr>
        <b/>
        <sz val="12"/>
        <rFont val="Times New Roman"/>
        <family val="1"/>
      </rPr>
      <t>Cột 13: Là đơn giá tính cho 1 năm TK hoặc 1 kỳ kiểm kê của một vùng kt-xh hoặc cả nước</t>
    </r>
  </si>
  <si>
    <t>Lương cơ bản tính theo mức 1.210.000</t>
  </si>
  <si>
    <t>14</t>
  </si>
  <si>
    <t>15</t>
  </si>
  <si>
    <t>Bộ dữ liệu theo tỉnh</t>
  </si>
  <si>
    <r>
      <rPr>
        <b/>
        <sz val="12"/>
        <rFont val="Times New Roman"/>
        <family val="1"/>
      </rPr>
      <t>Cột 14: Khối lượng được tính bao gồm số liệu thống kê, kiểm kê đất đai 1 huyện tính từ năm 2000 đến năm 2018, trong đó:</t>
    </r>
    <r>
      <rPr>
        <sz val="12"/>
        <rFont val="Times New Roman"/>
        <family val="1"/>
      </rPr>
      <t xml:space="preserve">
- Số năm TK = có 14 năm TK (trừ 4 năm trùng với kỳ kiểm kê không thực hiện thống kê)  = 14;
- Số kỳ kiểm kê = 4 (năm 2000, 2005, 2010, 2014)
- Số trang A3: (Số trang 1 kỳ KK*4 năm KK + số trang 1 năm TK*14 năm TK); trong đó  số trang 1 kỳ KK = 12 ; Số trang 1 năm TK = 9
- Số trang A4: (Số trang 1 kỳ KK*4 năm KK + số trang 1 năm TK*14 năm TK); trong đó  số trang 1 kỳ KK = 75 ; Số trang 1 năm TK = 50 
</t>
    </r>
    <r>
      <rPr>
        <b/>
        <sz val="12"/>
        <rFont val="Times New Roman"/>
        <family val="1"/>
      </rPr>
      <t>Cột 13: Là đơn giá tính cho 1 năm TK hoặc 1 kỳ kiểm kê của một huyện</t>
    </r>
  </si>
  <si>
    <r>
      <rPr>
        <b/>
        <sz val="12"/>
        <rFont val="Times New Roman"/>
        <family val="1"/>
      </rPr>
      <t>Cột 14: Khối lượng được tính bao gồm số liệu thống kê, kiểm kê đất đai 1 xã tính từ năm 2000 đến năm 2018, trong đó:</t>
    </r>
    <r>
      <rPr>
        <sz val="12"/>
        <rFont val="Times New Roman"/>
        <family val="1"/>
      </rPr>
      <t xml:space="preserve">
- Số năm TK = có 14 năm TK (trừ 4 năm trùng với kỳ kiểm kê không thực hiện thống kê)  = 14;
- Số kỳ kiểm kê = 4 (năm 2000, 2005, 2010, 2014)
- Số trang A3: (Số trang 1 kỳ KK*4 năm KK + số trang 1 năm TK*14 năm TK); trong đó  số trang 1 kỳ KK = 18 ; Số trang 1 năm TK = 8
- Số trang A4: (Số trang 1 kỳ KK*4 năm KK + số trang 1 năm TK*14 năm TK); trong đó  số trang 1 kỳ KK = 75 ; Số trang 1 năm TK = 50 
- Lớp dữ liệu: mỗi kỳ kiểm kê có 1 lớp dữ liệu hiện trạng, riêng kỳ kiểm kê 2014 có 2 lớp dữ liệu (khoanh vẽ và hiện trạng)
</t>
    </r>
    <r>
      <rPr>
        <b/>
        <sz val="12"/>
        <rFont val="Times New Roman"/>
        <family val="1"/>
      </rPr>
      <t>Cột 13: Là đơn giá tính cho 1 năm TK hoặc 1 kỳ kiểm kê của một xã</t>
    </r>
  </si>
  <si>
    <t>Tỷ lệ 1:1.000</t>
  </si>
  <si>
    <t>Tỷ lệ 1:2.000</t>
  </si>
  <si>
    <t>Tỷ lệ 1:5.000</t>
  </si>
  <si>
    <t>0,8</t>
  </si>
  <si>
    <t>0,9</t>
  </si>
  <si>
    <t>1,15</t>
  </si>
  <si>
    <t>VPĐK làm</t>
  </si>
  <si>
    <t>Xã có bản đồ tỷ lệ 1:1000</t>
  </si>
  <si>
    <t>Xã có bản đồ tỷ lệ 1:2000</t>
  </si>
  <si>
    <t>Xã có bản đồ tỷ lệ 1:5000</t>
  </si>
  <si>
    <t>Xã có bản đồ tỷ lệ 1:10.000</t>
  </si>
  <si>
    <t>VPĐK</t>
  </si>
  <si>
    <t>Tổng đơn giá</t>
  </si>
  <si>
    <t>Nhà thầu</t>
  </si>
  <si>
    <t>Nhóm 2 
(1 KTV2 + 1KS4)</t>
  </si>
  <si>
    <t>Đơn giá thi công xây dựng dữ liệu không gian</t>
  </si>
  <si>
    <t>Đơn giá các bước công việc (trừ xd dữ liệu không gian)</t>
  </si>
  <si>
    <t>VPĐK thực hiện</t>
  </si>
  <si>
    <t>Đơn giá các bước (trừ xd dữ liệu KG)</t>
  </si>
  <si>
    <t>Đơn giá xây dựng dữ liệu KG</t>
  </si>
  <si>
    <t>DỰ TOÁN CHO MỘT HUYỆN</t>
  </si>
  <si>
    <t>Tổng giá trị</t>
  </si>
  <si>
    <t>ĐVHC</t>
  </si>
  <si>
    <t>Tổng cộng cấp xã</t>
  </si>
  <si>
    <t>Huyện có bản đồ tỷ lệ 1:10.000</t>
  </si>
  <si>
    <t>Huyện có bản đồ tỷ lệ 1:25.000</t>
  </si>
  <si>
    <t>Huyện có bản đồ tỷ lệ 1:5.000</t>
  </si>
  <si>
    <t>Tổng cộng cấp huyện</t>
  </si>
  <si>
    <t>Tổng cộng 1 huyện (A+B)</t>
  </si>
  <si>
    <t>Khối lượng (xã[huyện])</t>
  </si>
  <si>
    <t>Đơn giá đã bao gồm VAT (10%), CPC (15%), lương cơ sở 1.300.000</t>
  </si>
  <si>
    <t xml:space="preserve">Phụ cấp lưu động </t>
  </si>
  <si>
    <t>Tổng + (8% vật liệu nhỏ)</t>
  </si>
  <si>
    <t>Tổng + 8% vật liệu nhỏ</t>
  </si>
  <si>
    <t xml:space="preserve"> </t>
  </si>
  <si>
    <t>Chi phí thiết bị</t>
  </si>
  <si>
    <t>Máy quét A3</t>
  </si>
  <si>
    <t>Thiết bị lưu trữ hồ sơ quét</t>
  </si>
  <si>
    <t>Máy quét A4</t>
  </si>
  <si>
    <t>Lương cơ bản tính theo mức 1.300.000</t>
  </si>
  <si>
    <r>
      <t xml:space="preserve">Đơn giá sản phẩm do đơn vị sự nghiệp thực hiện </t>
    </r>
    <r>
      <rPr>
        <sz val="12"/>
        <rFont val="Times New Roman"/>
        <family val="1"/>
      </rPr>
      <t>(trừ khấu hao)</t>
    </r>
  </si>
  <si>
    <t>Phụ cấp khu vực 0,1</t>
  </si>
  <si>
    <t>Phụ cấp khu vực 0,1
(CPTT)</t>
  </si>
  <si>
    <t>Phụ cấp khu vực 0,1
(CP chung)</t>
  </si>
  <si>
    <r>
      <rPr>
        <b/>
        <sz val="10"/>
        <rFont val="Times New Roman"/>
        <family val="1"/>
      </rPr>
      <t>Cột 14: Khối lượng được tính bao gồm số liệu thống kê, kiểm kê đất đai 1 tỉnh tính từ năm 2000 đến năm 2018, trong đó:</t>
    </r>
    <r>
      <rPr>
        <sz val="10"/>
        <rFont val="Times New Roman"/>
        <family val="1"/>
      </rPr>
      <t xml:space="preserve">
- Số năm TK = có 14 năm TK (trừ 4 năm trùng với kỳ kiểm kê không thực hiện thống kê)  = 14;
- Số kỳ kiểm kê = 4 (năm 2000, 2005, 2010, 2014)
- Số trang A3: (Số trang 1 kỳ KK*4 năm KK + số trang 1 năm TK*14 năm TK); trong đó  số trang 1 kỳ KK = 13 ; Số trang 1 năm TK = 9
- Số trang A4: (Số trang 1 kỳ KK*4 năm KK + số trang 1 năm TK*14 năm TK); trong đó  số trang 1 kỳ KK = 75 ; Số trang 1 năm TK = 50 
</t>
    </r>
    <r>
      <rPr>
        <b/>
        <sz val="10"/>
        <rFont val="Times New Roman"/>
        <family val="1"/>
      </rPr>
      <t>Cột 13: Là đơn giá tính cho 1 năm TK hoặc 1 kỳ kiểm kê của một tỉnh</t>
    </r>
  </si>
  <si>
    <r>
      <t xml:space="preserve">Đơn giá sản phẩm do đơn vị sự nghiệp thực hiện </t>
    </r>
    <r>
      <rPr>
        <i/>
        <sz val="12"/>
        <rFont val="Times New Roman"/>
        <family val="1"/>
      </rPr>
      <t>(trừ khấu hao)</t>
    </r>
  </si>
  <si>
    <t>ĐƠN GIÁ XÂY DỰNG CƠ SỞ DỮ LIỆU THỐNG KÊ, KIỂM KÊ ĐẤT ĐAI CẤP TỈNH</t>
  </si>
  <si>
    <t>ĐƠN GIÁ XÂY DỰNG CƠ SỞ DỮ LIỆU THỐNG KÊ, KIỂM KÊ ĐẤT ĐAI CẤP HUYỆN</t>
  </si>
  <si>
    <t>ĐƠN GIÁ XÂY DỰNG CƠ SỞ DỮ LIỆU THỐNG KÊ, KIỂM KÊ ĐẤT ĐAI CẤP XÃ</t>
  </si>
  <si>
    <t>I- NỘI NGHIỆP:</t>
  </si>
  <si>
    <t>BHXH, Ytế, CĐ, TN</t>
  </si>
  <si>
    <t>Phụ lục 18: CHI PHÍ LAO ĐỘNG XÂY DỰNG CSDL LIỆU KIỂM KÊ CẤP XÃ</t>
  </si>
  <si>
    <t>Phụ lục 19:  CHI PHÍ KHẤU HAO MÁY VÀ THIẾT BỊ  XÂY DỰNG CSDL LIỆU KIỂM KÊ CẤP XÃ</t>
  </si>
  <si>
    <t>Phụ lục 21:  CHI PHÍ VẬT LIỆU  XÂY DỰNG CSDL LIỆU KIỂM KÊ CẤP XÃ</t>
  </si>
  <si>
    <t>Phụ lục 23: CHI PHÍ KHẤU HAO MÁY VÀ THIẾT BỊ  XÂY DỰNG CƠ SỞ DỮ LIỆU THỐNG KÊ , KIỂM KÊ CẤP HUYỆN</t>
  </si>
  <si>
    <t>Phụ lục 24:  CHI PHÍ CÔNG CỤ, DỤNG CỤ XÂY DỰNG CSDL THỐNG KÊ, KIỂM KÊ CẤP HUYỆN</t>
  </si>
  <si>
    <t>Phụ lục 27:  CHI PHÍ KHẤU HAO MÁY VÀ THIẾT BỊ XÂY DỰNG CƠ SỞ DỮ LIỆU THỐNG KÊ , KIỂM KÊ CẤP TỈNH</t>
  </si>
  <si>
    <t>Phụ lục 28: CHI PHÍ CÔNG CỤ, DỤNG CỤ XÂY DỰNG CSDL THỐNG KÊ, KIỂM KÊ CẤP TỈNH</t>
  </si>
  <si>
    <t>Phụ lục 20:  CHI PHÍ CÔNG CỤ, DỤNG CỤ XD CSDL THỐNG KÊ, KIỂM KÊ CẤP XÃ</t>
  </si>
  <si>
    <t>Phụ lục 22: CHI PHÍ LAO ĐỘNG XÂY DỰNG CSDL THỐNG KÊ, KIỂM KÊ CẤP HUYỆN</t>
  </si>
  <si>
    <t>Phụ lục 25:  CHI PHÍ VẬT LIỆU  XÂY DỰNG CSDL THỐNG KÊ , KIỂM KÊ CẤP HUYỆN</t>
  </si>
  <si>
    <t>Phụ lục 26: CHI PHÍ LAO ĐỘNG XÂY DỰNG CSDL THỐNG KÊ , KIỂM KÊ CẤP TỈNH</t>
  </si>
  <si>
    <t>Phụ lục 29: CHI PHÍ VẬT LIỆU XÂY DỰNG CSDL THỐNG KÊ , KIỂM KÊ CẤP TỈNH</t>
  </si>
  <si>
    <t xml:space="preserve"> Đồng</t>
  </si>
  <si>
    <t>Định mức (công nhóm /01 năm thống kê hoặc 01 kỳ kiểm kê)</t>
  </si>
  <si>
    <t>Định mức (Công nhóm/01 năm thống kê hoặc 1 kỳ kiểm kê)</t>
  </si>
  <si>
    <t xml:space="preserve"> Phụ Lục 3: CHI PHÍ CÔNG CỤ, DỤNG CỤ</t>
  </si>
  <si>
    <t xml:space="preserve"> Phụ Lục 2: CHI PHÍ KHẤU HAO MÁY VÀ THIẾT BỊ</t>
  </si>
  <si>
    <t>Định mức (Công nhóm/ huyện)</t>
  </si>
  <si>
    <r>
      <t xml:space="preserve">Định mức
</t>
    </r>
    <r>
      <rPr>
        <sz val="12"/>
        <rFont val="Times New Roman"/>
        <family val="1"/>
      </rPr>
      <t>(tính cho 01 kỳ kk hoặc 01 năm thống kê)</t>
    </r>
  </si>
  <si>
    <t>0.1/5 người</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</si>
</sst>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43" formatCode="_(* #,##0.00_);_(* \(#,##0.00\);_(* &quot;-&quot;??_);_(@_)"/>
    <numFmt numFmtId="164" formatCode="_-* #,##0.00\ _₫_-;\-* #,##0.00\ _₫_-;_-* &quot;-&quot;??\ _₫_-;_-@_-"/>
    <numFmt numFmtId="165" formatCode="_(* #,##0_);_(* \(#,##0\);_(* &quot;-&quot;??_);_(@_)"/>
    <numFmt numFmtId="166" formatCode="0.0000"/>
    <numFmt numFmtId="167" formatCode="&quot;\&quot;#,##0;[Red]&quot;\&quot;\-#,##0"/>
    <numFmt numFmtId="168" formatCode="&quot;\&quot;#,##0.00;[Red]&quot;\&quot;\-#,##0.00"/>
    <numFmt numFmtId="169" formatCode="\$#,##0\ ;\(\$#,##0\)"/>
    <numFmt numFmtId="170" formatCode="&quot;\&quot;#,##0;[Red]&quot;\&quot;&quot;\&quot;\-#,##0"/>
    <numFmt numFmtId="171" formatCode="&quot;\&quot;#,##0.00;[Red]&quot;\&quot;&quot;\&quot;&quot;\&quot;&quot;\&quot;&quot;\&quot;&quot;\&quot;\-#,##0.00"/>
    <numFmt numFmtId="172" formatCode="#,##0.0"/>
    <numFmt numFmtId="173" formatCode="#,##0.0000"/>
    <numFmt numFmtId="174" formatCode="#,##0.000"/>
    <numFmt numFmtId="175" formatCode="_-* #,##0.00\ _€_-;\-* #,##0.00\ _€_-;_-* &quot;-&quot;??\ _€_-;_-@_-"/>
    <numFmt numFmtId="176" formatCode="_ &quot;\&quot;* #,##0.00_ ;_ &quot;\&quot;* &quot;\&quot;&quot;\&quot;&quot;\&quot;&quot;\&quot;&quot;\&quot;&quot;\&quot;&quot;\&quot;&quot;\&quot;&quot;\&quot;\-#,##0.00_ ;_ &quot;\&quot;* &quot;-&quot;??_ ;_ @_ "/>
    <numFmt numFmtId="177" formatCode="#,##0\ &quot;$&quot;_);[Red]\(#,##0\ &quot;$&quot;\)"/>
    <numFmt numFmtId="178" formatCode="&quot;$&quot;###,0&quot;.&quot;00_);[Red]\(&quot;$&quot;###,0&quot;.&quot;00\)"/>
    <numFmt numFmtId="179" formatCode="_-* #,##0_-;\-* #,##0_-;_-* &quot;-&quot;_-;_-@_-"/>
    <numFmt numFmtId="180" formatCode="_-&quot;$&quot;* #,##0_-;\-&quot;$&quot;* #,##0_-;_-&quot;$&quot;* &quot;-&quot;_-;_-@_-"/>
    <numFmt numFmtId="181" formatCode="_-&quot;$&quot;* #,##0.00_-;\-&quot;$&quot;* #,##0.00_-;_-&quot;$&quot;* &quot;-&quot;??_-;_-@_-"/>
    <numFmt numFmtId="182" formatCode="_(* #,##0.0000_);_(* \(#,##0.0000\);_(* &quot;-&quot;??_);_(@_)"/>
    <numFmt numFmtId="183" formatCode="_(* #,##0.00000_);_(* \(#,##0.00000\);_(* &quot;-&quot;??_);_(@_)"/>
    <numFmt numFmtId="184" formatCode="0.0"/>
    <numFmt numFmtId="185" formatCode="_-* #,##0.0000\ _₫_-;\-* #,##0.0000\ _₫_-;_-* &quot;-&quot;????\ _₫_-;_-@_-"/>
    <numFmt numFmtId="186" formatCode="0.0%"/>
    <numFmt numFmtId="187" formatCode="0_);\(0\)"/>
    <numFmt numFmtId="188" formatCode="_(* #,##0.0000_);_(* \(#,##0.0000\);_(* &quot;-&quot;????_);_(@_)"/>
  </numFmts>
  <fonts count="136">
    <font>
      <sz val="12"/>
      <name val=".VnTime"/>
    </font>
    <font>
      <sz val="12"/>
      <name val=".VnTime"/>
      <family val="2"/>
    </font>
    <font>
      <sz val="11"/>
      <name val=".VnTime"/>
      <family val="2"/>
    </font>
    <font>
      <sz val="10"/>
      <name val=".VnTime"/>
      <family val="2"/>
    </font>
    <font>
      <sz val="8"/>
      <name val=".VnTime"/>
      <family val="2"/>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4"/>
      <name val="Times New Roman"/>
      <family val="1"/>
    </font>
    <font>
      <sz val="14"/>
      <name val="Times New Roman"/>
      <family val="1"/>
    </font>
    <font>
      <sz val="11"/>
      <color indexed="8"/>
      <name val="Arial"/>
      <family val="2"/>
      <charset val="163"/>
    </font>
    <font>
      <sz val="11"/>
      <color indexed="9"/>
      <name val="Arial"/>
      <family val="2"/>
      <charset val="163"/>
    </font>
    <font>
      <sz val="11"/>
      <color indexed="20"/>
      <name val="Arial"/>
      <family val="2"/>
      <charset val="163"/>
    </font>
    <font>
      <b/>
      <sz val="11"/>
      <color indexed="52"/>
      <name val="Arial"/>
      <family val="2"/>
      <charset val="163"/>
    </font>
    <font>
      <b/>
      <sz val="11"/>
      <color indexed="9"/>
      <name val="Arial"/>
      <family val="2"/>
      <charset val="163"/>
    </font>
    <font>
      <i/>
      <sz val="11"/>
      <color indexed="23"/>
      <name val="Arial"/>
      <family val="2"/>
      <charset val="163"/>
    </font>
    <font>
      <sz val="11"/>
      <color indexed="17"/>
      <name val="Arial"/>
      <family val="2"/>
      <charset val="163"/>
    </font>
    <font>
      <b/>
      <sz val="11"/>
      <color indexed="56"/>
      <name val="Arial"/>
      <family val="2"/>
      <charset val="163"/>
    </font>
    <font>
      <sz val="11"/>
      <color indexed="62"/>
      <name val="Arial"/>
      <family val="2"/>
      <charset val="163"/>
    </font>
    <font>
      <sz val="11"/>
      <color indexed="52"/>
      <name val="Arial"/>
      <family val="2"/>
      <charset val="163"/>
    </font>
    <font>
      <sz val="11"/>
      <color indexed="60"/>
      <name val="Arial"/>
      <family val="2"/>
      <charset val="163"/>
    </font>
    <font>
      <b/>
      <sz val="11"/>
      <color indexed="63"/>
      <name val="Arial"/>
      <family val="2"/>
      <charset val="163"/>
    </font>
    <font>
      <b/>
      <sz val="18"/>
      <color indexed="56"/>
      <name val="Times New Roman"/>
      <family val="2"/>
      <charset val="163"/>
    </font>
    <font>
      <sz val="11"/>
      <color indexed="10"/>
      <name val="Arial"/>
      <family val="2"/>
      <charset val="163"/>
    </font>
    <font>
      <sz val="12"/>
      <name val="Times New Roman"/>
      <family val="1"/>
    </font>
    <font>
      <b/>
      <u/>
      <sz val="12"/>
      <name val="Times New Roman"/>
      <family val="1"/>
    </font>
    <font>
      <b/>
      <sz val="12"/>
      <name val="Times New Roman"/>
      <family val="1"/>
    </font>
    <font>
      <b/>
      <i/>
      <u/>
      <sz val="12"/>
      <name val="Times New Roman"/>
      <family val="1"/>
    </font>
    <font>
      <i/>
      <sz val="12"/>
      <name val="Times New Roman"/>
      <family val="1"/>
    </font>
    <font>
      <b/>
      <sz val="12"/>
      <color indexed="12"/>
      <name val="Times New Roman"/>
      <family val="1"/>
    </font>
    <font>
      <sz val="12"/>
      <name val=".VnTime"/>
      <family val="2"/>
    </font>
    <font>
      <b/>
      <i/>
      <sz val="12"/>
      <name val="Times New Roman"/>
      <family val="1"/>
    </font>
    <font>
      <b/>
      <sz val="12"/>
      <name val=".VnTime"/>
      <family val="2"/>
    </font>
    <font>
      <sz val="10"/>
      <name val="Times New Roman"/>
      <family val="1"/>
    </font>
    <font>
      <b/>
      <sz val="10"/>
      <name val="Times New Roman"/>
      <family val="1"/>
    </font>
    <font>
      <b/>
      <i/>
      <sz val="12"/>
      <name val=".VnTime"/>
      <family val="2"/>
    </font>
    <font>
      <b/>
      <sz val="10"/>
      <name val=".VnTime"/>
      <family val="2"/>
    </font>
    <font>
      <b/>
      <sz val="10"/>
      <color indexed="10"/>
      <name val="Times New Roman"/>
      <family val="1"/>
    </font>
    <font>
      <sz val="10"/>
      <name val="Arial"/>
      <family val="2"/>
    </font>
    <font>
      <sz val="12"/>
      <color indexed="18"/>
      <name val="Times New Roman"/>
      <family val="1"/>
    </font>
    <font>
      <b/>
      <sz val="12"/>
      <color indexed="18"/>
      <name val="Times New Roman"/>
      <family val="1"/>
    </font>
    <font>
      <i/>
      <sz val="12"/>
      <color indexed="18"/>
      <name val="Times New Roman"/>
      <family val="1"/>
    </font>
    <font>
      <sz val="12"/>
      <color indexed="10"/>
      <name val="Times New Roman"/>
      <family val="1"/>
    </font>
    <font>
      <b/>
      <sz val="12"/>
      <color indexed="10"/>
      <name val="Times New Roman"/>
      <family val="1"/>
    </font>
    <font>
      <i/>
      <sz val="12"/>
      <color indexed="10"/>
      <name val="Times New Roman"/>
      <family val="1"/>
    </font>
    <font>
      <sz val="14"/>
      <name val="??"/>
      <family val="3"/>
      <charset val="129"/>
    </font>
    <font>
      <sz val="10"/>
      <name val="???"/>
      <family val="3"/>
      <charset val="129"/>
    </font>
    <font>
      <sz val="11"/>
      <color indexed="8"/>
      <name val="Calibri"/>
      <family val="2"/>
    </font>
    <font>
      <sz val="12"/>
      <color indexed="8"/>
      <name val="Times New Roman"/>
      <family val="2"/>
    </font>
    <font>
      <sz val="11"/>
      <color indexed="9"/>
      <name val="Calibri"/>
      <family val="2"/>
    </font>
    <font>
      <sz val="12"/>
      <color indexed="9"/>
      <name val="Times New Roman"/>
      <family val="2"/>
    </font>
    <font>
      <sz val="11"/>
      <color indexed="20"/>
      <name val="Calibri"/>
      <family val="2"/>
    </font>
    <font>
      <b/>
      <sz val="11"/>
      <color indexed="52"/>
      <name val="Calibri"/>
      <family val="2"/>
    </font>
    <font>
      <b/>
      <sz val="11"/>
      <color indexed="9"/>
      <name val="Calibri"/>
      <family val="2"/>
    </font>
    <font>
      <sz val="10"/>
      <name val="Arial"/>
      <family val="2"/>
      <charset val="163"/>
    </font>
    <font>
      <sz val="11"/>
      <color indexed="8"/>
      <name val="Calibri"/>
      <family val="2"/>
      <charset val="163"/>
    </font>
    <font>
      <sz val="12"/>
      <name val="VNI-Times"/>
    </font>
    <font>
      <b/>
      <sz val="12"/>
      <color indexed="63"/>
      <name val="Times New Roman"/>
      <family val="2"/>
    </font>
    <font>
      <sz val="12"/>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i/>
      <sz val="11"/>
      <color indexed="23"/>
      <name val="Calibri"/>
      <family val="2"/>
    </font>
    <font>
      <sz val="11"/>
      <color indexed="17"/>
      <name val="Calibri"/>
      <family val="2"/>
    </font>
    <font>
      <b/>
      <sz val="11"/>
      <color indexed="56"/>
      <name val="Calibri"/>
      <family val="2"/>
    </font>
    <font>
      <sz val="11"/>
      <color indexed="62"/>
      <name val="Calibri"/>
      <family val="2"/>
    </font>
    <font>
      <b/>
      <sz val="12"/>
      <color indexed="9"/>
      <name val="Times New Roman"/>
      <family val="2"/>
    </font>
    <font>
      <sz val="11"/>
      <color indexed="52"/>
      <name val="Calibri"/>
      <family val="2"/>
    </font>
    <font>
      <sz val="10"/>
      <name val="MS Sans Serif"/>
      <family val="2"/>
    </font>
    <font>
      <sz val="12"/>
      <name val="Arial"/>
      <family val="2"/>
    </font>
    <font>
      <sz val="11"/>
      <color indexed="60"/>
      <name val="Calibri"/>
      <family val="2"/>
    </font>
    <font>
      <sz val="12"/>
      <name val=".VnTime"/>
      <family val="2"/>
    </font>
    <font>
      <sz val="12"/>
      <color indexed="52"/>
      <name val="Times New Roman"/>
      <family val="2"/>
    </font>
    <font>
      <b/>
      <sz val="11"/>
      <color indexed="63"/>
      <name val="Calibri"/>
      <family val="2"/>
    </font>
    <font>
      <b/>
      <sz val="18"/>
      <color indexed="56"/>
      <name val="Cambria"/>
      <family val="2"/>
    </font>
    <font>
      <b/>
      <sz val="12"/>
      <color indexed="52"/>
      <name val="Times New Roman"/>
      <family val="2"/>
    </font>
    <font>
      <b/>
      <sz val="12"/>
      <color indexed="8"/>
      <name val="Times New Roman"/>
      <family val="2"/>
    </font>
    <font>
      <sz val="12"/>
      <color indexed="17"/>
      <name val="Times New Roman"/>
      <family val="2"/>
    </font>
    <font>
      <sz val="12"/>
      <color indexed="60"/>
      <name val="Times New Roman"/>
      <family val="2"/>
    </font>
    <font>
      <sz val="12"/>
      <color indexed="10"/>
      <name val="Times New Roman"/>
      <family val="2"/>
    </font>
    <font>
      <i/>
      <sz val="12"/>
      <color indexed="23"/>
      <name val="Times New Roman"/>
      <family val="2"/>
    </font>
    <font>
      <sz val="9"/>
      <name val=".VnTime"/>
      <family val="2"/>
    </font>
    <font>
      <sz val="11"/>
      <color indexed="10"/>
      <name val="Calibri"/>
      <family val="2"/>
    </font>
    <font>
      <sz val="12"/>
      <color indexed="20"/>
      <name val="Times New Roman"/>
      <family val="2"/>
    </font>
    <font>
      <sz val="10"/>
      <name val=" "/>
      <family val="1"/>
      <charset val="136"/>
    </font>
    <font>
      <sz val="12"/>
      <name val="바탕체"/>
      <family val="3"/>
    </font>
    <font>
      <b/>
      <sz val="9"/>
      <name val="Arial"/>
      <family val="2"/>
    </font>
    <font>
      <sz val="12"/>
      <name val="新細明體"/>
      <charset val="136"/>
    </font>
    <font>
      <sz val="12"/>
      <name val="Courier"/>
      <family val="3"/>
    </font>
    <font>
      <sz val="10"/>
      <color indexed="12"/>
      <name val="Times New Roman"/>
      <family val="1"/>
    </font>
    <font>
      <sz val="11"/>
      <color indexed="10"/>
      <name val="Times New Roman"/>
      <family val="1"/>
    </font>
    <font>
      <sz val="10"/>
      <name val="FreeSerif"/>
    </font>
    <font>
      <b/>
      <sz val="10"/>
      <color indexed="18"/>
      <name val="FreeSerif"/>
    </font>
    <font>
      <sz val="11"/>
      <name val="Times New Roman"/>
      <family val="1"/>
    </font>
    <font>
      <sz val="12"/>
      <color indexed="12"/>
      <name val="Times New Roman"/>
      <family val="1"/>
    </font>
    <font>
      <b/>
      <sz val="12"/>
      <color indexed="12"/>
      <name val="Times New Roman"/>
      <family val="1"/>
    </font>
    <font>
      <b/>
      <i/>
      <sz val="12"/>
      <color indexed="12"/>
      <name val="Times New Roman"/>
      <family val="1"/>
    </font>
    <font>
      <sz val="12"/>
      <color indexed="12"/>
      <name val="Times New Roman"/>
      <family val="1"/>
    </font>
    <font>
      <b/>
      <sz val="12"/>
      <color indexed="12"/>
      <name val="Times New Roman"/>
      <family val="1"/>
    </font>
    <font>
      <b/>
      <i/>
      <sz val="12"/>
      <color indexed="12"/>
      <name val="Times New Roman"/>
      <family val="1"/>
    </font>
    <font>
      <sz val="8"/>
      <name val=".VnTime"/>
      <family val="2"/>
    </font>
    <font>
      <sz val="8"/>
      <name val="Arial"/>
      <family val="2"/>
    </font>
    <font>
      <sz val="12"/>
      <color indexed="60"/>
      <name val="Times New Roman"/>
      <family val="1"/>
    </font>
    <font>
      <b/>
      <sz val="11"/>
      <name val="Times New Roman"/>
      <family val="1"/>
    </font>
    <font>
      <i/>
      <sz val="11"/>
      <name val="Times New Roman"/>
      <family val="1"/>
    </font>
    <font>
      <b/>
      <sz val="9"/>
      <color indexed="81"/>
      <name val="Tahoma"/>
      <family val="2"/>
    </font>
    <font>
      <sz val="9"/>
      <color indexed="81"/>
      <name val="Tahoma"/>
      <family val="2"/>
    </font>
    <font>
      <sz val="12"/>
      <name val=".VnTime"/>
      <family val="2"/>
    </font>
    <font>
      <sz val="12"/>
      <color rgb="FFFF0000"/>
      <name val="Times New Roman"/>
      <family val="1"/>
    </font>
    <font>
      <b/>
      <i/>
      <sz val="11"/>
      <name val="Times New Roman"/>
      <family val="1"/>
    </font>
    <font>
      <b/>
      <sz val="12"/>
      <name val="Times New Roman"/>
      <family val="1"/>
      <charset val="163"/>
    </font>
    <font>
      <b/>
      <sz val="10"/>
      <name val="Times New Roman"/>
      <family val="1"/>
      <charset val="163"/>
    </font>
    <font>
      <sz val="12"/>
      <name val="Times New Roman"/>
      <family val="1"/>
      <charset val="163"/>
    </font>
    <font>
      <sz val="12"/>
      <color indexed="12"/>
      <name val="Times New Roman"/>
      <family val="1"/>
      <charset val="163"/>
    </font>
    <font>
      <b/>
      <sz val="8"/>
      <color indexed="81"/>
      <name val="Tahoma"/>
      <family val="2"/>
    </font>
    <font>
      <sz val="8"/>
      <color indexed="81"/>
      <name val="Tahoma"/>
      <family val="2"/>
    </font>
    <font>
      <sz val="12"/>
      <color indexed="81"/>
      <name val="Tahoma"/>
      <family val="2"/>
    </font>
    <font>
      <sz val="10"/>
      <color indexed="8"/>
      <name val="Times New Roman"/>
      <family val="1"/>
    </font>
    <font>
      <sz val="10"/>
      <color rgb="FFFF0000"/>
      <name val="Times New Roman"/>
      <family val="1"/>
    </font>
    <font>
      <b/>
      <sz val="11"/>
      <color indexed="10"/>
      <name val="Times New Roman"/>
      <family val="1"/>
    </font>
    <font>
      <b/>
      <sz val="11"/>
      <color indexed="10"/>
      <name val="Times New Roman"/>
      <family val="1"/>
      <charset val="163"/>
    </font>
    <font>
      <b/>
      <sz val="11"/>
      <name val="Times New Roman"/>
      <family val="1"/>
      <charset val="163"/>
    </font>
    <font>
      <sz val="11"/>
      <color rgb="FFFF0000"/>
      <name val="Times New Roman"/>
      <family val="1"/>
    </font>
    <font>
      <b/>
      <sz val="12"/>
      <color rgb="FFFF0000"/>
      <name val="Times New Roman"/>
      <family val="1"/>
    </font>
    <font>
      <i/>
      <sz val="12"/>
      <color rgb="FFFF0000"/>
      <name val="Times New Roman"/>
      <family val="1"/>
    </font>
    <font>
      <sz val="12"/>
      <color theme="0"/>
      <name val="Times New Roman"/>
      <family val="1"/>
    </font>
    <font>
      <b/>
      <sz val="13"/>
      <name val="Times New Roman"/>
      <family val="1"/>
    </font>
    <font>
      <sz val="13"/>
      <name val="Times New Roman"/>
      <family val="1"/>
    </font>
    <font>
      <sz val="12"/>
      <color rgb="FFFF0000"/>
      <name val="Times New Roman"/>
      <family val="1"/>
      <charset val="163"/>
    </font>
    <font>
      <sz val="10"/>
      <color indexed="10"/>
      <name val="Times New Roman"/>
      <family val="1"/>
    </font>
    <font>
      <b/>
      <i/>
      <sz val="10"/>
      <name val="Times New Roman"/>
      <family val="1"/>
    </font>
    <font>
      <sz val="12"/>
      <color theme="1"/>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gray125">
        <fgColor indexed="3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19">
    <xf numFmtId="0" fontId="0" fillId="0" borderId="0"/>
    <xf numFmtId="171" fontId="5" fillId="0" borderId="0" applyFont="0" applyFill="0" applyBorder="0" applyAlignment="0" applyProtection="0"/>
    <xf numFmtId="0" fontId="49" fillId="0" borderId="0" applyFont="0" applyFill="0" applyBorder="0" applyAlignment="0" applyProtection="0"/>
    <xf numFmtId="170" fontId="5"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10" fontId="5" fillId="0" borderId="0" applyFont="0" applyFill="0" applyBorder="0" applyAlignment="0" applyProtection="0"/>
    <xf numFmtId="0" fontId="50" fillId="0" borderId="0"/>
    <xf numFmtId="0" fontId="14" fillId="2" borderId="0" applyNumberFormat="0" applyBorder="0" applyAlignment="0" applyProtection="0"/>
    <xf numFmtId="0" fontId="51" fillId="2" borderId="0" applyNumberFormat="0" applyBorder="0" applyAlignment="0" applyProtection="0"/>
    <xf numFmtId="0" fontId="14" fillId="3" borderId="0" applyNumberFormat="0" applyBorder="0" applyAlignment="0" applyProtection="0"/>
    <xf numFmtId="0" fontId="51" fillId="3" borderId="0" applyNumberFormat="0" applyBorder="0" applyAlignment="0" applyProtection="0"/>
    <xf numFmtId="0" fontId="14" fillId="4" borderId="0" applyNumberFormat="0" applyBorder="0" applyAlignment="0" applyProtection="0"/>
    <xf numFmtId="0" fontId="51" fillId="4" borderId="0" applyNumberFormat="0" applyBorder="0" applyAlignment="0" applyProtection="0"/>
    <xf numFmtId="0" fontId="14" fillId="5" borderId="0" applyNumberFormat="0" applyBorder="0" applyAlignment="0" applyProtection="0"/>
    <xf numFmtId="0" fontId="51" fillId="5" borderId="0" applyNumberFormat="0" applyBorder="0" applyAlignment="0" applyProtection="0"/>
    <xf numFmtId="0" fontId="14" fillId="6" borderId="0" applyNumberFormat="0" applyBorder="0" applyAlignment="0" applyProtection="0"/>
    <xf numFmtId="0" fontId="51" fillId="6" borderId="0" applyNumberFormat="0" applyBorder="0" applyAlignment="0" applyProtection="0"/>
    <xf numFmtId="0" fontId="14" fillId="7" borderId="0" applyNumberFormat="0" applyBorder="0" applyAlignment="0" applyProtection="0"/>
    <xf numFmtId="0" fontId="51"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14" fillId="8" borderId="0" applyNumberFormat="0" applyBorder="0" applyAlignment="0" applyProtection="0"/>
    <xf numFmtId="0" fontId="51" fillId="8" borderId="0" applyNumberFormat="0" applyBorder="0" applyAlignment="0" applyProtection="0"/>
    <xf numFmtId="0" fontId="14" fillId="9" borderId="0" applyNumberFormat="0" applyBorder="0" applyAlignment="0" applyProtection="0"/>
    <xf numFmtId="0" fontId="51" fillId="9" borderId="0" applyNumberFormat="0" applyBorder="0" applyAlignment="0" applyProtection="0"/>
    <xf numFmtId="0" fontId="14" fillId="10" borderId="0" applyNumberFormat="0" applyBorder="0" applyAlignment="0" applyProtection="0"/>
    <xf numFmtId="0" fontId="51" fillId="10" borderId="0" applyNumberFormat="0" applyBorder="0" applyAlignment="0" applyProtection="0"/>
    <xf numFmtId="0" fontId="14" fillId="5" borderId="0" applyNumberFormat="0" applyBorder="0" applyAlignment="0" applyProtection="0"/>
    <xf numFmtId="0" fontId="51" fillId="5" borderId="0" applyNumberFormat="0" applyBorder="0" applyAlignment="0" applyProtection="0"/>
    <xf numFmtId="0" fontId="14" fillId="8" borderId="0" applyNumberFormat="0" applyBorder="0" applyAlignment="0" applyProtection="0"/>
    <xf numFmtId="0" fontId="51" fillId="8" borderId="0" applyNumberFormat="0" applyBorder="0" applyAlignment="0" applyProtection="0"/>
    <xf numFmtId="0" fontId="14" fillId="11" borderId="0" applyNumberFormat="0" applyBorder="0" applyAlignment="0" applyProtection="0"/>
    <xf numFmtId="0" fontId="51" fillId="11"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15" fillId="12" borderId="0" applyNumberFormat="0" applyBorder="0" applyAlignment="0" applyProtection="0"/>
    <xf numFmtId="0" fontId="53" fillId="12" borderId="0" applyNumberFormat="0" applyBorder="0" applyAlignment="0" applyProtection="0"/>
    <xf numFmtId="0" fontId="15" fillId="9" borderId="0" applyNumberFormat="0" applyBorder="0" applyAlignment="0" applyProtection="0"/>
    <xf numFmtId="0" fontId="53" fillId="9" borderId="0" applyNumberFormat="0" applyBorder="0" applyAlignment="0" applyProtection="0"/>
    <xf numFmtId="0" fontId="15" fillId="10" borderId="0" applyNumberFormat="0" applyBorder="0" applyAlignment="0" applyProtection="0"/>
    <xf numFmtId="0" fontId="53" fillId="10" borderId="0" applyNumberFormat="0" applyBorder="0" applyAlignment="0" applyProtection="0"/>
    <xf numFmtId="0" fontId="15" fillId="13" borderId="0" applyNumberFormat="0" applyBorder="0" applyAlignment="0" applyProtection="0"/>
    <xf numFmtId="0" fontId="53" fillId="13" borderId="0" applyNumberFormat="0" applyBorder="0" applyAlignment="0" applyProtection="0"/>
    <xf numFmtId="0" fontId="15" fillId="14" borderId="0" applyNumberFormat="0" applyBorder="0" applyAlignment="0" applyProtection="0"/>
    <xf numFmtId="0" fontId="53" fillId="14" borderId="0" applyNumberFormat="0" applyBorder="0" applyAlignment="0" applyProtection="0"/>
    <xf numFmtId="0" fontId="15" fillId="15" borderId="0" applyNumberFormat="0" applyBorder="0" applyAlignment="0" applyProtection="0"/>
    <xf numFmtId="0" fontId="53" fillId="15"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5" fillId="16" borderId="0" applyNumberFormat="0" applyBorder="0" applyAlignment="0" applyProtection="0"/>
    <xf numFmtId="0" fontId="53" fillId="16" borderId="0" applyNumberFormat="0" applyBorder="0" applyAlignment="0" applyProtection="0"/>
    <xf numFmtId="0" fontId="15" fillId="17" borderId="0" applyNumberFormat="0" applyBorder="0" applyAlignment="0" applyProtection="0"/>
    <xf numFmtId="0" fontId="53" fillId="17" borderId="0" applyNumberFormat="0" applyBorder="0" applyAlignment="0" applyProtection="0"/>
    <xf numFmtId="0" fontId="15" fillId="18" borderId="0" applyNumberFormat="0" applyBorder="0" applyAlignment="0" applyProtection="0"/>
    <xf numFmtId="0" fontId="53" fillId="18" borderId="0" applyNumberFormat="0" applyBorder="0" applyAlignment="0" applyProtection="0"/>
    <xf numFmtId="0" fontId="15" fillId="13" borderId="0" applyNumberFormat="0" applyBorder="0" applyAlignment="0" applyProtection="0"/>
    <xf numFmtId="0" fontId="53" fillId="13" borderId="0" applyNumberFormat="0" applyBorder="0" applyAlignment="0" applyProtection="0"/>
    <xf numFmtId="0" fontId="15" fillId="14" borderId="0" applyNumberFormat="0" applyBorder="0" applyAlignment="0" applyProtection="0"/>
    <xf numFmtId="0" fontId="53" fillId="14" borderId="0" applyNumberFormat="0" applyBorder="0" applyAlignment="0" applyProtection="0"/>
    <xf numFmtId="0" fontId="15" fillId="19" borderId="0" applyNumberFormat="0" applyBorder="0" applyAlignment="0" applyProtection="0"/>
    <xf numFmtId="0" fontId="53" fillId="19" borderId="0" applyNumberFormat="0" applyBorder="0" applyAlignment="0" applyProtection="0"/>
    <xf numFmtId="0" fontId="16" fillId="3" borderId="0" applyNumberFormat="0" applyBorder="0" applyAlignment="0" applyProtection="0"/>
    <xf numFmtId="0" fontId="55" fillId="3" borderId="0" applyNumberFormat="0" applyBorder="0" applyAlignment="0" applyProtection="0"/>
    <xf numFmtId="0" fontId="17" fillId="20" borderId="1" applyNumberFormat="0" applyAlignment="0" applyProtection="0"/>
    <xf numFmtId="0" fontId="56" fillId="20" borderId="1" applyNumberFormat="0" applyAlignment="0" applyProtection="0"/>
    <xf numFmtId="0" fontId="18" fillId="21" borderId="2" applyNumberFormat="0" applyAlignment="0" applyProtection="0"/>
    <xf numFmtId="0" fontId="57" fillId="21" borderId="2" applyNumberFormat="0" applyAlignment="0" applyProtection="0"/>
    <xf numFmtId="43" fontId="1" fillId="0" borderId="0" applyFont="0" applyFill="0" applyBorder="0" applyAlignment="0" applyProtection="0"/>
    <xf numFmtId="43" fontId="111"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164" fontId="59"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alignment vertical="center"/>
    </xf>
    <xf numFmtId="164"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4" fontId="51" fillId="0" borderId="0" applyFont="0" applyFill="0" applyBorder="0" applyAlignment="0" applyProtection="0"/>
    <xf numFmtId="43" fontId="58" fillId="0" borderId="0" applyFont="0" applyFill="0" applyBorder="0" applyAlignment="0" applyProtection="0"/>
    <xf numFmtId="164" fontId="59" fillId="0" borderId="0" applyFont="0" applyFill="0" applyBorder="0" applyAlignment="0" applyProtection="0"/>
    <xf numFmtId="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6" fontId="60" fillId="0" borderId="0" applyFont="0" applyFill="0" applyBorder="0" applyAlignment="0" applyProtection="0"/>
    <xf numFmtId="0" fontId="5" fillId="0" borderId="0" applyFont="0" applyFill="0" applyBorder="0" applyAlignment="0" applyProtection="0"/>
    <xf numFmtId="0" fontId="61" fillId="20" borderId="3" applyNumberFormat="0" applyAlignment="0" applyProtection="0"/>
    <xf numFmtId="0" fontId="62" fillId="7" borderId="1" applyNumberFormat="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19" fillId="0" borderId="0" applyNumberFormat="0" applyFill="0" applyBorder="0" applyAlignment="0" applyProtection="0"/>
    <xf numFmtId="0" fontId="66" fillId="0" borderId="0" applyNumberFormat="0" applyFill="0" applyBorder="0" applyAlignment="0" applyProtection="0"/>
    <xf numFmtId="2" fontId="5" fillId="0" borderId="0" applyFont="0" applyFill="0" applyBorder="0" applyAlignment="0" applyProtection="0"/>
    <xf numFmtId="0" fontId="34" fillId="22" borderId="7" applyNumberFormat="0" applyFont="0" applyAlignment="0" applyProtection="0"/>
    <xf numFmtId="0" fontId="20" fillId="4" borderId="0" applyNumberFormat="0" applyBorder="0" applyAlignment="0" applyProtection="0"/>
    <xf numFmtId="0" fontId="67" fillId="4" borderId="0" applyNumberFormat="0" applyBorder="0" applyAlignment="0" applyProtection="0"/>
    <xf numFmtId="0" fontId="7" fillId="0" borderId="8" applyNumberFormat="0" applyAlignment="0" applyProtection="0">
      <alignment horizontal="left" vertical="center"/>
    </xf>
    <xf numFmtId="0" fontId="7" fillId="0" borderId="9">
      <alignment horizontal="left" vertical="center"/>
    </xf>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0" fontId="68" fillId="0" borderId="6" applyNumberFormat="0" applyFill="0" applyAlignment="0" applyProtection="0"/>
    <xf numFmtId="0" fontId="21" fillId="0" borderId="0" applyNumberFormat="0" applyFill="0" applyBorder="0" applyAlignment="0" applyProtection="0"/>
    <xf numFmtId="0" fontId="68" fillId="0" borderId="0" applyNumberFormat="0" applyFill="0" applyBorder="0" applyAlignment="0" applyProtection="0"/>
    <xf numFmtId="0" fontId="22" fillId="7" borderId="1" applyNumberFormat="0" applyAlignment="0" applyProtection="0"/>
    <xf numFmtId="0" fontId="69" fillId="7" borderId="1" applyNumberFormat="0" applyAlignment="0" applyProtection="0"/>
    <xf numFmtId="0" fontId="70" fillId="21" borderId="2" applyNumberFormat="0" applyAlignment="0" applyProtection="0"/>
    <xf numFmtId="0" fontId="58" fillId="0" borderId="0"/>
    <xf numFmtId="0" fontId="58" fillId="0" borderId="0"/>
    <xf numFmtId="0" fontId="58" fillId="0" borderId="0"/>
    <xf numFmtId="0" fontId="23" fillId="0" borderId="10" applyNumberFormat="0" applyFill="0" applyAlignment="0" applyProtection="0"/>
    <xf numFmtId="0" fontId="71" fillId="0" borderId="10" applyNumberFormat="0" applyFill="0" applyAlignment="0" applyProtection="0"/>
    <xf numFmtId="38" fontId="72" fillId="0" borderId="0" applyFont="0" applyFill="0" applyBorder="0" applyAlignment="0" applyProtection="0"/>
    <xf numFmtId="40" fontId="72" fillId="0" borderId="0" applyFont="0" applyFill="0" applyBorder="0" applyAlignment="0" applyProtection="0"/>
    <xf numFmtId="177" fontId="72" fillId="0" borderId="0" applyFont="0" applyFill="0" applyBorder="0" applyAlignment="0" applyProtection="0"/>
    <xf numFmtId="178" fontId="72" fillId="0" borderId="0" applyFont="0" applyFill="0" applyBorder="0" applyAlignment="0" applyProtection="0"/>
    <xf numFmtId="0" fontId="73" fillId="0" borderId="0" applyNumberFormat="0" applyFont="0" applyFill="0" applyAlignment="0"/>
    <xf numFmtId="0" fontId="24" fillId="23" borderId="0" applyNumberFormat="0" applyBorder="0" applyAlignment="0" applyProtection="0"/>
    <xf numFmtId="0" fontId="74" fillId="2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9" fillId="0" borderId="0"/>
    <xf numFmtId="0" fontId="58" fillId="0" borderId="0"/>
    <xf numFmtId="0" fontId="5" fillId="0" borderId="0">
      <alignment vertical="center"/>
    </xf>
    <xf numFmtId="0" fontId="75" fillId="0" borderId="0"/>
    <xf numFmtId="0" fontId="58" fillId="0" borderId="0"/>
    <xf numFmtId="0" fontId="51" fillId="0" borderId="0"/>
    <xf numFmtId="0" fontId="34" fillId="0" borderId="0"/>
    <xf numFmtId="0" fontId="1" fillId="0" borderId="0"/>
    <xf numFmtId="0" fontId="34" fillId="0" borderId="0"/>
    <xf numFmtId="0" fontId="58" fillId="0" borderId="0"/>
    <xf numFmtId="0" fontId="34" fillId="0" borderId="0"/>
    <xf numFmtId="0" fontId="58" fillId="0" borderId="0"/>
    <xf numFmtId="0" fontId="58" fillId="0" borderId="0"/>
    <xf numFmtId="0" fontId="51" fillId="0" borderId="0"/>
    <xf numFmtId="0" fontId="59" fillId="0" borderId="0"/>
    <xf numFmtId="0" fontId="42" fillId="0" borderId="0"/>
    <xf numFmtId="0" fontId="42" fillId="0" borderId="0"/>
    <xf numFmtId="0" fontId="3" fillId="22" borderId="7" applyNumberFormat="0" applyFont="0" applyAlignment="0" applyProtection="0"/>
    <xf numFmtId="0" fontId="5" fillId="22" borderId="7" applyNumberFormat="0" applyFont="0" applyAlignment="0" applyProtection="0"/>
    <xf numFmtId="0" fontId="76" fillId="0" borderId="10" applyNumberFormat="0" applyFill="0" applyAlignment="0" applyProtection="0"/>
    <xf numFmtId="0" fontId="25" fillId="20" borderId="3" applyNumberFormat="0" applyAlignment="0" applyProtection="0"/>
    <xf numFmtId="0" fontId="77" fillId="20" borderId="3" applyNumberFormat="0" applyAlignment="0" applyProtection="0"/>
    <xf numFmtId="9" fontId="1"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alignment vertical="center"/>
    </xf>
    <xf numFmtId="0" fontId="2" fillId="0" borderId="11">
      <alignment horizontal="center"/>
      <protection locked="0"/>
    </xf>
    <xf numFmtId="0" fontId="78" fillId="0" borderId="0" applyNumberFormat="0" applyFill="0" applyBorder="0" applyAlignment="0" applyProtection="0"/>
    <xf numFmtId="0" fontId="79" fillId="20" borderId="1" applyNumberFormat="0" applyAlignment="0" applyProtection="0"/>
    <xf numFmtId="0" fontId="26" fillId="0" borderId="0" applyNumberFormat="0" applyFill="0" applyBorder="0" applyAlignment="0" applyProtection="0"/>
    <xf numFmtId="0" fontId="78" fillId="0" borderId="0" applyNumberFormat="0" applyFill="0" applyBorder="0" applyAlignment="0" applyProtection="0"/>
    <xf numFmtId="0" fontId="80" fillId="0" borderId="12" applyNumberFormat="0" applyFill="0" applyAlignment="0" applyProtection="0"/>
    <xf numFmtId="0" fontId="81" fillId="4" borderId="0" applyNumberFormat="0" applyBorder="0" applyAlignment="0" applyProtection="0"/>
    <xf numFmtId="0" fontId="5" fillId="0" borderId="13" applyNumberFormat="0" applyFont="0" applyFill="0" applyAlignment="0" applyProtection="0"/>
    <xf numFmtId="0" fontId="5" fillId="0" borderId="13" applyNumberFormat="0" applyFont="0" applyFill="0" applyAlignment="0" applyProtection="0"/>
    <xf numFmtId="0" fontId="82" fillId="2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36" fillId="24" borderId="14">
      <alignment horizontal="left" vertical="center"/>
    </xf>
    <xf numFmtId="5" fontId="40" fillId="0" borderId="15">
      <alignment horizontal="left" vertical="top"/>
    </xf>
    <xf numFmtId="5" fontId="3" fillId="0" borderId="16">
      <alignment horizontal="left" vertical="top"/>
    </xf>
    <xf numFmtId="0" fontId="85" fillId="0" borderId="16">
      <alignment horizontal="left" vertical="center"/>
    </xf>
    <xf numFmtId="0" fontId="27" fillId="0" borderId="0" applyNumberFormat="0" applyFill="0" applyBorder="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28" fillId="0" borderId="0">
      <alignment vertical="center"/>
    </xf>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89" fillId="0" borderId="0" applyFont="0" applyFill="0" applyBorder="0" applyAlignment="0" applyProtection="0"/>
    <xf numFmtId="0" fontId="9" fillId="0" borderId="0"/>
    <xf numFmtId="170" fontId="5" fillId="0" borderId="0" applyFont="0" applyFill="0" applyBorder="0" applyAlignment="0" applyProtection="0"/>
    <xf numFmtId="171" fontId="5"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0" fontId="11" fillId="0" borderId="0"/>
    <xf numFmtId="0" fontId="90" fillId="0" borderId="0" applyProtection="0"/>
    <xf numFmtId="179" fontId="91" fillId="0" borderId="0" applyFont="0" applyFill="0" applyBorder="0" applyAlignment="0" applyProtection="0"/>
    <xf numFmtId="40" fontId="92" fillId="0" borderId="0" applyFont="0" applyFill="0" applyBorder="0" applyAlignment="0" applyProtection="0"/>
    <xf numFmtId="180" fontId="91" fillId="0" borderId="0" applyFont="0" applyFill="0" applyBorder="0" applyAlignment="0" applyProtection="0"/>
    <xf numFmtId="177" fontId="92" fillId="0" borderId="0" applyFont="0" applyFill="0" applyBorder="0" applyAlignment="0" applyProtection="0"/>
    <xf numFmtId="181" fontId="91" fillId="0" borderId="0" applyFont="0" applyFill="0" applyBorder="0" applyAlignment="0" applyProtection="0"/>
    <xf numFmtId="0" fontId="28" fillId="0" borderId="0"/>
    <xf numFmtId="0" fontId="37" fillId="0" borderId="0"/>
    <xf numFmtId="0" fontId="5" fillId="0" borderId="0"/>
  </cellStyleXfs>
  <cellXfs count="1359">
    <xf numFmtId="0" fontId="0" fillId="0" borderId="0" xfId="0"/>
    <xf numFmtId="0" fontId="28" fillId="0" borderId="0" xfId="0" applyFont="1" applyAlignment="1">
      <alignment horizontal="center"/>
    </xf>
    <xf numFmtId="0" fontId="28" fillId="0" borderId="0" xfId="0" applyFont="1"/>
    <xf numFmtId="0" fontId="28" fillId="0" borderId="0" xfId="0" applyFont="1" applyAlignment="1">
      <alignment vertical="center"/>
    </xf>
    <xf numFmtId="0" fontId="30" fillId="0" borderId="0" xfId="0" applyFont="1" applyAlignment="1">
      <alignment vertical="center" wrapText="1"/>
    </xf>
    <xf numFmtId="0" fontId="28" fillId="0" borderId="24" xfId="0" applyFont="1" applyFill="1" applyBorder="1" applyAlignment="1">
      <alignment horizontal="justify" vertical="center" wrapText="1"/>
    </xf>
    <xf numFmtId="0" fontId="28" fillId="0" borderId="24"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4" xfId="0" applyFont="1" applyFill="1" applyBorder="1" applyAlignment="1">
      <alignment horizontal="justify" vertical="center" wrapText="1"/>
    </xf>
    <xf numFmtId="0" fontId="33" fillId="0" borderId="0" xfId="0" applyFont="1" applyAlignment="1">
      <alignment vertical="center" wrapText="1"/>
    </xf>
    <xf numFmtId="0" fontId="34" fillId="0" borderId="0" xfId="0" applyFont="1" applyAlignment="1">
      <alignment vertical="center"/>
    </xf>
    <xf numFmtId="0" fontId="36" fillId="0" borderId="0" xfId="0" applyFont="1" applyAlignment="1">
      <alignment horizontal="center" vertical="center" wrapText="1"/>
    </xf>
    <xf numFmtId="0" fontId="30" fillId="0" borderId="2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0" fillId="0" borderId="0" xfId="0" applyFont="1" applyAlignment="1">
      <alignment vertical="center"/>
    </xf>
    <xf numFmtId="0" fontId="35" fillId="0" borderId="24" xfId="0" applyFont="1" applyFill="1" applyBorder="1" applyAlignment="1">
      <alignment horizontal="center" vertical="center" wrapText="1"/>
    </xf>
    <xf numFmtId="3" fontId="28" fillId="0" borderId="31" xfId="0" applyNumberFormat="1" applyFont="1" applyBorder="1" applyAlignment="1">
      <alignment horizontal="right" vertical="center"/>
    </xf>
    <xf numFmtId="3" fontId="30" fillId="0" borderId="31" xfId="0" applyNumberFormat="1" applyFont="1" applyBorder="1" applyAlignment="1">
      <alignment horizontal="right" vertical="center"/>
    </xf>
    <xf numFmtId="3" fontId="35" fillId="0" borderId="31" xfId="0" applyNumberFormat="1" applyFont="1" applyBorder="1" applyAlignment="1">
      <alignment horizontal="right" vertical="center"/>
    </xf>
    <xf numFmtId="0" fontId="28" fillId="0" borderId="34" xfId="0" applyFont="1" applyFill="1" applyBorder="1" applyAlignment="1">
      <alignment horizontal="center" vertical="center" wrapText="1"/>
    </xf>
    <xf numFmtId="3" fontId="28" fillId="0" borderId="0" xfId="0" applyNumberFormat="1" applyFont="1" applyAlignment="1">
      <alignment horizontal="right"/>
    </xf>
    <xf numFmtId="0" fontId="30" fillId="25" borderId="42" xfId="0" applyFont="1" applyFill="1" applyBorder="1" applyAlignment="1">
      <alignment horizontal="center" vertical="center" wrapText="1"/>
    </xf>
    <xf numFmtId="0" fontId="30" fillId="25" borderId="43" xfId="0" applyFont="1" applyFill="1" applyBorder="1" applyAlignment="1">
      <alignment horizontal="center" vertical="center" wrapText="1"/>
    </xf>
    <xf numFmtId="3" fontId="30" fillId="25" borderId="44" xfId="0" applyNumberFormat="1"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28" fillId="0" borderId="0" xfId="0" applyFont="1" applyAlignment="1">
      <alignment horizontal="center" vertical="center"/>
    </xf>
    <xf numFmtId="172" fontId="28" fillId="0" borderId="0" xfId="0" applyNumberFormat="1" applyFont="1" applyAlignment="1">
      <alignment horizontal="right" vertical="center"/>
    </xf>
    <xf numFmtId="3" fontId="28" fillId="0" borderId="0" xfId="0" applyNumberFormat="1" applyFont="1" applyAlignment="1">
      <alignment vertical="center"/>
    </xf>
    <xf numFmtId="3" fontId="30" fillId="0" borderId="35" xfId="0" applyNumberFormat="1" applyFont="1" applyBorder="1" applyAlignment="1">
      <alignment horizontal="right" vertical="center"/>
    </xf>
    <xf numFmtId="174" fontId="98" fillId="0" borderId="24" xfId="0" applyNumberFormat="1" applyFont="1" applyBorder="1" applyAlignment="1">
      <alignment horizontal="center" vertical="top" wrapText="1"/>
    </xf>
    <xf numFmtId="4" fontId="98" fillId="0" borderId="24" xfId="0" applyNumberFormat="1" applyFont="1" applyBorder="1" applyAlignment="1">
      <alignment horizontal="center" vertical="top" wrapText="1"/>
    </xf>
    <xf numFmtId="0" fontId="35" fillId="0" borderId="23" xfId="0" applyFont="1" applyFill="1" applyBorder="1" applyAlignment="1">
      <alignment horizontal="center" vertical="center" wrapText="1"/>
    </xf>
    <xf numFmtId="0" fontId="35" fillId="0" borderId="24" xfId="0" applyFont="1" applyFill="1" applyBorder="1" applyAlignment="1">
      <alignment horizontal="justify" vertical="center" wrapText="1"/>
    </xf>
    <xf numFmtId="0" fontId="35" fillId="0" borderId="0" xfId="0" applyFont="1" applyAlignment="1">
      <alignment vertical="center"/>
    </xf>
    <xf numFmtId="3" fontId="28" fillId="0" borderId="0" xfId="0" applyNumberFormat="1" applyFont="1" applyAlignment="1">
      <alignment horizontal="left"/>
    </xf>
    <xf numFmtId="0" fontId="30" fillId="0" borderId="25" xfId="0" applyFont="1" applyFill="1" applyBorder="1" applyAlignment="1">
      <alignment horizontal="center" vertical="center" wrapText="1"/>
    </xf>
    <xf numFmtId="0" fontId="30" fillId="0" borderId="34" xfId="0" applyFont="1" applyFill="1" applyBorder="1" applyAlignment="1">
      <alignment horizontal="justify" vertical="center" wrapText="1"/>
    </xf>
    <xf numFmtId="0" fontId="30" fillId="0" borderId="34" xfId="0" applyFont="1" applyFill="1" applyBorder="1" applyAlignment="1">
      <alignment horizontal="center" vertical="center" wrapText="1"/>
    </xf>
    <xf numFmtId="3" fontId="28" fillId="0" borderId="41" xfId="0" applyNumberFormat="1" applyFont="1" applyBorder="1" applyAlignment="1">
      <alignment horizontal="right" vertical="center"/>
    </xf>
    <xf numFmtId="3" fontId="35" fillId="0" borderId="35" xfId="0" applyNumberFormat="1" applyFont="1" applyBorder="1" applyAlignment="1">
      <alignment horizontal="right" vertical="center"/>
    </xf>
    <xf numFmtId="0" fontId="28" fillId="0" borderId="39" xfId="0" applyFont="1" applyFill="1" applyBorder="1" applyAlignment="1">
      <alignment horizontal="center" vertical="center" wrapText="1"/>
    </xf>
    <xf numFmtId="0" fontId="28" fillId="0" borderId="40" xfId="0" applyFont="1" applyFill="1" applyBorder="1" applyAlignment="1">
      <alignment horizontal="justify" vertical="center" wrapText="1"/>
    </xf>
    <xf numFmtId="0" fontId="28" fillId="0" borderId="40" xfId="0" applyFont="1" applyFill="1" applyBorder="1" applyAlignment="1">
      <alignment horizontal="center" vertical="center" wrapText="1"/>
    </xf>
    <xf numFmtId="4" fontId="28" fillId="0" borderId="0" xfId="0" applyNumberFormat="1" applyFont="1" applyAlignment="1">
      <alignment horizontal="right"/>
    </xf>
    <xf numFmtId="4" fontId="99" fillId="25" borderId="43" xfId="0" applyNumberFormat="1" applyFont="1" applyFill="1" applyBorder="1" applyAlignment="1">
      <alignment horizontal="center" vertical="center" wrapText="1"/>
    </xf>
    <xf numFmtId="4" fontId="100" fillId="0" borderId="24" xfId="0" applyNumberFormat="1" applyFont="1" applyBorder="1" applyAlignment="1">
      <alignment horizontal="center" vertical="top" wrapText="1"/>
    </xf>
    <xf numFmtId="4" fontId="98" fillId="0" borderId="40" xfId="0" applyNumberFormat="1" applyFont="1" applyBorder="1" applyAlignment="1">
      <alignment horizontal="center" vertical="top" wrapText="1"/>
    </xf>
    <xf numFmtId="4" fontId="99" fillId="0" borderId="34" xfId="0" applyNumberFormat="1" applyFont="1" applyBorder="1" applyAlignment="1">
      <alignment horizontal="center" vertical="top" wrapText="1"/>
    </xf>
    <xf numFmtId="4" fontId="99" fillId="0" borderId="24" xfId="0" applyNumberFormat="1" applyFont="1" applyBorder="1" applyAlignment="1">
      <alignment horizontal="center" vertical="top" wrapText="1"/>
    </xf>
    <xf numFmtId="4" fontId="98" fillId="0" borderId="0" xfId="0" applyNumberFormat="1" applyFont="1" applyAlignment="1">
      <alignment horizontal="center"/>
    </xf>
    <xf numFmtId="174" fontId="98" fillId="0" borderId="40" xfId="0" applyNumberFormat="1" applyFont="1" applyBorder="1" applyAlignment="1">
      <alignment horizontal="center" vertical="top" wrapText="1"/>
    </xf>
    <xf numFmtId="0" fontId="35" fillId="0" borderId="20" xfId="0" applyFont="1" applyFill="1" applyBorder="1" applyAlignment="1">
      <alignment horizontal="center" vertical="center" wrapText="1"/>
    </xf>
    <xf numFmtId="0" fontId="35" fillId="0" borderId="16" xfId="0" applyFont="1" applyFill="1" applyBorder="1" applyAlignment="1">
      <alignment horizontal="left" vertical="center" wrapText="1"/>
    </xf>
    <xf numFmtId="173" fontId="98" fillId="0" borderId="24" xfId="0" applyNumberFormat="1" applyFont="1" applyBorder="1" applyAlignment="1">
      <alignment horizontal="center" vertical="top" wrapText="1"/>
    </xf>
    <xf numFmtId="173" fontId="98" fillId="0" borderId="40" xfId="0" applyNumberFormat="1" applyFont="1" applyBorder="1" applyAlignment="1">
      <alignment horizontal="center" vertical="top" wrapText="1"/>
    </xf>
    <xf numFmtId="0" fontId="35" fillId="0" borderId="25" xfId="0" applyFont="1" applyFill="1" applyBorder="1" applyAlignment="1">
      <alignment horizontal="center" vertical="center" wrapText="1"/>
    </xf>
    <xf numFmtId="0" fontId="35" fillId="0" borderId="34" xfId="0" applyFont="1" applyFill="1" applyBorder="1" applyAlignment="1">
      <alignment horizontal="justify" vertical="center" wrapText="1"/>
    </xf>
    <xf numFmtId="0" fontId="35" fillId="0" borderId="34" xfId="0" applyFont="1" applyFill="1" applyBorder="1" applyAlignment="1">
      <alignment horizontal="center" vertical="center" wrapText="1"/>
    </xf>
    <xf numFmtId="4" fontId="100" fillId="0" borderId="34" xfId="0" applyNumberFormat="1" applyFont="1" applyBorder="1" applyAlignment="1">
      <alignment horizontal="center" vertical="top" wrapText="1"/>
    </xf>
    <xf numFmtId="0" fontId="35" fillId="0" borderId="27" xfId="0" applyFont="1" applyFill="1" applyBorder="1" applyAlignment="1">
      <alignment horizontal="center" vertical="center" wrapText="1"/>
    </xf>
    <xf numFmtId="0" fontId="35" fillId="0" borderId="14" xfId="0" applyFont="1" applyFill="1" applyBorder="1" applyAlignment="1">
      <alignment horizontal="justify" vertical="center" wrapText="1"/>
    </xf>
    <xf numFmtId="0" fontId="35" fillId="0" borderId="14" xfId="0" applyFont="1" applyFill="1" applyBorder="1" applyAlignment="1">
      <alignment horizontal="center" vertical="center" wrapText="1"/>
    </xf>
    <xf numFmtId="4" fontId="100" fillId="0" borderId="14" xfId="0" applyNumberFormat="1" applyFont="1" applyBorder="1" applyAlignment="1">
      <alignment horizontal="center" vertical="top" wrapText="1"/>
    </xf>
    <xf numFmtId="3" fontId="35" fillId="0" borderId="28" xfId="0" applyNumberFormat="1" applyFont="1" applyBorder="1" applyAlignment="1">
      <alignment horizontal="right" vertical="center"/>
    </xf>
    <xf numFmtId="0" fontId="28" fillId="0" borderId="25" xfId="0" applyFont="1" applyFill="1" applyBorder="1" applyAlignment="1">
      <alignment horizontal="center" vertical="center" wrapText="1"/>
    </xf>
    <xf numFmtId="0" fontId="28" fillId="0" borderId="34" xfId="0" applyFont="1" applyFill="1" applyBorder="1" applyAlignment="1">
      <alignment horizontal="justify" vertical="center" wrapText="1"/>
    </xf>
    <xf numFmtId="165" fontId="28" fillId="0" borderId="24" xfId="80" applyNumberFormat="1" applyFont="1" applyBorder="1" applyAlignment="1">
      <alignment horizontal="right" vertical="center"/>
    </xf>
    <xf numFmtId="165" fontId="28" fillId="0" borderId="40" xfId="80" applyNumberFormat="1" applyFont="1" applyBorder="1" applyAlignment="1">
      <alignment horizontal="right" vertical="center"/>
    </xf>
    <xf numFmtId="165" fontId="28" fillId="0" borderId="0" xfId="80" applyNumberFormat="1" applyFont="1" applyAlignment="1">
      <alignment horizontal="center"/>
    </xf>
    <xf numFmtId="165" fontId="30" fillId="25" borderId="43" xfId="80" applyNumberFormat="1" applyFont="1" applyFill="1" applyBorder="1" applyAlignment="1">
      <alignment horizontal="center" vertical="center" wrapText="1"/>
    </xf>
    <xf numFmtId="165" fontId="35" fillId="0" borderId="24" xfId="80" applyNumberFormat="1" applyFont="1" applyBorder="1" applyAlignment="1">
      <alignment horizontal="right" vertical="center"/>
    </xf>
    <xf numFmtId="165" fontId="30" fillId="0" borderId="34" xfId="80" applyNumberFormat="1" applyFont="1" applyBorder="1" applyAlignment="1">
      <alignment horizontal="right" vertical="center"/>
    </xf>
    <xf numFmtId="165" fontId="30" fillId="0" borderId="24" xfId="80" applyNumberFormat="1" applyFont="1" applyBorder="1" applyAlignment="1">
      <alignment horizontal="right" vertical="center"/>
    </xf>
    <xf numFmtId="165" fontId="35" fillId="0" borderId="14" xfId="80" applyNumberFormat="1" applyFont="1" applyBorder="1" applyAlignment="1">
      <alignment horizontal="right" vertical="center"/>
    </xf>
    <xf numFmtId="165" fontId="35" fillId="0" borderId="34" xfId="80" applyNumberFormat="1" applyFont="1" applyBorder="1" applyAlignment="1">
      <alignment horizontal="right" vertical="center"/>
    </xf>
    <xf numFmtId="165" fontId="28" fillId="0" borderId="32" xfId="80" applyNumberFormat="1" applyFont="1" applyBorder="1" applyAlignment="1">
      <alignment horizontal="right" vertical="center"/>
    </xf>
    <xf numFmtId="9" fontId="28" fillId="0" borderId="24" xfId="0" applyNumberFormat="1" applyFont="1" applyFill="1" applyBorder="1" applyAlignment="1">
      <alignment horizontal="center" vertical="center" wrapText="1"/>
    </xf>
    <xf numFmtId="0" fontId="34" fillId="0" borderId="0" xfId="0" applyFont="1" applyAlignment="1">
      <alignment vertical="center" wrapText="1"/>
    </xf>
    <xf numFmtId="3" fontId="35" fillId="0" borderId="24" xfId="0" applyNumberFormat="1" applyFont="1" applyBorder="1" applyAlignment="1">
      <alignment vertical="center" wrapText="1"/>
    </xf>
    <xf numFmtId="165" fontId="35" fillId="0" borderId="24" xfId="80" applyNumberFormat="1" applyFont="1" applyBorder="1" applyAlignment="1">
      <alignment horizontal="right" vertical="center" wrapText="1"/>
    </xf>
    <xf numFmtId="3" fontId="35" fillId="0" borderId="31" xfId="0" applyNumberFormat="1" applyFont="1" applyBorder="1" applyAlignment="1">
      <alignment horizontal="right" vertical="center" wrapText="1"/>
    </xf>
    <xf numFmtId="0" fontId="35" fillId="0" borderId="0" xfId="0" applyFont="1" applyAlignment="1">
      <alignment vertical="center" wrapText="1"/>
    </xf>
    <xf numFmtId="3" fontId="28" fillId="0" borderId="24" xfId="0" applyNumberFormat="1" applyFont="1" applyBorder="1" applyAlignment="1">
      <alignment vertical="center" wrapText="1"/>
    </xf>
    <xf numFmtId="165" fontId="28" fillId="0" borderId="24" xfId="80" applyNumberFormat="1" applyFont="1" applyBorder="1" applyAlignment="1">
      <alignment horizontal="right" vertical="center" wrapText="1"/>
    </xf>
    <xf numFmtId="3" fontId="28" fillId="0" borderId="31" xfId="0" applyNumberFormat="1" applyFont="1" applyBorder="1" applyAlignment="1">
      <alignment horizontal="right" vertical="center" wrapText="1"/>
    </xf>
    <xf numFmtId="0" fontId="28" fillId="0" borderId="0" xfId="0" applyFont="1" applyAlignment="1">
      <alignment vertical="center" wrapText="1"/>
    </xf>
    <xf numFmtId="3" fontId="28" fillId="0" borderId="40" xfId="0" applyNumberFormat="1" applyFont="1" applyBorder="1" applyAlignment="1">
      <alignment vertical="center" wrapText="1"/>
    </xf>
    <xf numFmtId="165" fontId="28" fillId="0" borderId="40" xfId="80" applyNumberFormat="1" applyFont="1" applyBorder="1" applyAlignment="1">
      <alignment horizontal="right" vertical="center" wrapText="1"/>
    </xf>
    <xf numFmtId="3" fontId="28" fillId="0" borderId="41" xfId="0" applyNumberFormat="1" applyFont="1" applyBorder="1" applyAlignment="1">
      <alignment horizontal="right" vertical="center" wrapText="1"/>
    </xf>
    <xf numFmtId="3" fontId="30" fillId="0" borderId="34" xfId="0" applyNumberFormat="1" applyFont="1" applyBorder="1" applyAlignment="1">
      <alignment vertical="center" wrapText="1"/>
    </xf>
    <xf numFmtId="165" fontId="30" fillId="0" borderId="34" xfId="80" applyNumberFormat="1" applyFont="1" applyBorder="1" applyAlignment="1">
      <alignment horizontal="right" vertical="center" wrapText="1"/>
    </xf>
    <xf numFmtId="3" fontId="30" fillId="0" borderId="35" xfId="0" applyNumberFormat="1" applyFont="1" applyBorder="1" applyAlignment="1">
      <alignment horizontal="right" vertical="center" wrapText="1"/>
    </xf>
    <xf numFmtId="165" fontId="35" fillId="0" borderId="34" xfId="80" applyNumberFormat="1" applyFont="1" applyBorder="1" applyAlignment="1">
      <alignment horizontal="right" vertical="center" wrapText="1"/>
    </xf>
    <xf numFmtId="3" fontId="30" fillId="0" borderId="24" xfId="0" applyNumberFormat="1" applyFont="1" applyBorder="1" applyAlignment="1">
      <alignment vertical="center" wrapText="1"/>
    </xf>
    <xf numFmtId="165" fontId="30" fillId="0" borderId="24" xfId="80" applyNumberFormat="1" applyFont="1" applyBorder="1" applyAlignment="1">
      <alignment horizontal="right" vertical="center" wrapText="1"/>
    </xf>
    <xf numFmtId="3" fontId="30" fillId="0" borderId="31" xfId="0" applyNumberFormat="1" applyFont="1" applyBorder="1" applyAlignment="1">
      <alignment horizontal="right" vertical="center" wrapText="1"/>
    </xf>
    <xf numFmtId="3" fontId="35" fillId="0" borderId="34" xfId="0" applyNumberFormat="1" applyFont="1" applyBorder="1" applyAlignment="1">
      <alignment vertical="center" wrapText="1"/>
    </xf>
    <xf numFmtId="3" fontId="35" fillId="0" borderId="35" xfId="0" applyNumberFormat="1" applyFont="1" applyBorder="1" applyAlignment="1">
      <alignment horizontal="right" vertical="center" wrapText="1"/>
    </xf>
    <xf numFmtId="3" fontId="28" fillId="0" borderId="34" xfId="0" applyNumberFormat="1" applyFont="1" applyBorder="1" applyAlignment="1">
      <alignment vertical="center" wrapText="1"/>
    </xf>
    <xf numFmtId="165" fontId="28" fillId="0" borderId="34" xfId="80" applyNumberFormat="1" applyFont="1" applyBorder="1" applyAlignment="1">
      <alignment horizontal="right" vertical="center" wrapText="1"/>
    </xf>
    <xf numFmtId="0" fontId="28" fillId="0" borderId="0" xfId="0" applyFont="1" applyAlignment="1">
      <alignment horizontal="center" vertical="center" wrapText="1"/>
    </xf>
    <xf numFmtId="165" fontId="28" fillId="0" borderId="0" xfId="80" applyNumberFormat="1" applyFont="1" applyAlignment="1">
      <alignment horizontal="center" vertical="center" wrapText="1"/>
    </xf>
    <xf numFmtId="3" fontId="28" fillId="0" borderId="0" xfId="0" applyNumberFormat="1" applyFont="1" applyAlignment="1">
      <alignment horizontal="left" vertical="center" wrapText="1"/>
    </xf>
    <xf numFmtId="3" fontId="28" fillId="0" borderId="0" xfId="0" applyNumberFormat="1" applyFont="1" applyAlignment="1">
      <alignment horizontal="right" vertical="center" wrapText="1"/>
    </xf>
    <xf numFmtId="0" fontId="30" fillId="25" borderId="20" xfId="0" applyFont="1" applyFill="1" applyBorder="1" applyAlignment="1">
      <alignment horizontal="center" vertical="center" wrapText="1"/>
    </xf>
    <xf numFmtId="0" fontId="30" fillId="25" borderId="46" xfId="0" applyFont="1" applyFill="1" applyBorder="1" applyAlignment="1">
      <alignment horizontal="center" vertical="center" wrapText="1"/>
    </xf>
    <xf numFmtId="0" fontId="30" fillId="25" borderId="0" xfId="0" applyFont="1" applyFill="1" applyBorder="1" applyAlignment="1">
      <alignment horizontal="center" vertical="center" wrapText="1"/>
    </xf>
    <xf numFmtId="165" fontId="30" fillId="25" borderId="0" xfId="80" applyNumberFormat="1" applyFont="1" applyFill="1" applyBorder="1" applyAlignment="1">
      <alignment horizontal="center" vertical="center" wrapText="1"/>
    </xf>
    <xf numFmtId="3" fontId="30" fillId="25" borderId="47" xfId="0" applyNumberFormat="1" applyFont="1" applyFill="1" applyBorder="1" applyAlignment="1">
      <alignment horizontal="center" vertical="center" wrapText="1"/>
    </xf>
    <xf numFmtId="0" fontId="103" fillId="0" borderId="24" xfId="0" applyFont="1" applyFill="1" applyBorder="1" applyAlignment="1">
      <alignment horizontal="center" vertical="center" wrapText="1"/>
    </xf>
    <xf numFmtId="2" fontId="103" fillId="0" borderId="34" xfId="0" applyNumberFormat="1" applyFont="1" applyBorder="1" applyAlignment="1">
      <alignment horizontal="right" vertical="center" wrapText="1"/>
    </xf>
    <xf numFmtId="2" fontId="103" fillId="0" borderId="24" xfId="0" applyNumberFormat="1" applyFont="1" applyBorder="1" applyAlignment="1">
      <alignment horizontal="right" vertical="center" wrapText="1"/>
    </xf>
    <xf numFmtId="0" fontId="35" fillId="0" borderId="34" xfId="0" applyFont="1" applyFill="1" applyBorder="1" applyAlignment="1">
      <alignment horizontal="left" vertical="center" wrapText="1"/>
    </xf>
    <xf numFmtId="0" fontId="33" fillId="26" borderId="48" xfId="0" applyFont="1" applyFill="1" applyBorder="1" applyAlignment="1">
      <alignment horizontal="justify"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5" fillId="0" borderId="51" xfId="0" applyFont="1" applyFill="1" applyBorder="1" applyAlignment="1">
      <alignment horizontal="left" vertical="center" wrapText="1"/>
    </xf>
    <xf numFmtId="9" fontId="28" fillId="0" borderId="40" xfId="0" applyNumberFormat="1" applyFont="1" applyFill="1" applyBorder="1" applyAlignment="1">
      <alignment horizontal="center" vertical="center" wrapText="1"/>
    </xf>
    <xf numFmtId="3" fontId="28" fillId="0" borderId="24" xfId="0" applyNumberFormat="1" applyFont="1" applyFill="1" applyBorder="1" applyAlignment="1">
      <alignment horizontal="center" vertical="center" wrapText="1"/>
    </xf>
    <xf numFmtId="3" fontId="28" fillId="0" borderId="40" xfId="0" applyNumberFormat="1" applyFont="1" applyFill="1" applyBorder="1" applyAlignment="1">
      <alignment horizontal="center" vertical="center" wrapText="1"/>
    </xf>
    <xf numFmtId="3" fontId="35" fillId="0" borderId="41" xfId="0" applyNumberFormat="1" applyFont="1" applyBorder="1" applyAlignment="1">
      <alignment horizontal="right" vertical="center" wrapText="1"/>
    </xf>
    <xf numFmtId="0" fontId="28" fillId="0" borderId="38" xfId="0" applyFont="1" applyFill="1" applyBorder="1" applyAlignment="1">
      <alignment horizontal="center" vertical="center" wrapText="1"/>
    </xf>
    <xf numFmtId="0" fontId="28" fillId="0" borderId="32" xfId="0" applyFont="1" applyFill="1" applyBorder="1" applyAlignment="1">
      <alignment horizontal="justify" vertical="center" wrapText="1"/>
    </xf>
    <xf numFmtId="0" fontId="28" fillId="0" borderId="32" xfId="0" applyFont="1" applyFill="1" applyBorder="1" applyAlignment="1">
      <alignment horizontal="center" vertical="center" wrapText="1"/>
    </xf>
    <xf numFmtId="9" fontId="28" fillId="0" borderId="32" xfId="0" applyNumberFormat="1" applyFont="1" applyFill="1" applyBorder="1" applyAlignment="1">
      <alignment horizontal="center" vertical="center" wrapText="1"/>
    </xf>
    <xf numFmtId="3" fontId="28" fillId="0" borderId="32" xfId="0" applyNumberFormat="1" applyFont="1" applyFill="1" applyBorder="1" applyAlignment="1">
      <alignment horizontal="center" vertical="center" wrapText="1"/>
    </xf>
    <xf numFmtId="3" fontId="35" fillId="0" borderId="33" xfId="0" applyNumberFormat="1" applyFont="1" applyBorder="1" applyAlignment="1">
      <alignment horizontal="right" vertical="center" wrapText="1"/>
    </xf>
    <xf numFmtId="9" fontId="35" fillId="0" borderId="24" xfId="172" applyFont="1" applyBorder="1" applyAlignment="1">
      <alignment horizontal="right" vertical="center"/>
    </xf>
    <xf numFmtId="173" fontId="98" fillId="0" borderId="32" xfId="0" applyNumberFormat="1" applyFont="1" applyBorder="1" applyAlignment="1">
      <alignment horizontal="center" vertical="top" wrapText="1"/>
    </xf>
    <xf numFmtId="3" fontId="28" fillId="0" borderId="33" xfId="0" applyNumberFormat="1" applyFont="1" applyBorder="1" applyAlignment="1">
      <alignment horizontal="right" vertical="center"/>
    </xf>
    <xf numFmtId="0" fontId="28" fillId="0" borderId="0" xfId="166" applyFont="1" applyAlignment="1">
      <alignment horizontal="center" vertical="center"/>
    </xf>
    <xf numFmtId="0" fontId="28" fillId="0" borderId="0" xfId="166" applyFont="1" applyAlignment="1">
      <alignment vertical="center"/>
    </xf>
    <xf numFmtId="0" fontId="35" fillId="0" borderId="0" xfId="166" applyFont="1" applyAlignment="1">
      <alignment horizontal="center" vertical="center"/>
    </xf>
    <xf numFmtId="0" fontId="30" fillId="0" borderId="0" xfId="166" applyFont="1" applyAlignment="1">
      <alignment vertical="center"/>
    </xf>
    <xf numFmtId="0" fontId="30" fillId="0" borderId="14" xfId="166" applyFont="1" applyBorder="1" applyAlignment="1">
      <alignment vertical="center"/>
    </xf>
    <xf numFmtId="0" fontId="28" fillId="0" borderId="14" xfId="166" applyFont="1" applyBorder="1" applyAlignment="1">
      <alignment vertical="center"/>
    </xf>
    <xf numFmtId="0" fontId="30" fillId="0" borderId="14" xfId="166" applyFont="1" applyBorder="1" applyAlignment="1">
      <alignment horizontal="center" vertical="center" wrapText="1"/>
    </xf>
    <xf numFmtId="0" fontId="33" fillId="0" borderId="14" xfId="166" applyFont="1" applyBorder="1" applyAlignment="1">
      <alignment vertical="center"/>
    </xf>
    <xf numFmtId="0" fontId="30" fillId="0" borderId="14" xfId="166" applyFont="1" applyBorder="1" applyAlignment="1">
      <alignment horizontal="center" vertical="center"/>
    </xf>
    <xf numFmtId="0" fontId="32" fillId="0" borderId="14" xfId="166" applyFont="1" applyBorder="1" applyAlignment="1">
      <alignment vertical="center" wrapText="1"/>
    </xf>
    <xf numFmtId="0" fontId="28" fillId="0" borderId="14" xfId="166" applyFont="1" applyBorder="1" applyAlignment="1">
      <alignment horizontal="center" vertical="center"/>
    </xf>
    <xf numFmtId="0" fontId="35" fillId="0" borderId="14" xfId="166" applyFont="1" applyBorder="1" applyAlignment="1">
      <alignment vertical="center"/>
    </xf>
    <xf numFmtId="0" fontId="43" fillId="28" borderId="14" xfId="166" applyFont="1" applyFill="1" applyBorder="1" applyAlignment="1">
      <alignment horizontal="right" vertical="center"/>
    </xf>
    <xf numFmtId="0" fontId="35" fillId="0" borderId="0" xfId="166" applyFont="1" applyAlignment="1">
      <alignment vertical="center"/>
    </xf>
    <xf numFmtId="0" fontId="44" fillId="28" borderId="14" xfId="166" applyFont="1" applyFill="1" applyBorder="1" applyAlignment="1">
      <alignment vertical="center"/>
    </xf>
    <xf numFmtId="0" fontId="44" fillId="28" borderId="14" xfId="166" applyFont="1" applyFill="1" applyBorder="1" applyAlignment="1">
      <alignment horizontal="center" vertical="center"/>
    </xf>
    <xf numFmtId="0" fontId="28" fillId="28" borderId="14" xfId="166" applyFont="1" applyFill="1" applyBorder="1" applyAlignment="1">
      <alignment horizontal="center" vertical="center"/>
    </xf>
    <xf numFmtId="0" fontId="28" fillId="28" borderId="14" xfId="166" applyFont="1" applyFill="1" applyBorder="1" applyAlignment="1">
      <alignment vertical="center"/>
    </xf>
    <xf numFmtId="0" fontId="28" fillId="0" borderId="14" xfId="166" applyFont="1" applyBorder="1" applyAlignment="1">
      <alignment horizontal="left" vertical="center"/>
    </xf>
    <xf numFmtId="0" fontId="35" fillId="0" borderId="14" xfId="166" applyFont="1" applyBorder="1" applyAlignment="1">
      <alignment horizontal="center" vertical="center"/>
    </xf>
    <xf numFmtId="0" fontId="33" fillId="0" borderId="14" xfId="166" applyFont="1" applyBorder="1" applyAlignment="1">
      <alignment horizontal="center" vertical="center"/>
    </xf>
    <xf numFmtId="0" fontId="33" fillId="0" borderId="0" xfId="166" applyFont="1" applyAlignment="1">
      <alignment vertical="center"/>
    </xf>
    <xf numFmtId="0" fontId="43" fillId="28" borderId="14" xfId="166" applyFont="1" applyFill="1" applyBorder="1" applyAlignment="1">
      <alignment vertical="center"/>
    </xf>
    <xf numFmtId="0" fontId="28" fillId="25" borderId="14" xfId="166" applyFont="1" applyFill="1" applyBorder="1" applyAlignment="1">
      <alignment vertical="center"/>
    </xf>
    <xf numFmtId="0" fontId="28" fillId="0" borderId="14" xfId="166" applyFont="1" applyFill="1" applyBorder="1" applyAlignment="1">
      <alignment vertical="center"/>
    </xf>
    <xf numFmtId="0" fontId="45" fillId="28" borderId="14" xfId="166" applyFont="1" applyFill="1" applyBorder="1" applyAlignment="1">
      <alignment horizontal="right" vertical="center"/>
    </xf>
    <xf numFmtId="0" fontId="30" fillId="28" borderId="14" xfId="166" applyFont="1" applyFill="1" applyBorder="1" applyAlignment="1">
      <alignment horizontal="center" vertical="center"/>
    </xf>
    <xf numFmtId="0" fontId="46" fillId="0" borderId="14" xfId="166" applyFont="1" applyBorder="1" applyAlignment="1">
      <alignment vertical="center"/>
    </xf>
    <xf numFmtId="0" fontId="46" fillId="0" borderId="14" xfId="166" applyFont="1" applyBorder="1" applyAlignment="1">
      <alignment horizontal="center" vertical="center"/>
    </xf>
    <xf numFmtId="0" fontId="46" fillId="0" borderId="0" xfId="166" applyFont="1" applyAlignment="1">
      <alignment vertical="center"/>
    </xf>
    <xf numFmtId="0" fontId="43" fillId="25" borderId="14" xfId="166" applyFont="1" applyFill="1" applyBorder="1" applyAlignment="1">
      <alignment vertical="center"/>
    </xf>
    <xf numFmtId="0" fontId="44" fillId="25" borderId="14" xfId="166" applyFont="1" applyFill="1" applyBorder="1" applyAlignment="1">
      <alignment vertical="center"/>
    </xf>
    <xf numFmtId="0" fontId="47" fillId="0" borderId="14" xfId="166" applyFont="1" applyBorder="1" applyAlignment="1">
      <alignment vertical="center"/>
    </xf>
    <xf numFmtId="0" fontId="48" fillId="0" borderId="14" xfId="166" applyFont="1" applyBorder="1" applyAlignment="1">
      <alignment vertical="center" wrapText="1"/>
    </xf>
    <xf numFmtId="0" fontId="38" fillId="0" borderId="14" xfId="166" applyFont="1" applyBorder="1" applyAlignment="1">
      <alignment horizontal="center" vertical="center" wrapText="1"/>
    </xf>
    <xf numFmtId="0" fontId="38" fillId="27" borderId="14" xfId="166" applyFont="1" applyFill="1" applyBorder="1" applyAlignment="1">
      <alignment horizontal="center" vertical="center" wrapText="1"/>
    </xf>
    <xf numFmtId="0" fontId="28" fillId="0" borderId="14" xfId="166" applyFont="1" applyFill="1" applyBorder="1" applyAlignment="1">
      <alignment horizontal="center" vertical="center" wrapText="1"/>
    </xf>
    <xf numFmtId="0" fontId="47" fillId="26" borderId="14" xfId="166" applyFont="1" applyFill="1" applyBorder="1" applyAlignment="1">
      <alignment vertical="center"/>
    </xf>
    <xf numFmtId="173" fontId="30" fillId="27" borderId="14" xfId="0" applyNumberFormat="1" applyFont="1" applyFill="1" applyBorder="1"/>
    <xf numFmtId="0" fontId="33" fillId="0" borderId="14" xfId="166" applyFont="1" applyFill="1" applyBorder="1" applyAlignment="1">
      <alignment vertical="center"/>
    </xf>
    <xf numFmtId="0" fontId="44" fillId="0" borderId="14" xfId="166" applyFont="1" applyFill="1" applyBorder="1" applyAlignment="1">
      <alignment vertical="center"/>
    </xf>
    <xf numFmtId="0" fontId="44" fillId="0" borderId="14" xfId="166" applyFont="1" applyFill="1" applyBorder="1" applyAlignment="1">
      <alignment horizontal="center" vertical="center" wrapText="1"/>
    </xf>
    <xf numFmtId="0" fontId="30" fillId="0" borderId="14" xfId="166" applyFont="1" applyFill="1" applyBorder="1" applyAlignment="1">
      <alignment horizontal="center" vertical="center" wrapText="1"/>
    </xf>
    <xf numFmtId="0" fontId="93" fillId="0" borderId="14" xfId="166" applyFont="1" applyBorder="1" applyAlignment="1">
      <alignment horizontal="left" vertical="center"/>
    </xf>
    <xf numFmtId="173" fontId="94" fillId="0" borderId="14" xfId="166" applyNumberFormat="1" applyFont="1" applyBorder="1" applyAlignment="1">
      <alignment vertical="center"/>
    </xf>
    <xf numFmtId="173" fontId="95" fillId="0" borderId="14" xfId="0" applyNumberFormat="1" applyFont="1" applyBorder="1"/>
    <xf numFmtId="0" fontId="44" fillId="0" borderId="14" xfId="166" applyFont="1" applyBorder="1" applyAlignment="1">
      <alignment horizontal="center" vertical="center"/>
    </xf>
    <xf numFmtId="173" fontId="41" fillId="0" borderId="14" xfId="166" applyNumberFormat="1" applyFont="1" applyBorder="1" applyAlignment="1">
      <alignment vertical="center"/>
    </xf>
    <xf numFmtId="173" fontId="96" fillId="0" borderId="14" xfId="0" applyNumberFormat="1" applyFont="1" applyBorder="1"/>
    <xf numFmtId="0" fontId="45" fillId="0" borderId="14" xfId="166" applyFont="1" applyFill="1" applyBorder="1" applyAlignment="1">
      <alignment vertical="center"/>
    </xf>
    <xf numFmtId="173" fontId="35" fillId="0" borderId="14" xfId="166" applyNumberFormat="1" applyFont="1" applyBorder="1" applyAlignment="1">
      <alignment vertical="center"/>
    </xf>
    <xf numFmtId="173" fontId="28" fillId="0" borderId="14" xfId="166" applyNumberFormat="1" applyFont="1" applyBorder="1" applyAlignment="1">
      <alignment vertical="center"/>
    </xf>
    <xf numFmtId="0" fontId="28" fillId="0" borderId="14" xfId="166" applyFont="1" applyBorder="1" applyAlignment="1">
      <alignment horizontal="justify" vertical="center" wrapText="1"/>
    </xf>
    <xf numFmtId="173" fontId="97" fillId="0" borderId="14" xfId="166" applyNumberFormat="1" applyFont="1" applyBorder="1" applyAlignment="1">
      <alignment vertical="center"/>
    </xf>
    <xf numFmtId="0" fontId="32" fillId="0" borderId="14" xfId="166" applyNumberFormat="1" applyFont="1" applyBorder="1" applyAlignment="1">
      <alignment vertical="center" wrapText="1"/>
    </xf>
    <xf numFmtId="0" fontId="94" fillId="0" borderId="14" xfId="166" applyFont="1" applyBorder="1" applyAlignment="1">
      <alignment vertical="center"/>
    </xf>
    <xf numFmtId="0" fontId="94" fillId="0" borderId="14" xfId="166" applyFont="1" applyBorder="1" applyAlignment="1">
      <alignment vertical="center" wrapText="1"/>
    </xf>
    <xf numFmtId="0" fontId="35" fillId="27" borderId="23" xfId="0" applyFont="1" applyFill="1" applyBorder="1" applyAlignment="1">
      <alignment horizontal="center" vertical="center" wrapText="1"/>
    </xf>
    <xf numFmtId="0" fontId="35" fillId="27" borderId="24" xfId="0" applyFont="1" applyFill="1" applyBorder="1" applyAlignment="1">
      <alignment horizontal="justify" vertical="center" wrapText="1"/>
    </xf>
    <xf numFmtId="0" fontId="35" fillId="27" borderId="24" xfId="0" applyFont="1" applyFill="1" applyBorder="1" applyAlignment="1">
      <alignment horizontal="center" vertical="center" wrapText="1"/>
    </xf>
    <xf numFmtId="165" fontId="35" fillId="27" borderId="24" xfId="80" applyNumberFormat="1" applyFont="1" applyFill="1" applyBorder="1" applyAlignment="1">
      <alignment horizontal="right" vertical="center"/>
    </xf>
    <xf numFmtId="3" fontId="35" fillId="27" borderId="31" xfId="0" applyNumberFormat="1" applyFont="1" applyFill="1" applyBorder="1" applyAlignment="1">
      <alignment horizontal="right" vertical="center"/>
    </xf>
    <xf numFmtId="0" fontId="28" fillId="27" borderId="23" xfId="0" applyFont="1" applyFill="1" applyBorder="1" applyAlignment="1">
      <alignment horizontal="center" vertical="center" wrapText="1"/>
    </xf>
    <xf numFmtId="0" fontId="28" fillId="27" borderId="24" xfId="0" applyFont="1" applyFill="1" applyBorder="1" applyAlignment="1">
      <alignment horizontal="justify" vertical="center" wrapText="1"/>
    </xf>
    <xf numFmtId="0" fontId="28" fillId="27" borderId="24" xfId="0" applyFont="1" applyFill="1" applyBorder="1" applyAlignment="1">
      <alignment horizontal="center" vertical="center" wrapText="1"/>
    </xf>
    <xf numFmtId="165" fontId="28" fillId="27" borderId="24" xfId="80" applyNumberFormat="1" applyFont="1" applyFill="1" applyBorder="1" applyAlignment="1">
      <alignment horizontal="right" vertical="center"/>
    </xf>
    <xf numFmtId="3" fontId="28" fillId="27" borderId="31" xfId="0" applyNumberFormat="1" applyFont="1" applyFill="1" applyBorder="1" applyAlignment="1">
      <alignment horizontal="right" vertical="center"/>
    </xf>
    <xf numFmtId="0" fontId="30" fillId="27" borderId="23" xfId="0" applyFont="1" applyFill="1" applyBorder="1" applyAlignment="1">
      <alignment horizontal="center" vertical="center" wrapText="1"/>
    </xf>
    <xf numFmtId="0" fontId="30" fillId="27" borderId="24" xfId="0" applyFont="1" applyFill="1" applyBorder="1" applyAlignment="1">
      <alignment horizontal="justify" vertical="center" wrapText="1"/>
    </xf>
    <xf numFmtId="0" fontId="30" fillId="27" borderId="24" xfId="0" applyFont="1" applyFill="1" applyBorder="1" applyAlignment="1">
      <alignment horizontal="center" vertical="center" wrapText="1"/>
    </xf>
    <xf numFmtId="165" fontId="30" fillId="27" borderId="24" xfId="80" applyNumberFormat="1" applyFont="1" applyFill="1" applyBorder="1" applyAlignment="1">
      <alignment horizontal="right" vertical="center"/>
    </xf>
    <xf numFmtId="3" fontId="30" fillId="27" borderId="31" xfId="0" applyNumberFormat="1" applyFont="1" applyFill="1" applyBorder="1" applyAlignment="1">
      <alignment horizontal="right" vertical="center"/>
    </xf>
    <xf numFmtId="0" fontId="28" fillId="27" borderId="40" xfId="0" applyFont="1" applyFill="1" applyBorder="1" applyAlignment="1">
      <alignment horizontal="center" vertical="center" wrapText="1"/>
    </xf>
    <xf numFmtId="9" fontId="28" fillId="27" borderId="40" xfId="0" applyNumberFormat="1" applyFont="1" applyFill="1" applyBorder="1" applyAlignment="1">
      <alignment horizontal="center" vertical="center" wrapText="1"/>
    </xf>
    <xf numFmtId="165" fontId="28" fillId="27" borderId="40" xfId="80" applyNumberFormat="1" applyFont="1" applyFill="1" applyBorder="1" applyAlignment="1">
      <alignment horizontal="right" vertical="center"/>
    </xf>
    <xf numFmtId="3" fontId="28" fillId="27" borderId="24" xfId="0" applyNumberFormat="1" applyFont="1" applyFill="1" applyBorder="1" applyAlignment="1">
      <alignment vertical="center" wrapText="1"/>
    </xf>
    <xf numFmtId="165" fontId="28" fillId="27" borderId="24" xfId="80" applyNumberFormat="1" applyFont="1" applyFill="1" applyBorder="1" applyAlignment="1">
      <alignment horizontal="right" vertical="center" wrapText="1"/>
    </xf>
    <xf numFmtId="3" fontId="28" fillId="27" borderId="31" xfId="0" applyNumberFormat="1" applyFont="1" applyFill="1" applyBorder="1" applyAlignment="1">
      <alignment horizontal="right" vertical="center" wrapText="1"/>
    </xf>
    <xf numFmtId="0" fontId="28" fillId="27" borderId="39" xfId="0" applyFont="1" applyFill="1" applyBorder="1" applyAlignment="1">
      <alignment horizontal="center" vertical="center" wrapText="1"/>
    </xf>
    <xf numFmtId="0" fontId="28" fillId="27" borderId="40" xfId="0" applyFont="1" applyFill="1" applyBorder="1" applyAlignment="1">
      <alignment horizontal="justify" vertical="center" wrapText="1"/>
    </xf>
    <xf numFmtId="3" fontId="28" fillId="27" borderId="40" xfId="0" applyNumberFormat="1" applyFont="1" applyFill="1" applyBorder="1" applyAlignment="1">
      <alignment vertical="center" wrapText="1"/>
    </xf>
    <xf numFmtId="165" fontId="28" fillId="27" borderId="40" xfId="80" applyNumberFormat="1" applyFont="1" applyFill="1" applyBorder="1" applyAlignment="1">
      <alignment horizontal="right" vertical="center" wrapText="1"/>
    </xf>
    <xf numFmtId="3" fontId="35" fillId="27" borderId="41" xfId="0" applyNumberFormat="1" applyFont="1" applyFill="1" applyBorder="1" applyAlignment="1">
      <alignment horizontal="right" vertical="center" wrapText="1"/>
    </xf>
    <xf numFmtId="3" fontId="30" fillId="27" borderId="24" xfId="0" applyNumberFormat="1" applyFont="1" applyFill="1" applyBorder="1" applyAlignment="1">
      <alignment vertical="center" wrapText="1"/>
    </xf>
    <xf numFmtId="165" fontId="30" fillId="27" borderId="24" xfId="80" applyNumberFormat="1" applyFont="1" applyFill="1" applyBorder="1" applyAlignment="1">
      <alignment horizontal="right" vertical="center" wrapText="1"/>
    </xf>
    <xf numFmtId="3" fontId="30" fillId="27" borderId="31" xfId="0" applyNumberFormat="1" applyFont="1" applyFill="1" applyBorder="1" applyAlignment="1">
      <alignment horizontal="right" vertical="center" wrapText="1"/>
    </xf>
    <xf numFmtId="3" fontId="35" fillId="27" borderId="24" xfId="0" applyNumberFormat="1" applyFont="1" applyFill="1" applyBorder="1" applyAlignment="1">
      <alignment vertical="center" wrapText="1"/>
    </xf>
    <xf numFmtId="165" fontId="35" fillId="27" borderId="24" xfId="80" applyNumberFormat="1" applyFont="1" applyFill="1" applyBorder="1" applyAlignment="1">
      <alignment horizontal="right" vertical="center" wrapText="1"/>
    </xf>
    <xf numFmtId="3" fontId="35" fillId="27" borderId="31" xfId="0" applyNumberFormat="1" applyFont="1" applyFill="1" applyBorder="1" applyAlignment="1">
      <alignment horizontal="right" vertical="center" wrapText="1"/>
    </xf>
    <xf numFmtId="4" fontId="98" fillId="27" borderId="24" xfId="0" applyNumberFormat="1" applyFont="1" applyFill="1" applyBorder="1" applyAlignment="1">
      <alignment horizontal="center" vertical="top" wrapText="1"/>
    </xf>
    <xf numFmtId="4" fontId="98" fillId="27" borderId="40" xfId="0" applyNumberFormat="1" applyFont="1" applyFill="1" applyBorder="1" applyAlignment="1">
      <alignment horizontal="center" vertical="top" wrapText="1"/>
    </xf>
    <xf numFmtId="3" fontId="28" fillId="27" borderId="41" xfId="0" applyNumberFormat="1" applyFont="1" applyFill="1" applyBorder="1" applyAlignment="1">
      <alignment horizontal="right" vertical="center"/>
    </xf>
    <xf numFmtId="4" fontId="99" fillId="27" borderId="24" xfId="0" applyNumberFormat="1" applyFont="1" applyFill="1" applyBorder="1" applyAlignment="1">
      <alignment horizontal="center" vertical="top" wrapText="1"/>
    </xf>
    <xf numFmtId="4" fontId="100" fillId="27" borderId="24" xfId="0" applyNumberFormat="1" applyFont="1" applyFill="1" applyBorder="1" applyAlignment="1">
      <alignment horizontal="center" vertical="top" wrapText="1"/>
    </xf>
    <xf numFmtId="9" fontId="35" fillId="27" borderId="24" xfId="172" applyFont="1" applyFill="1" applyBorder="1" applyAlignment="1">
      <alignment horizontal="right" vertical="center"/>
    </xf>
    <xf numFmtId="173" fontId="98" fillId="27" borderId="24" xfId="0" applyNumberFormat="1" applyFont="1" applyFill="1" applyBorder="1" applyAlignment="1">
      <alignment horizontal="center" vertical="top" wrapText="1"/>
    </xf>
    <xf numFmtId="173" fontId="98" fillId="27" borderId="40" xfId="0" applyNumberFormat="1" applyFont="1" applyFill="1" applyBorder="1" applyAlignment="1">
      <alignment horizontal="center" vertical="top" wrapText="1"/>
    </xf>
    <xf numFmtId="0" fontId="30" fillId="0" borderId="14" xfId="166" applyFont="1" applyFill="1" applyBorder="1" applyAlignment="1">
      <alignment vertical="center"/>
    </xf>
    <xf numFmtId="0" fontId="28" fillId="0" borderId="14" xfId="166" applyFont="1" applyFill="1" applyBorder="1" applyAlignment="1">
      <alignment horizontal="center" vertical="center"/>
    </xf>
    <xf numFmtId="0" fontId="32" fillId="0" borderId="14" xfId="166" applyFont="1" applyFill="1" applyBorder="1" applyAlignment="1">
      <alignment vertical="center"/>
    </xf>
    <xf numFmtId="0" fontId="0" fillId="0" borderId="0" xfId="0" applyFill="1"/>
    <xf numFmtId="0" fontId="28" fillId="0" borderId="0" xfId="166" applyFont="1" applyFill="1" applyBorder="1" applyAlignment="1">
      <alignment vertical="center"/>
    </xf>
    <xf numFmtId="0" fontId="28" fillId="0" borderId="0" xfId="166" applyFont="1" applyFill="1" applyBorder="1" applyAlignment="1">
      <alignment horizontal="center" vertical="center"/>
    </xf>
    <xf numFmtId="0" fontId="98" fillId="0" borderId="14" xfId="166" applyFont="1" applyBorder="1" applyAlignment="1">
      <alignment vertical="center"/>
    </xf>
    <xf numFmtId="0" fontId="30" fillId="0" borderId="0" xfId="165" applyFont="1" applyFill="1" applyBorder="1" applyAlignment="1">
      <alignment horizontal="center" wrapText="1"/>
    </xf>
    <xf numFmtId="0" fontId="30" fillId="0" borderId="0" xfId="165" applyFont="1" applyFill="1" applyBorder="1" applyAlignment="1">
      <alignment horizontal="left" vertical="center" wrapText="1"/>
    </xf>
    <xf numFmtId="0" fontId="12" fillId="0" borderId="0" xfId="165" applyFont="1" applyFill="1" applyBorder="1" applyAlignment="1">
      <alignment horizontal="center" wrapText="1"/>
    </xf>
    <xf numFmtId="0" fontId="13" fillId="0" borderId="0" xfId="165" applyFont="1" applyFill="1" applyBorder="1" applyAlignment="1">
      <alignment horizontal="left" wrapText="1"/>
    </xf>
    <xf numFmtId="0" fontId="30" fillId="0" borderId="0" xfId="165" applyFont="1" applyFill="1" applyAlignment="1">
      <alignment horizontal="left" wrapText="1"/>
    </xf>
    <xf numFmtId="0" fontId="30" fillId="0" borderId="0" xfId="165" applyFont="1" applyFill="1" applyBorder="1" applyAlignment="1">
      <alignment horizontal="center" vertical="center" wrapText="1"/>
    </xf>
    <xf numFmtId="0" fontId="30" fillId="0" borderId="52" xfId="165" applyFont="1" applyFill="1" applyBorder="1" applyAlignment="1">
      <alignment horizontal="center" vertical="center" wrapText="1"/>
    </xf>
    <xf numFmtId="0" fontId="30" fillId="0" borderId="53" xfId="165" applyFont="1" applyFill="1" applyBorder="1" applyAlignment="1">
      <alignment horizontal="center" vertical="center" wrapText="1"/>
    </xf>
    <xf numFmtId="0" fontId="28" fillId="0" borderId="54" xfId="165" applyFont="1" applyFill="1" applyBorder="1" applyAlignment="1">
      <alignment horizontal="left" wrapText="1"/>
    </xf>
    <xf numFmtId="0" fontId="28" fillId="0" borderId="55" xfId="165" applyFont="1" applyFill="1" applyBorder="1" applyAlignment="1">
      <alignment horizontal="left" wrapText="1"/>
    </xf>
    <xf numFmtId="0" fontId="28" fillId="0" borderId="56" xfId="165" applyFont="1" applyFill="1" applyBorder="1" applyAlignment="1">
      <alignment horizontal="left" vertical="center" wrapText="1"/>
    </xf>
    <xf numFmtId="0" fontId="28" fillId="0" borderId="56" xfId="165" applyFont="1" applyFill="1" applyBorder="1" applyAlignment="1">
      <alignment vertical="center" wrapText="1"/>
    </xf>
    <xf numFmtId="0" fontId="28" fillId="0" borderId="56" xfId="165" applyFont="1" applyFill="1" applyBorder="1" applyAlignment="1">
      <alignment horizontal="center" wrapText="1"/>
    </xf>
    <xf numFmtId="0" fontId="28" fillId="0" borderId="56" xfId="165" applyFont="1" applyFill="1" applyBorder="1" applyAlignment="1">
      <alignment horizontal="left" wrapText="1"/>
    </xf>
    <xf numFmtId="0" fontId="28" fillId="0" borderId="57" xfId="165" applyFont="1" applyFill="1" applyBorder="1" applyAlignment="1">
      <alignment wrapText="1"/>
    </xf>
    <xf numFmtId="0" fontId="28" fillId="0" borderId="0" xfId="165" applyFont="1" applyFill="1" applyAlignment="1">
      <alignment horizontal="left" wrapText="1"/>
    </xf>
    <xf numFmtId="0" fontId="28" fillId="0" borderId="57" xfId="165" applyFont="1" applyFill="1" applyBorder="1" applyAlignment="1">
      <alignment horizontal="justify" wrapText="1"/>
    </xf>
    <xf numFmtId="0" fontId="28" fillId="0" borderId="58" xfId="165" applyFont="1" applyFill="1" applyBorder="1" applyAlignment="1">
      <alignment horizontal="left" wrapText="1"/>
    </xf>
    <xf numFmtId="0" fontId="28" fillId="0" borderId="59" xfId="165" applyFont="1" applyFill="1" applyBorder="1" applyAlignment="1">
      <alignment horizontal="left" vertical="center" wrapText="1"/>
    </xf>
    <xf numFmtId="0" fontId="28" fillId="0" borderId="59" xfId="165" applyFont="1" applyFill="1" applyBorder="1" applyAlignment="1">
      <alignment vertical="center" wrapText="1"/>
    </xf>
    <xf numFmtId="0" fontId="28" fillId="0" borderId="59" xfId="165" applyFont="1" applyFill="1" applyBorder="1" applyAlignment="1">
      <alignment horizontal="center" wrapText="1"/>
    </xf>
    <xf numFmtId="0" fontId="28" fillId="0" borderId="59" xfId="165" applyFont="1" applyFill="1" applyBorder="1" applyAlignment="1">
      <alignment horizontal="left" wrapText="1"/>
    </xf>
    <xf numFmtId="0" fontId="28" fillId="0" borderId="60" xfId="165" applyFont="1" applyFill="1" applyBorder="1" applyAlignment="1">
      <alignment wrapText="1"/>
    </xf>
    <xf numFmtId="0" fontId="28" fillId="0" borderId="55" xfId="165" applyFont="1" applyFill="1" applyBorder="1" applyAlignment="1">
      <alignment horizontal="left" vertical="center" wrapText="1"/>
    </xf>
    <xf numFmtId="0" fontId="28" fillId="0" borderId="57" xfId="165" applyFont="1" applyFill="1" applyBorder="1" applyAlignment="1">
      <alignment horizontal="left" wrapText="1"/>
    </xf>
    <xf numFmtId="0" fontId="28" fillId="0" borderId="61" xfId="165" applyFont="1" applyFill="1" applyBorder="1" applyAlignment="1">
      <alignment horizontal="left" wrapText="1"/>
    </xf>
    <xf numFmtId="0" fontId="28" fillId="0" borderId="62" xfId="165" applyFont="1" applyFill="1" applyBorder="1" applyAlignment="1">
      <alignment horizontal="left" vertical="center" wrapText="1"/>
    </xf>
    <xf numFmtId="0" fontId="30" fillId="0" borderId="0" xfId="165" applyFont="1" applyFill="1" applyBorder="1" applyAlignment="1">
      <alignment horizontal="left" wrapText="1"/>
    </xf>
    <xf numFmtId="0" fontId="28" fillId="0" borderId="48" xfId="165" applyFont="1" applyFill="1" applyBorder="1" applyAlignment="1">
      <alignment horizontal="left" wrapText="1"/>
    </xf>
    <xf numFmtId="0" fontId="28" fillId="0" borderId="63" xfId="165" applyFont="1" applyFill="1" applyBorder="1" applyAlignment="1">
      <alignment horizontal="left" wrapText="1"/>
    </xf>
    <xf numFmtId="0" fontId="28" fillId="0" borderId="63" xfId="165" applyFont="1" applyFill="1" applyBorder="1" applyAlignment="1">
      <alignment horizontal="center" wrapText="1"/>
    </xf>
    <xf numFmtId="0" fontId="28" fillId="0" borderId="64" xfId="165" applyFont="1" applyFill="1" applyBorder="1" applyAlignment="1">
      <alignment wrapText="1"/>
    </xf>
    <xf numFmtId="0" fontId="28" fillId="0" borderId="56" xfId="165" applyFont="1" applyFill="1" applyBorder="1" applyAlignment="1">
      <alignment horizontal="justify" vertical="center" wrapText="1"/>
    </xf>
    <xf numFmtId="0" fontId="28" fillId="0" borderId="59" xfId="165" applyFont="1" applyFill="1" applyBorder="1" applyAlignment="1">
      <alignment horizontal="justify" vertical="center" wrapText="1"/>
    </xf>
    <xf numFmtId="0" fontId="28" fillId="0" borderId="56" xfId="165" applyFont="1" applyFill="1" applyBorder="1" applyAlignment="1">
      <alignment horizontal="justify" wrapText="1"/>
    </xf>
    <xf numFmtId="0" fontId="28" fillId="0" borderId="63" xfId="165" applyFont="1" applyFill="1" applyBorder="1" applyAlignment="1">
      <alignment horizontal="justify" wrapText="1"/>
    </xf>
    <xf numFmtId="0" fontId="28" fillId="0" borderId="59" xfId="165" applyFont="1" applyFill="1" applyBorder="1" applyAlignment="1">
      <alignment horizontal="justify" wrapText="1"/>
    </xf>
    <xf numFmtId="0" fontId="28" fillId="0" borderId="36" xfId="165" applyFont="1" applyFill="1" applyBorder="1" applyAlignment="1">
      <alignment horizontal="left" wrapText="1"/>
    </xf>
    <xf numFmtId="0" fontId="28" fillId="0" borderId="63" xfId="165" applyFont="1" applyFill="1" applyBorder="1" applyAlignment="1">
      <alignment horizontal="left" vertical="center" wrapText="1"/>
    </xf>
    <xf numFmtId="0" fontId="28" fillId="0" borderId="63" xfId="165" applyFont="1" applyFill="1" applyBorder="1" applyAlignment="1">
      <alignment horizontal="justify" vertical="center" wrapText="1"/>
    </xf>
    <xf numFmtId="0" fontId="28" fillId="0" borderId="0" xfId="165" applyFont="1" applyFill="1" applyAlignment="1">
      <alignment horizontal="center" wrapText="1"/>
    </xf>
    <xf numFmtId="0" fontId="28" fillId="0" borderId="46" xfId="165" applyFont="1" applyFill="1" applyBorder="1" applyAlignment="1">
      <alignment horizontal="left" wrapText="1"/>
    </xf>
    <xf numFmtId="0" fontId="28" fillId="0" borderId="0" xfId="165" applyFont="1" applyFill="1" applyBorder="1" applyAlignment="1">
      <alignment horizontal="left" wrapText="1"/>
    </xf>
    <xf numFmtId="0" fontId="28" fillId="0" borderId="65" xfId="165" applyFont="1" applyFill="1" applyBorder="1" applyAlignment="1">
      <alignment horizontal="left" vertical="center" wrapText="1"/>
    </xf>
    <xf numFmtId="0" fontId="28" fillId="0" borderId="65" xfId="165" applyFont="1" applyFill="1" applyBorder="1" applyAlignment="1">
      <alignment vertical="center" wrapText="1"/>
    </xf>
    <xf numFmtId="0" fontId="28" fillId="0" borderId="65" xfId="165" applyFont="1" applyFill="1" applyBorder="1" applyAlignment="1">
      <alignment horizontal="center" wrapText="1"/>
    </xf>
    <xf numFmtId="0" fontId="28" fillId="0" borderId="65" xfId="165" applyFont="1" applyFill="1" applyBorder="1" applyAlignment="1">
      <alignment horizontal="left" wrapText="1"/>
    </xf>
    <xf numFmtId="0" fontId="28" fillId="0" borderId="65" xfId="165" applyFont="1" applyFill="1" applyBorder="1" applyAlignment="1">
      <alignment wrapText="1"/>
    </xf>
    <xf numFmtId="0" fontId="12" fillId="0" borderId="0" xfId="165" applyFont="1" applyFill="1" applyBorder="1" applyAlignment="1">
      <alignment vertical="center" wrapText="1"/>
    </xf>
    <xf numFmtId="0" fontId="12" fillId="0" borderId="9" xfId="165" applyFont="1" applyFill="1" applyBorder="1" applyAlignment="1">
      <alignment vertical="center" wrapText="1"/>
    </xf>
    <xf numFmtId="0" fontId="12" fillId="0" borderId="66" xfId="165" applyFont="1" applyFill="1" applyBorder="1" applyAlignment="1">
      <alignment vertical="center" wrapText="1"/>
    </xf>
    <xf numFmtId="0" fontId="13" fillId="0" borderId="9" xfId="165" applyFont="1" applyFill="1" applyBorder="1" applyAlignment="1">
      <alignment vertical="center" wrapText="1"/>
    </xf>
    <xf numFmtId="0" fontId="30" fillId="0" borderId="65" xfId="165" applyFont="1" applyFill="1" applyBorder="1" applyAlignment="1">
      <alignment vertical="center" wrapText="1"/>
    </xf>
    <xf numFmtId="0" fontId="28" fillId="0" borderId="48" xfId="165" applyFont="1" applyFill="1" applyBorder="1" applyAlignment="1">
      <alignment horizontal="center" vertical="center" wrapText="1"/>
    </xf>
    <xf numFmtId="0" fontId="28" fillId="0" borderId="63" xfId="165" applyFont="1" applyFill="1" applyBorder="1" applyAlignment="1">
      <alignment horizontal="right" vertical="center" wrapText="1"/>
    </xf>
    <xf numFmtId="0" fontId="30" fillId="0" borderId="63" xfId="165" applyFont="1" applyFill="1" applyBorder="1" applyAlignment="1">
      <alignment horizontal="center" vertical="center" wrapText="1"/>
    </xf>
    <xf numFmtId="0" fontId="30" fillId="0" borderId="64" xfId="165" applyFont="1" applyFill="1" applyBorder="1" applyAlignment="1">
      <alignment horizontal="center" vertical="center" wrapText="1"/>
    </xf>
    <xf numFmtId="0" fontId="28" fillId="0" borderId="63" xfId="165" applyFont="1" applyFill="1" applyBorder="1" applyAlignment="1">
      <alignment vertical="center" wrapText="1"/>
    </xf>
    <xf numFmtId="0" fontId="28" fillId="0" borderId="64" xfId="165" applyFont="1" applyFill="1" applyBorder="1" applyAlignment="1">
      <alignment horizontal="left" wrapText="1"/>
    </xf>
    <xf numFmtId="2" fontId="101" fillId="0" borderId="0" xfId="0" applyNumberFormat="1" applyFont="1" applyAlignment="1">
      <alignment horizontal="right" vertical="center" wrapText="1"/>
    </xf>
    <xf numFmtId="2" fontId="102" fillId="25" borderId="0" xfId="0" applyNumberFormat="1" applyFont="1" applyFill="1" applyBorder="1" applyAlignment="1">
      <alignment horizontal="center" vertical="center" wrapText="1"/>
    </xf>
    <xf numFmtId="2" fontId="101" fillId="0" borderId="24" xfId="0" applyNumberFormat="1" applyFont="1" applyBorder="1" applyAlignment="1">
      <alignment horizontal="right" vertical="center" wrapText="1"/>
    </xf>
    <xf numFmtId="2" fontId="101" fillId="0" borderId="40" xfId="0" applyNumberFormat="1" applyFont="1" applyBorder="1" applyAlignment="1">
      <alignment horizontal="right" vertical="center" wrapText="1"/>
    </xf>
    <xf numFmtId="2" fontId="102" fillId="0" borderId="34" xfId="0" applyNumberFormat="1" applyFont="1" applyBorder="1" applyAlignment="1">
      <alignment horizontal="right" vertical="center" wrapText="1"/>
    </xf>
    <xf numFmtId="2" fontId="102" fillId="0" borderId="24" xfId="0" applyNumberFormat="1" applyFont="1" applyBorder="1" applyAlignment="1">
      <alignment horizontal="right" vertical="center" wrapText="1"/>
    </xf>
    <xf numFmtId="2" fontId="101" fillId="27" borderId="24" xfId="0" applyNumberFormat="1" applyFont="1" applyFill="1" applyBorder="1" applyAlignment="1">
      <alignment horizontal="right" vertical="center" wrapText="1"/>
    </xf>
    <xf numFmtId="2" fontId="101" fillId="27" borderId="40" xfId="0" applyNumberFormat="1" applyFont="1" applyFill="1" applyBorder="1" applyAlignment="1">
      <alignment horizontal="right" vertical="center" wrapText="1"/>
    </xf>
    <xf numFmtId="2" fontId="102" fillId="27" borderId="24" xfId="0" applyNumberFormat="1" applyFont="1" applyFill="1" applyBorder="1" applyAlignment="1">
      <alignment horizontal="right" vertical="center" wrapText="1"/>
    </xf>
    <xf numFmtId="2" fontId="101" fillId="0" borderId="24" xfId="80" applyNumberFormat="1" applyFont="1" applyBorder="1" applyAlignment="1">
      <alignment horizontal="right" vertical="center" wrapText="1"/>
    </xf>
    <xf numFmtId="2" fontId="103" fillId="27" borderId="24" xfId="0" applyNumberFormat="1" applyFont="1" applyFill="1" applyBorder="1" applyAlignment="1">
      <alignment horizontal="right" vertical="center" wrapText="1"/>
    </xf>
    <xf numFmtId="2" fontId="101" fillId="27" borderId="24" xfId="80" applyNumberFormat="1" applyFont="1" applyFill="1" applyBorder="1" applyAlignment="1">
      <alignment horizontal="right" vertical="center" wrapText="1"/>
    </xf>
    <xf numFmtId="2" fontId="101" fillId="0" borderId="34" xfId="0" applyNumberFormat="1" applyFont="1" applyBorder="1" applyAlignment="1">
      <alignment horizontal="right" vertical="center" wrapText="1"/>
    </xf>
    <xf numFmtId="2" fontId="101" fillId="0" borderId="32" xfId="0" applyNumberFormat="1" applyFont="1" applyBorder="1" applyAlignment="1">
      <alignment horizontal="right" vertical="center" wrapText="1"/>
    </xf>
    <xf numFmtId="0" fontId="28" fillId="0" borderId="51" xfId="0" applyFont="1" applyFill="1" applyBorder="1" applyAlignment="1">
      <alignment horizontal="center" vertical="center" wrapText="1"/>
    </xf>
    <xf numFmtId="9" fontId="28" fillId="0" borderId="51" xfId="0" applyNumberFormat="1" applyFont="1" applyFill="1" applyBorder="1" applyAlignment="1">
      <alignment horizontal="center" vertical="center" wrapText="1"/>
    </xf>
    <xf numFmtId="3" fontId="28" fillId="0" borderId="51" xfId="0" applyNumberFormat="1" applyFont="1" applyBorder="1" applyAlignment="1">
      <alignment vertical="center" wrapText="1"/>
    </xf>
    <xf numFmtId="165" fontId="28" fillId="0" borderId="51" xfId="80" applyNumberFormat="1" applyFont="1" applyBorder="1" applyAlignment="1">
      <alignment horizontal="right" vertical="center" wrapText="1"/>
    </xf>
    <xf numFmtId="2" fontId="101" fillId="0" borderId="51" xfId="0" applyNumberFormat="1" applyFont="1" applyBorder="1" applyAlignment="1">
      <alignment horizontal="right" vertical="center" wrapText="1"/>
    </xf>
    <xf numFmtId="3" fontId="35" fillId="0" borderId="67" xfId="0" applyNumberFormat="1" applyFont="1" applyBorder="1" applyAlignment="1">
      <alignment horizontal="right" vertical="center" wrapText="1"/>
    </xf>
    <xf numFmtId="2" fontId="33" fillId="25" borderId="43" xfId="0" applyNumberFormat="1" applyFont="1" applyFill="1" applyBorder="1" applyAlignment="1">
      <alignment horizontal="center" vertical="center" wrapText="1"/>
    </xf>
    <xf numFmtId="165" fontId="30" fillId="25" borderId="14" xfId="80" applyNumberFormat="1" applyFont="1" applyFill="1" applyBorder="1" applyAlignment="1">
      <alignment horizontal="center" vertical="center" wrapText="1"/>
    </xf>
    <xf numFmtId="4" fontId="99" fillId="25" borderId="14" xfId="0" applyNumberFormat="1" applyFont="1" applyFill="1" applyBorder="1" applyAlignment="1">
      <alignment horizontal="center" vertical="center" wrapText="1"/>
    </xf>
    <xf numFmtId="3" fontId="30" fillId="25" borderId="28" xfId="0" applyNumberFormat="1" applyFont="1" applyFill="1" applyBorder="1" applyAlignment="1">
      <alignment horizontal="center" vertical="center" wrapText="1"/>
    </xf>
    <xf numFmtId="2" fontId="100" fillId="0" borderId="24" xfId="0" applyNumberFormat="1" applyFont="1" applyBorder="1" applyAlignment="1">
      <alignment horizontal="right" vertical="center" wrapText="1"/>
    </xf>
    <xf numFmtId="173" fontId="28" fillId="0" borderId="0" xfId="0" applyNumberFormat="1" applyFont="1" applyAlignment="1">
      <alignment vertical="center"/>
    </xf>
    <xf numFmtId="173" fontId="98" fillId="0" borderId="0" xfId="0" applyNumberFormat="1" applyFont="1" applyAlignment="1">
      <alignment vertical="center"/>
    </xf>
    <xf numFmtId="0" fontId="28" fillId="0" borderId="14" xfId="0" applyFont="1" applyBorder="1" applyAlignment="1">
      <alignment vertical="center"/>
    </xf>
    <xf numFmtId="0" fontId="28" fillId="0" borderId="0" xfId="0" applyFont="1" applyFill="1"/>
    <xf numFmtId="4" fontId="28" fillId="0" borderId="0" xfId="0" applyNumberFormat="1" applyFont="1" applyFill="1"/>
    <xf numFmtId="0" fontId="28" fillId="0" borderId="14" xfId="0" applyFont="1" applyBorder="1" applyAlignment="1">
      <alignment horizontal="center" vertical="center"/>
    </xf>
    <xf numFmtId="0" fontId="34" fillId="0" borderId="0" xfId="0" applyFont="1" applyAlignment="1">
      <alignment horizontal="center" vertical="center"/>
    </xf>
    <xf numFmtId="3" fontId="34" fillId="0" borderId="0" xfId="0" applyNumberFormat="1" applyFont="1" applyAlignment="1">
      <alignment vertical="center"/>
    </xf>
    <xf numFmtId="0" fontId="30" fillId="0" borderId="14" xfId="156" applyFont="1" applyFill="1" applyBorder="1" applyAlignment="1">
      <alignment horizontal="center" vertical="center" wrapText="1"/>
    </xf>
    <xf numFmtId="0" fontId="30" fillId="0" borderId="14" xfId="156" applyFont="1" applyFill="1" applyBorder="1" applyAlignment="1">
      <alignment horizontal="justify" vertical="center" wrapText="1"/>
    </xf>
    <xf numFmtId="3" fontId="30" fillId="0" borderId="14" xfId="156" applyNumberFormat="1" applyFont="1" applyFill="1" applyBorder="1" applyAlignment="1">
      <alignment vertical="center"/>
    </xf>
    <xf numFmtId="165" fontId="30" fillId="0" borderId="14" xfId="82" applyNumberFormat="1" applyFont="1" applyFill="1" applyBorder="1" applyAlignment="1">
      <alignment vertical="center"/>
    </xf>
    <xf numFmtId="165" fontId="30" fillId="0" borderId="14" xfId="82" applyNumberFormat="1" applyFont="1" applyFill="1" applyBorder="1" applyAlignment="1">
      <alignment horizontal="right" vertical="center"/>
    </xf>
    <xf numFmtId="0" fontId="35" fillId="0" borderId="0" xfId="156" applyFont="1" applyFill="1" applyAlignment="1">
      <alignment vertical="center"/>
    </xf>
    <xf numFmtId="0" fontId="28" fillId="0" borderId="14" xfId="156" applyFont="1" applyFill="1" applyBorder="1" applyAlignment="1">
      <alignment horizontal="center" vertical="center" wrapText="1"/>
    </xf>
    <xf numFmtId="0" fontId="28" fillId="0" borderId="14" xfId="156" applyFont="1" applyFill="1" applyBorder="1" applyAlignment="1">
      <alignment horizontal="justify" vertical="center" wrapText="1"/>
    </xf>
    <xf numFmtId="43" fontId="28" fillId="0" borderId="0" xfId="80" applyFont="1" applyFill="1"/>
    <xf numFmtId="0" fontId="107" fillId="0" borderId="14" xfId="0" applyFont="1" applyFill="1" applyBorder="1" applyAlignment="1">
      <alignment horizontal="center" vertical="center" wrapText="1"/>
    </xf>
    <xf numFmtId="173" fontId="28" fillId="0" borderId="14" xfId="0" applyNumberFormat="1" applyFont="1" applyFill="1" applyBorder="1" applyAlignment="1">
      <alignment horizontal="center" vertical="center" wrapText="1"/>
    </xf>
    <xf numFmtId="173" fontId="30" fillId="0" borderId="14" xfId="0" applyNumberFormat="1" applyFont="1" applyFill="1" applyBorder="1" applyAlignment="1">
      <alignment horizontal="center" vertical="center" wrapText="1"/>
    </xf>
    <xf numFmtId="0" fontId="28" fillId="0" borderId="14" xfId="0" applyFont="1" applyFill="1" applyBorder="1" applyAlignment="1">
      <alignment horizontal="center" vertical="center"/>
    </xf>
    <xf numFmtId="0" fontId="97" fillId="0" borderId="14" xfId="0" applyFont="1" applyFill="1" applyBorder="1" applyAlignment="1">
      <alignment horizontal="center" vertical="center"/>
    </xf>
    <xf numFmtId="0" fontId="108" fillId="0" borderId="14" xfId="0" applyFont="1" applyFill="1" applyBorder="1" applyAlignment="1">
      <alignment horizontal="center" vertical="center"/>
    </xf>
    <xf numFmtId="0" fontId="28" fillId="0" borderId="14" xfId="0" applyFont="1" applyBorder="1" applyAlignment="1">
      <alignment horizontal="center" vertical="center" wrapText="1"/>
    </xf>
    <xf numFmtId="0" fontId="107" fillId="0" borderId="14" xfId="0" applyFont="1" applyFill="1" applyBorder="1" applyAlignment="1">
      <alignment horizontal="center" vertical="center"/>
    </xf>
    <xf numFmtId="0" fontId="30" fillId="0" borderId="14" xfId="0" applyFont="1" applyFill="1" applyBorder="1" applyAlignment="1">
      <alignment horizontal="center" vertical="center"/>
    </xf>
    <xf numFmtId="173" fontId="30" fillId="0" borderId="14" xfId="0" applyNumberFormat="1" applyFont="1" applyFill="1" applyBorder="1" applyAlignment="1">
      <alignment horizontal="center" vertical="center"/>
    </xf>
    <xf numFmtId="3" fontId="30" fillId="0" borderId="14" xfId="0" applyNumberFormat="1" applyFont="1" applyFill="1" applyBorder="1" applyAlignment="1">
      <alignment horizontal="center" vertical="center" wrapText="1"/>
    </xf>
    <xf numFmtId="4" fontId="30" fillId="0" borderId="14" xfId="0" applyNumberFormat="1" applyFont="1" applyFill="1" applyBorder="1" applyAlignment="1">
      <alignment horizontal="center" vertical="center" wrapText="1"/>
    </xf>
    <xf numFmtId="0" fontId="43" fillId="28" borderId="14" xfId="166" applyFont="1" applyFill="1" applyBorder="1" applyAlignment="1">
      <alignment horizontal="center" vertical="center"/>
    </xf>
    <xf numFmtId="0" fontId="43" fillId="28" borderId="14" xfId="166" applyFont="1" applyFill="1" applyBorder="1" applyAlignment="1">
      <alignment horizontal="left" vertical="center"/>
    </xf>
    <xf numFmtId="0" fontId="32" fillId="0" borderId="14" xfId="166" applyFont="1" applyBorder="1" applyAlignment="1">
      <alignment horizontal="center" vertical="center"/>
    </xf>
    <xf numFmtId="0" fontId="98" fillId="0" borderId="14" xfId="166" applyFont="1" applyBorder="1" applyAlignment="1">
      <alignment horizontal="center" vertical="center"/>
    </xf>
    <xf numFmtId="172" fontId="34" fillId="0" borderId="0" xfId="0" applyNumberFormat="1" applyFont="1" applyAlignment="1">
      <alignment vertical="center"/>
    </xf>
    <xf numFmtId="0" fontId="28" fillId="0" borderId="14" xfId="156" applyFont="1" applyFill="1" applyBorder="1" applyAlignment="1">
      <alignment horizontal="right" vertical="center" wrapText="1"/>
    </xf>
    <xf numFmtId="3" fontId="28" fillId="0" borderId="14" xfId="82" applyNumberFormat="1" applyFont="1" applyFill="1" applyBorder="1" applyAlignment="1">
      <alignment horizontal="center" vertical="center"/>
    </xf>
    <xf numFmtId="165" fontId="28" fillId="0" borderId="14" xfId="82" applyNumberFormat="1" applyFont="1" applyFill="1" applyBorder="1" applyAlignment="1">
      <alignment horizontal="right" vertical="center"/>
    </xf>
    <xf numFmtId="182" fontId="28" fillId="0" borderId="14" xfId="82" applyNumberFormat="1" applyFont="1" applyFill="1" applyBorder="1" applyAlignment="1">
      <alignment vertical="center"/>
    </xf>
    <xf numFmtId="4" fontId="34" fillId="0" borderId="0" xfId="156" applyNumberFormat="1" applyFont="1" applyFill="1" applyAlignment="1">
      <alignment vertical="center"/>
    </xf>
    <xf numFmtId="0" fontId="34" fillId="0" borderId="0" xfId="156" applyFont="1" applyFill="1" applyAlignment="1">
      <alignment vertical="center"/>
    </xf>
    <xf numFmtId="0" fontId="28" fillId="0" borderId="14" xfId="0" applyFont="1" applyFill="1" applyBorder="1" applyAlignment="1">
      <alignment horizontal="center" vertical="center" wrapText="1"/>
    </xf>
    <xf numFmtId="0" fontId="97" fillId="0" borderId="14" xfId="0" applyFont="1" applyFill="1" applyBorder="1" applyAlignment="1">
      <alignment horizontal="center" vertical="center" wrapText="1"/>
    </xf>
    <xf numFmtId="3" fontId="28" fillId="0" borderId="14" xfId="0" applyNumberFormat="1" applyFont="1" applyFill="1" applyBorder="1" applyAlignment="1">
      <alignment vertical="center"/>
    </xf>
    <xf numFmtId="4" fontId="28" fillId="0" borderId="14" xfId="0" applyNumberFormat="1" applyFont="1" applyFill="1" applyBorder="1" applyAlignment="1">
      <alignment vertical="center"/>
    </xf>
    <xf numFmtId="0" fontId="28" fillId="0" borderId="14" xfId="0" applyFont="1" applyBorder="1" applyAlignment="1">
      <alignment vertical="center" wrapText="1"/>
    </xf>
    <xf numFmtId="0" fontId="37" fillId="0" borderId="14" xfId="216" applyFont="1" applyFill="1" applyBorder="1" applyAlignment="1">
      <alignment vertical="center" wrapText="1"/>
    </xf>
    <xf numFmtId="165" fontId="121" fillId="29" borderId="14" xfId="94" applyNumberFormat="1" applyFont="1" applyFill="1" applyBorder="1" applyAlignment="1">
      <alignment horizontal="right" vertical="center"/>
    </xf>
    <xf numFmtId="165" fontId="122" fillId="29" borderId="14" xfId="94" applyNumberFormat="1" applyFont="1" applyFill="1" applyBorder="1" applyAlignment="1">
      <alignment horizontal="right" vertical="center"/>
    </xf>
    <xf numFmtId="3" fontId="121" fillId="29" borderId="14" xfId="132" applyNumberFormat="1" applyFont="1" applyFill="1" applyBorder="1" applyAlignment="1">
      <alignment horizontal="center" vertical="center"/>
    </xf>
    <xf numFmtId="3" fontId="122" fillId="29" borderId="14" xfId="132" applyNumberFormat="1" applyFont="1" applyFill="1" applyBorder="1" applyAlignment="1">
      <alignment horizontal="center" vertical="center"/>
    </xf>
    <xf numFmtId="0" fontId="28" fillId="0" borderId="14" xfId="0" applyFont="1" applyBorder="1"/>
    <xf numFmtId="0" fontId="28" fillId="0" borderId="14" xfId="0" applyFont="1" applyBorder="1" applyAlignment="1">
      <alignment horizontal="center" vertical="center"/>
    </xf>
    <xf numFmtId="0" fontId="38" fillId="0" borderId="14" xfId="0" applyFont="1" applyFill="1" applyBorder="1" applyAlignment="1">
      <alignment horizontal="center" vertical="center" wrapText="1"/>
    </xf>
    <xf numFmtId="0" fontId="38" fillId="0" borderId="14" xfId="0" applyFont="1" applyBorder="1" applyAlignment="1">
      <alignment horizontal="center" wrapText="1"/>
    </xf>
    <xf numFmtId="3" fontId="28" fillId="0" borderId="14" xfId="0" applyNumberFormat="1" applyFont="1" applyBorder="1"/>
    <xf numFmtId="165" fontId="28" fillId="0" borderId="14" xfId="0" applyNumberFormat="1" applyFont="1" applyBorder="1"/>
    <xf numFmtId="3" fontId="28" fillId="0" borderId="0" xfId="0" applyNumberFormat="1" applyFont="1"/>
    <xf numFmtId="3" fontId="30" fillId="0" borderId="0" xfId="0" applyNumberFormat="1" applyFont="1"/>
    <xf numFmtId="173" fontId="28" fillId="0" borderId="0" xfId="0" applyNumberFormat="1" applyFont="1" applyFill="1"/>
    <xf numFmtId="3" fontId="28" fillId="0" borderId="0" xfId="0" applyNumberFormat="1" applyFont="1" applyFill="1"/>
    <xf numFmtId="4" fontId="30" fillId="0" borderId="14" xfId="0" applyNumberFormat="1" applyFont="1" applyFill="1" applyBorder="1" applyAlignment="1">
      <alignment vertical="center"/>
    </xf>
    <xf numFmtId="3" fontId="30" fillId="0" borderId="14" xfId="0" applyNumberFormat="1" applyFont="1" applyFill="1" applyBorder="1"/>
    <xf numFmtId="4" fontId="30" fillId="0" borderId="14" xfId="0" applyNumberFormat="1" applyFont="1" applyFill="1" applyBorder="1"/>
    <xf numFmtId="3" fontId="32" fillId="0" borderId="14" xfId="0" applyNumberFormat="1" applyFont="1" applyFill="1" applyBorder="1" applyAlignment="1">
      <alignment vertical="center"/>
    </xf>
    <xf numFmtId="4" fontId="32" fillId="0" borderId="14" xfId="0" applyNumberFormat="1" applyFont="1" applyFill="1" applyBorder="1" applyAlignment="1">
      <alignment vertical="center"/>
    </xf>
    <xf numFmtId="3" fontId="28" fillId="0" borderId="14" xfId="0" applyNumberFormat="1" applyFont="1" applyFill="1" applyBorder="1"/>
    <xf numFmtId="4" fontId="28" fillId="0" borderId="14" xfId="0" applyNumberFormat="1" applyFont="1" applyFill="1" applyBorder="1" applyAlignment="1">
      <alignment horizontal="right" vertical="center"/>
    </xf>
    <xf numFmtId="0" fontId="32" fillId="0" borderId="0" xfId="0" applyFont="1" applyFill="1"/>
    <xf numFmtId="0" fontId="30" fillId="0" borderId="14" xfId="0" applyFont="1" applyBorder="1" applyAlignment="1">
      <alignment horizontal="center" vertical="center"/>
    </xf>
    <xf numFmtId="0" fontId="30" fillId="0" borderId="14" xfId="0" applyFont="1" applyBorder="1" applyAlignment="1">
      <alignment vertical="center"/>
    </xf>
    <xf numFmtId="173" fontId="98" fillId="0" borderId="0" xfId="0" applyNumberFormat="1" applyFont="1" applyAlignment="1">
      <alignment horizontal="right" vertical="center"/>
    </xf>
    <xf numFmtId="4" fontId="28" fillId="0" borderId="0" xfId="156" applyNumberFormat="1" applyFont="1" applyFill="1" applyAlignment="1">
      <alignment vertical="center"/>
    </xf>
    <xf numFmtId="0" fontId="28" fillId="0" borderId="14" xfId="0" applyFont="1" applyBorder="1" applyAlignment="1">
      <alignment horizontal="center" vertical="center"/>
    </xf>
    <xf numFmtId="0" fontId="38" fillId="0" borderId="70" xfId="0" applyFont="1" applyFill="1" applyBorder="1" applyAlignment="1">
      <alignment horizontal="center" vertical="center" wrapText="1"/>
    </xf>
    <xf numFmtId="4" fontId="28" fillId="0" borderId="14" xfId="0" applyNumberFormat="1" applyFont="1" applyFill="1" applyBorder="1" applyAlignment="1">
      <alignment horizontal="center" vertical="center" wrapText="1"/>
    </xf>
    <xf numFmtId="0" fontId="30" fillId="0" borderId="14" xfId="0" applyFont="1" applyBorder="1" applyAlignment="1">
      <alignment vertical="center" wrapText="1"/>
    </xf>
    <xf numFmtId="43" fontId="28" fillId="0" borderId="0" xfId="0" applyNumberFormat="1" applyFont="1"/>
    <xf numFmtId="0" fontId="30" fillId="29" borderId="79" xfId="0" applyFont="1" applyFill="1" applyBorder="1" applyAlignment="1">
      <alignment horizontal="center" vertical="center" wrapText="1"/>
    </xf>
    <xf numFmtId="0" fontId="28" fillId="29" borderId="14" xfId="0" applyFont="1" applyFill="1" applyBorder="1" applyAlignment="1">
      <alignment horizontal="center" vertical="center" wrapText="1"/>
    </xf>
    <xf numFmtId="0" fontId="28" fillId="29" borderId="80" xfId="0" applyFont="1" applyFill="1" applyBorder="1" applyAlignment="1">
      <alignment horizontal="center" vertical="center" wrapText="1"/>
    </xf>
    <xf numFmtId="0" fontId="28" fillId="29" borderId="81" xfId="0" applyFont="1" applyFill="1" applyBorder="1" applyAlignment="1">
      <alignment horizontal="center" vertical="center" wrapText="1"/>
    </xf>
    <xf numFmtId="0" fontId="30" fillId="29" borderId="65"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28" fillId="29" borderId="26" xfId="0" applyFont="1" applyFill="1" applyBorder="1" applyAlignment="1">
      <alignment horizontal="center" vertical="center" wrapText="1"/>
    </xf>
    <xf numFmtId="0" fontId="28" fillId="0" borderId="26" xfId="0" applyFont="1" applyBorder="1" applyAlignment="1">
      <alignment vertical="center"/>
    </xf>
    <xf numFmtId="0" fontId="28" fillId="0" borderId="0" xfId="0" applyFont="1" applyAlignment="1">
      <alignment wrapText="1"/>
    </xf>
    <xf numFmtId="184" fontId="28" fillId="0" borderId="14" xfId="0" applyNumberFormat="1" applyFont="1" applyBorder="1" applyAlignment="1">
      <alignment vertical="center"/>
    </xf>
    <xf numFmtId="0" fontId="32" fillId="0" borderId="14" xfId="0" applyFont="1" applyFill="1" applyBorder="1" applyAlignment="1">
      <alignment vertical="center" wrapText="1"/>
    </xf>
    <xf numFmtId="0" fontId="28" fillId="0" borderId="14" xfId="0" applyFont="1" applyFill="1" applyBorder="1" applyAlignment="1">
      <alignment vertical="center" wrapText="1"/>
    </xf>
    <xf numFmtId="0" fontId="30" fillId="0" borderId="14" xfId="0" applyFont="1" applyFill="1" applyBorder="1" applyAlignment="1">
      <alignment vertical="center" wrapText="1"/>
    </xf>
    <xf numFmtId="0" fontId="32" fillId="0" borderId="14" xfId="0" applyFont="1" applyFill="1" applyBorder="1" applyAlignment="1">
      <alignment horizontal="left" vertical="center" wrapText="1"/>
    </xf>
    <xf numFmtId="182" fontId="28" fillId="0" borderId="14" xfId="82" applyNumberFormat="1" applyFont="1" applyFill="1" applyBorder="1" applyAlignment="1">
      <alignment vertical="center" wrapText="1"/>
    </xf>
    <xf numFmtId="0" fontId="30" fillId="0" borderId="14"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0" borderId="14" xfId="0" applyFont="1" applyBorder="1" applyAlignment="1">
      <alignment horizontal="center" vertical="center"/>
    </xf>
    <xf numFmtId="0" fontId="30" fillId="29" borderId="14" xfId="0" applyFont="1" applyFill="1" applyBorder="1" applyAlignment="1">
      <alignment horizontal="center" vertical="center" wrapText="1"/>
    </xf>
    <xf numFmtId="0" fontId="28" fillId="29" borderId="14" xfId="0" applyNumberFormat="1" applyFont="1" applyFill="1" applyBorder="1" applyAlignment="1">
      <alignment vertical="center" wrapText="1"/>
    </xf>
    <xf numFmtId="0" fontId="30" fillId="0" borderId="0" xfId="0" applyFont="1"/>
    <xf numFmtId="0" fontId="30" fillId="0" borderId="14" xfId="0" applyFont="1" applyBorder="1" applyAlignment="1">
      <alignment horizontal="center" vertical="center" wrapText="1"/>
    </xf>
    <xf numFmtId="0" fontId="28" fillId="29" borderId="14" xfId="0" applyNumberFormat="1" applyFont="1" applyFill="1" applyBorder="1" applyAlignment="1">
      <alignment horizontal="center" vertical="center" wrapText="1"/>
    </xf>
    <xf numFmtId="0" fontId="30" fillId="29" borderId="14" xfId="0" applyFont="1" applyFill="1" applyBorder="1" applyAlignment="1">
      <alignment horizontal="left" vertical="center" wrapText="1"/>
    </xf>
    <xf numFmtId="0" fontId="28" fillId="29" borderId="14" xfId="0" applyFont="1" applyFill="1" applyBorder="1" applyAlignment="1">
      <alignment horizontal="left" vertical="center" wrapText="1"/>
    </xf>
    <xf numFmtId="174" fontId="28" fillId="0" borderId="14" xfId="0" applyNumberFormat="1" applyFont="1" applyBorder="1" applyAlignment="1">
      <alignment vertical="center"/>
    </xf>
    <xf numFmtId="3" fontId="38" fillId="0" borderId="0" xfId="217" applyNumberFormat="1" applyFont="1"/>
    <xf numFmtId="0" fontId="37" fillId="0" borderId="0" xfId="217"/>
    <xf numFmtId="0" fontId="97" fillId="0" borderId="0" xfId="217" applyFont="1" applyFill="1"/>
    <xf numFmtId="3" fontId="123" fillId="0" borderId="0" xfId="217" applyNumberFormat="1" applyFont="1" applyFill="1" applyAlignment="1">
      <alignment horizontal="right"/>
    </xf>
    <xf numFmtId="4" fontId="97" fillId="0" borderId="0" xfId="217" applyNumberFormat="1" applyFont="1" applyFill="1" applyAlignment="1">
      <alignment horizontal="right"/>
    </xf>
    <xf numFmtId="3" fontId="97" fillId="0" borderId="0" xfId="217" applyNumberFormat="1" applyFont="1" applyFill="1" applyAlignment="1">
      <alignment horizontal="right"/>
    </xf>
    <xf numFmtId="3" fontId="108" fillId="0" borderId="0" xfId="82" applyNumberFormat="1" applyFont="1" applyBorder="1" applyAlignment="1">
      <alignment horizontal="right" vertical="center"/>
    </xf>
    <xf numFmtId="0" fontId="113" fillId="0" borderId="14" xfId="217" applyFont="1" applyFill="1" applyBorder="1" applyAlignment="1">
      <alignment horizontal="center" vertical="center" wrapText="1"/>
    </xf>
    <xf numFmtId="3" fontId="113" fillId="0" borderId="14" xfId="217" applyNumberFormat="1" applyFont="1" applyFill="1" applyBorder="1" applyAlignment="1">
      <alignment horizontal="center" vertical="center" wrapText="1"/>
    </xf>
    <xf numFmtId="4" fontId="113" fillId="0" borderId="14" xfId="217" applyNumberFormat="1" applyFont="1" applyFill="1" applyBorder="1" applyAlignment="1">
      <alignment horizontal="center" vertical="center" wrapText="1"/>
    </xf>
    <xf numFmtId="3" fontId="38" fillId="0" borderId="0" xfId="217" applyNumberFormat="1" applyFont="1" applyAlignment="1">
      <alignment horizontal="center" vertical="center"/>
    </xf>
    <xf numFmtId="0" fontId="107" fillId="0" borderId="14" xfId="218" applyFont="1" applyFill="1" applyBorder="1" applyAlignment="1">
      <alignment horizontal="center" vertical="center"/>
    </xf>
    <xf numFmtId="0" fontId="107" fillId="0" borderId="14" xfId="218" applyFont="1" applyFill="1" applyBorder="1" applyAlignment="1">
      <alignment horizontal="left" vertical="center" wrapText="1"/>
    </xf>
    <xf numFmtId="3" fontId="97" fillId="0" borderId="14" xfId="217" applyNumberFormat="1" applyFont="1" applyFill="1" applyBorder="1" applyAlignment="1">
      <alignment horizontal="center" vertical="center" wrapText="1"/>
    </xf>
    <xf numFmtId="3" fontId="107" fillId="0" borderId="14" xfId="217" applyNumberFormat="1" applyFont="1" applyFill="1" applyBorder="1" applyAlignment="1">
      <alignment horizontal="right" vertical="center" wrapText="1"/>
    </xf>
    <xf numFmtId="165" fontId="97" fillId="0" borderId="14" xfId="80" applyNumberFormat="1" applyFont="1" applyFill="1" applyBorder="1" applyAlignment="1">
      <alignment horizontal="right" vertical="center" wrapText="1"/>
    </xf>
    <xf numFmtId="3" fontId="107" fillId="0" borderId="14" xfId="217" applyNumberFormat="1" applyFont="1" applyFill="1" applyBorder="1" applyAlignment="1">
      <alignment horizontal="right" vertical="center"/>
    </xf>
    <xf numFmtId="165" fontId="107" fillId="0" borderId="14" xfId="80" applyNumberFormat="1" applyFont="1" applyFill="1" applyBorder="1" applyAlignment="1">
      <alignment horizontal="right" vertical="center" wrapText="1"/>
    </xf>
    <xf numFmtId="0" fontId="38" fillId="0" borderId="0" xfId="217" applyFont="1"/>
    <xf numFmtId="0" fontId="97" fillId="0" borderId="14" xfId="218" applyFont="1" applyFill="1" applyBorder="1" applyAlignment="1">
      <alignment horizontal="center" vertical="center"/>
    </xf>
    <xf numFmtId="0" fontId="97" fillId="0" borderId="14" xfId="218" applyFont="1" applyFill="1" applyBorder="1" applyAlignment="1">
      <alignment horizontal="left" vertical="center" wrapText="1"/>
    </xf>
    <xf numFmtId="3" fontId="97" fillId="0" borderId="14" xfId="217" applyNumberFormat="1" applyFont="1" applyFill="1" applyBorder="1" applyAlignment="1">
      <alignment horizontal="right" vertical="center" wrapText="1"/>
    </xf>
    <xf numFmtId="3" fontId="97" fillId="0" borderId="14" xfId="217" applyNumberFormat="1" applyFont="1" applyFill="1" applyBorder="1" applyAlignment="1">
      <alignment horizontal="right" vertical="center"/>
    </xf>
    <xf numFmtId="4" fontId="38" fillId="0" borderId="0" xfId="217" applyNumberFormat="1" applyFont="1"/>
    <xf numFmtId="3" fontId="38" fillId="0" borderId="46" xfId="217" applyNumberFormat="1" applyFont="1" applyBorder="1" applyAlignment="1"/>
    <xf numFmtId="3" fontId="36" fillId="0" borderId="46" xfId="0" applyNumberFormat="1" applyFont="1" applyBorder="1" applyAlignment="1"/>
    <xf numFmtId="0" fontId="37" fillId="0" borderId="14" xfId="217" applyBorder="1"/>
    <xf numFmtId="3" fontId="37" fillId="0" borderId="14" xfId="217" applyNumberFormat="1" applyBorder="1"/>
    <xf numFmtId="3" fontId="37" fillId="0" borderId="0" xfId="217" applyNumberFormat="1"/>
    <xf numFmtId="0" fontId="38" fillId="0" borderId="14" xfId="217" applyFont="1" applyBorder="1" applyAlignment="1">
      <alignment horizontal="center"/>
    </xf>
    <xf numFmtId="3" fontId="38" fillId="0" borderId="14" xfId="217" applyNumberFormat="1" applyFont="1" applyBorder="1"/>
    <xf numFmtId="0" fontId="97" fillId="0" borderId="14" xfId="218" applyFont="1" applyFill="1" applyBorder="1" applyAlignment="1">
      <alignment horizontal="center" vertical="center" wrapText="1"/>
    </xf>
    <xf numFmtId="0" fontId="107" fillId="0" borderId="14" xfId="218" applyFont="1" applyFill="1" applyBorder="1" applyAlignment="1">
      <alignment horizontal="center" vertical="center" wrapText="1"/>
    </xf>
    <xf numFmtId="0" fontId="28" fillId="29" borderId="0" xfId="218" applyFont="1" applyFill="1" applyAlignment="1">
      <alignment vertical="center"/>
    </xf>
    <xf numFmtId="0" fontId="116" fillId="29" borderId="0" xfId="218" applyFont="1" applyFill="1" applyAlignment="1">
      <alignment vertical="center"/>
    </xf>
    <xf numFmtId="0" fontId="117" fillId="29" borderId="0" xfId="218" applyFont="1" applyFill="1" applyAlignment="1">
      <alignment vertical="center"/>
    </xf>
    <xf numFmtId="0" fontId="28" fillId="29" borderId="0" xfId="218" applyFont="1" applyFill="1" applyAlignment="1">
      <alignment horizontal="center" vertical="center"/>
    </xf>
    <xf numFmtId="0" fontId="28" fillId="29" borderId="0" xfId="218" applyFont="1" applyFill="1" applyAlignment="1">
      <alignment vertical="center" wrapText="1"/>
    </xf>
    <xf numFmtId="0" fontId="107" fillId="0" borderId="0" xfId="218" applyFont="1" applyFill="1" applyAlignment="1">
      <alignment vertical="center"/>
    </xf>
    <xf numFmtId="0" fontId="28" fillId="0" borderId="0" xfId="218" applyFont="1" applyFill="1" applyAlignment="1">
      <alignment vertical="center"/>
    </xf>
    <xf numFmtId="0" fontId="28" fillId="0" borderId="14" xfId="0" applyFont="1" applyBorder="1" applyAlignment="1">
      <alignment horizontal="left" vertical="center" wrapText="1"/>
    </xf>
    <xf numFmtId="0" fontId="30" fillId="0" borderId="14" xfId="218" applyFont="1" applyFill="1" applyBorder="1" applyAlignment="1">
      <alignment horizontal="left" vertical="center" wrapText="1"/>
    </xf>
    <xf numFmtId="0" fontId="30" fillId="0" borderId="14" xfId="218" applyFont="1" applyFill="1" applyBorder="1" applyAlignment="1">
      <alignment horizontal="center" vertical="center" wrapText="1"/>
    </xf>
    <xf numFmtId="3" fontId="30" fillId="0" borderId="14" xfId="218" applyNumberFormat="1" applyFont="1" applyFill="1" applyBorder="1" applyAlignment="1">
      <alignment vertical="center"/>
    </xf>
    <xf numFmtId="4" fontId="30" fillId="0" borderId="14" xfId="218" applyNumberFormat="1" applyFont="1" applyFill="1" applyBorder="1" applyAlignment="1">
      <alignment vertical="center"/>
    </xf>
    <xf numFmtId="0" fontId="30" fillId="0" borderId="14" xfId="218" applyFont="1" applyFill="1" applyBorder="1" applyAlignment="1">
      <alignment horizontal="justify" vertical="center" wrapText="1"/>
    </xf>
    <xf numFmtId="3" fontId="107" fillId="0" borderId="14" xfId="218" applyNumberFormat="1" applyFont="1" applyFill="1" applyBorder="1" applyAlignment="1">
      <alignment vertical="center"/>
    </xf>
    <xf numFmtId="0" fontId="28" fillId="0" borderId="14" xfId="218" applyFont="1" applyFill="1" applyBorder="1" applyAlignment="1">
      <alignment horizontal="center" vertical="center" wrapText="1"/>
    </xf>
    <xf numFmtId="0" fontId="28" fillId="0" borderId="14" xfId="218" applyFont="1" applyFill="1" applyBorder="1" applyAlignment="1">
      <alignment horizontal="justify" vertical="center" wrapText="1"/>
    </xf>
    <xf numFmtId="3" fontId="28" fillId="0" borderId="14" xfId="218" applyNumberFormat="1" applyFont="1" applyFill="1" applyBorder="1" applyAlignment="1">
      <alignment vertical="center"/>
    </xf>
    <xf numFmtId="4" fontId="28" fillId="0" borderId="14" xfId="218" applyNumberFormat="1" applyFont="1" applyFill="1" applyBorder="1" applyAlignment="1">
      <alignment vertical="center"/>
    </xf>
    <xf numFmtId="3" fontId="97" fillId="0" borderId="14" xfId="218" applyNumberFormat="1" applyFont="1" applyFill="1" applyBorder="1" applyAlignment="1">
      <alignment vertical="center"/>
    </xf>
    <xf numFmtId="3" fontId="124" fillId="0" borderId="14" xfId="218" applyNumberFormat="1" applyFont="1" applyFill="1" applyBorder="1" applyAlignment="1">
      <alignment vertical="center"/>
    </xf>
    <xf numFmtId="3" fontId="125" fillId="0" borderId="14" xfId="218" applyNumberFormat="1" applyFont="1" applyFill="1" applyBorder="1" applyAlignment="1">
      <alignment vertical="center"/>
    </xf>
    <xf numFmtId="3" fontId="116" fillId="0" borderId="14" xfId="218" applyNumberFormat="1" applyFont="1" applyFill="1" applyBorder="1" applyAlignment="1">
      <alignment vertical="center"/>
    </xf>
    <xf numFmtId="3" fontId="108" fillId="0" borderId="0" xfId="82" applyNumberFormat="1" applyFont="1" applyBorder="1" applyAlignment="1">
      <alignment horizontal="right" vertical="center"/>
    </xf>
    <xf numFmtId="4" fontId="28" fillId="0" borderId="0" xfId="0" applyNumberFormat="1" applyFont="1" applyAlignment="1">
      <alignment vertical="center"/>
    </xf>
    <xf numFmtId="4" fontId="30" fillId="0" borderId="14" xfId="0" applyNumberFormat="1" applyFont="1" applyBorder="1" applyAlignment="1">
      <alignment horizontal="right" vertical="center"/>
    </xf>
    <xf numFmtId="4" fontId="28" fillId="0" borderId="14" xfId="0" applyNumberFormat="1" applyFont="1" applyBorder="1" applyAlignment="1">
      <alignment vertical="center"/>
    </xf>
    <xf numFmtId="4" fontId="30" fillId="0" borderId="0" xfId="0" applyNumberFormat="1" applyFont="1" applyAlignment="1">
      <alignment vertical="center"/>
    </xf>
    <xf numFmtId="3" fontId="28" fillId="0" borderId="0" xfId="218" applyNumberFormat="1" applyFont="1" applyFill="1" applyAlignment="1">
      <alignment vertical="center"/>
    </xf>
    <xf numFmtId="0" fontId="46" fillId="0" borderId="0" xfId="218" applyFont="1" applyFill="1" applyAlignment="1">
      <alignment vertical="center"/>
    </xf>
    <xf numFmtId="165" fontId="30" fillId="0" borderId="14" xfId="82" applyNumberFormat="1" applyFont="1" applyFill="1" applyBorder="1" applyAlignment="1">
      <alignment horizontal="center" vertical="center" wrapText="1"/>
    </xf>
    <xf numFmtId="4" fontId="30" fillId="0" borderId="14" xfId="156" applyNumberFormat="1" applyFont="1" applyFill="1" applyBorder="1" applyAlignment="1">
      <alignment horizontal="center" vertical="center" wrapText="1"/>
    </xf>
    <xf numFmtId="0" fontId="30" fillId="0" borderId="14" xfId="156" applyNumberFormat="1" applyFont="1" applyFill="1" applyBorder="1" applyAlignment="1">
      <alignment horizontal="center" vertical="center"/>
    </xf>
    <xf numFmtId="0" fontId="30" fillId="0" borderId="14" xfId="156" applyNumberFormat="1" applyFont="1" applyFill="1" applyBorder="1" applyAlignment="1">
      <alignment horizontal="left" vertical="center" wrapText="1"/>
    </xf>
    <xf numFmtId="182" fontId="30" fillId="0" borderId="14" xfId="82" applyNumberFormat="1" applyFont="1" applyFill="1" applyBorder="1" applyAlignment="1">
      <alignment horizontal="right" vertical="center" wrapText="1"/>
    </xf>
    <xf numFmtId="3" fontId="30" fillId="0" borderId="14" xfId="82" applyNumberFormat="1" applyFont="1" applyFill="1" applyBorder="1" applyAlignment="1">
      <alignment horizontal="right" vertical="center"/>
    </xf>
    <xf numFmtId="182" fontId="30" fillId="0" borderId="14" xfId="82" applyNumberFormat="1" applyFont="1" applyFill="1" applyBorder="1" applyAlignment="1">
      <alignment vertical="center"/>
    </xf>
    <xf numFmtId="0" fontId="28" fillId="0" borderId="14" xfId="156" applyNumberFormat="1" applyFont="1" applyFill="1" applyBorder="1" applyAlignment="1">
      <alignment horizontal="center" vertical="center"/>
    </xf>
    <xf numFmtId="0" fontId="28" fillId="0" borderId="14" xfId="156" applyNumberFormat="1" applyFont="1" applyFill="1" applyBorder="1" applyAlignment="1">
      <alignment horizontal="left" vertical="center" wrapText="1"/>
    </xf>
    <xf numFmtId="165" fontId="28" fillId="0" borderId="14" xfId="82" applyNumberFormat="1" applyFont="1" applyFill="1" applyBorder="1" applyAlignment="1">
      <alignment vertical="center" wrapText="1"/>
    </xf>
    <xf numFmtId="165" fontId="28" fillId="0" borderId="14" xfId="82" applyNumberFormat="1" applyFont="1" applyFill="1" applyBorder="1" applyAlignment="1">
      <alignment horizontal="right" vertical="center" wrapText="1"/>
    </xf>
    <xf numFmtId="9" fontId="28" fillId="0" borderId="14" xfId="156" applyNumberFormat="1" applyFont="1" applyFill="1" applyBorder="1" applyAlignment="1">
      <alignment horizontal="center" vertical="center" wrapText="1"/>
    </xf>
    <xf numFmtId="0" fontId="28" fillId="0" borderId="14" xfId="156" applyFont="1" applyFill="1" applyBorder="1" applyAlignment="1">
      <alignment horizontal="left" vertical="center" wrapText="1"/>
    </xf>
    <xf numFmtId="0" fontId="30" fillId="0" borderId="14" xfId="156" applyFont="1" applyFill="1" applyBorder="1" applyAlignment="1">
      <alignment horizontal="left" vertical="center" wrapText="1"/>
    </xf>
    <xf numFmtId="165" fontId="28" fillId="0" borderId="14" xfId="82" applyNumberFormat="1" applyFont="1" applyFill="1" applyBorder="1" applyAlignment="1">
      <alignment horizontal="center" vertical="center" wrapText="1"/>
    </xf>
    <xf numFmtId="4" fontId="30" fillId="0" borderId="14" xfId="156" applyNumberFormat="1" applyFont="1" applyFill="1" applyBorder="1" applyAlignment="1">
      <alignment horizontal="right" vertical="center"/>
    </xf>
    <xf numFmtId="4" fontId="28" fillId="0" borderId="14" xfId="156" applyNumberFormat="1" applyFont="1" applyFill="1" applyBorder="1" applyAlignment="1">
      <alignment horizontal="right" vertical="center"/>
    </xf>
    <xf numFmtId="3" fontId="28" fillId="0" borderId="14" xfId="156" applyNumberFormat="1" applyFont="1" applyFill="1" applyBorder="1" applyAlignment="1">
      <alignment vertical="center"/>
    </xf>
    <xf numFmtId="165" fontId="28" fillId="0" borderId="14" xfId="82" applyNumberFormat="1" applyFont="1" applyFill="1" applyBorder="1" applyAlignment="1">
      <alignment vertical="center"/>
    </xf>
    <xf numFmtId="182" fontId="28" fillId="0" borderId="14" xfId="82" applyNumberFormat="1" applyFont="1" applyFill="1" applyBorder="1" applyAlignment="1">
      <alignment vertical="top" wrapText="1"/>
    </xf>
    <xf numFmtId="4" fontId="30" fillId="0" borderId="14" xfId="82" applyNumberFormat="1" applyFont="1" applyFill="1" applyBorder="1" applyAlignment="1">
      <alignment horizontal="center" vertical="center"/>
    </xf>
    <xf numFmtId="0" fontId="28" fillId="0" borderId="0" xfId="156" applyFont="1" applyFill="1" applyAlignment="1">
      <alignment horizontal="center" vertical="center"/>
    </xf>
    <xf numFmtId="0" fontId="28" fillId="0" borderId="0" xfId="156" applyFont="1" applyFill="1" applyAlignment="1">
      <alignment vertical="center"/>
    </xf>
    <xf numFmtId="165" fontId="28" fillId="0" borderId="0" xfId="82" applyNumberFormat="1" applyFont="1" applyFill="1" applyAlignment="1">
      <alignment vertical="center"/>
    </xf>
    <xf numFmtId="165" fontId="28" fillId="0" borderId="0" xfId="82" applyNumberFormat="1" applyFont="1" applyFill="1" applyAlignment="1">
      <alignment horizontal="right" vertical="center"/>
    </xf>
    <xf numFmtId="183" fontId="28" fillId="0" borderId="0" xfId="82" applyNumberFormat="1" applyFont="1" applyFill="1" applyAlignment="1">
      <alignment vertical="center"/>
    </xf>
    <xf numFmtId="0" fontId="36" fillId="0" borderId="0" xfId="156" applyFont="1" applyFill="1" applyAlignment="1">
      <alignment horizontal="center" vertical="center" wrapText="1"/>
    </xf>
    <xf numFmtId="0" fontId="39" fillId="0" borderId="0" xfId="156" applyFont="1" applyFill="1" applyAlignment="1">
      <alignment vertical="center"/>
    </xf>
    <xf numFmtId="0" fontId="30" fillId="0" borderId="0" xfId="156" applyFont="1" applyFill="1" applyAlignment="1">
      <alignment vertical="center"/>
    </xf>
    <xf numFmtId="4" fontId="35" fillId="0" borderId="14" xfId="156" applyNumberFormat="1" applyFont="1" applyFill="1" applyBorder="1" applyAlignment="1">
      <alignment horizontal="right" vertical="center"/>
    </xf>
    <xf numFmtId="4" fontId="36" fillId="0" borderId="14" xfId="156" applyNumberFormat="1" applyFont="1" applyFill="1" applyBorder="1" applyAlignment="1">
      <alignment vertical="center"/>
    </xf>
    <xf numFmtId="0" fontId="34" fillId="0" borderId="0" xfId="156" applyFont="1" applyFill="1" applyAlignment="1">
      <alignment horizontal="center" vertical="center"/>
    </xf>
    <xf numFmtId="165" fontId="34" fillId="0" borderId="0" xfId="82" applyNumberFormat="1" applyFont="1" applyFill="1" applyAlignment="1">
      <alignment vertical="center"/>
    </xf>
    <xf numFmtId="183" fontId="34" fillId="0" borderId="0" xfId="82" applyNumberFormat="1"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43" fontId="28" fillId="0" borderId="0" xfId="81" applyNumberFormat="1" applyFont="1" applyFill="1" applyAlignment="1">
      <alignment horizontal="right" vertical="center"/>
    </xf>
    <xf numFmtId="3" fontId="28" fillId="0" borderId="0" xfId="0" applyNumberFormat="1" applyFont="1" applyFill="1" applyAlignment="1">
      <alignment vertical="center"/>
    </xf>
    <xf numFmtId="0" fontId="30" fillId="0" borderId="0" xfId="0" applyFont="1" applyFill="1" applyAlignment="1">
      <alignment horizontal="center" vertical="center" wrapText="1"/>
    </xf>
    <xf numFmtId="43" fontId="28" fillId="0" borderId="0" xfId="81" applyNumberFormat="1" applyFont="1" applyFill="1" applyAlignment="1">
      <alignment vertical="center"/>
    </xf>
    <xf numFmtId="0" fontId="30" fillId="0" borderId="14" xfId="0" applyFont="1" applyFill="1" applyBorder="1" applyAlignment="1">
      <alignment vertical="center"/>
    </xf>
    <xf numFmtId="172" fontId="28" fillId="0" borderId="14" xfId="0" applyNumberFormat="1" applyFont="1" applyFill="1" applyBorder="1" applyAlignment="1">
      <alignment horizontal="center" vertical="center"/>
    </xf>
    <xf numFmtId="0" fontId="28" fillId="0" borderId="14" xfId="0" applyFont="1" applyFill="1" applyBorder="1" applyAlignment="1">
      <alignment vertical="center"/>
    </xf>
    <xf numFmtId="166" fontId="28" fillId="0" borderId="14" xfId="0" applyNumberFormat="1" applyFont="1" applyFill="1" applyBorder="1" applyAlignment="1">
      <alignment vertical="center"/>
    </xf>
    <xf numFmtId="174" fontId="28" fillId="0" borderId="14" xfId="0" applyNumberFormat="1" applyFont="1" applyFill="1" applyBorder="1" applyAlignment="1">
      <alignment horizontal="center" vertical="center"/>
    </xf>
    <xf numFmtId="174" fontId="28" fillId="0" borderId="0" xfId="0" applyNumberFormat="1" applyFont="1" applyFill="1" applyAlignment="1">
      <alignment vertical="center"/>
    </xf>
    <xf numFmtId="172" fontId="28" fillId="0" borderId="0" xfId="0" applyNumberFormat="1" applyFont="1" applyFill="1" applyAlignment="1">
      <alignment horizontal="right" vertical="center"/>
    </xf>
    <xf numFmtId="172" fontId="28" fillId="0" borderId="0" xfId="0" applyNumberFormat="1" applyFont="1" applyFill="1" applyAlignment="1">
      <alignment vertical="center"/>
    </xf>
    <xf numFmtId="0" fontId="30" fillId="0" borderId="0" xfId="0" applyFont="1" applyAlignment="1">
      <alignment horizontal="center" vertical="center" wrapText="1"/>
    </xf>
    <xf numFmtId="3" fontId="108" fillId="0" borderId="0" xfId="82" applyNumberFormat="1" applyFont="1" applyBorder="1" applyAlignment="1">
      <alignment horizontal="right" vertical="center"/>
    </xf>
    <xf numFmtId="174" fontId="30" fillId="0" borderId="14" xfId="0" applyNumberFormat="1" applyFont="1" applyFill="1" applyBorder="1" applyAlignment="1">
      <alignment horizontal="center" vertical="center" wrapText="1"/>
    </xf>
    <xf numFmtId="174" fontId="28" fillId="0" borderId="14" xfId="0" applyNumberFormat="1" applyFont="1" applyFill="1" applyBorder="1" applyAlignment="1">
      <alignment horizontal="center" vertical="center" wrapText="1"/>
    </xf>
    <xf numFmtId="0" fontId="112" fillId="0" borderId="14" xfId="0" applyFont="1" applyFill="1" applyBorder="1" applyAlignment="1">
      <alignment horizontal="center" vertical="center" wrapText="1"/>
    </xf>
    <xf numFmtId="0" fontId="126" fillId="0" borderId="14" xfId="0" applyFont="1" applyFill="1" applyBorder="1" applyAlignment="1">
      <alignment horizontal="center" vertical="center" wrapText="1"/>
    </xf>
    <xf numFmtId="4" fontId="114" fillId="30" borderId="14" xfId="0" applyNumberFormat="1" applyFont="1" applyFill="1" applyBorder="1" applyAlignment="1">
      <alignment vertical="center"/>
    </xf>
    <xf numFmtId="3" fontId="128" fillId="0" borderId="14" xfId="0" applyNumberFormat="1" applyFont="1" applyFill="1" applyBorder="1"/>
    <xf numFmtId="4" fontId="128" fillId="0" borderId="14" xfId="0" applyNumberFormat="1" applyFont="1" applyFill="1" applyBorder="1"/>
    <xf numFmtId="0" fontId="28" fillId="0" borderId="14" xfId="0" applyFont="1" applyFill="1" applyBorder="1"/>
    <xf numFmtId="0" fontId="28" fillId="0" borderId="14" xfId="0" applyFont="1" applyFill="1" applyBorder="1" applyAlignment="1">
      <alignment wrapText="1"/>
    </xf>
    <xf numFmtId="0" fontId="28" fillId="0" borderId="14" xfId="0" quotePrefix="1" applyFont="1" applyFill="1" applyBorder="1" applyAlignment="1">
      <alignment wrapText="1"/>
    </xf>
    <xf numFmtId="3" fontId="37" fillId="0" borderId="0" xfId="217" applyNumberFormat="1" applyFont="1"/>
    <xf numFmtId="4" fontId="37" fillId="0" borderId="0" xfId="217" applyNumberFormat="1" applyFont="1"/>
    <xf numFmtId="0" fontId="37" fillId="0" borderId="0" xfId="217" applyFont="1"/>
    <xf numFmtId="3" fontId="37" fillId="0" borderId="46" xfId="217" applyNumberFormat="1" applyFont="1" applyBorder="1" applyAlignment="1"/>
    <xf numFmtId="3" fontId="1" fillId="0" borderId="46" xfId="0" applyNumberFormat="1" applyFont="1" applyBorder="1" applyAlignment="1"/>
    <xf numFmtId="172" fontId="97" fillId="0" borderId="14" xfId="217" applyNumberFormat="1" applyFont="1" applyFill="1" applyBorder="1" applyAlignment="1">
      <alignment horizontal="right" vertical="center" wrapText="1"/>
    </xf>
    <xf numFmtId="0" fontId="97" fillId="0" borderId="0" xfId="217" applyFont="1" applyFill="1" applyAlignment="1">
      <alignment horizontal="center" vertical="center"/>
    </xf>
    <xf numFmtId="0" fontId="37" fillId="0" borderId="0" xfId="217" applyAlignment="1">
      <alignment horizontal="center" vertical="center"/>
    </xf>
    <xf numFmtId="0" fontId="37" fillId="0" borderId="14" xfId="217" applyBorder="1" applyAlignment="1">
      <alignment horizontal="center" vertical="center"/>
    </xf>
    <xf numFmtId="174" fontId="28" fillId="0" borderId="14" xfId="0" applyNumberFormat="1" applyFont="1" applyBorder="1" applyAlignment="1">
      <alignment horizontal="center" vertical="center" wrapText="1"/>
    </xf>
    <xf numFmtId="174" fontId="112" fillId="0" borderId="14" xfId="0" applyNumberFormat="1" applyFont="1" applyFill="1" applyBorder="1" applyAlignment="1">
      <alignment horizontal="center" vertical="center" wrapText="1"/>
    </xf>
    <xf numFmtId="4" fontId="127" fillId="0" borderId="14" xfId="0" applyNumberFormat="1" applyFont="1" applyFill="1" applyBorder="1" applyAlignment="1">
      <alignment horizontal="center" vertical="center" wrapText="1"/>
    </xf>
    <xf numFmtId="173" fontId="28" fillId="0" borderId="14" xfId="0" applyNumberFormat="1" applyFont="1" applyBorder="1" applyAlignment="1">
      <alignment vertical="center"/>
    </xf>
    <xf numFmtId="0" fontId="107" fillId="0" borderId="14" xfId="0" applyNumberFormat="1" applyFont="1" applyFill="1" applyBorder="1" applyAlignment="1">
      <alignment horizontal="center" vertical="center" wrapText="1"/>
    </xf>
    <xf numFmtId="0" fontId="28" fillId="0" borderId="14" xfId="0" applyNumberFormat="1" applyFont="1" applyFill="1" applyBorder="1" applyAlignment="1">
      <alignment vertical="center" wrapText="1"/>
    </xf>
    <xf numFmtId="0" fontId="97" fillId="0" borderId="14" xfId="0" applyNumberFormat="1" applyFont="1" applyFill="1" applyBorder="1" applyAlignment="1">
      <alignment horizontal="center" vertical="center"/>
    </xf>
    <xf numFmtId="0" fontId="108" fillId="0" borderId="14" xfId="0" applyNumberFormat="1" applyFont="1" applyFill="1" applyBorder="1" applyAlignment="1">
      <alignment horizontal="center" vertical="center"/>
    </xf>
    <xf numFmtId="0" fontId="28" fillId="0" borderId="14" xfId="0" applyNumberFormat="1" applyFont="1" applyFill="1" applyBorder="1" applyAlignment="1">
      <alignment horizontal="left" vertical="center" wrapText="1"/>
    </xf>
    <xf numFmtId="0" fontId="107" fillId="0" borderId="14" xfId="0" applyNumberFormat="1" applyFont="1" applyFill="1" applyBorder="1" applyAlignment="1">
      <alignment horizontal="center" vertical="center"/>
    </xf>
    <xf numFmtId="0" fontId="97" fillId="0" borderId="14" xfId="0" quotePrefix="1" applyNumberFormat="1" applyFont="1" applyFill="1" applyBorder="1" applyAlignment="1">
      <alignment horizontal="center" vertical="center" wrapText="1"/>
    </xf>
    <xf numFmtId="165" fontId="30" fillId="0" borderId="14" xfId="81" applyNumberFormat="1" applyFont="1" applyFill="1" applyBorder="1" applyAlignment="1">
      <alignment horizontal="center" vertical="center" wrapText="1"/>
    </xf>
    <xf numFmtId="43" fontId="30" fillId="0" borderId="14" xfId="81" applyNumberFormat="1" applyFont="1" applyFill="1" applyBorder="1" applyAlignment="1">
      <alignment vertical="center" wrapText="1"/>
    </xf>
    <xf numFmtId="43" fontId="28" fillId="0" borderId="14" xfId="81" applyNumberFormat="1" applyFont="1" applyFill="1" applyBorder="1" applyAlignment="1">
      <alignment vertical="center"/>
    </xf>
    <xf numFmtId="0" fontId="97" fillId="0" borderId="14" xfId="0" applyFont="1" applyFill="1" applyBorder="1" applyAlignment="1">
      <alignment horizontal="left" vertical="center" wrapText="1"/>
    </xf>
    <xf numFmtId="0" fontId="97" fillId="0" borderId="14" xfId="0" quotePrefix="1" applyFont="1" applyFill="1" applyBorder="1" applyAlignment="1">
      <alignment horizontal="center" vertical="center"/>
    </xf>
    <xf numFmtId="0" fontId="97" fillId="0" borderId="14" xfId="0" quotePrefix="1" applyFont="1" applyFill="1" applyBorder="1" applyAlignment="1">
      <alignment horizontal="center" vertical="center" wrapText="1"/>
    </xf>
    <xf numFmtId="0" fontId="39" fillId="0" borderId="14" xfId="156" applyFont="1" applyFill="1" applyBorder="1" applyAlignment="1">
      <alignment vertical="center"/>
    </xf>
    <xf numFmtId="0" fontId="34" fillId="0" borderId="14" xfId="156" applyFont="1" applyFill="1" applyBorder="1" applyAlignment="1">
      <alignment vertical="center"/>
    </xf>
    <xf numFmtId="4" fontId="30" fillId="0" borderId="14" xfId="156" applyNumberFormat="1" applyFont="1" applyFill="1" applyBorder="1" applyAlignment="1">
      <alignment vertical="center"/>
    </xf>
    <xf numFmtId="0" fontId="30" fillId="0" borderId="14" xfId="156" applyFont="1" applyFill="1" applyBorder="1" applyAlignment="1">
      <alignment vertical="center"/>
    </xf>
    <xf numFmtId="0" fontId="35" fillId="0" borderId="14" xfId="156" applyFont="1" applyFill="1" applyBorder="1" applyAlignment="1">
      <alignment vertical="center"/>
    </xf>
    <xf numFmtId="4" fontId="39" fillId="0" borderId="14" xfId="156" applyNumberFormat="1" applyFont="1" applyFill="1" applyBorder="1" applyAlignment="1">
      <alignment vertical="center"/>
    </xf>
    <xf numFmtId="4" fontId="34" fillId="0" borderId="14" xfId="156" applyNumberFormat="1" applyFont="1" applyFill="1" applyBorder="1" applyAlignment="1">
      <alignment vertical="center"/>
    </xf>
    <xf numFmtId="4" fontId="35" fillId="0" borderId="14" xfId="156" applyNumberFormat="1" applyFont="1" applyFill="1" applyBorder="1" applyAlignment="1">
      <alignment vertical="center"/>
    </xf>
    <xf numFmtId="43" fontId="28" fillId="0" borderId="14" xfId="80" applyFont="1" applyFill="1" applyBorder="1" applyAlignment="1">
      <alignment vertical="center"/>
    </xf>
    <xf numFmtId="43" fontId="30" fillId="0" borderId="14" xfId="80" applyFont="1" applyFill="1" applyBorder="1" applyAlignment="1">
      <alignment vertical="center"/>
    </xf>
    <xf numFmtId="4" fontId="28" fillId="0" borderId="14" xfId="218" applyNumberFormat="1" applyFont="1" applyFill="1" applyBorder="1" applyAlignment="1">
      <alignment horizontal="center" vertical="center" wrapText="1"/>
    </xf>
    <xf numFmtId="165" fontId="37" fillId="0" borderId="0" xfId="217" applyNumberFormat="1"/>
    <xf numFmtId="43" fontId="30" fillId="0" borderId="14" xfId="81" applyNumberFormat="1" applyFont="1" applyFill="1" applyBorder="1" applyAlignment="1">
      <alignment horizontal="center" vertical="center" wrapText="1"/>
    </xf>
    <xf numFmtId="43" fontId="35" fillId="0" borderId="14" xfId="81" applyNumberFormat="1" applyFont="1" applyFill="1" applyBorder="1" applyAlignment="1">
      <alignment horizontal="right" vertical="center"/>
    </xf>
    <xf numFmtId="3" fontId="35" fillId="0" borderId="14" xfId="0" applyNumberFormat="1" applyFont="1" applyFill="1" applyBorder="1" applyAlignment="1">
      <alignment horizontal="right" vertical="center"/>
    </xf>
    <xf numFmtId="0" fontId="28" fillId="0" borderId="14" xfId="0" applyFont="1" applyFill="1" applyBorder="1" applyAlignment="1">
      <alignment horizontal="justify" vertical="center" wrapText="1"/>
    </xf>
    <xf numFmtId="165" fontId="28" fillId="0" borderId="14" xfId="81" applyNumberFormat="1" applyFont="1" applyFill="1" applyBorder="1" applyAlignment="1">
      <alignment horizontal="right" vertical="center"/>
    </xf>
    <xf numFmtId="174" fontId="28" fillId="0" borderId="14" xfId="0" applyNumberFormat="1" applyFont="1" applyFill="1" applyBorder="1" applyAlignment="1">
      <alignment horizontal="center" vertical="top" wrapText="1"/>
    </xf>
    <xf numFmtId="43" fontId="28" fillId="0" borderId="14" xfId="81" applyNumberFormat="1" applyFont="1" applyFill="1" applyBorder="1" applyAlignment="1">
      <alignment horizontal="right" vertical="center"/>
    </xf>
    <xf numFmtId="3" fontId="28" fillId="0" borderId="14" xfId="0" applyNumberFormat="1" applyFont="1" applyFill="1" applyBorder="1" applyAlignment="1">
      <alignment horizontal="right" vertical="center"/>
    </xf>
    <xf numFmtId="165" fontId="30" fillId="0" borderId="14" xfId="80" applyNumberFormat="1" applyFont="1" applyFill="1" applyBorder="1" applyAlignment="1">
      <alignment horizontal="center" vertical="center" wrapText="1"/>
    </xf>
    <xf numFmtId="0" fontId="28" fillId="0" borderId="14" xfId="0" applyNumberFormat="1" applyFont="1" applyBorder="1" applyAlignment="1">
      <alignment horizontal="center" vertical="center"/>
    </xf>
    <xf numFmtId="0" fontId="28" fillId="0" borderId="14" xfId="0" applyNumberFormat="1" applyFont="1" applyBorder="1" applyAlignment="1">
      <alignment horizontal="left" vertical="center" wrapText="1"/>
    </xf>
    <xf numFmtId="165" fontId="28" fillId="0" borderId="14" xfId="80" applyNumberFormat="1" applyFont="1" applyBorder="1" applyAlignment="1">
      <alignment horizontal="right" vertical="center"/>
    </xf>
    <xf numFmtId="173" fontId="28" fillId="0" borderId="14" xfId="0" applyNumberFormat="1" applyFont="1" applyBorder="1" applyAlignment="1">
      <alignment horizontal="right" vertical="center"/>
    </xf>
    <xf numFmtId="4" fontId="28" fillId="0" borderId="14" xfId="0" applyNumberFormat="1" applyFont="1" applyBorder="1" applyAlignment="1">
      <alignment horizontal="right" vertical="center"/>
    </xf>
    <xf numFmtId="9" fontId="28" fillId="0" borderId="14" xfId="0" applyNumberFormat="1" applyFont="1" applyBorder="1" applyAlignment="1">
      <alignment horizontal="center" vertical="center" wrapText="1"/>
    </xf>
    <xf numFmtId="4" fontId="35" fillId="0" borderId="14" xfId="0" applyNumberFormat="1" applyFont="1" applyBorder="1" applyAlignment="1">
      <alignment horizontal="right" vertical="center"/>
    </xf>
    <xf numFmtId="0" fontId="112" fillId="0" borderId="0" xfId="0" applyFont="1" applyFill="1"/>
    <xf numFmtId="0" fontId="28" fillId="0" borderId="14" xfId="218" applyFont="1" applyFill="1" applyBorder="1" applyAlignment="1">
      <alignment horizontal="left" vertical="center" wrapText="1"/>
    </xf>
    <xf numFmtId="0" fontId="28" fillId="0" borderId="14" xfId="0" applyFont="1" applyBorder="1" applyAlignment="1">
      <alignment horizontal="left" vertical="center"/>
    </xf>
    <xf numFmtId="0" fontId="28" fillId="0" borderId="14" xfId="0" applyFont="1" applyFill="1" applyBorder="1" applyAlignment="1">
      <alignment horizontal="left" vertical="center"/>
    </xf>
    <xf numFmtId="0" fontId="112" fillId="0" borderId="14" xfId="0" applyNumberFormat="1" applyFont="1" applyFill="1" applyBorder="1" applyAlignment="1">
      <alignment vertical="center" wrapText="1"/>
    </xf>
    <xf numFmtId="0" fontId="112" fillId="0" borderId="14" xfId="0" applyNumberFormat="1" applyFont="1" applyFill="1" applyBorder="1" applyAlignment="1">
      <alignment horizontal="left" vertical="center" wrapText="1"/>
    </xf>
    <xf numFmtId="0" fontId="28" fillId="0" borderId="14" xfId="0" applyFont="1" applyFill="1" applyBorder="1" applyAlignment="1">
      <alignment horizontal="center" vertical="center"/>
    </xf>
    <xf numFmtId="0" fontId="30" fillId="0" borderId="14" xfId="0" applyFont="1" applyFill="1" applyBorder="1" applyAlignment="1">
      <alignment horizontal="center" vertical="center" wrapText="1"/>
    </xf>
    <xf numFmtId="0" fontId="28" fillId="0" borderId="14" xfId="0" applyFont="1" applyBorder="1" applyAlignment="1">
      <alignment horizontal="center" vertical="center" wrapText="1"/>
    </xf>
    <xf numFmtId="0" fontId="28" fillId="0" borderId="14" xfId="0" applyFont="1" applyBorder="1" applyAlignment="1">
      <alignment horizontal="center" vertical="center"/>
    </xf>
    <xf numFmtId="3" fontId="28" fillId="0" borderId="14" xfId="218" applyNumberFormat="1" applyFont="1" applyFill="1" applyBorder="1" applyAlignment="1">
      <alignment horizontal="center" vertical="center"/>
    </xf>
    <xf numFmtId="0" fontId="1" fillId="0" borderId="0" xfId="156" applyFont="1" applyFill="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174" fontId="28" fillId="0" borderId="0" xfId="0" applyNumberFormat="1" applyFont="1" applyFill="1"/>
    <xf numFmtId="3" fontId="28" fillId="0" borderId="46" xfId="0" applyNumberFormat="1" applyFont="1" applyFill="1" applyBorder="1" applyAlignment="1">
      <alignment vertical="center"/>
    </xf>
    <xf numFmtId="0" fontId="28" fillId="0" borderId="14" xfId="0" applyFont="1" applyFill="1" applyBorder="1" applyAlignment="1">
      <alignment horizontal="center" vertical="center"/>
    </xf>
    <xf numFmtId="0" fontId="30" fillId="0" borderId="14" xfId="0" applyFont="1" applyFill="1" applyBorder="1" applyAlignment="1">
      <alignment horizontal="center" vertical="center" wrapText="1"/>
    </xf>
    <xf numFmtId="0" fontId="28" fillId="0" borderId="14" xfId="0" applyFont="1" applyBorder="1" applyAlignment="1">
      <alignment horizontal="center" vertical="center" wrapText="1"/>
    </xf>
    <xf numFmtId="0" fontId="28" fillId="0" borderId="14" xfId="0" applyFont="1" applyBorder="1" applyAlignment="1">
      <alignment horizontal="center" vertical="center"/>
    </xf>
    <xf numFmtId="0" fontId="107" fillId="0" borderId="14" xfId="0" quotePrefix="1" applyFont="1" applyFill="1" applyBorder="1" applyAlignment="1">
      <alignment horizontal="center" vertical="center"/>
    </xf>
    <xf numFmtId="0" fontId="30" fillId="0" borderId="14" xfId="0" applyFont="1" applyBorder="1" applyAlignment="1">
      <alignment horizontal="left" vertical="center"/>
    </xf>
    <xf numFmtId="183" fontId="30" fillId="0" borderId="14" xfId="80" applyNumberFormat="1" applyFont="1" applyFill="1" applyBorder="1" applyAlignment="1">
      <alignment horizontal="center" vertical="center" wrapText="1"/>
    </xf>
    <xf numFmtId="0" fontId="30" fillId="0" borderId="14" xfId="0" applyFont="1" applyFill="1" applyBorder="1" applyAlignment="1">
      <alignment horizontal="left" vertical="center"/>
    </xf>
    <xf numFmtId="3" fontId="28" fillId="0" borderId="14" xfId="156" applyNumberFormat="1" applyFont="1" applyFill="1" applyBorder="1" applyAlignment="1">
      <alignment horizontal="right" vertical="center" wrapText="1"/>
    </xf>
    <xf numFmtId="0" fontId="30" fillId="0" borderId="0" xfId="0" applyFont="1" applyAlignment="1">
      <alignment horizontal="center" vertical="center" wrapText="1"/>
    </xf>
    <xf numFmtId="0" fontId="32" fillId="0" borderId="0" xfId="0" applyFont="1" applyFill="1" applyAlignment="1">
      <alignment horizontal="center" vertical="center"/>
    </xf>
    <xf numFmtId="43" fontId="28" fillId="0" borderId="0" xfId="81" applyNumberFormat="1" applyFont="1" applyFill="1" applyAlignment="1">
      <alignment horizontal="center" vertical="center"/>
    </xf>
    <xf numFmtId="0" fontId="35" fillId="0" borderId="0" xfId="156" applyFont="1" applyFill="1" applyAlignment="1">
      <alignment horizontal="center" vertical="center"/>
    </xf>
    <xf numFmtId="0" fontId="28" fillId="0" borderId="0" xfId="0" quotePrefix="1" applyFont="1" applyFill="1"/>
    <xf numFmtId="0" fontId="1" fillId="0" borderId="0" xfId="156" quotePrefix="1" applyFont="1" applyFill="1" applyAlignment="1">
      <alignment vertical="center"/>
    </xf>
    <xf numFmtId="0" fontId="28" fillId="0" borderId="0" xfId="0" quotePrefix="1" applyFont="1" applyAlignment="1">
      <alignment vertical="center"/>
    </xf>
    <xf numFmtId="0" fontId="28" fillId="0" borderId="0" xfId="0" quotePrefix="1" applyFont="1" applyFill="1" applyAlignment="1">
      <alignment vertical="center"/>
    </xf>
    <xf numFmtId="0" fontId="30" fillId="29" borderId="0" xfId="218" applyFont="1" applyFill="1" applyAlignment="1">
      <alignment vertical="center" wrapText="1"/>
    </xf>
    <xf numFmtId="0" fontId="28" fillId="29" borderId="14" xfId="218" applyFont="1" applyFill="1" applyBorder="1" applyAlignment="1">
      <alignment horizontal="center" vertical="center"/>
    </xf>
    <xf numFmtId="0" fontId="116" fillId="29" borderId="14" xfId="218" applyFont="1" applyFill="1" applyBorder="1" applyAlignment="1">
      <alignment horizontal="center" vertical="center"/>
    </xf>
    <xf numFmtId="0" fontId="117" fillId="29" borderId="14" xfId="218" applyFont="1" applyFill="1" applyBorder="1" applyAlignment="1">
      <alignment horizontal="center" vertical="center"/>
    </xf>
    <xf numFmtId="183" fontId="28" fillId="0" borderId="0" xfId="82" applyNumberFormat="1" applyFont="1" applyFill="1" applyAlignment="1">
      <alignment horizontal="right" vertical="center"/>
    </xf>
    <xf numFmtId="183" fontId="34" fillId="0" borderId="0" xfId="82" applyNumberFormat="1" applyFont="1" applyFill="1" applyAlignment="1">
      <alignment horizontal="right" vertical="center"/>
    </xf>
    <xf numFmtId="183" fontId="30" fillId="0" borderId="14" xfId="82" applyNumberFormat="1" applyFont="1" applyFill="1" applyBorder="1" applyAlignment="1">
      <alignment horizontal="center" vertical="center" wrapText="1"/>
    </xf>
    <xf numFmtId="3" fontId="28" fillId="0" borderId="0" xfId="0" applyNumberFormat="1" applyFont="1" applyFill="1" applyAlignment="1">
      <alignment horizontal="right" vertical="center"/>
    </xf>
    <xf numFmtId="173" fontId="28" fillId="0" borderId="14" xfId="0" applyNumberFormat="1" applyFont="1" applyFill="1" applyBorder="1" applyAlignment="1">
      <alignment horizontal="center" vertical="center"/>
    </xf>
    <xf numFmtId="182" fontId="28" fillId="0" borderId="14" xfId="80" applyNumberFormat="1" applyFont="1" applyFill="1" applyBorder="1" applyAlignment="1">
      <alignment horizontal="center" vertical="center"/>
    </xf>
    <xf numFmtId="173" fontId="30" fillId="0" borderId="14" xfId="0" applyNumberFormat="1" applyFont="1" applyFill="1" applyBorder="1" applyAlignment="1">
      <alignment horizontal="right" vertical="center" wrapText="1"/>
    </xf>
    <xf numFmtId="4" fontId="127" fillId="0" borderId="14" xfId="0" applyNumberFormat="1" applyFont="1" applyFill="1" applyBorder="1" applyAlignment="1">
      <alignment horizontal="right" vertical="center" wrapText="1"/>
    </xf>
    <xf numFmtId="174" fontId="28" fillId="0" borderId="14" xfId="0" applyNumberFormat="1" applyFont="1" applyFill="1" applyBorder="1" applyAlignment="1">
      <alignment horizontal="right" vertical="center" wrapText="1"/>
    </xf>
    <xf numFmtId="4" fontId="28" fillId="0" borderId="14" xfId="0" applyNumberFormat="1" applyFont="1" applyFill="1" applyBorder="1" applyAlignment="1">
      <alignment horizontal="right" vertical="center" wrapText="1"/>
    </xf>
    <xf numFmtId="174" fontId="30" fillId="0" borderId="14" xfId="0" applyNumberFormat="1" applyFont="1" applyFill="1" applyBorder="1" applyAlignment="1">
      <alignment horizontal="right" vertical="center" wrapText="1"/>
    </xf>
    <xf numFmtId="174" fontId="112" fillId="0" borderId="14" xfId="0" applyNumberFormat="1" applyFont="1" applyFill="1" applyBorder="1" applyAlignment="1">
      <alignment horizontal="right" vertical="center" wrapText="1"/>
    </xf>
    <xf numFmtId="173" fontId="28" fillId="0" borderId="14" xfId="0" applyNumberFormat="1" applyFont="1" applyFill="1" applyBorder="1" applyAlignment="1">
      <alignment horizontal="right" vertical="center" wrapText="1"/>
    </xf>
    <xf numFmtId="174" fontId="28" fillId="0" borderId="14" xfId="0" applyNumberFormat="1" applyFont="1" applyBorder="1" applyAlignment="1">
      <alignment horizontal="right" vertical="center" wrapText="1"/>
    </xf>
    <xf numFmtId="4" fontId="30" fillId="0" borderId="14" xfId="0" applyNumberFormat="1" applyFont="1" applyFill="1" applyBorder="1" applyAlignment="1">
      <alignment horizontal="right" vertical="center" wrapText="1"/>
    </xf>
    <xf numFmtId="173" fontId="28" fillId="0" borderId="0" xfId="0" applyNumberFormat="1" applyFont="1" applyFill="1" applyAlignment="1">
      <alignment horizontal="right"/>
    </xf>
    <xf numFmtId="0" fontId="28" fillId="0" borderId="14" xfId="0" applyFont="1" applyFill="1" applyBorder="1" applyAlignment="1">
      <alignment horizontal="right" vertical="center" wrapText="1"/>
    </xf>
    <xf numFmtId="0" fontId="97"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wrapText="1"/>
    </xf>
    <xf numFmtId="0" fontId="97" fillId="0" borderId="0" xfId="0" applyNumberFormat="1" applyFont="1" applyFill="1" applyBorder="1" applyAlignment="1">
      <alignment horizontal="center" vertical="center" wrapText="1"/>
    </xf>
    <xf numFmtId="173" fontId="28" fillId="0" borderId="0" xfId="0" applyNumberFormat="1" applyFont="1" applyFill="1" applyBorder="1" applyAlignment="1">
      <alignment horizontal="right" vertical="center" wrapText="1"/>
    </xf>
    <xf numFmtId="4" fontId="28" fillId="0" borderId="14" xfId="0" applyNumberFormat="1" applyFont="1" applyFill="1" applyBorder="1"/>
    <xf numFmtId="0" fontId="97" fillId="0" borderId="76" xfId="0" applyNumberFormat="1" applyFont="1" applyFill="1" applyBorder="1" applyAlignment="1">
      <alignment horizontal="center" vertical="center"/>
    </xf>
    <xf numFmtId="0" fontId="28" fillId="0" borderId="76" xfId="0" applyNumberFormat="1" applyFont="1" applyFill="1" applyBorder="1" applyAlignment="1">
      <alignment vertical="center" wrapText="1"/>
    </xf>
    <xf numFmtId="0" fontId="112" fillId="0" borderId="76" xfId="0" applyNumberFormat="1" applyFont="1" applyFill="1" applyBorder="1" applyAlignment="1">
      <alignment horizontal="center" vertical="center" wrapText="1"/>
    </xf>
    <xf numFmtId="0" fontId="97" fillId="0" borderId="76" xfId="0" applyNumberFormat="1" applyFont="1" applyFill="1" applyBorder="1" applyAlignment="1">
      <alignment horizontal="center" vertical="center" wrapText="1"/>
    </xf>
    <xf numFmtId="0" fontId="112" fillId="0" borderId="0" xfId="0" applyNumberFormat="1" applyFont="1" applyFill="1" applyBorder="1" applyAlignment="1">
      <alignment horizontal="center" vertical="center" wrapText="1"/>
    </xf>
    <xf numFmtId="173" fontId="112" fillId="0" borderId="78" xfId="0" applyNumberFormat="1" applyFont="1" applyFill="1" applyBorder="1" applyAlignment="1">
      <alignment horizontal="right" vertical="center" wrapText="1"/>
    </xf>
    <xf numFmtId="4" fontId="39" fillId="0" borderId="0" xfId="156" applyNumberFormat="1" applyFont="1" applyFill="1" applyAlignment="1">
      <alignment vertical="center"/>
    </xf>
    <xf numFmtId="4" fontId="36" fillId="0" borderId="0" xfId="156" applyNumberFormat="1" applyFont="1" applyFill="1" applyAlignment="1">
      <alignment horizontal="center" vertical="center" wrapText="1"/>
    </xf>
    <xf numFmtId="173" fontId="112" fillId="0" borderId="76" xfId="0" applyNumberFormat="1" applyFont="1" applyFill="1" applyBorder="1" applyAlignment="1">
      <alignment horizontal="right" vertical="center" wrapText="1"/>
    </xf>
    <xf numFmtId="173" fontId="112" fillId="0" borderId="0" xfId="0" applyNumberFormat="1" applyFont="1" applyFill="1" applyBorder="1" applyAlignment="1">
      <alignment horizontal="right" vertical="center" wrapText="1"/>
    </xf>
    <xf numFmtId="173" fontId="28" fillId="0" borderId="71" xfId="0" applyNumberFormat="1" applyFont="1" applyFill="1" applyBorder="1" applyAlignment="1">
      <alignment horizontal="center" vertical="center" wrapText="1"/>
    </xf>
    <xf numFmtId="173" fontId="28" fillId="0" borderId="78"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3" fontId="28" fillId="0" borderId="14" xfId="82" applyNumberFormat="1" applyFont="1" applyBorder="1" applyAlignment="1">
      <alignment horizontal="right" vertical="center"/>
    </xf>
    <xf numFmtId="172" fontId="28" fillId="0" borderId="14" xfId="0" applyNumberFormat="1" applyFont="1" applyBorder="1" applyAlignment="1">
      <alignment horizontal="right" vertical="center"/>
    </xf>
    <xf numFmtId="165" fontId="28" fillId="0" borderId="14" xfId="81" applyNumberFormat="1" applyFont="1" applyFill="1" applyBorder="1" applyAlignment="1">
      <alignment horizontal="center" vertical="center"/>
    </xf>
    <xf numFmtId="0" fontId="30" fillId="29" borderId="0" xfId="218" applyFont="1" applyFill="1" applyBorder="1" applyAlignment="1">
      <alignment horizontal="center" vertical="center"/>
    </xf>
    <xf numFmtId="3" fontId="35" fillId="0" borderId="0" xfId="218" applyNumberFormat="1" applyFont="1" applyFill="1" applyBorder="1" applyAlignment="1">
      <alignment horizontal="center" vertical="center"/>
    </xf>
    <xf numFmtId="0" fontId="28" fillId="0" borderId="14" xfId="218" quotePrefix="1" applyFont="1" applyFill="1" applyBorder="1" applyAlignment="1">
      <alignment horizontal="center" vertical="center" wrapText="1"/>
    </xf>
    <xf numFmtId="3" fontId="28" fillId="0" borderId="14" xfId="218" applyNumberFormat="1" applyFont="1" applyFill="1" applyBorder="1" applyAlignment="1">
      <alignment horizontal="center" vertical="center" wrapText="1"/>
    </xf>
    <xf numFmtId="0" fontId="37" fillId="0" borderId="14" xfId="218" applyFont="1" applyFill="1" applyBorder="1" applyAlignment="1">
      <alignment horizontal="center" vertical="center"/>
    </xf>
    <xf numFmtId="0" fontId="115" fillId="0" borderId="14" xfId="218" applyFont="1" applyFill="1" applyBorder="1" applyAlignment="1">
      <alignment horizontal="center" vertical="center"/>
    </xf>
    <xf numFmtId="0" fontId="30" fillId="29" borderId="14" xfId="218" applyFont="1" applyFill="1" applyBorder="1" applyAlignment="1">
      <alignment horizontal="center" vertical="center"/>
    </xf>
    <xf numFmtId="3" fontId="28" fillId="29" borderId="14" xfId="218" applyNumberFormat="1" applyFont="1" applyFill="1" applyBorder="1" applyAlignment="1">
      <alignment horizontal="center" vertical="center"/>
    </xf>
    <xf numFmtId="43" fontId="28" fillId="29" borderId="14" xfId="80" applyNumberFormat="1" applyFont="1" applyFill="1" applyBorder="1" applyAlignment="1">
      <alignment vertical="center"/>
    </xf>
    <xf numFmtId="4" fontId="46" fillId="0" borderId="14" xfId="218" applyNumberFormat="1" applyFont="1" applyFill="1" applyBorder="1" applyAlignment="1">
      <alignment vertical="center"/>
    </xf>
    <xf numFmtId="0" fontId="30" fillId="29" borderId="0" xfId="218" applyFont="1" applyFill="1" applyAlignment="1">
      <alignment horizontal="center" vertical="center"/>
    </xf>
    <xf numFmtId="3" fontId="107" fillId="0" borderId="26" xfId="218" applyNumberFormat="1" applyFont="1" applyFill="1" applyBorder="1" applyAlignment="1">
      <alignment vertical="center"/>
    </xf>
    <xf numFmtId="0" fontId="28" fillId="29" borderId="14" xfId="218" quotePrefix="1" applyFont="1" applyFill="1" applyBorder="1" applyAlignment="1">
      <alignment horizontal="center" vertical="center"/>
    </xf>
    <xf numFmtId="3" fontId="35" fillId="0" borderId="0" xfId="218" applyNumberFormat="1" applyFont="1" applyFill="1" applyBorder="1" applyAlignment="1">
      <alignment vertical="center"/>
    </xf>
    <xf numFmtId="3" fontId="30" fillId="0" borderId="14" xfId="218" applyNumberFormat="1" applyFont="1" applyFill="1" applyBorder="1" applyAlignment="1">
      <alignment horizontal="center" vertical="center"/>
    </xf>
    <xf numFmtId="0" fontId="28" fillId="29" borderId="14" xfId="218" applyFont="1" applyFill="1" applyBorder="1" applyAlignment="1">
      <alignment vertical="center"/>
    </xf>
    <xf numFmtId="3" fontId="28" fillId="29" borderId="14" xfId="218" applyNumberFormat="1" applyFont="1" applyFill="1" applyBorder="1" applyAlignment="1">
      <alignment vertical="center"/>
    </xf>
    <xf numFmtId="0" fontId="28" fillId="29" borderId="14" xfId="218" applyFont="1" applyFill="1" applyBorder="1" applyAlignment="1">
      <alignment vertical="center" wrapText="1"/>
    </xf>
    <xf numFmtId="0" fontId="28" fillId="29" borderId="0" xfId="218" applyFont="1" applyFill="1" applyBorder="1" applyAlignment="1">
      <alignment vertical="center"/>
    </xf>
    <xf numFmtId="0" fontId="28" fillId="0" borderId="0" xfId="218" applyFont="1" applyFill="1" applyBorder="1" applyAlignment="1">
      <alignment vertical="center"/>
    </xf>
    <xf numFmtId="0" fontId="28" fillId="29" borderId="14" xfId="218" applyFont="1" applyFill="1" applyBorder="1" applyAlignment="1">
      <alignment horizontal="center" vertical="center" wrapText="1"/>
    </xf>
    <xf numFmtId="0" fontId="28" fillId="0" borderId="14" xfId="218" applyFont="1" applyFill="1" applyBorder="1" applyAlignment="1">
      <alignment horizontal="center" vertical="center"/>
    </xf>
    <xf numFmtId="0" fontId="28" fillId="0" borderId="14" xfId="0" applyFont="1" applyBorder="1" applyAlignment="1">
      <alignment horizontal="center" vertical="center"/>
    </xf>
    <xf numFmtId="0" fontId="28" fillId="0" borderId="14" xfId="218" applyFont="1" applyFill="1" applyBorder="1" applyAlignment="1">
      <alignment vertical="center"/>
    </xf>
    <xf numFmtId="0" fontId="30" fillId="29" borderId="14" xfId="218" applyFont="1" applyFill="1" applyBorder="1" applyAlignment="1">
      <alignment vertical="center"/>
    </xf>
    <xf numFmtId="3" fontId="30" fillId="29" borderId="14" xfId="218" applyNumberFormat="1" applyFont="1" applyFill="1" applyBorder="1" applyAlignment="1">
      <alignment vertical="center"/>
    </xf>
    <xf numFmtId="0" fontId="28" fillId="29" borderId="15" xfId="218" applyFont="1" applyFill="1" applyBorder="1" applyAlignment="1">
      <alignment horizontal="center" vertical="center" wrapText="1"/>
    </xf>
    <xf numFmtId="0" fontId="28" fillId="29" borderId="0" xfId="218" applyFont="1" applyFill="1" applyBorder="1" applyAlignment="1">
      <alignment vertical="center" wrapText="1"/>
    </xf>
    <xf numFmtId="3" fontId="28" fillId="29" borderId="0" xfId="218" applyNumberFormat="1" applyFont="1" applyFill="1" applyBorder="1" applyAlignment="1">
      <alignment vertical="center"/>
    </xf>
    <xf numFmtId="0" fontId="30" fillId="29" borderId="0" xfId="218" applyFont="1" applyFill="1" applyBorder="1" applyAlignment="1">
      <alignment vertical="center"/>
    </xf>
    <xf numFmtId="3" fontId="30" fillId="29" borderId="0" xfId="218" applyNumberFormat="1" applyFont="1" applyFill="1" applyBorder="1" applyAlignment="1">
      <alignment vertical="center"/>
    </xf>
    <xf numFmtId="0" fontId="30" fillId="0" borderId="14" xfId="0" applyFont="1" applyBorder="1"/>
    <xf numFmtId="0" fontId="30" fillId="29" borderId="14" xfId="218" applyFont="1" applyFill="1" applyBorder="1" applyAlignment="1">
      <alignment horizontal="center" vertical="center" wrapText="1"/>
    </xf>
    <xf numFmtId="3" fontId="30" fillId="0" borderId="14" xfId="0" applyNumberFormat="1" applyFont="1" applyBorder="1"/>
    <xf numFmtId="0" fontId="28" fillId="29" borderId="0" xfId="218" applyFont="1" applyFill="1" applyBorder="1" applyAlignment="1">
      <alignment horizontal="center" vertical="center"/>
    </xf>
    <xf numFmtId="182" fontId="34" fillId="0" borderId="0" xfId="156" applyNumberFormat="1" applyFont="1" applyFill="1" applyAlignment="1">
      <alignment vertical="center"/>
    </xf>
    <xf numFmtId="0" fontId="30" fillId="25" borderId="14" xfId="0" applyFont="1" applyFill="1" applyBorder="1" applyAlignment="1">
      <alignment horizontal="center" vertical="center" wrapText="1"/>
    </xf>
    <xf numFmtId="0" fontId="126" fillId="0" borderId="14" xfId="0" applyNumberFormat="1" applyFont="1" applyFill="1" applyBorder="1" applyAlignment="1">
      <alignment horizontal="center" vertical="center"/>
    </xf>
    <xf numFmtId="0" fontId="30" fillId="0" borderId="0" xfId="0" applyFont="1" applyFill="1"/>
    <xf numFmtId="0" fontId="28" fillId="0" borderId="0" xfId="0" applyFont="1" applyFill="1" applyAlignment="1">
      <alignment horizontal="center"/>
    </xf>
    <xf numFmtId="173" fontId="112" fillId="0" borderId="76" xfId="0" applyNumberFormat="1" applyFont="1" applyFill="1" applyBorder="1" applyAlignment="1">
      <alignment horizontal="center" vertical="center" wrapText="1"/>
    </xf>
    <xf numFmtId="173" fontId="112" fillId="0" borderId="0" xfId="0" applyNumberFormat="1" applyFont="1" applyFill="1" applyBorder="1" applyAlignment="1">
      <alignment horizontal="center" vertical="center" wrapText="1"/>
    </xf>
    <xf numFmtId="173" fontId="28" fillId="0" borderId="0" xfId="0" applyNumberFormat="1" applyFont="1" applyFill="1" applyAlignment="1">
      <alignment horizontal="center"/>
    </xf>
    <xf numFmtId="0" fontId="28" fillId="0" borderId="76" xfId="156" applyFont="1" applyFill="1" applyBorder="1" applyAlignment="1">
      <alignment horizontal="center" vertical="center" wrapText="1"/>
    </xf>
    <xf numFmtId="0" fontId="28" fillId="0" borderId="76" xfId="156" applyFont="1" applyFill="1" applyBorder="1" applyAlignment="1">
      <alignment horizontal="justify" vertical="center" wrapText="1"/>
    </xf>
    <xf numFmtId="182" fontId="28" fillId="0" borderId="76" xfId="82" applyNumberFormat="1" applyFont="1" applyFill="1" applyBorder="1" applyAlignment="1">
      <alignment horizontal="right" vertical="center" wrapText="1"/>
    </xf>
    <xf numFmtId="9" fontId="28" fillId="0" borderId="76" xfId="156" applyNumberFormat="1" applyFont="1" applyFill="1" applyBorder="1" applyAlignment="1">
      <alignment horizontal="center" vertical="center" wrapText="1"/>
    </xf>
    <xf numFmtId="4" fontId="28" fillId="0" borderId="76" xfId="156" applyNumberFormat="1" applyFont="1" applyFill="1" applyBorder="1" applyAlignment="1">
      <alignment horizontal="right" vertical="center"/>
    </xf>
    <xf numFmtId="0" fontId="28" fillId="0" borderId="0" xfId="156" applyFont="1" applyFill="1" applyBorder="1" applyAlignment="1">
      <alignment horizontal="center" vertical="center" wrapText="1"/>
    </xf>
    <xf numFmtId="0" fontId="28" fillId="0" borderId="0" xfId="156" applyFont="1" applyFill="1" applyBorder="1" applyAlignment="1">
      <alignment horizontal="justify" vertical="center" wrapText="1"/>
    </xf>
    <xf numFmtId="182" fontId="28" fillId="0" borderId="0" xfId="82" applyNumberFormat="1" applyFont="1" applyFill="1" applyBorder="1" applyAlignment="1">
      <alignment horizontal="right" vertical="center" wrapText="1"/>
    </xf>
    <xf numFmtId="9" fontId="28" fillId="0" borderId="0" xfId="156" applyNumberFormat="1" applyFont="1" applyFill="1" applyBorder="1" applyAlignment="1">
      <alignment horizontal="center" vertical="center" wrapText="1"/>
    </xf>
    <xf numFmtId="4" fontId="28" fillId="0" borderId="0" xfId="156" applyNumberFormat="1" applyFont="1" applyFill="1" applyBorder="1" applyAlignment="1">
      <alignment horizontal="right" vertical="center"/>
    </xf>
    <xf numFmtId="0" fontId="28" fillId="0" borderId="65" xfId="156" applyFont="1" applyFill="1" applyBorder="1" applyAlignment="1">
      <alignment horizontal="center" vertical="center" wrapText="1"/>
    </xf>
    <xf numFmtId="182" fontId="28" fillId="0" borderId="65" xfId="82" applyNumberFormat="1" applyFont="1" applyFill="1" applyBorder="1" applyAlignment="1">
      <alignment horizontal="right" vertical="center" wrapText="1"/>
    </xf>
    <xf numFmtId="9" fontId="28" fillId="0" borderId="65" xfId="156" applyNumberFormat="1" applyFont="1" applyFill="1" applyBorder="1" applyAlignment="1">
      <alignment horizontal="center" vertical="center" wrapText="1"/>
    </xf>
    <xf numFmtId="165" fontId="28" fillId="0" borderId="65" xfId="82" applyNumberFormat="1" applyFont="1" applyFill="1" applyBorder="1" applyAlignment="1">
      <alignment horizontal="center" vertical="center" wrapText="1"/>
    </xf>
    <xf numFmtId="4" fontId="28" fillId="0" borderId="65" xfId="156" applyNumberFormat="1" applyFont="1" applyFill="1" applyBorder="1" applyAlignment="1">
      <alignment horizontal="right" vertical="center"/>
    </xf>
    <xf numFmtId="165" fontId="28" fillId="0" borderId="76" xfId="82" applyNumberFormat="1" applyFont="1" applyFill="1" applyBorder="1" applyAlignment="1">
      <alignment vertical="center" wrapText="1"/>
    </xf>
    <xf numFmtId="165" fontId="28" fillId="0" borderId="76" xfId="82" applyNumberFormat="1" applyFont="1" applyFill="1" applyBorder="1" applyAlignment="1">
      <alignment horizontal="right" vertical="center" wrapText="1"/>
    </xf>
    <xf numFmtId="165" fontId="28" fillId="0" borderId="0" xfId="82" applyNumberFormat="1" applyFont="1" applyFill="1" applyBorder="1" applyAlignment="1">
      <alignment vertical="center" wrapText="1"/>
    </xf>
    <xf numFmtId="165" fontId="28" fillId="0" borderId="0" xfId="82" applyNumberFormat="1" applyFont="1" applyFill="1" applyBorder="1" applyAlignment="1">
      <alignment horizontal="right" vertical="center" wrapText="1"/>
    </xf>
    <xf numFmtId="165" fontId="28" fillId="0" borderId="65" xfId="82" applyNumberFormat="1" applyFont="1" applyFill="1" applyBorder="1" applyAlignment="1">
      <alignment vertical="center" wrapText="1"/>
    </xf>
    <xf numFmtId="165" fontId="28" fillId="0" borderId="65" xfId="82" applyNumberFormat="1" applyFont="1" applyFill="1" applyBorder="1" applyAlignment="1">
      <alignment horizontal="right" vertical="center" wrapText="1"/>
    </xf>
    <xf numFmtId="0" fontId="36" fillId="0" borderId="0" xfId="156" applyFont="1" applyFill="1" applyAlignment="1">
      <alignment vertical="center"/>
    </xf>
    <xf numFmtId="0" fontId="28" fillId="0" borderId="65" xfId="0" applyFont="1" applyFill="1" applyBorder="1" applyAlignment="1">
      <alignment horizontal="center"/>
    </xf>
    <xf numFmtId="182" fontId="28" fillId="0" borderId="76" xfId="82" applyNumberFormat="1" applyFont="1" applyFill="1" applyBorder="1" applyAlignment="1">
      <alignment vertical="center" wrapText="1"/>
    </xf>
    <xf numFmtId="182" fontId="28" fillId="0" borderId="0" xfId="82" applyNumberFormat="1" applyFont="1" applyFill="1" applyBorder="1" applyAlignment="1">
      <alignment vertical="center" wrapText="1"/>
    </xf>
    <xf numFmtId="182" fontId="28" fillId="0" borderId="65" xfId="82" applyNumberFormat="1" applyFont="1" applyFill="1" applyBorder="1" applyAlignment="1">
      <alignment vertical="center" wrapText="1"/>
    </xf>
    <xf numFmtId="3" fontId="112" fillId="0" borderId="14" xfId="82" applyNumberFormat="1" applyFont="1" applyBorder="1" applyAlignment="1">
      <alignment horizontal="right" vertical="center"/>
    </xf>
    <xf numFmtId="3" fontId="30" fillId="25" borderId="14" xfId="0" applyNumberFormat="1" applyFont="1" applyFill="1" applyBorder="1" applyAlignment="1">
      <alignment horizontal="center" vertical="center" wrapText="1"/>
    </xf>
    <xf numFmtId="3" fontId="28" fillId="0" borderId="14" xfId="0" applyNumberFormat="1" applyFont="1" applyBorder="1" applyAlignment="1">
      <alignment horizontal="right" vertical="center"/>
    </xf>
    <xf numFmtId="3" fontId="28" fillId="0" borderId="14" xfId="80" applyNumberFormat="1" applyFont="1" applyBorder="1" applyAlignment="1">
      <alignment horizontal="right" vertical="center"/>
    </xf>
    <xf numFmtId="9" fontId="28" fillId="0" borderId="14" xfId="172" applyFont="1" applyBorder="1" applyAlignment="1">
      <alignment horizontal="center" vertical="center"/>
    </xf>
    <xf numFmtId="3" fontId="28" fillId="0" borderId="14" xfId="0" applyNumberFormat="1" applyFont="1" applyBorder="1" applyAlignment="1">
      <alignment vertical="center"/>
    </xf>
    <xf numFmtId="0" fontId="30" fillId="29" borderId="14" xfId="218" applyFont="1" applyFill="1" applyBorder="1" applyAlignment="1">
      <alignment horizontal="center" vertical="center"/>
    </xf>
    <xf numFmtId="0" fontId="112" fillId="0" borderId="24" xfId="0" applyFont="1" applyFill="1" applyBorder="1" applyAlignment="1">
      <alignment horizontal="justify" vertical="center" wrapText="1"/>
    </xf>
    <xf numFmtId="0" fontId="112" fillId="0" borderId="24" xfId="0" applyFont="1" applyFill="1" applyBorder="1" applyAlignment="1">
      <alignment horizontal="center" vertical="center" wrapText="1"/>
    </xf>
    <xf numFmtId="0" fontId="28" fillId="0" borderId="0" xfId="0" applyFont="1" applyFill="1" applyBorder="1" applyAlignment="1">
      <alignment horizontal="justify" vertical="center" wrapText="1"/>
    </xf>
    <xf numFmtId="165" fontId="28" fillId="0" borderId="0" xfId="81" applyNumberFormat="1" applyFont="1" applyFill="1" applyBorder="1" applyAlignment="1">
      <alignment horizontal="center" vertical="center"/>
    </xf>
    <xf numFmtId="165" fontId="28" fillId="0" borderId="0" xfId="81" applyNumberFormat="1" applyFont="1" applyFill="1" applyBorder="1" applyAlignment="1">
      <alignment horizontal="right" vertical="center"/>
    </xf>
    <xf numFmtId="174" fontId="28"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0" fontId="28" fillId="0" borderId="76" xfId="0" applyFont="1" applyFill="1" applyBorder="1" applyAlignment="1">
      <alignment vertical="center"/>
    </xf>
    <xf numFmtId="0" fontId="28" fillId="0" borderId="76" xfId="0" applyFont="1" applyFill="1" applyBorder="1" applyAlignment="1">
      <alignment horizontal="center" vertical="center"/>
    </xf>
    <xf numFmtId="0" fontId="28" fillId="0" borderId="76" xfId="0" applyFont="1" applyFill="1" applyBorder="1" applyAlignment="1">
      <alignment vertical="center" wrapText="1"/>
    </xf>
    <xf numFmtId="174" fontId="28" fillId="0" borderId="76" xfId="0" applyNumberFormat="1" applyFont="1" applyFill="1" applyBorder="1" applyAlignment="1">
      <alignment horizontal="center" vertical="center"/>
    </xf>
    <xf numFmtId="173" fontId="28" fillId="0" borderId="76" xfId="0" applyNumberFormat="1" applyFont="1" applyFill="1" applyBorder="1" applyAlignment="1">
      <alignment horizontal="center" vertical="center"/>
    </xf>
    <xf numFmtId="0" fontId="28" fillId="0" borderId="76" xfId="0" applyFont="1" applyFill="1" applyBorder="1" applyAlignment="1">
      <alignment horizontal="right" vertical="center"/>
    </xf>
    <xf numFmtId="0" fontId="28" fillId="0" borderId="65" xfId="0" applyFont="1" applyFill="1" applyBorder="1" applyAlignment="1">
      <alignment vertical="center"/>
    </xf>
    <xf numFmtId="0" fontId="28" fillId="0" borderId="65" xfId="0" applyFont="1" applyFill="1" applyBorder="1" applyAlignment="1">
      <alignment horizontal="center" vertical="center"/>
    </xf>
    <xf numFmtId="0" fontId="28" fillId="0" borderId="65" xfId="0" applyFont="1" applyFill="1" applyBorder="1" applyAlignment="1">
      <alignment vertical="center" wrapText="1"/>
    </xf>
    <xf numFmtId="174" fontId="28" fillId="0" borderId="65" xfId="0" applyNumberFormat="1" applyFont="1" applyFill="1" applyBorder="1" applyAlignment="1">
      <alignment horizontal="center" vertical="center"/>
    </xf>
    <xf numFmtId="173" fontId="28" fillId="0" borderId="65" xfId="0" applyNumberFormat="1" applyFont="1" applyFill="1" applyBorder="1" applyAlignment="1">
      <alignment horizontal="center" vertical="center"/>
    </xf>
    <xf numFmtId="0" fontId="28" fillId="0" borderId="65" xfId="0" applyFont="1" applyFill="1" applyBorder="1" applyAlignment="1">
      <alignment horizontal="right" vertical="center"/>
    </xf>
    <xf numFmtId="3" fontId="28" fillId="0" borderId="65" xfId="0" applyNumberFormat="1" applyFont="1" applyFill="1" applyBorder="1" applyAlignment="1">
      <alignment vertical="center"/>
    </xf>
    <xf numFmtId="0" fontId="28" fillId="0" borderId="76" xfId="0" applyFont="1" applyFill="1" applyBorder="1" applyAlignment="1">
      <alignment horizontal="left" vertical="center" wrapText="1"/>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174" fontId="28" fillId="0" borderId="0" xfId="0" applyNumberFormat="1" applyFont="1" applyFill="1" applyBorder="1" applyAlignment="1">
      <alignment horizontal="center" vertical="center"/>
    </xf>
    <xf numFmtId="173" fontId="28" fillId="0" borderId="0" xfId="0" applyNumberFormat="1" applyFont="1" applyFill="1" applyBorder="1" applyAlignment="1">
      <alignment horizontal="center" vertical="center"/>
    </xf>
    <xf numFmtId="0" fontId="28" fillId="0" borderId="0" xfId="0" applyFont="1" applyFill="1" applyBorder="1" applyAlignment="1">
      <alignment horizontal="right" vertical="center"/>
    </xf>
    <xf numFmtId="3" fontId="28" fillId="0" borderId="0" xfId="0" applyNumberFormat="1" applyFont="1" applyFill="1" applyBorder="1" applyAlignment="1">
      <alignment vertical="center"/>
    </xf>
    <xf numFmtId="0" fontId="28" fillId="0" borderId="65" xfId="0" applyFont="1" applyFill="1" applyBorder="1" applyAlignment="1">
      <alignment horizontal="left" vertical="center" wrapText="1"/>
    </xf>
    <xf numFmtId="3" fontId="30" fillId="0" borderId="46" xfId="0" applyNumberFormat="1" applyFont="1" applyFill="1" applyBorder="1" applyAlignment="1">
      <alignment horizontal="center" vertical="center" wrapText="1"/>
    </xf>
    <xf numFmtId="0" fontId="28" fillId="0" borderId="76" xfId="0" applyFont="1" applyFill="1" applyBorder="1" applyAlignment="1">
      <alignment horizontal="left" vertical="center"/>
    </xf>
    <xf numFmtId="182" fontId="28" fillId="0" borderId="76" xfId="81" applyNumberFormat="1" applyFont="1" applyFill="1" applyBorder="1" applyAlignment="1">
      <alignment vertical="center"/>
    </xf>
    <xf numFmtId="43" fontId="28" fillId="0" borderId="76" xfId="81" applyNumberFormat="1" applyFont="1" applyFill="1" applyBorder="1" applyAlignment="1">
      <alignment vertical="center"/>
    </xf>
    <xf numFmtId="0" fontId="28" fillId="0" borderId="0" xfId="0" applyFont="1" applyFill="1" applyBorder="1" applyAlignment="1">
      <alignment horizontal="left" vertical="center"/>
    </xf>
    <xf numFmtId="182" fontId="28" fillId="0" borderId="0" xfId="81" applyNumberFormat="1" applyFont="1" applyFill="1" applyBorder="1" applyAlignment="1">
      <alignment vertical="center"/>
    </xf>
    <xf numFmtId="43" fontId="28" fillId="0" borderId="0" xfId="81" applyNumberFormat="1" applyFont="1" applyFill="1" applyBorder="1" applyAlignment="1">
      <alignment vertical="center"/>
    </xf>
    <xf numFmtId="166" fontId="28" fillId="0" borderId="0" xfId="0" applyNumberFormat="1" applyFont="1" applyFill="1" applyBorder="1" applyAlignment="1">
      <alignment vertical="center"/>
    </xf>
    <xf numFmtId="0" fontId="28" fillId="0" borderId="65" xfId="0" applyFont="1" applyFill="1" applyBorder="1" applyAlignment="1">
      <alignment horizontal="left" vertical="center"/>
    </xf>
    <xf numFmtId="182" fontId="28" fillId="0" borderId="65" xfId="81" applyNumberFormat="1" applyFont="1" applyFill="1" applyBorder="1" applyAlignment="1">
      <alignment vertical="center"/>
    </xf>
    <xf numFmtId="43" fontId="28" fillId="0" borderId="65" xfId="81" applyNumberFormat="1" applyFont="1" applyFill="1" applyBorder="1" applyAlignment="1">
      <alignment vertical="center"/>
    </xf>
    <xf numFmtId="166" fontId="28" fillId="0" borderId="65" xfId="0" applyNumberFormat="1" applyFont="1" applyFill="1" applyBorder="1" applyAlignment="1">
      <alignment vertical="center"/>
    </xf>
    <xf numFmtId="0" fontId="28" fillId="0" borderId="46" xfId="0" applyFont="1" applyFill="1" applyBorder="1" applyAlignment="1">
      <alignment vertical="center"/>
    </xf>
    <xf numFmtId="166" fontId="28" fillId="0" borderId="46" xfId="0" applyNumberFormat="1" applyFont="1" applyFill="1" applyBorder="1" applyAlignment="1">
      <alignment vertical="center"/>
    </xf>
    <xf numFmtId="0" fontId="30" fillId="29" borderId="0" xfId="218" applyFont="1" applyFill="1" applyAlignment="1">
      <alignment vertical="center"/>
    </xf>
    <xf numFmtId="173" fontId="112" fillId="0" borderId="9" xfId="0" applyNumberFormat="1" applyFont="1" applyFill="1" applyBorder="1" applyAlignment="1">
      <alignment horizontal="right" vertical="center" wrapText="1"/>
    </xf>
    <xf numFmtId="4" fontId="28" fillId="0" borderId="0" xfId="218" applyNumberFormat="1" applyFont="1" applyFill="1" applyAlignment="1">
      <alignment vertical="center"/>
    </xf>
    <xf numFmtId="3" fontId="107" fillId="0" borderId="0" xfId="218" applyNumberFormat="1" applyFont="1" applyFill="1" applyAlignment="1">
      <alignment vertical="center"/>
    </xf>
    <xf numFmtId="0" fontId="112" fillId="0" borderId="14" xfId="218" applyFont="1" applyFill="1" applyBorder="1" applyAlignment="1">
      <alignment vertical="center"/>
    </xf>
    <xf numFmtId="43" fontId="28" fillId="0" borderId="0" xfId="0" applyNumberFormat="1" applyFont="1" applyFill="1" applyAlignment="1">
      <alignment vertical="center"/>
    </xf>
    <xf numFmtId="3" fontId="112" fillId="0" borderId="14" xfId="218" applyNumberFormat="1" applyFont="1" applyFill="1" applyBorder="1" applyAlignment="1">
      <alignment horizontal="center" vertical="center"/>
    </xf>
    <xf numFmtId="0" fontId="116" fillId="29" borderId="70" xfId="218" applyFont="1" applyFill="1" applyBorder="1" applyAlignment="1">
      <alignment horizontal="center" vertical="center" wrapText="1"/>
    </xf>
    <xf numFmtId="0" fontId="132" fillId="29" borderId="14" xfId="218" applyFont="1" applyFill="1" applyBorder="1" applyAlignment="1">
      <alignment horizontal="center" vertical="center" wrapText="1"/>
    </xf>
    <xf numFmtId="0" fontId="132" fillId="29" borderId="14" xfId="218" applyFont="1" applyFill="1" applyBorder="1" applyAlignment="1">
      <alignment vertical="center" wrapText="1"/>
    </xf>
    <xf numFmtId="0" fontId="132" fillId="29" borderId="14" xfId="218" applyFont="1" applyFill="1" applyBorder="1" applyAlignment="1">
      <alignment vertical="center"/>
    </xf>
    <xf numFmtId="0" fontId="112" fillId="29" borderId="0" xfId="218" applyFont="1" applyFill="1" applyAlignment="1">
      <alignment vertical="center"/>
    </xf>
    <xf numFmtId="0" fontId="112" fillId="29" borderId="14" xfId="218" applyFont="1" applyFill="1" applyBorder="1" applyAlignment="1">
      <alignment vertical="center"/>
    </xf>
    <xf numFmtId="0" fontId="127" fillId="29" borderId="14" xfId="218" applyFont="1" applyFill="1" applyBorder="1" applyAlignment="1">
      <alignment vertical="center"/>
    </xf>
    <xf numFmtId="3" fontId="127" fillId="29" borderId="0" xfId="218" applyNumberFormat="1" applyFont="1" applyFill="1" applyBorder="1" applyAlignment="1">
      <alignment vertical="center"/>
    </xf>
    <xf numFmtId="0" fontId="112" fillId="29" borderId="0" xfId="218" applyFont="1" applyFill="1" applyBorder="1" applyAlignment="1">
      <alignment vertical="center"/>
    </xf>
    <xf numFmtId="0" fontId="28" fillId="30" borderId="0" xfId="218" applyFont="1" applyFill="1" applyAlignment="1">
      <alignment vertical="center"/>
    </xf>
    <xf numFmtId="0" fontId="28" fillId="0" borderId="0" xfId="218" applyFont="1" applyFill="1" applyAlignment="1">
      <alignment horizontal="center" vertical="center"/>
    </xf>
    <xf numFmtId="0" fontId="30" fillId="0" borderId="0" xfId="218" applyFont="1" applyFill="1" applyAlignment="1">
      <alignment horizontal="left" vertical="center"/>
    </xf>
    <xf numFmtId="3" fontId="28" fillId="30" borderId="14" xfId="218" applyNumberFormat="1" applyFont="1" applyFill="1" applyBorder="1" applyAlignment="1">
      <alignment vertical="center"/>
    </xf>
    <xf numFmtId="3" fontId="97" fillId="30" borderId="14" xfId="218" applyNumberFormat="1" applyFont="1" applyFill="1" applyBorder="1" applyAlignment="1">
      <alignment vertical="center"/>
    </xf>
    <xf numFmtId="3" fontId="112" fillId="30" borderId="14" xfId="218" applyNumberFormat="1" applyFont="1" applyFill="1" applyBorder="1" applyAlignment="1">
      <alignment horizontal="center" vertical="center"/>
    </xf>
    <xf numFmtId="3" fontId="132" fillId="30" borderId="14" xfId="218" applyNumberFormat="1" applyFont="1" applyFill="1" applyBorder="1" applyAlignment="1">
      <alignment vertical="center"/>
    </xf>
    <xf numFmtId="0" fontId="112" fillId="30" borderId="14" xfId="218" applyFont="1" applyFill="1" applyBorder="1" applyAlignment="1">
      <alignment vertical="center"/>
    </xf>
    <xf numFmtId="0" fontId="116" fillId="30" borderId="0" xfId="218" applyFont="1" applyFill="1" applyAlignment="1">
      <alignment vertical="center"/>
    </xf>
    <xf numFmtId="0" fontId="117" fillId="30" borderId="0" xfId="218" applyFont="1" applyFill="1" applyAlignment="1">
      <alignment vertical="center"/>
    </xf>
    <xf numFmtId="0" fontId="130" fillId="0" borderId="14" xfId="0" applyFont="1" applyFill="1" applyBorder="1" applyAlignment="1">
      <alignment horizontal="center" vertical="center"/>
    </xf>
    <xf numFmtId="0" fontId="131" fillId="0" borderId="14" xfId="0" applyFont="1" applyFill="1" applyBorder="1" applyAlignment="1">
      <alignment horizontal="justify" vertical="center" wrapText="1"/>
    </xf>
    <xf numFmtId="3" fontId="35" fillId="0" borderId="65" xfId="218" applyNumberFormat="1" applyFont="1" applyFill="1" applyBorder="1" applyAlignment="1">
      <alignment horizontal="right" vertical="center"/>
    </xf>
    <xf numFmtId="3" fontId="30" fillId="0" borderId="66" xfId="218" applyNumberFormat="1" applyFont="1" applyFill="1" applyBorder="1" applyAlignment="1">
      <alignment vertical="center"/>
    </xf>
    <xf numFmtId="3" fontId="28" fillId="0" borderId="66" xfId="218" applyNumberFormat="1" applyFont="1" applyFill="1" applyBorder="1" applyAlignment="1">
      <alignment horizontal="center" vertical="center"/>
    </xf>
    <xf numFmtId="3" fontId="35" fillId="0" borderId="65" xfId="218" applyNumberFormat="1" applyFont="1" applyFill="1" applyBorder="1" applyAlignment="1">
      <alignment vertical="center"/>
    </xf>
    <xf numFmtId="0" fontId="37" fillId="29" borderId="0" xfId="218" applyFont="1" applyFill="1" applyAlignment="1">
      <alignment vertical="center"/>
    </xf>
    <xf numFmtId="0" fontId="38" fillId="0" borderId="0" xfId="218" applyFont="1" applyFill="1" applyAlignment="1">
      <alignment horizontal="center" vertical="center"/>
    </xf>
    <xf numFmtId="3" fontId="134" fillId="0" borderId="65" xfId="218" applyNumberFormat="1" applyFont="1" applyFill="1" applyBorder="1" applyAlignment="1">
      <alignment vertical="center"/>
    </xf>
    <xf numFmtId="3" fontId="38" fillId="0" borderId="66" xfId="218" quotePrefix="1" applyNumberFormat="1" applyFont="1" applyFill="1" applyBorder="1" applyAlignment="1">
      <alignment horizontal="center" vertical="center"/>
    </xf>
    <xf numFmtId="3" fontId="38" fillId="0" borderId="14" xfId="218" quotePrefix="1" applyNumberFormat="1" applyFont="1" applyFill="1" applyBorder="1" applyAlignment="1">
      <alignment horizontal="center" vertical="center"/>
    </xf>
    <xf numFmtId="3" fontId="38" fillId="0" borderId="66" xfId="218" applyNumberFormat="1" applyFont="1" applyFill="1" applyBorder="1" applyAlignment="1">
      <alignment vertical="center"/>
    </xf>
    <xf numFmtId="3" fontId="38" fillId="0" borderId="14" xfId="218" applyNumberFormat="1" applyFont="1" applyFill="1" applyBorder="1" applyAlignment="1">
      <alignment vertical="center"/>
    </xf>
    <xf numFmtId="3" fontId="37" fillId="0" borderId="66" xfId="218" applyNumberFormat="1" applyFont="1" applyFill="1" applyBorder="1" applyAlignment="1">
      <alignment horizontal="center" vertical="center"/>
    </xf>
    <xf numFmtId="3" fontId="37" fillId="0" borderId="14" xfId="218" applyNumberFormat="1" applyFont="1" applyFill="1" applyBorder="1" applyAlignment="1">
      <alignment vertical="center"/>
    </xf>
    <xf numFmtId="0" fontId="93" fillId="29" borderId="0" xfId="218" applyFont="1" applyFill="1" applyAlignment="1">
      <alignment vertical="center"/>
    </xf>
    <xf numFmtId="0" fontId="38" fillId="0" borderId="0" xfId="218" applyFont="1" applyFill="1" applyAlignment="1">
      <alignment vertical="center"/>
    </xf>
    <xf numFmtId="0" fontId="37" fillId="0" borderId="0" xfId="218" applyFont="1" applyFill="1" applyAlignment="1">
      <alignment vertical="center"/>
    </xf>
    <xf numFmtId="0" fontId="133" fillId="0" borderId="0" xfId="218" applyFont="1" applyFill="1" applyAlignment="1">
      <alignment vertical="center"/>
    </xf>
    <xf numFmtId="0" fontId="98" fillId="29" borderId="14" xfId="218" applyFont="1" applyFill="1" applyBorder="1" applyAlignment="1">
      <alignment vertical="center"/>
    </xf>
    <xf numFmtId="0" fontId="98" fillId="29" borderId="0" xfId="218" applyFont="1" applyFill="1" applyAlignment="1">
      <alignment vertical="center"/>
    </xf>
    <xf numFmtId="0" fontId="30" fillId="0" borderId="0" xfId="218" applyFont="1" applyFill="1" applyAlignment="1">
      <alignment vertical="center"/>
    </xf>
    <xf numFmtId="0" fontId="30" fillId="0" borderId="46" xfId="218" applyFont="1" applyFill="1" applyBorder="1" applyAlignment="1">
      <alignment vertical="center"/>
    </xf>
    <xf numFmtId="0" fontId="30" fillId="0" borderId="0" xfId="218" applyFont="1" applyFill="1" applyBorder="1" applyAlignment="1">
      <alignment vertical="center"/>
    </xf>
    <xf numFmtId="0" fontId="28" fillId="0" borderId="0" xfId="0" applyNumberFormat="1" applyFont="1" applyFill="1" applyBorder="1" applyAlignment="1">
      <alignment horizontal="center" vertical="center" wrapText="1"/>
    </xf>
    <xf numFmtId="0" fontId="28" fillId="0" borderId="76" xfId="0" applyNumberFormat="1" applyFont="1" applyFill="1" applyBorder="1" applyAlignment="1">
      <alignment horizontal="center" vertical="center" wrapText="1"/>
    </xf>
    <xf numFmtId="3" fontId="30" fillId="0" borderId="65" xfId="0" applyNumberFormat="1" applyFont="1" applyFill="1" applyBorder="1" applyAlignment="1">
      <alignment horizontal="center"/>
    </xf>
    <xf numFmtId="3" fontId="127" fillId="0" borderId="9" xfId="80" applyNumberFormat="1" applyFont="1" applyFill="1" applyBorder="1" applyAlignment="1">
      <alignment vertical="center"/>
    </xf>
    <xf numFmtId="3" fontId="127" fillId="0" borderId="9" xfId="0" applyNumberFormat="1" applyFont="1" applyFill="1" applyBorder="1"/>
    <xf numFmtId="3" fontId="30" fillId="0" borderId="14" xfId="80" applyNumberFormat="1" applyFont="1" applyFill="1" applyBorder="1" applyAlignment="1">
      <alignment vertical="center"/>
    </xf>
    <xf numFmtId="3" fontId="28" fillId="0" borderId="76" xfId="80" applyNumberFormat="1" applyFont="1" applyFill="1" applyBorder="1" applyAlignment="1">
      <alignment vertical="center"/>
    </xf>
    <xf numFmtId="3" fontId="28" fillId="0" borderId="76" xfId="0" applyNumberFormat="1" applyFont="1" applyFill="1" applyBorder="1" applyAlignment="1">
      <alignment horizontal="right" vertical="center"/>
    </xf>
    <xf numFmtId="3" fontId="28" fillId="0" borderId="0" xfId="80" applyNumberFormat="1" applyFont="1" applyFill="1" applyBorder="1" applyAlignment="1">
      <alignment vertical="center"/>
    </xf>
    <xf numFmtId="3" fontId="28" fillId="0" borderId="46" xfId="0" applyNumberFormat="1" applyFont="1" applyFill="1" applyBorder="1" applyAlignment="1">
      <alignment vertical="center" wrapText="1"/>
    </xf>
    <xf numFmtId="3" fontId="28" fillId="0" borderId="46" xfId="0" applyNumberFormat="1" applyFont="1" applyFill="1" applyBorder="1" applyAlignment="1">
      <alignment horizontal="center" vertical="center" wrapText="1"/>
    </xf>
    <xf numFmtId="0" fontId="30" fillId="0" borderId="65" xfId="0" applyFont="1" applyFill="1" applyBorder="1" applyAlignment="1">
      <alignment horizontal="center" vertical="center"/>
    </xf>
    <xf numFmtId="173" fontId="28" fillId="0" borderId="0" xfId="0" applyNumberFormat="1" applyFont="1" applyFill="1" applyAlignment="1">
      <alignment horizontal="center" vertical="center"/>
    </xf>
    <xf numFmtId="3" fontId="28" fillId="0" borderId="76" xfId="156" applyNumberFormat="1" applyFont="1" applyFill="1" applyBorder="1" applyAlignment="1">
      <alignment horizontal="center" vertical="center" wrapText="1"/>
    </xf>
    <xf numFmtId="3" fontId="28" fillId="0" borderId="76" xfId="156" applyNumberFormat="1" applyFont="1" applyFill="1" applyBorder="1" applyAlignment="1">
      <alignment horizontal="right" vertical="center"/>
    </xf>
    <xf numFmtId="3" fontId="28" fillId="0" borderId="0" xfId="156" applyNumberFormat="1" applyFont="1" applyFill="1" applyBorder="1" applyAlignment="1">
      <alignment horizontal="center" vertical="center" wrapText="1"/>
    </xf>
    <xf numFmtId="3" fontId="28" fillId="0" borderId="0" xfId="156" applyNumberFormat="1" applyFont="1" applyFill="1" applyBorder="1" applyAlignment="1">
      <alignment horizontal="right" vertical="center"/>
    </xf>
    <xf numFmtId="3" fontId="28" fillId="0" borderId="65" xfId="156" applyNumberFormat="1" applyFont="1" applyFill="1" applyBorder="1" applyAlignment="1">
      <alignment horizontal="center" vertical="center" wrapText="1"/>
    </xf>
    <xf numFmtId="3" fontId="28" fillId="0" borderId="65" xfId="156" applyNumberFormat="1" applyFont="1" applyFill="1" applyBorder="1" applyAlignment="1">
      <alignment horizontal="right" vertical="center"/>
    </xf>
    <xf numFmtId="3" fontId="28" fillId="0" borderId="76" xfId="82" applyNumberFormat="1" applyFont="1" applyFill="1" applyBorder="1" applyAlignment="1">
      <alignment horizontal="right" vertical="center" wrapText="1"/>
    </xf>
    <xf numFmtId="3" fontId="28" fillId="0" borderId="0" xfId="82" applyNumberFormat="1" applyFont="1" applyFill="1" applyBorder="1" applyAlignment="1">
      <alignment horizontal="right" vertical="center" wrapText="1"/>
    </xf>
    <xf numFmtId="3" fontId="28" fillId="0" borderId="65" xfId="82" applyNumberFormat="1" applyFont="1" applyFill="1" applyBorder="1" applyAlignment="1">
      <alignment horizontal="right" vertical="center" wrapText="1"/>
    </xf>
    <xf numFmtId="3" fontId="34" fillId="0" borderId="76" xfId="156" applyNumberFormat="1" applyFont="1" applyFill="1" applyBorder="1" applyAlignment="1">
      <alignment horizontal="right" vertical="center"/>
    </xf>
    <xf numFmtId="3" fontId="34" fillId="0" borderId="0" xfId="156" applyNumberFormat="1" applyFont="1" applyFill="1" applyBorder="1" applyAlignment="1">
      <alignment horizontal="right" vertical="center"/>
    </xf>
    <xf numFmtId="3" fontId="34" fillId="0" borderId="65" xfId="156" applyNumberFormat="1" applyFont="1" applyFill="1" applyBorder="1" applyAlignment="1">
      <alignment horizontal="right" vertical="center"/>
    </xf>
    <xf numFmtId="0" fontId="114" fillId="0" borderId="14" xfId="218" applyFont="1" applyFill="1" applyBorder="1" applyAlignment="1">
      <alignment horizontal="center" vertical="center" wrapText="1"/>
    </xf>
    <xf numFmtId="0" fontId="114" fillId="0" borderId="14" xfId="218" applyFont="1" applyFill="1" applyBorder="1" applyAlignment="1">
      <alignment horizontal="center" vertical="center"/>
    </xf>
    <xf numFmtId="0" fontId="30" fillId="0" borderId="65" xfId="0" applyFont="1" applyFill="1" applyBorder="1" applyAlignment="1">
      <alignment horizontal="center"/>
    </xf>
    <xf numFmtId="0" fontId="28" fillId="0" borderId="70" xfId="0" applyFont="1" applyFill="1" applyBorder="1" applyAlignment="1">
      <alignment horizontal="center" vertical="center" wrapText="1"/>
    </xf>
    <xf numFmtId="0" fontId="28" fillId="0" borderId="14" xfId="0" applyFont="1" applyFill="1" applyBorder="1" applyAlignment="1">
      <alignment horizontal="center" vertical="center"/>
    </xf>
    <xf numFmtId="0" fontId="30" fillId="0" borderId="0" xfId="0" applyFont="1" applyFill="1" applyAlignment="1">
      <alignment horizontal="center" vertical="center"/>
    </xf>
    <xf numFmtId="0" fontId="112" fillId="0" borderId="14" xfId="0" applyFont="1" applyFill="1" applyBorder="1" applyAlignment="1">
      <alignment horizontal="center" vertical="center"/>
    </xf>
    <xf numFmtId="187" fontId="37" fillId="0" borderId="14" xfId="218" applyNumberFormat="1" applyFont="1" applyFill="1" applyBorder="1" applyAlignment="1">
      <alignment horizontal="center" vertical="center"/>
    </xf>
    <xf numFmtId="0" fontId="30" fillId="0" borderId="14" xfId="218" applyFont="1" applyFill="1" applyBorder="1" applyAlignment="1">
      <alignment horizontal="center" vertical="center"/>
    </xf>
    <xf numFmtId="0" fontId="116" fillId="0" borderId="14" xfId="218" applyFont="1" applyFill="1" applyBorder="1" applyAlignment="1">
      <alignment horizontal="center" vertical="center"/>
    </xf>
    <xf numFmtId="49" fontId="28" fillId="0" borderId="14" xfId="218" applyNumberFormat="1" applyFont="1" applyFill="1" applyBorder="1" applyAlignment="1">
      <alignment horizontal="justify" vertical="center" wrapText="1"/>
    </xf>
    <xf numFmtId="3" fontId="107" fillId="0" borderId="14" xfId="218" applyNumberFormat="1" applyFont="1" applyFill="1" applyBorder="1" applyAlignment="1">
      <alignment horizontal="center" vertical="center"/>
    </xf>
    <xf numFmtId="0" fontId="28" fillId="0" borderId="0" xfId="218" applyFont="1" applyFill="1" applyAlignment="1">
      <alignment vertical="center" wrapText="1"/>
    </xf>
    <xf numFmtId="174" fontId="28" fillId="0" borderId="0" xfId="218" applyNumberFormat="1" applyFont="1" applyFill="1" applyAlignment="1">
      <alignment vertical="center"/>
    </xf>
    <xf numFmtId="0" fontId="37" fillId="0" borderId="14" xfId="0" applyFont="1" applyFill="1" applyBorder="1" applyAlignment="1">
      <alignment vertical="center"/>
    </xf>
    <xf numFmtId="0" fontId="131" fillId="0" borderId="14" xfId="0" applyFont="1" applyFill="1" applyBorder="1" applyAlignment="1">
      <alignment horizontal="center" vertical="center" wrapText="1"/>
    </xf>
    <xf numFmtId="0" fontId="131" fillId="0" borderId="14" xfId="0" applyFont="1" applyFill="1" applyBorder="1" applyAlignment="1">
      <alignment horizontal="center" vertical="center"/>
    </xf>
    <xf numFmtId="0" fontId="28" fillId="0" borderId="65" xfId="218" applyFont="1" applyFill="1" applyBorder="1" applyAlignment="1">
      <alignment vertical="center"/>
    </xf>
    <xf numFmtId="3" fontId="46" fillId="0" borderId="14" xfId="218" applyNumberFormat="1" applyFont="1" applyFill="1" applyBorder="1" applyAlignment="1">
      <alignment vertical="center"/>
    </xf>
    <xf numFmtId="0" fontId="98" fillId="0" borderId="14" xfId="218" applyFont="1" applyFill="1" applyBorder="1" applyAlignment="1">
      <alignment horizontal="center" vertical="center"/>
    </xf>
    <xf numFmtId="0" fontId="30" fillId="0" borderId="84" xfId="0" applyFont="1" applyFill="1" applyBorder="1" applyAlignment="1">
      <alignment horizontal="center" vertical="center" wrapText="1"/>
    </xf>
    <xf numFmtId="0" fontId="30" fillId="0" borderId="85" xfId="0" applyFont="1" applyFill="1" applyBorder="1" applyAlignment="1">
      <alignment horizontal="center" vertical="center" wrapText="1"/>
    </xf>
    <xf numFmtId="0" fontId="28" fillId="0" borderId="83" xfId="0" applyFont="1" applyFill="1" applyBorder="1" applyAlignment="1">
      <alignment vertical="center"/>
    </xf>
    <xf numFmtId="0" fontId="28" fillId="0" borderId="85" xfId="0" applyFont="1" applyFill="1" applyBorder="1" applyAlignment="1">
      <alignment vertical="center" wrapText="1"/>
    </xf>
    <xf numFmtId="0" fontId="28" fillId="0" borderId="85" xfId="0" applyFont="1" applyFill="1" applyBorder="1" applyAlignment="1">
      <alignment horizontal="center" vertical="center" wrapText="1"/>
    </xf>
    <xf numFmtId="0" fontId="28" fillId="0" borderId="83" xfId="0" applyFont="1" applyFill="1" applyBorder="1" applyAlignment="1">
      <alignment horizontal="center" vertical="center"/>
    </xf>
    <xf numFmtId="0" fontId="37" fillId="0" borderId="0" xfId="218" applyFont="1" applyFill="1" applyAlignment="1">
      <alignment horizontal="center" vertical="center"/>
    </xf>
    <xf numFmtId="187" fontId="37" fillId="0" borderId="14" xfId="218" applyNumberFormat="1" applyFont="1" applyFill="1" applyBorder="1" applyAlignment="1">
      <alignment horizontal="center" vertical="center" wrapText="1"/>
    </xf>
    <xf numFmtId="0" fontId="37" fillId="0" borderId="0" xfId="218" applyFont="1" applyFill="1" applyAlignment="1">
      <alignment vertical="center" wrapText="1"/>
    </xf>
    <xf numFmtId="0" fontId="30" fillId="0" borderId="14" xfId="0" applyNumberFormat="1" applyFont="1" applyFill="1" applyBorder="1" applyAlignment="1">
      <alignment horizontal="center" vertical="center" wrapText="1"/>
    </xf>
    <xf numFmtId="0" fontId="30" fillId="0" borderId="14" xfId="0" applyNumberFormat="1" applyFont="1" applyFill="1" applyBorder="1" applyAlignment="1">
      <alignment vertical="center" wrapText="1"/>
    </xf>
    <xf numFmtId="0" fontId="28" fillId="0" borderId="14" xfId="0" applyNumberFormat="1" applyFont="1" applyFill="1" applyBorder="1" applyAlignment="1">
      <alignment horizontal="center" vertical="center" wrapText="1"/>
    </xf>
    <xf numFmtId="0" fontId="97" fillId="0" borderId="14" xfId="0" applyNumberFormat="1" applyFont="1" applyFill="1" applyBorder="1" applyAlignment="1">
      <alignment horizontal="center" vertical="center" wrapText="1"/>
    </xf>
    <xf numFmtId="3" fontId="30" fillId="0" borderId="14" xfId="0" applyNumberFormat="1" applyFont="1" applyFill="1" applyBorder="1" applyAlignment="1">
      <alignment vertical="center"/>
    </xf>
    <xf numFmtId="3" fontId="28" fillId="0" borderId="14" xfId="80" applyNumberFormat="1" applyFont="1" applyFill="1" applyBorder="1" applyAlignment="1">
      <alignment vertical="center"/>
    </xf>
    <xf numFmtId="0" fontId="30" fillId="0" borderId="14" xfId="0" applyNumberFormat="1" applyFont="1" applyFill="1" applyBorder="1" applyAlignment="1">
      <alignment horizontal="center" vertical="center"/>
    </xf>
    <xf numFmtId="3" fontId="28" fillId="0" borderId="14" xfId="80" applyNumberFormat="1" applyFont="1" applyFill="1" applyBorder="1"/>
    <xf numFmtId="173" fontId="28" fillId="0" borderId="15" xfId="0" applyNumberFormat="1" applyFont="1" applyFill="1" applyBorder="1" applyAlignment="1">
      <alignment horizontal="right" vertical="center" wrapText="1"/>
    </xf>
    <xf numFmtId="173" fontId="112" fillId="0" borderId="14" xfId="0" applyNumberFormat="1" applyFont="1" applyFill="1" applyBorder="1" applyAlignment="1">
      <alignment horizontal="center" vertical="center" wrapText="1"/>
    </xf>
    <xf numFmtId="3" fontId="28" fillId="0" borderId="14" xfId="80" applyNumberFormat="1" applyFont="1" applyFill="1" applyBorder="1" applyAlignment="1">
      <alignment horizontal="right" vertical="center"/>
    </xf>
    <xf numFmtId="3" fontId="28" fillId="0" borderId="14" xfId="80" applyNumberFormat="1" applyFont="1" applyFill="1" applyBorder="1" applyAlignment="1">
      <alignment horizontal="right"/>
    </xf>
    <xf numFmtId="0" fontId="97" fillId="0" borderId="70" xfId="0" applyNumberFormat="1" applyFont="1" applyFill="1" applyBorder="1" applyAlignment="1">
      <alignment horizontal="center" vertical="center" wrapText="1"/>
    </xf>
    <xf numFmtId="0" fontId="97" fillId="0" borderId="66" xfId="0" applyNumberFormat="1" applyFont="1" applyFill="1" applyBorder="1" applyAlignment="1">
      <alignment vertical="center" wrapText="1"/>
    </xf>
    <xf numFmtId="0" fontId="28" fillId="0" borderId="14" xfId="0" applyNumberFormat="1" applyFont="1" applyFill="1" applyBorder="1" applyAlignment="1">
      <alignment horizontal="center" vertical="center"/>
    </xf>
    <xf numFmtId="0" fontId="97" fillId="0" borderId="14" xfId="0" quotePrefix="1" applyNumberFormat="1" applyFont="1" applyFill="1" applyBorder="1" applyAlignment="1">
      <alignment horizontal="center" vertical="center"/>
    </xf>
    <xf numFmtId="3" fontId="32" fillId="0" borderId="14" xfId="80" applyNumberFormat="1" applyFont="1" applyFill="1" applyBorder="1"/>
    <xf numFmtId="49" fontId="28" fillId="0" borderId="14" xfId="0" applyNumberFormat="1" applyFont="1" applyFill="1" applyBorder="1" applyAlignment="1">
      <alignment vertical="center" wrapText="1"/>
    </xf>
    <xf numFmtId="0" fontId="107" fillId="0" borderId="14" xfId="0" quotePrefix="1" applyNumberFormat="1" applyFont="1" applyFill="1" applyBorder="1" applyAlignment="1">
      <alignment horizontal="center" vertical="center"/>
    </xf>
    <xf numFmtId="0" fontId="30" fillId="0" borderId="14" xfId="0" applyNumberFormat="1" applyFont="1" applyFill="1" applyBorder="1" applyAlignment="1">
      <alignment horizontal="left" vertical="center" wrapText="1"/>
    </xf>
    <xf numFmtId="174" fontId="28" fillId="0" borderId="14" xfId="0" applyNumberFormat="1" applyFont="1" applyFill="1" applyBorder="1" applyAlignment="1">
      <alignment horizontal="right" vertical="top" wrapText="1"/>
    </xf>
    <xf numFmtId="0" fontId="30" fillId="0" borderId="26" xfId="0" applyFont="1" applyFill="1" applyBorder="1" applyAlignment="1">
      <alignment horizontal="center" vertical="center" wrapText="1"/>
    </xf>
    <xf numFmtId="166" fontId="28" fillId="0" borderId="14" xfId="0" applyNumberFormat="1" applyFont="1" applyFill="1" applyBorder="1" applyAlignment="1">
      <alignment vertical="center" wrapText="1"/>
    </xf>
    <xf numFmtId="43" fontId="28" fillId="0" borderId="14" xfId="81" applyNumberFormat="1" applyFont="1" applyFill="1" applyBorder="1" applyAlignment="1">
      <alignment vertical="center" wrapText="1"/>
    </xf>
    <xf numFmtId="0" fontId="30" fillId="0" borderId="14" xfId="0" applyFont="1" applyFill="1" applyBorder="1" applyAlignment="1">
      <alignment horizontal="left" vertical="center" wrapText="1"/>
    </xf>
    <xf numFmtId="0" fontId="28" fillId="0" borderId="15" xfId="0" applyFont="1" applyFill="1" applyBorder="1" applyAlignment="1">
      <alignment horizontal="center" vertical="center"/>
    </xf>
    <xf numFmtId="0" fontId="28" fillId="0" borderId="15" xfId="0" applyFont="1" applyFill="1" applyBorder="1" applyAlignment="1">
      <alignment horizontal="left" vertical="center"/>
    </xf>
    <xf numFmtId="166" fontId="28" fillId="0" borderId="15" xfId="0" applyNumberFormat="1" applyFont="1" applyFill="1" applyBorder="1" applyAlignment="1">
      <alignment vertical="center"/>
    </xf>
    <xf numFmtId="43" fontId="28" fillId="0" borderId="15" xfId="81" applyNumberFormat="1" applyFont="1" applyFill="1" applyBorder="1" applyAlignment="1">
      <alignment vertical="center"/>
    </xf>
    <xf numFmtId="173" fontId="98" fillId="0" borderId="0" xfId="0" applyNumberFormat="1" applyFont="1" applyFill="1" applyAlignment="1">
      <alignment horizontal="right" vertical="center"/>
    </xf>
    <xf numFmtId="173" fontId="28" fillId="0" borderId="0" xfId="0" applyNumberFormat="1" applyFont="1" applyFill="1" applyAlignment="1">
      <alignment vertical="center"/>
    </xf>
    <xf numFmtId="165" fontId="28" fillId="0" borderId="14" xfId="80" applyNumberFormat="1" applyFont="1" applyFill="1" applyBorder="1" applyAlignment="1">
      <alignment horizontal="right" vertical="center"/>
    </xf>
    <xf numFmtId="173" fontId="28" fillId="0" borderId="14" xfId="0" applyNumberFormat="1" applyFont="1" applyFill="1" applyBorder="1" applyAlignment="1">
      <alignment horizontal="right" vertical="center"/>
    </xf>
    <xf numFmtId="9" fontId="28" fillId="0" borderId="14"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xf>
    <xf numFmtId="0" fontId="28" fillId="0" borderId="0" xfId="0" applyNumberFormat="1" applyFont="1" applyFill="1" applyBorder="1" applyAlignment="1">
      <alignment horizontal="left" vertical="center" wrapText="1"/>
    </xf>
    <xf numFmtId="165" fontId="28" fillId="0" borderId="0" xfId="80" applyNumberFormat="1" applyFont="1" applyFill="1" applyBorder="1" applyAlignment="1">
      <alignment horizontal="right" vertical="center"/>
    </xf>
    <xf numFmtId="9" fontId="28" fillId="0" borderId="0" xfId="0" applyNumberFormat="1" applyFont="1" applyFill="1" applyBorder="1" applyAlignment="1">
      <alignment horizontal="center" vertical="center" wrapText="1"/>
    </xf>
    <xf numFmtId="173" fontId="28" fillId="0" borderId="0" xfId="0" applyNumberFormat="1" applyFont="1" applyFill="1" applyBorder="1" applyAlignment="1">
      <alignment horizontal="right" vertical="center"/>
    </xf>
    <xf numFmtId="4" fontId="28" fillId="0" borderId="0" xfId="0" applyNumberFormat="1" applyFont="1" applyFill="1" applyBorder="1" applyAlignment="1">
      <alignment horizontal="right" vertical="center"/>
    </xf>
    <xf numFmtId="173" fontId="98" fillId="0" borderId="0" xfId="0" applyNumberFormat="1" applyFont="1" applyFill="1" applyAlignment="1">
      <alignment vertical="center"/>
    </xf>
    <xf numFmtId="4" fontId="28" fillId="0" borderId="0" xfId="0" applyNumberFormat="1" applyFont="1" applyFill="1" applyAlignment="1">
      <alignment vertical="center"/>
    </xf>
    <xf numFmtId="173" fontId="98" fillId="0" borderId="14" xfId="0" applyNumberFormat="1" applyFont="1" applyFill="1" applyBorder="1" applyAlignment="1">
      <alignment vertical="center"/>
    </xf>
    <xf numFmtId="173" fontId="28" fillId="0" borderId="14" xfId="0" applyNumberFormat="1" applyFont="1" applyFill="1" applyBorder="1" applyAlignment="1">
      <alignment vertical="center"/>
    </xf>
    <xf numFmtId="173" fontId="28" fillId="0" borderId="76" xfId="0" applyNumberFormat="1" applyFont="1" applyFill="1" applyBorder="1" applyAlignment="1">
      <alignment vertical="center"/>
    </xf>
    <xf numFmtId="4" fontId="28" fillId="0" borderId="76" xfId="0" applyNumberFormat="1" applyFont="1" applyFill="1" applyBorder="1" applyAlignment="1">
      <alignment vertical="center"/>
    </xf>
    <xf numFmtId="173" fontId="28" fillId="0" borderId="0" xfId="0" applyNumberFormat="1" applyFont="1" applyFill="1" applyBorder="1" applyAlignment="1">
      <alignment vertical="center"/>
    </xf>
    <xf numFmtId="4" fontId="28" fillId="0" borderId="0" xfId="0" applyNumberFormat="1" applyFont="1" applyFill="1" applyBorder="1" applyAlignment="1">
      <alignment vertical="center"/>
    </xf>
    <xf numFmtId="173" fontId="28" fillId="0" borderId="65" xfId="0" applyNumberFormat="1" applyFont="1" applyFill="1" applyBorder="1" applyAlignment="1">
      <alignment vertical="center"/>
    </xf>
    <xf numFmtId="4" fontId="28" fillId="0" borderId="65" xfId="0" applyNumberFormat="1" applyFont="1" applyFill="1" applyBorder="1" applyAlignment="1">
      <alignment vertical="center"/>
    </xf>
    <xf numFmtId="173" fontId="33" fillId="0" borderId="14" xfId="0" applyNumberFormat="1" applyFont="1" applyFill="1" applyBorder="1" applyAlignment="1">
      <alignment vertical="center"/>
    </xf>
    <xf numFmtId="173" fontId="28" fillId="0" borderId="15" xfId="0" applyNumberFormat="1" applyFont="1" applyFill="1" applyBorder="1" applyAlignment="1">
      <alignment vertical="center"/>
    </xf>
    <xf numFmtId="174" fontId="28" fillId="0" borderId="76" xfId="0" applyNumberFormat="1" applyFont="1" applyFill="1" applyBorder="1" applyAlignment="1">
      <alignment vertical="center"/>
    </xf>
    <xf numFmtId="174" fontId="28" fillId="0" borderId="0" xfId="0" applyNumberFormat="1" applyFont="1" applyFill="1" applyBorder="1" applyAlignment="1">
      <alignment vertical="center"/>
    </xf>
    <xf numFmtId="4" fontId="30" fillId="0" borderId="0" xfId="0" applyNumberFormat="1" applyFont="1" applyFill="1" applyAlignment="1">
      <alignment vertical="center"/>
    </xf>
    <xf numFmtId="174" fontId="28" fillId="0" borderId="14" xfId="0" applyNumberFormat="1" applyFont="1" applyFill="1" applyBorder="1" applyAlignment="1">
      <alignment vertical="center"/>
    </xf>
    <xf numFmtId="0" fontId="1" fillId="0" borderId="14" xfId="156" applyFont="1" applyFill="1" applyBorder="1" applyAlignment="1">
      <alignment horizontal="center" vertical="center"/>
    </xf>
    <xf numFmtId="182" fontId="30" fillId="0" borderId="14" xfId="82" applyNumberFormat="1" applyFont="1" applyFill="1" applyBorder="1" applyAlignment="1">
      <alignment vertical="top" wrapText="1"/>
    </xf>
    <xf numFmtId="3" fontId="127" fillId="0" borderId="14" xfId="156" applyNumberFormat="1" applyFont="1" applyFill="1" applyBorder="1" applyAlignment="1">
      <alignment vertical="center"/>
    </xf>
    <xf numFmtId="165" fontId="127" fillId="0" borderId="14" xfId="82" applyNumberFormat="1" applyFont="1" applyFill="1" applyBorder="1" applyAlignment="1">
      <alignment vertical="center"/>
    </xf>
    <xf numFmtId="165" fontId="127" fillId="0" borderId="14" xfId="82" applyNumberFormat="1" applyFont="1" applyFill="1" applyBorder="1" applyAlignment="1">
      <alignment horizontal="right" vertical="center"/>
    </xf>
    <xf numFmtId="0" fontId="1" fillId="0" borderId="14" xfId="156" applyFont="1" applyFill="1" applyBorder="1" applyAlignment="1">
      <alignment vertical="center"/>
    </xf>
    <xf numFmtId="0" fontId="28" fillId="0" borderId="14" xfId="156" applyFont="1" applyFill="1" applyBorder="1" applyAlignment="1">
      <alignment vertical="center" wrapText="1"/>
    </xf>
    <xf numFmtId="3" fontId="28" fillId="0" borderId="14" xfId="156" applyNumberFormat="1" applyFont="1" applyFill="1" applyBorder="1" applyAlignment="1">
      <alignment horizontal="center" vertical="center"/>
    </xf>
    <xf numFmtId="3" fontId="30" fillId="0" borderId="14" xfId="156" applyNumberFormat="1" applyFont="1" applyFill="1" applyBorder="1" applyAlignment="1">
      <alignment horizontal="center" vertical="center"/>
    </xf>
    <xf numFmtId="3" fontId="28" fillId="0" borderId="14" xfId="156" applyNumberFormat="1" applyFont="1" applyFill="1" applyBorder="1" applyAlignment="1">
      <alignment horizontal="right" vertical="center"/>
    </xf>
    <xf numFmtId="183" fontId="30" fillId="0" borderId="14" xfId="82" applyNumberFormat="1" applyFont="1" applyFill="1" applyBorder="1" applyAlignment="1">
      <alignment vertical="center" wrapText="1"/>
    </xf>
    <xf numFmtId="0" fontId="127" fillId="0" borderId="14" xfId="0" applyFont="1" applyFill="1" applyBorder="1" applyAlignment="1">
      <alignment horizontal="center" vertical="center" wrapText="1"/>
    </xf>
    <xf numFmtId="0" fontId="127" fillId="0" borderId="14" xfId="0" applyFont="1" applyFill="1" applyBorder="1" applyAlignment="1">
      <alignment horizontal="center" vertical="center"/>
    </xf>
    <xf numFmtId="0" fontId="108" fillId="0" borderId="14" xfId="0" applyFont="1" applyFill="1" applyBorder="1" applyAlignment="1">
      <alignment horizontal="center" vertical="center" wrapText="1"/>
    </xf>
    <xf numFmtId="3" fontId="28" fillId="0" borderId="14" xfId="0" applyNumberFormat="1" applyFont="1" applyFill="1" applyBorder="1" applyAlignment="1">
      <alignment horizontal="center" vertical="center" wrapText="1"/>
    </xf>
    <xf numFmtId="3" fontId="28" fillId="0" borderId="14" xfId="0" applyNumberFormat="1" applyFont="1" applyFill="1" applyBorder="1" applyAlignment="1">
      <alignment horizontal="center" vertical="center"/>
    </xf>
    <xf numFmtId="3" fontId="35" fillId="0" borderId="14" xfId="0" applyNumberFormat="1" applyFont="1" applyFill="1" applyBorder="1"/>
    <xf numFmtId="4" fontId="35" fillId="0" borderId="14" xfId="0" applyNumberFormat="1" applyFont="1" applyFill="1" applyBorder="1"/>
    <xf numFmtId="43" fontId="28" fillId="0" borderId="15" xfId="80" applyFont="1" applyFill="1" applyBorder="1" applyAlignment="1">
      <alignment vertical="center"/>
    </xf>
    <xf numFmtId="43" fontId="28" fillId="0" borderId="76" xfId="80" applyFont="1" applyFill="1" applyBorder="1" applyAlignment="1">
      <alignment vertical="center"/>
    </xf>
    <xf numFmtId="43" fontId="28" fillId="0" borderId="0" xfId="80" applyFont="1" applyFill="1" applyBorder="1" applyAlignment="1">
      <alignment vertical="center"/>
    </xf>
    <xf numFmtId="173" fontId="112" fillId="0" borderId="65" xfId="0" applyNumberFormat="1" applyFont="1" applyFill="1" applyBorder="1" applyAlignment="1">
      <alignment horizontal="right" vertical="center" wrapText="1"/>
    </xf>
    <xf numFmtId="43" fontId="30" fillId="0" borderId="65" xfId="80" applyFont="1" applyFill="1" applyBorder="1" applyAlignment="1">
      <alignment vertical="center"/>
    </xf>
    <xf numFmtId="173" fontId="28" fillId="0" borderId="14" xfId="0" applyNumberFormat="1" applyFont="1" applyFill="1" applyBorder="1" applyAlignment="1">
      <alignment horizontal="right" vertical="top" wrapText="1"/>
    </xf>
    <xf numFmtId="182" fontId="28" fillId="0" borderId="14" xfId="81" applyNumberFormat="1" applyFont="1" applyFill="1" applyBorder="1" applyAlignment="1">
      <alignment vertical="center"/>
    </xf>
    <xf numFmtId="182" fontId="28" fillId="0" borderId="14" xfId="81" applyNumberFormat="1" applyFont="1" applyFill="1" applyBorder="1" applyAlignment="1">
      <alignment vertical="center" wrapText="1"/>
    </xf>
    <xf numFmtId="0" fontId="28" fillId="0" borderId="15" xfId="0" applyFont="1" applyFill="1" applyBorder="1" applyAlignment="1">
      <alignment vertical="center"/>
    </xf>
    <xf numFmtId="165" fontId="28" fillId="0" borderId="0" xfId="80" applyNumberFormat="1" applyFont="1" applyFill="1" applyAlignment="1">
      <alignment horizontal="right" vertical="center"/>
    </xf>
    <xf numFmtId="4" fontId="30" fillId="0" borderId="14" xfId="0" applyNumberFormat="1" applyFont="1" applyFill="1" applyBorder="1" applyAlignment="1">
      <alignment horizontal="right" vertical="center"/>
    </xf>
    <xf numFmtId="165" fontId="28" fillId="0" borderId="0" xfId="80" applyNumberFormat="1" applyFont="1" applyFill="1" applyAlignment="1">
      <alignment vertical="center"/>
    </xf>
    <xf numFmtId="165" fontId="28" fillId="0" borderId="14" xfId="80" applyNumberFormat="1" applyFont="1" applyFill="1" applyBorder="1" applyAlignment="1">
      <alignment vertical="center"/>
    </xf>
    <xf numFmtId="4" fontId="28" fillId="0" borderId="46" xfId="0" applyNumberFormat="1" applyFont="1" applyFill="1" applyBorder="1" applyAlignment="1">
      <alignment vertical="center"/>
    </xf>
    <xf numFmtId="0" fontId="28" fillId="0" borderId="78" xfId="0" applyFont="1" applyFill="1" applyBorder="1" applyAlignment="1">
      <alignment horizontal="center" vertical="center"/>
    </xf>
    <xf numFmtId="0" fontId="28" fillId="0" borderId="46" xfId="0" applyFont="1" applyFill="1" applyBorder="1" applyAlignment="1">
      <alignment vertical="center" wrapText="1"/>
    </xf>
    <xf numFmtId="165" fontId="30" fillId="0" borderId="14" xfId="80" applyNumberFormat="1" applyFont="1" applyFill="1" applyBorder="1" applyAlignment="1">
      <alignment vertical="center"/>
    </xf>
    <xf numFmtId="0" fontId="28" fillId="0" borderId="15" xfId="0" applyFont="1" applyFill="1" applyBorder="1" applyAlignment="1">
      <alignment horizontal="left" vertical="center" wrapText="1"/>
    </xf>
    <xf numFmtId="173" fontId="30" fillId="0" borderId="15" xfId="0" applyNumberFormat="1" applyFont="1" applyFill="1" applyBorder="1" applyAlignment="1">
      <alignment vertical="center"/>
    </xf>
    <xf numFmtId="4" fontId="30" fillId="0" borderId="15" xfId="0" applyNumberFormat="1" applyFont="1" applyFill="1" applyBorder="1" applyAlignment="1">
      <alignment vertical="center"/>
    </xf>
    <xf numFmtId="173" fontId="30" fillId="0" borderId="0" xfId="0" applyNumberFormat="1" applyFont="1" applyFill="1" applyBorder="1" applyAlignment="1">
      <alignment vertical="center"/>
    </xf>
    <xf numFmtId="4" fontId="30" fillId="0" borderId="0" xfId="0" applyNumberFormat="1" applyFont="1" applyFill="1" applyBorder="1" applyAlignment="1">
      <alignment vertical="center"/>
    </xf>
    <xf numFmtId="4" fontId="35" fillId="0" borderId="14"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182" fontId="28" fillId="0" borderId="14" xfId="156" applyNumberFormat="1" applyFont="1" applyFill="1" applyBorder="1" applyAlignment="1">
      <alignment horizontal="center" vertical="center" wrapText="1"/>
    </xf>
    <xf numFmtId="0" fontId="126" fillId="0" borderId="14" xfId="0" applyFont="1" applyFill="1" applyBorder="1" applyAlignment="1">
      <alignment horizontal="left" vertical="center" wrapText="1"/>
    </xf>
    <xf numFmtId="0" fontId="97" fillId="0" borderId="70" xfId="0" applyFont="1" applyFill="1" applyBorder="1" applyAlignment="1">
      <alignment horizontal="center" vertical="center" wrapText="1"/>
    </xf>
    <xf numFmtId="0" fontId="97" fillId="0" borderId="70" xfId="0" applyFont="1" applyFill="1" applyBorder="1" applyAlignment="1">
      <alignment vertical="center" wrapText="1"/>
    </xf>
    <xf numFmtId="3" fontId="32" fillId="0" borderId="14" xfId="0" applyNumberFormat="1" applyFont="1" applyFill="1" applyBorder="1" applyAlignment="1">
      <alignment horizontal="center" vertical="center"/>
    </xf>
    <xf numFmtId="43" fontId="28" fillId="0" borderId="76" xfId="0" applyNumberFormat="1" applyFont="1" applyFill="1" applyBorder="1" applyAlignment="1">
      <alignment horizontal="right"/>
    </xf>
    <xf numFmtId="43" fontId="30" fillId="0" borderId="65" xfId="0" applyNumberFormat="1" applyFont="1" applyFill="1" applyBorder="1"/>
    <xf numFmtId="174" fontId="28" fillId="0" borderId="14" xfId="0" applyNumberFormat="1" applyFont="1" applyFill="1" applyBorder="1" applyAlignment="1">
      <alignment horizontal="right" vertical="center"/>
    </xf>
    <xf numFmtId="166" fontId="28" fillId="0" borderId="14" xfId="0" applyNumberFormat="1" applyFont="1" applyFill="1" applyBorder="1" applyAlignment="1">
      <alignment horizontal="right" vertical="center"/>
    </xf>
    <xf numFmtId="0" fontId="28" fillId="0" borderId="14" xfId="0" applyFont="1" applyFill="1" applyBorder="1" applyAlignment="1">
      <alignment horizontal="right" vertical="center"/>
    </xf>
    <xf numFmtId="172" fontId="28" fillId="0" borderId="14" xfId="0" applyNumberFormat="1" applyFont="1" applyFill="1" applyBorder="1" applyAlignment="1">
      <alignment vertical="center"/>
    </xf>
    <xf numFmtId="166" fontId="28" fillId="0" borderId="14" xfId="0" applyNumberFormat="1" applyFont="1" applyFill="1" applyBorder="1" applyAlignment="1">
      <alignment horizontal="left" vertical="center" wrapText="1"/>
    </xf>
    <xf numFmtId="166" fontId="28" fillId="0" borderId="14" xfId="0" applyNumberFormat="1" applyFont="1" applyFill="1" applyBorder="1" applyAlignment="1">
      <alignment horizontal="left" vertical="center"/>
    </xf>
    <xf numFmtId="0" fontId="28" fillId="0" borderId="14" xfId="0" quotePrefix="1" applyFont="1" applyFill="1" applyBorder="1" applyAlignment="1">
      <alignment horizontal="center" vertical="center"/>
    </xf>
    <xf numFmtId="166" fontId="28" fillId="0" borderId="15" xfId="0" applyNumberFormat="1" applyFont="1" applyFill="1" applyBorder="1" applyAlignment="1">
      <alignment horizontal="right" vertical="center"/>
    </xf>
    <xf numFmtId="174" fontId="30" fillId="0" borderId="76" xfId="0" applyNumberFormat="1" applyFont="1" applyFill="1" applyBorder="1" applyAlignment="1">
      <alignment horizontal="center" vertical="center"/>
    </xf>
    <xf numFmtId="165" fontId="28" fillId="0" borderId="14" xfId="81" applyNumberFormat="1" applyFont="1" applyFill="1" applyBorder="1" applyAlignment="1">
      <alignment vertical="center"/>
    </xf>
    <xf numFmtId="165" fontId="32" fillId="0" borderId="14" xfId="81" applyNumberFormat="1" applyFont="1" applyFill="1" applyBorder="1" applyAlignment="1">
      <alignment horizontal="center" vertical="center"/>
    </xf>
    <xf numFmtId="9" fontId="129" fillId="0" borderId="14" xfId="0" applyNumberFormat="1"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65" xfId="0" applyFont="1" applyFill="1" applyBorder="1" applyAlignment="1">
      <alignment horizontal="center" vertical="center" wrapText="1"/>
    </xf>
    <xf numFmtId="4" fontId="32" fillId="0" borderId="14" xfId="0" applyNumberFormat="1" applyFont="1" applyFill="1" applyBorder="1" applyAlignment="1">
      <alignment horizontal="right" vertical="center"/>
    </xf>
    <xf numFmtId="174" fontId="28" fillId="0" borderId="65" xfId="0" applyNumberFormat="1" applyFont="1" applyFill="1" applyBorder="1" applyAlignment="1">
      <alignment vertical="center"/>
    </xf>
    <xf numFmtId="173" fontId="30" fillId="0" borderId="14" xfId="0" applyNumberFormat="1" applyFont="1" applyFill="1" applyBorder="1" applyAlignment="1">
      <alignment vertical="center"/>
    </xf>
    <xf numFmtId="182" fontId="30" fillId="0" borderId="14" xfId="82" applyNumberFormat="1" applyFont="1" applyFill="1" applyBorder="1" applyAlignment="1">
      <alignment horizontal="right" vertical="center"/>
    </xf>
    <xf numFmtId="3" fontId="30" fillId="0" borderId="14" xfId="82" applyNumberFormat="1" applyFont="1" applyFill="1" applyBorder="1" applyAlignment="1">
      <alignment horizontal="center" vertical="center"/>
    </xf>
    <xf numFmtId="3" fontId="30" fillId="0" borderId="14" xfId="156" applyNumberFormat="1" applyFont="1" applyFill="1" applyBorder="1" applyAlignment="1">
      <alignment horizontal="right" vertical="center"/>
    </xf>
    <xf numFmtId="3" fontId="36" fillId="0" borderId="14" xfId="156" applyNumberFormat="1" applyFont="1" applyFill="1" applyBorder="1" applyAlignment="1">
      <alignment horizontal="right" vertical="center"/>
    </xf>
    <xf numFmtId="0" fontId="28" fillId="0" borderId="14" xfId="156" applyFont="1" applyFill="1" applyBorder="1" applyAlignment="1">
      <alignment horizontal="justify" vertical="center"/>
    </xf>
    <xf numFmtId="182" fontId="28" fillId="0" borderId="14" xfId="82" applyNumberFormat="1" applyFont="1" applyFill="1" applyBorder="1" applyAlignment="1">
      <alignment horizontal="right" vertical="center" wrapText="1"/>
    </xf>
    <xf numFmtId="3" fontId="28" fillId="0" borderId="14" xfId="156" applyNumberFormat="1" applyFont="1" applyFill="1" applyBorder="1" applyAlignment="1">
      <alignment horizontal="center" vertical="center" wrapText="1"/>
    </xf>
    <xf numFmtId="3" fontId="28" fillId="0" borderId="14" xfId="82" applyNumberFormat="1" applyFont="1" applyFill="1" applyBorder="1" applyAlignment="1">
      <alignment horizontal="right" vertical="center" wrapText="1"/>
    </xf>
    <xf numFmtId="3" fontId="34" fillId="0" borderId="14" xfId="156" applyNumberFormat="1" applyFont="1" applyFill="1" applyBorder="1" applyAlignment="1">
      <alignment horizontal="right" vertical="center"/>
    </xf>
    <xf numFmtId="185" fontId="28" fillId="0" borderId="14" xfId="82" applyNumberFormat="1" applyFont="1" applyFill="1" applyBorder="1" applyAlignment="1">
      <alignment horizontal="right" vertical="center" wrapText="1"/>
    </xf>
    <xf numFmtId="0" fontId="129" fillId="0" borderId="14" xfId="156" applyFont="1" applyFill="1" applyBorder="1" applyAlignment="1">
      <alignment horizontal="center" vertical="center" wrapText="1"/>
    </xf>
    <xf numFmtId="3" fontId="129" fillId="0" borderId="14" xfId="156" applyNumberFormat="1" applyFont="1" applyFill="1" applyBorder="1" applyAlignment="1">
      <alignment horizontal="center" vertical="center" wrapText="1"/>
    </xf>
    <xf numFmtId="182" fontId="28" fillId="0" borderId="14" xfId="82" applyNumberFormat="1" applyFont="1" applyFill="1" applyBorder="1" applyAlignment="1">
      <alignment horizontal="right" vertical="center"/>
    </xf>
    <xf numFmtId="3" fontId="28" fillId="0" borderId="14" xfId="82" applyNumberFormat="1" applyFont="1" applyFill="1" applyBorder="1" applyAlignment="1">
      <alignment horizontal="right" vertical="center"/>
    </xf>
    <xf numFmtId="183" fontId="1" fillId="0" borderId="14" xfId="82" applyNumberFormat="1" applyFont="1" applyFill="1" applyBorder="1" applyAlignment="1">
      <alignment horizontal="right" vertical="center"/>
    </xf>
    <xf numFmtId="3" fontId="1" fillId="0" borderId="14" xfId="156" applyNumberFormat="1" applyFont="1" applyFill="1" applyBorder="1" applyAlignment="1">
      <alignment horizontal="center" vertical="center"/>
    </xf>
    <xf numFmtId="3" fontId="1" fillId="0" borderId="14" xfId="82" applyNumberFormat="1" applyFont="1" applyFill="1" applyBorder="1" applyAlignment="1">
      <alignment horizontal="right" vertical="center"/>
    </xf>
    <xf numFmtId="3" fontId="35" fillId="0" borderId="14" xfId="156" applyNumberFormat="1" applyFont="1" applyFill="1" applyBorder="1" applyAlignment="1">
      <alignment horizontal="right" vertical="center"/>
    </xf>
    <xf numFmtId="3" fontId="30" fillId="0" borderId="14" xfId="156" applyNumberFormat="1" applyFont="1" applyFill="1" applyBorder="1" applyAlignment="1">
      <alignment horizontal="center" vertical="center" wrapText="1"/>
    </xf>
    <xf numFmtId="3" fontId="30" fillId="0" borderId="14" xfId="82" applyNumberFormat="1" applyFont="1" applyFill="1" applyBorder="1" applyAlignment="1">
      <alignment horizontal="center" vertical="center" wrapText="1"/>
    </xf>
    <xf numFmtId="0" fontId="116" fillId="0" borderId="14" xfId="156" applyFont="1" applyFill="1" applyBorder="1" applyAlignment="1">
      <alignment horizontal="center" vertical="center" wrapText="1"/>
    </xf>
    <xf numFmtId="0" fontId="116" fillId="0" borderId="14" xfId="156" applyFont="1" applyFill="1" applyBorder="1" applyAlignment="1">
      <alignment horizontal="left" vertical="center" wrapText="1"/>
    </xf>
    <xf numFmtId="3" fontId="1" fillId="0" borderId="14" xfId="156" applyNumberFormat="1" applyFont="1" applyFill="1" applyBorder="1" applyAlignment="1">
      <alignment horizontal="right" vertical="center"/>
    </xf>
    <xf numFmtId="0" fontId="116" fillId="0" borderId="14" xfId="156" applyFont="1" applyFill="1" applyBorder="1" applyAlignment="1">
      <alignment horizontal="justify" vertical="center" wrapText="1"/>
    </xf>
    <xf numFmtId="0" fontId="116" fillId="0" borderId="14" xfId="156" quotePrefix="1" applyFont="1" applyFill="1" applyBorder="1" applyAlignment="1">
      <alignment horizontal="justify" vertical="center" wrapText="1"/>
    </xf>
    <xf numFmtId="3" fontId="30" fillId="0" borderId="14" xfId="82" applyNumberFormat="1" applyFont="1" applyFill="1" applyBorder="1" applyAlignment="1">
      <alignment horizontal="right" vertical="center" wrapText="1"/>
    </xf>
    <xf numFmtId="3" fontId="28" fillId="0" borderId="15" xfId="0" applyNumberFormat="1" applyFont="1" applyFill="1" applyBorder="1" applyAlignment="1">
      <alignment vertical="center"/>
    </xf>
    <xf numFmtId="4" fontId="28" fillId="0" borderId="14" xfId="81" applyNumberFormat="1" applyFont="1" applyFill="1" applyBorder="1" applyAlignment="1">
      <alignment horizontal="right" vertical="center"/>
    </xf>
    <xf numFmtId="4" fontId="28" fillId="0" borderId="14" xfId="0" applyNumberFormat="1" applyFont="1" applyFill="1" applyBorder="1" applyAlignment="1">
      <alignment horizontal="center" vertical="center"/>
    </xf>
    <xf numFmtId="165" fontId="28" fillId="0" borderId="0" xfId="81" applyNumberFormat="1" applyFont="1" applyFill="1" applyAlignment="1">
      <alignment vertical="center"/>
    </xf>
    <xf numFmtId="165" fontId="28" fillId="0" borderId="0" xfId="0" applyNumberFormat="1" applyFont="1" applyFill="1" applyAlignment="1">
      <alignment vertical="center"/>
    </xf>
    <xf numFmtId="3" fontId="28" fillId="0" borderId="15" xfId="0" applyNumberFormat="1" applyFont="1" applyFill="1" applyBorder="1"/>
    <xf numFmtId="3" fontId="28" fillId="0" borderId="76" xfId="0" applyNumberFormat="1" applyFont="1" applyFill="1" applyBorder="1"/>
    <xf numFmtId="3" fontId="28" fillId="0" borderId="0" xfId="0" applyNumberFormat="1" applyFont="1" applyFill="1" applyBorder="1"/>
    <xf numFmtId="3" fontId="30" fillId="0" borderId="65" xfId="0" applyNumberFormat="1" applyFont="1" applyFill="1" applyBorder="1"/>
    <xf numFmtId="3" fontId="30" fillId="0" borderId="14" xfId="81" applyNumberFormat="1" applyFont="1" applyFill="1" applyBorder="1" applyAlignment="1">
      <alignment horizontal="center" vertical="center" wrapText="1"/>
    </xf>
    <xf numFmtId="3" fontId="28" fillId="0" borderId="14" xfId="81" applyNumberFormat="1" applyFont="1" applyFill="1" applyBorder="1" applyAlignment="1">
      <alignment horizontal="right" vertical="center"/>
    </xf>
    <xf numFmtId="3" fontId="28" fillId="0" borderId="14" xfId="81" applyNumberFormat="1" applyFont="1" applyFill="1" applyBorder="1" applyAlignment="1">
      <alignment vertical="center"/>
    </xf>
    <xf numFmtId="0" fontId="13" fillId="0" borderId="0" xfId="0" applyFont="1" applyFill="1"/>
    <xf numFmtId="0" fontId="31" fillId="0" borderId="0" xfId="0" applyFont="1" applyFill="1" applyAlignment="1">
      <alignment horizontal="left"/>
    </xf>
    <xf numFmtId="0" fontId="28" fillId="0" borderId="17" xfId="0" applyFont="1" applyFill="1" applyBorder="1" applyAlignment="1">
      <alignment horizontal="center"/>
    </xf>
    <xf numFmtId="0" fontId="28" fillId="0" borderId="18" xfId="0" applyFont="1" applyFill="1" applyBorder="1" applyAlignment="1">
      <alignment horizontal="center"/>
    </xf>
    <xf numFmtId="0" fontId="28" fillId="0" borderId="18" xfId="0" applyFont="1" applyFill="1" applyBorder="1" applyAlignment="1">
      <alignment horizontal="center" wrapText="1"/>
    </xf>
    <xf numFmtId="0" fontId="28" fillId="0" borderId="19" xfId="0" applyFont="1" applyFill="1" applyBorder="1" applyAlignment="1">
      <alignment horizontal="center"/>
    </xf>
    <xf numFmtId="0" fontId="28" fillId="0" borderId="20" xfId="0" applyFont="1" applyFill="1" applyBorder="1" applyAlignment="1">
      <alignment horizontal="center"/>
    </xf>
    <xf numFmtId="0" fontId="28" fillId="0" borderId="16" xfId="0" applyFont="1" applyFill="1" applyBorder="1" applyAlignment="1">
      <alignment horizontal="center"/>
    </xf>
    <xf numFmtId="165" fontId="30" fillId="0" borderId="16" xfId="80" applyNumberFormat="1" applyFont="1" applyFill="1" applyBorder="1" applyAlignment="1">
      <alignment horizontal="center"/>
    </xf>
    <xf numFmtId="9" fontId="28" fillId="0" borderId="16" xfId="0" applyNumberFormat="1" applyFont="1" applyFill="1" applyBorder="1" applyAlignment="1">
      <alignment horizontal="center"/>
    </xf>
    <xf numFmtId="0" fontId="28" fillId="0" borderId="16" xfId="0" applyFont="1" applyFill="1" applyBorder="1" applyAlignment="1">
      <alignment horizontal="center" wrapText="1"/>
    </xf>
    <xf numFmtId="186" fontId="28" fillId="0" borderId="16" xfId="0" applyNumberFormat="1" applyFont="1" applyFill="1" applyBorder="1" applyAlignment="1">
      <alignment horizontal="center"/>
    </xf>
    <xf numFmtId="0" fontId="28" fillId="0" borderId="21" xfId="0" applyFont="1" applyFill="1" applyBorder="1" applyAlignment="1">
      <alignment horizontal="center" wrapText="1"/>
    </xf>
    <xf numFmtId="0" fontId="28" fillId="0" borderId="26" xfId="0" applyFont="1" applyFill="1" applyBorder="1" applyAlignment="1">
      <alignment horizontal="center"/>
    </xf>
    <xf numFmtId="0" fontId="28" fillId="0" borderId="21" xfId="0" applyFont="1" applyFill="1" applyBorder="1" applyAlignment="1">
      <alignment horizontal="center"/>
    </xf>
    <xf numFmtId="0" fontId="28" fillId="0" borderId="27" xfId="0" applyFont="1" applyFill="1" applyBorder="1" applyAlignment="1">
      <alignment horizontal="center"/>
    </xf>
    <xf numFmtId="0" fontId="32" fillId="0" borderId="14" xfId="0" applyFont="1" applyFill="1" applyBorder="1" applyAlignment="1">
      <alignment horizontal="center"/>
    </xf>
    <xf numFmtId="0" fontId="32" fillId="0" borderId="28" xfId="0" applyFont="1" applyFill="1" applyBorder="1" applyAlignment="1">
      <alignment horizontal="center"/>
    </xf>
    <xf numFmtId="0" fontId="29" fillId="0" borderId="22" xfId="0" applyFont="1" applyFill="1" applyBorder="1" applyAlignment="1">
      <alignment horizontal="left"/>
    </xf>
    <xf numFmtId="0" fontId="28" fillId="0" borderId="29" xfId="0" applyFont="1" applyFill="1" applyBorder="1" applyAlignment="1">
      <alignment horizontal="center"/>
    </xf>
    <xf numFmtId="0" fontId="32" fillId="0" borderId="29" xfId="0" applyFont="1" applyFill="1" applyBorder="1" applyAlignment="1">
      <alignment horizontal="center"/>
    </xf>
    <xf numFmtId="0" fontId="32" fillId="0" borderId="29" xfId="0" applyFont="1" applyFill="1" applyBorder="1" applyAlignment="1">
      <alignment horizontal="right"/>
    </xf>
    <xf numFmtId="0" fontId="32" fillId="0" borderId="30" xfId="0" applyFont="1" applyFill="1" applyBorder="1" applyAlignment="1">
      <alignment horizontal="right"/>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2" fillId="0" borderId="24" xfId="0" applyFont="1" applyFill="1" applyBorder="1" applyAlignment="1">
      <alignment horizontal="center"/>
    </xf>
    <xf numFmtId="0" fontId="32" fillId="0" borderId="24" xfId="0" applyFont="1" applyFill="1" applyBorder="1" applyAlignment="1">
      <alignment horizontal="right"/>
    </xf>
    <xf numFmtId="165" fontId="28" fillId="0" borderId="31" xfId="80" applyNumberFormat="1" applyFont="1" applyFill="1" applyBorder="1" applyAlignment="1">
      <alignment horizontal="right"/>
    </xf>
    <xf numFmtId="0" fontId="28" fillId="0" borderId="23" xfId="0" applyFont="1" applyFill="1" applyBorder="1" applyAlignment="1">
      <alignment horizontal="center"/>
    </xf>
    <xf numFmtId="0" fontId="28" fillId="0" borderId="24" xfId="0" applyFont="1" applyFill="1" applyBorder="1" applyAlignment="1">
      <alignment horizontal="center"/>
    </xf>
    <xf numFmtId="165" fontId="28" fillId="0" borderId="24" xfId="0" applyNumberFormat="1" applyFont="1" applyFill="1" applyBorder="1" applyAlignment="1">
      <alignment horizontal="right"/>
    </xf>
    <xf numFmtId="165" fontId="28" fillId="0" borderId="24" xfId="80" applyNumberFormat="1" applyFont="1" applyFill="1" applyBorder="1" applyAlignment="1">
      <alignment horizontal="right"/>
    </xf>
    <xf numFmtId="165" fontId="112" fillId="0" borderId="24" xfId="80" applyNumberFormat="1" applyFont="1" applyFill="1" applyBorder="1" applyAlignment="1">
      <alignment horizontal="right"/>
    </xf>
    <xf numFmtId="2" fontId="28" fillId="0" borderId="24" xfId="0" applyNumberFormat="1" applyFont="1" applyFill="1" applyBorder="1" applyAlignment="1">
      <alignment horizontal="center"/>
    </xf>
    <xf numFmtId="0" fontId="30" fillId="0" borderId="24" xfId="0" applyFont="1" applyFill="1" applyBorder="1" applyAlignment="1">
      <alignment horizontal="left"/>
    </xf>
    <xf numFmtId="0" fontId="29" fillId="0" borderId="25" xfId="0" applyFont="1" applyFill="1" applyBorder="1" applyAlignment="1">
      <alignment horizontal="left"/>
    </xf>
    <xf numFmtId="0" fontId="32" fillId="0" borderId="34" xfId="0" applyFont="1" applyFill="1" applyBorder="1" applyAlignment="1">
      <alignment horizontal="center"/>
    </xf>
    <xf numFmtId="0" fontId="32" fillId="0" borderId="34" xfId="0" applyFont="1" applyFill="1" applyBorder="1" applyAlignment="1">
      <alignment horizontal="right"/>
    </xf>
    <xf numFmtId="0" fontId="128" fillId="0" borderId="34" xfId="0" applyFont="1" applyFill="1" applyBorder="1" applyAlignment="1">
      <alignment horizontal="right"/>
    </xf>
    <xf numFmtId="165" fontId="28" fillId="0" borderId="34" xfId="80" applyNumberFormat="1" applyFont="1" applyFill="1" applyBorder="1" applyAlignment="1">
      <alignment horizontal="right"/>
    </xf>
    <xf numFmtId="0" fontId="32" fillId="0" borderId="35" xfId="0" applyFont="1" applyFill="1" applyBorder="1" applyAlignment="1">
      <alignment horizontal="right"/>
    </xf>
    <xf numFmtId="165" fontId="28" fillId="0" borderId="0" xfId="0" applyNumberFormat="1" applyFont="1" applyFill="1"/>
    <xf numFmtId="165" fontId="28" fillId="0" borderId="40" xfId="80" applyNumberFormat="1" applyFont="1" applyFill="1" applyBorder="1" applyAlignment="1">
      <alignment horizontal="right"/>
    </xf>
    <xf numFmtId="43" fontId="28" fillId="0" borderId="40" xfId="80" applyNumberFormat="1" applyFont="1" applyFill="1" applyBorder="1" applyAlignment="1">
      <alignment horizontal="right"/>
    </xf>
    <xf numFmtId="165" fontId="28" fillId="0" borderId="41" xfId="80" applyNumberFormat="1" applyFont="1" applyFill="1" applyBorder="1" applyAlignment="1">
      <alignment horizontal="right"/>
    </xf>
    <xf numFmtId="0" fontId="28" fillId="0" borderId="34" xfId="0" applyFont="1" applyFill="1" applyBorder="1" applyAlignment="1">
      <alignment horizontal="center"/>
    </xf>
    <xf numFmtId="2" fontId="28" fillId="0" borderId="34" xfId="0" applyNumberFormat="1" applyFont="1" applyFill="1" applyBorder="1" applyAlignment="1">
      <alignment horizontal="center"/>
    </xf>
    <xf numFmtId="165" fontId="28" fillId="0" borderId="34" xfId="0" applyNumberFormat="1" applyFont="1" applyFill="1" applyBorder="1" applyAlignment="1">
      <alignment horizontal="right"/>
    </xf>
    <xf numFmtId="165" fontId="28" fillId="0" borderId="35" xfId="80" applyNumberFormat="1" applyFont="1" applyFill="1" applyBorder="1" applyAlignment="1">
      <alignment horizontal="right"/>
    </xf>
    <xf numFmtId="0" fontId="30" fillId="0" borderId="36" xfId="0" applyFont="1" applyFill="1" applyBorder="1" applyAlignment="1">
      <alignment horizontal="left"/>
    </xf>
    <xf numFmtId="2" fontId="28" fillId="0" borderId="37" xfId="0" applyNumberFormat="1" applyFont="1" applyFill="1" applyBorder="1" applyAlignment="1">
      <alignment horizontal="center"/>
    </xf>
    <xf numFmtId="43" fontId="28" fillId="0" borderId="24" xfId="80" applyNumberFormat="1" applyFont="1" applyFill="1" applyBorder="1" applyAlignment="1">
      <alignment horizontal="right"/>
    </xf>
    <xf numFmtId="0" fontId="112" fillId="0" borderId="23" xfId="0" applyFont="1" applyFill="1" applyBorder="1" applyAlignment="1">
      <alignment horizontal="center"/>
    </xf>
    <xf numFmtId="165" fontId="112" fillId="0" borderId="24" xfId="0" applyNumberFormat="1" applyFont="1" applyFill="1" applyBorder="1" applyAlignment="1">
      <alignment horizontal="right"/>
    </xf>
    <xf numFmtId="43" fontId="112" fillId="0" borderId="24" xfId="80" applyNumberFormat="1" applyFont="1" applyFill="1" applyBorder="1" applyAlignment="1">
      <alignment horizontal="right"/>
    </xf>
    <xf numFmtId="165" fontId="112" fillId="0" borderId="31" xfId="80" applyNumberFormat="1" applyFont="1" applyFill="1" applyBorder="1" applyAlignment="1">
      <alignment horizontal="right"/>
    </xf>
    <xf numFmtId="0" fontId="28" fillId="0" borderId="36" xfId="0" applyFont="1" applyFill="1" applyBorder="1" applyAlignment="1">
      <alignment horizontal="left"/>
    </xf>
    <xf numFmtId="0" fontId="28" fillId="0" borderId="45" xfId="0" applyFont="1" applyFill="1" applyBorder="1" applyAlignment="1">
      <alignment horizontal="left"/>
    </xf>
    <xf numFmtId="165" fontId="127" fillId="0" borderId="31" xfId="80" applyNumberFormat="1" applyFont="1" applyFill="1" applyBorder="1" applyAlignment="1">
      <alignment horizontal="right"/>
    </xf>
    <xf numFmtId="0" fontId="30" fillId="0" borderId="38" xfId="0" applyFont="1" applyFill="1" applyBorder="1" applyAlignment="1">
      <alignment horizontal="center"/>
    </xf>
    <xf numFmtId="0" fontId="30" fillId="0" borderId="32" xfId="0" applyFont="1" applyFill="1" applyBorder="1" applyAlignment="1">
      <alignment horizontal="center"/>
    </xf>
    <xf numFmtId="2" fontId="28" fillId="0" borderId="32" xfId="0" applyNumberFormat="1" applyFont="1" applyFill="1" applyBorder="1" applyAlignment="1">
      <alignment horizontal="center"/>
    </xf>
    <xf numFmtId="165" fontId="28" fillId="0" borderId="32" xfId="0" applyNumberFormat="1" applyFont="1" applyFill="1" applyBorder="1" applyAlignment="1">
      <alignment horizontal="right"/>
    </xf>
    <xf numFmtId="165" fontId="28" fillId="0" borderId="32" xfId="80" applyNumberFormat="1" applyFont="1" applyFill="1" applyBorder="1" applyAlignment="1">
      <alignment horizontal="right"/>
    </xf>
    <xf numFmtId="165" fontId="28" fillId="0" borderId="33" xfId="80" applyNumberFormat="1" applyFont="1" applyFill="1" applyBorder="1" applyAlignment="1">
      <alignment horizontal="right"/>
    </xf>
    <xf numFmtId="0" fontId="112" fillId="0" borderId="14" xfId="0" applyNumberFormat="1" applyFont="1" applyFill="1" applyBorder="1" applyAlignment="1">
      <alignment horizontal="center" vertical="center"/>
    </xf>
    <xf numFmtId="0" fontId="126" fillId="0" borderId="14" xfId="0" applyNumberFormat="1" applyFont="1" applyFill="1" applyBorder="1" applyAlignment="1">
      <alignment horizontal="center" vertical="center" wrapText="1"/>
    </xf>
    <xf numFmtId="0" fontId="126" fillId="0" borderId="66" xfId="0" applyNumberFormat="1" applyFont="1" applyFill="1" applyBorder="1" applyAlignment="1">
      <alignment vertical="center" wrapText="1"/>
    </xf>
    <xf numFmtId="3" fontId="112" fillId="0" borderId="14" xfId="80" applyNumberFormat="1" applyFont="1" applyFill="1" applyBorder="1" applyAlignment="1">
      <alignment horizontal="right" vertical="center"/>
    </xf>
    <xf numFmtId="0" fontId="126" fillId="0" borderId="70" xfId="0" applyNumberFormat="1" applyFont="1" applyFill="1" applyBorder="1" applyAlignment="1">
      <alignment horizontal="center" vertical="center" wrapText="1"/>
    </xf>
    <xf numFmtId="173" fontId="112" fillId="0" borderId="14" xfId="0" applyNumberFormat="1" applyFont="1" applyFill="1" applyBorder="1" applyAlignment="1">
      <alignment horizontal="right" vertical="center" wrapText="1"/>
    </xf>
    <xf numFmtId="3" fontId="28" fillId="0" borderId="0" xfId="0" applyNumberFormat="1" applyFont="1" applyFill="1" applyAlignment="1">
      <alignment horizontal="left"/>
    </xf>
    <xf numFmtId="0" fontId="30" fillId="0" borderId="42" xfId="0" applyFont="1" applyFill="1" applyBorder="1" applyAlignment="1">
      <alignment horizontal="center" vertical="center" wrapText="1"/>
    </xf>
    <xf numFmtId="0" fontId="30" fillId="0" borderId="43" xfId="0" applyFont="1" applyFill="1" applyBorder="1" applyAlignment="1">
      <alignment horizontal="center" vertical="center" wrapText="1"/>
    </xf>
    <xf numFmtId="3" fontId="30" fillId="0" borderId="44" xfId="0" applyNumberFormat="1" applyFont="1" applyFill="1" applyBorder="1" applyAlignment="1">
      <alignment horizontal="center" vertical="center" wrapText="1"/>
    </xf>
    <xf numFmtId="0" fontId="30" fillId="0" borderId="0" xfId="0" applyFont="1" applyFill="1" applyAlignment="1">
      <alignment vertical="center" wrapText="1"/>
    </xf>
    <xf numFmtId="0" fontId="28" fillId="0" borderId="14" xfId="0" quotePrefix="1" applyFont="1" applyFill="1" applyBorder="1" applyAlignment="1">
      <alignment horizontal="center" vertical="center" wrapText="1"/>
    </xf>
    <xf numFmtId="165" fontId="28" fillId="0" borderId="0" xfId="0" applyNumberFormat="1" applyFont="1" applyFill="1" applyAlignment="1">
      <alignment horizontal="center"/>
    </xf>
    <xf numFmtId="3" fontId="28" fillId="0" borderId="0" xfId="0" applyNumberFormat="1" applyFont="1" applyFill="1" applyAlignment="1">
      <alignment horizontal="right"/>
    </xf>
    <xf numFmtId="3" fontId="28" fillId="0" borderId="31" xfId="0" applyNumberFormat="1" applyFont="1" applyFill="1" applyBorder="1" applyAlignment="1">
      <alignment horizontal="right" vertical="center"/>
    </xf>
    <xf numFmtId="165" fontId="28" fillId="0" borderId="24" xfId="82" applyNumberFormat="1" applyFont="1" applyFill="1" applyBorder="1" applyAlignment="1">
      <alignment horizontal="right" vertical="center"/>
    </xf>
    <xf numFmtId="9" fontId="28" fillId="0" borderId="40" xfId="172" applyFont="1" applyFill="1" applyBorder="1" applyAlignment="1">
      <alignment horizontal="right" vertical="center"/>
    </xf>
    <xf numFmtId="3" fontId="28" fillId="0" borderId="41" xfId="0" applyNumberFormat="1" applyFont="1" applyFill="1" applyBorder="1" applyAlignment="1">
      <alignment horizontal="right" vertical="center"/>
    </xf>
    <xf numFmtId="0" fontId="135" fillId="0" borderId="23" xfId="0" applyFont="1" applyFill="1" applyBorder="1" applyAlignment="1">
      <alignment horizontal="center" vertical="center" wrapText="1"/>
    </xf>
    <xf numFmtId="0" fontId="135" fillId="0" borderId="24" xfId="0" applyFont="1" applyFill="1" applyBorder="1" applyAlignment="1">
      <alignment horizontal="justify" vertical="center" wrapText="1"/>
    </xf>
    <xf numFmtId="0" fontId="135" fillId="0" borderId="24" xfId="0" applyFont="1" applyFill="1" applyBorder="1" applyAlignment="1">
      <alignment horizontal="center" vertical="center" wrapText="1"/>
    </xf>
    <xf numFmtId="165" fontId="135" fillId="0" borderId="24" xfId="80" applyNumberFormat="1" applyFont="1" applyFill="1" applyBorder="1" applyAlignment="1">
      <alignment horizontal="right" vertical="center"/>
    </xf>
    <xf numFmtId="3" fontId="135" fillId="0" borderId="31" xfId="0" applyNumberFormat="1" applyFont="1" applyFill="1" applyBorder="1" applyAlignment="1">
      <alignment horizontal="right" vertical="center"/>
    </xf>
    <xf numFmtId="0" fontId="135" fillId="0" borderId="0" xfId="0" applyFont="1" applyFill="1" applyAlignment="1">
      <alignment vertical="center"/>
    </xf>
    <xf numFmtId="0" fontId="112" fillId="0" borderId="23" xfId="0" applyFont="1" applyFill="1" applyBorder="1" applyAlignment="1">
      <alignment horizontal="center" vertical="center" wrapText="1"/>
    </xf>
    <xf numFmtId="165" fontId="112" fillId="0" borderId="24" xfId="80" applyNumberFormat="1" applyFont="1" applyFill="1" applyBorder="1" applyAlignment="1">
      <alignment horizontal="right" vertical="center"/>
    </xf>
    <xf numFmtId="3" fontId="112" fillId="0" borderId="31" xfId="0" applyNumberFormat="1" applyFont="1" applyFill="1" applyBorder="1" applyAlignment="1">
      <alignment horizontal="right" vertical="center"/>
    </xf>
    <xf numFmtId="0" fontId="112" fillId="0" borderId="0" xfId="0" applyFont="1" applyFill="1" applyAlignment="1">
      <alignment vertical="center"/>
    </xf>
    <xf numFmtId="3" fontId="34" fillId="0" borderId="0" xfId="156" applyNumberFormat="1" applyFont="1" applyFill="1" applyAlignment="1">
      <alignment vertical="center"/>
    </xf>
    <xf numFmtId="0" fontId="30" fillId="0" borderId="0" xfId="156" applyFont="1" applyFill="1" applyAlignment="1">
      <alignment horizontal="center" vertical="center"/>
    </xf>
    <xf numFmtId="3" fontId="38" fillId="0" borderId="66" xfId="218" applyNumberFormat="1" applyFont="1" applyFill="1" applyBorder="1" applyAlignment="1">
      <alignment horizontal="center" vertical="center"/>
    </xf>
    <xf numFmtId="3" fontId="38" fillId="0" borderId="14" xfId="218" applyNumberFormat="1" applyFont="1" applyFill="1" applyBorder="1" applyAlignment="1">
      <alignment horizontal="center" vertical="center"/>
    </xf>
    <xf numFmtId="0" fontId="37" fillId="29" borderId="14" xfId="218" applyFont="1" applyFill="1" applyBorder="1" applyAlignment="1">
      <alignment vertical="center"/>
    </xf>
    <xf numFmtId="0" fontId="37" fillId="29" borderId="14" xfId="218" applyFont="1" applyFill="1" applyBorder="1" applyAlignment="1">
      <alignment vertical="center" wrapText="1"/>
    </xf>
    <xf numFmtId="3" fontId="28" fillId="0" borderId="0" xfId="0" applyNumberFormat="1" applyFont="1" applyFill="1" applyAlignment="1">
      <alignment horizontal="center"/>
    </xf>
    <xf numFmtId="173" fontId="28" fillId="0" borderId="0" xfId="0" applyNumberFormat="1" applyFont="1" applyFill="1" applyAlignment="1">
      <alignment horizontal="right" vertical="center"/>
    </xf>
    <xf numFmtId="0" fontId="30" fillId="0" borderId="0" xfId="156" applyFont="1" applyFill="1" applyAlignment="1">
      <alignment horizontal="center" vertical="center" wrapText="1"/>
    </xf>
    <xf numFmtId="0" fontId="28" fillId="0" borderId="14" xfId="156" applyFont="1" applyFill="1" applyBorder="1" applyAlignment="1">
      <alignment vertical="center"/>
    </xf>
    <xf numFmtId="0" fontId="28" fillId="0" borderId="14" xfId="156" applyFont="1" applyFill="1" applyBorder="1" applyAlignment="1">
      <alignment horizontal="center" vertical="center"/>
    </xf>
    <xf numFmtId="0" fontId="28" fillId="0" borderId="65" xfId="156" applyFont="1" applyFill="1" applyBorder="1" applyAlignment="1">
      <alignment vertical="center"/>
    </xf>
    <xf numFmtId="0" fontId="28" fillId="0" borderId="0" xfId="156" applyFont="1" applyFill="1" applyBorder="1" applyAlignment="1">
      <alignment vertical="center"/>
    </xf>
    <xf numFmtId="183" fontId="28" fillId="0" borderId="14" xfId="82" applyNumberFormat="1" applyFont="1" applyFill="1" applyBorder="1" applyAlignment="1">
      <alignment vertical="center"/>
    </xf>
    <xf numFmtId="4" fontId="28" fillId="0" borderId="14" xfId="156" applyNumberFormat="1" applyFont="1" applyFill="1" applyBorder="1" applyAlignment="1">
      <alignment vertical="center"/>
    </xf>
    <xf numFmtId="0" fontId="28" fillId="0" borderId="76" xfId="156" applyFont="1" applyFill="1" applyBorder="1" applyAlignment="1">
      <alignment vertical="center"/>
    </xf>
    <xf numFmtId="0" fontId="28" fillId="0" borderId="14" xfId="0" applyFont="1" applyFill="1" applyBorder="1" applyAlignment="1">
      <alignment horizontal="center" vertical="center"/>
    </xf>
    <xf numFmtId="0" fontId="28" fillId="0" borderId="15" xfId="0" applyFont="1" applyFill="1" applyBorder="1" applyAlignment="1">
      <alignment vertical="center" wrapText="1"/>
    </xf>
    <xf numFmtId="173" fontId="98" fillId="0" borderId="0" xfId="0" applyNumberFormat="1" applyFont="1" applyFill="1" applyBorder="1" applyAlignment="1">
      <alignment vertical="center"/>
    </xf>
    <xf numFmtId="165" fontId="28" fillId="0" borderId="0" xfId="81" applyNumberFormat="1" applyFont="1" applyFill="1" applyBorder="1" applyAlignment="1">
      <alignment vertical="center"/>
    </xf>
    <xf numFmtId="165" fontId="28" fillId="0" borderId="65" xfId="81" applyNumberFormat="1" applyFont="1" applyFill="1" applyBorder="1" applyAlignment="1">
      <alignment vertical="center"/>
    </xf>
    <xf numFmtId="173" fontId="28" fillId="0" borderId="15" xfId="0" applyNumberFormat="1" applyFont="1" applyFill="1" applyBorder="1" applyAlignment="1">
      <alignment horizontal="center" vertical="center"/>
    </xf>
    <xf numFmtId="174" fontId="28" fillId="0" borderId="15" xfId="0" applyNumberFormat="1" applyFont="1" applyFill="1" applyBorder="1" applyAlignment="1">
      <alignment horizontal="center" vertical="center"/>
    </xf>
    <xf numFmtId="188" fontId="28" fillId="0" borderId="0" xfId="156" applyNumberFormat="1" applyFont="1" applyFill="1" applyAlignment="1">
      <alignment vertical="center"/>
    </xf>
    <xf numFmtId="0" fontId="112" fillId="0" borderId="54" xfId="0" applyFont="1" applyFill="1" applyBorder="1" applyAlignment="1">
      <alignment horizontal="left"/>
    </xf>
    <xf numFmtId="0" fontId="112" fillId="0" borderId="69" xfId="0" applyFont="1" applyFill="1" applyBorder="1" applyAlignment="1">
      <alignment horizontal="left"/>
    </xf>
    <xf numFmtId="0" fontId="12" fillId="0" borderId="0" xfId="0" applyFont="1" applyFill="1" applyAlignment="1">
      <alignment horizontal="center"/>
    </xf>
    <xf numFmtId="0" fontId="28" fillId="0" borderId="54" xfId="0" applyFont="1" applyFill="1" applyBorder="1" applyAlignment="1">
      <alignment horizontal="left"/>
    </xf>
    <xf numFmtId="0" fontId="28" fillId="0" borderId="69" xfId="0" applyFont="1" applyFill="1" applyBorder="1" applyAlignment="1">
      <alignment horizontal="left"/>
    </xf>
    <xf numFmtId="0" fontId="28" fillId="0" borderId="18"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26" xfId="0" applyFont="1" applyFill="1" applyBorder="1" applyAlignment="1">
      <alignment horizontal="center" vertical="center"/>
    </xf>
    <xf numFmtId="0" fontId="30" fillId="0" borderId="0" xfId="0" applyFont="1" applyFill="1" applyAlignment="1">
      <alignment horizontal="center"/>
    </xf>
    <xf numFmtId="0" fontId="30" fillId="0" borderId="0" xfId="0" applyFont="1" applyAlignment="1">
      <alignment horizontal="center" vertical="center"/>
    </xf>
    <xf numFmtId="0" fontId="30" fillId="0" borderId="65" xfId="0" applyFont="1" applyFill="1" applyBorder="1" applyAlignment="1">
      <alignment horizontal="center"/>
    </xf>
    <xf numFmtId="0" fontId="28" fillId="0" borderId="70"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7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8" fillId="0" borderId="14" xfId="0" applyFont="1" applyFill="1" applyBorder="1" applyAlignment="1">
      <alignment horizontal="center" vertical="center"/>
    </xf>
    <xf numFmtId="0" fontId="30" fillId="0" borderId="0" xfId="156" applyFont="1" applyFill="1" applyAlignment="1">
      <alignment horizontal="center" vertical="center"/>
    </xf>
    <xf numFmtId="0" fontId="28" fillId="0" borderId="70" xfId="0" applyFont="1" applyBorder="1" applyAlignment="1">
      <alignment horizontal="center" vertical="center"/>
    </xf>
    <xf numFmtId="0" fontId="28" fillId="0" borderId="9" xfId="0" applyFont="1" applyBorder="1" applyAlignment="1">
      <alignment horizontal="center" vertical="center"/>
    </xf>
    <xf numFmtId="0" fontId="28" fillId="0" borderId="66" xfId="0" applyFont="1" applyBorder="1" applyAlignment="1">
      <alignment horizontal="center" vertical="center"/>
    </xf>
    <xf numFmtId="0" fontId="28" fillId="0" borderId="7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66" xfId="0" applyFont="1" applyBorder="1" applyAlignment="1">
      <alignment horizontal="center" vertical="center" wrapText="1"/>
    </xf>
    <xf numFmtId="0" fontId="30" fillId="0" borderId="0" xfId="0" applyFont="1" applyFill="1" applyAlignment="1">
      <alignment horizontal="center" vertical="center"/>
    </xf>
    <xf numFmtId="0" fontId="30" fillId="29" borderId="0" xfId="218" applyFont="1" applyFill="1" applyAlignment="1">
      <alignment horizontal="left" vertical="center"/>
    </xf>
    <xf numFmtId="0" fontId="116" fillId="29" borderId="14" xfId="218" applyFont="1" applyFill="1" applyBorder="1" applyAlignment="1">
      <alignment horizontal="center" vertical="center"/>
    </xf>
    <xf numFmtId="0" fontId="28" fillId="29" borderId="0" xfId="218" applyFont="1" applyFill="1" applyAlignment="1">
      <alignment horizontal="left" vertical="center" wrapText="1"/>
    </xf>
    <xf numFmtId="0" fontId="28" fillId="29" borderId="0" xfId="218" applyFont="1" applyFill="1" applyAlignment="1">
      <alignment horizontal="left" vertical="center"/>
    </xf>
    <xf numFmtId="0" fontId="30" fillId="0" borderId="78" xfId="218" applyFont="1" applyFill="1" applyBorder="1" applyAlignment="1">
      <alignment horizontal="left" vertical="center"/>
    </xf>
    <xf numFmtId="0" fontId="30" fillId="0" borderId="16" xfId="218" applyFont="1" applyFill="1" applyBorder="1" applyAlignment="1">
      <alignment horizontal="left" vertical="center"/>
    </xf>
    <xf numFmtId="0" fontId="30" fillId="0" borderId="46" xfId="218" applyFont="1" applyFill="1" applyBorder="1" applyAlignment="1">
      <alignment horizontal="left" vertical="center"/>
    </xf>
    <xf numFmtId="0" fontId="114" fillId="0" borderId="14" xfId="218" applyFont="1" applyFill="1" applyBorder="1" applyAlignment="1">
      <alignment horizontal="center" vertical="center" wrapText="1"/>
    </xf>
    <xf numFmtId="3" fontId="114" fillId="0" borderId="14" xfId="218" applyNumberFormat="1" applyFont="1" applyFill="1" applyBorder="1" applyAlignment="1">
      <alignment horizontal="center" vertical="center" wrapText="1"/>
    </xf>
    <xf numFmtId="0" fontId="114" fillId="0" borderId="14" xfId="218" applyFont="1" applyFill="1" applyBorder="1" applyAlignment="1">
      <alignment horizontal="center" vertical="center"/>
    </xf>
    <xf numFmtId="0" fontId="12" fillId="0" borderId="0" xfId="218" applyFont="1" applyFill="1" applyAlignment="1">
      <alignment horizontal="center" vertical="center"/>
    </xf>
    <xf numFmtId="3" fontId="30" fillId="0" borderId="14" xfId="218" applyNumberFormat="1" applyFont="1" applyFill="1" applyBorder="1" applyAlignment="1">
      <alignment horizontal="center" vertical="center" wrapText="1"/>
    </xf>
    <xf numFmtId="0" fontId="30" fillId="29" borderId="46" xfId="218" applyFont="1" applyFill="1" applyBorder="1" applyAlignment="1">
      <alignment horizontal="center" vertical="center"/>
    </xf>
    <xf numFmtId="0" fontId="107" fillId="0" borderId="0" xfId="156" applyFont="1" applyAlignment="1">
      <alignment horizontal="center" vertical="center"/>
    </xf>
    <xf numFmtId="0" fontId="108" fillId="0" borderId="0" xfId="217" applyFont="1" applyAlignment="1">
      <alignment horizontal="center" vertical="center"/>
    </xf>
    <xf numFmtId="3" fontId="108" fillId="0" borderId="0" xfId="82" applyNumberFormat="1" applyFont="1" applyBorder="1" applyAlignment="1">
      <alignment horizontal="right" vertical="center"/>
    </xf>
    <xf numFmtId="3" fontId="28" fillId="0" borderId="0" xfId="0" applyNumberFormat="1" applyFont="1" applyFill="1" applyBorder="1" applyAlignment="1">
      <alignment horizontal="center" wrapText="1"/>
    </xf>
    <xf numFmtId="0" fontId="112" fillId="0" borderId="70" xfId="0" applyFont="1" applyFill="1" applyBorder="1" applyAlignment="1">
      <alignment horizontal="center" vertical="center" wrapText="1"/>
    </xf>
    <xf numFmtId="0" fontId="112" fillId="0" borderId="9" xfId="0" applyFont="1" applyFill="1" applyBorder="1" applyAlignment="1">
      <alignment horizontal="center" vertical="center" wrapText="1"/>
    </xf>
    <xf numFmtId="0" fontId="30" fillId="0" borderId="0" xfId="0" applyFont="1" applyFill="1" applyBorder="1" applyAlignment="1">
      <alignment horizontal="center"/>
    </xf>
    <xf numFmtId="0" fontId="112" fillId="0" borderId="14" xfId="0" applyFont="1" applyFill="1" applyBorder="1" applyAlignment="1">
      <alignment horizontal="center" vertical="center"/>
    </xf>
    <xf numFmtId="0" fontId="132" fillId="29" borderId="14" xfId="218" applyFont="1" applyFill="1" applyBorder="1" applyAlignment="1">
      <alignment horizontal="center" vertical="center"/>
    </xf>
    <xf numFmtId="0" fontId="112" fillId="29" borderId="14" xfId="218" applyFont="1" applyFill="1" applyBorder="1" applyAlignment="1">
      <alignment horizontal="center" vertical="center" wrapText="1"/>
    </xf>
    <xf numFmtId="0" fontId="30" fillId="0" borderId="14" xfId="218" applyFont="1" applyFill="1" applyBorder="1" applyAlignment="1">
      <alignment horizontal="center" vertical="center"/>
    </xf>
    <xf numFmtId="0" fontId="30" fillId="0" borderId="14" xfId="218" applyFont="1" applyFill="1" applyBorder="1" applyAlignment="1">
      <alignment horizontal="center" vertical="center" wrapText="1"/>
    </xf>
    <xf numFmtId="0" fontId="28" fillId="29" borderId="53" xfId="218" applyFont="1" applyFill="1" applyBorder="1" applyAlignment="1">
      <alignment horizontal="center" vertical="center"/>
    </xf>
    <xf numFmtId="0" fontId="28" fillId="29" borderId="65" xfId="218" applyFont="1" applyFill="1" applyBorder="1" applyAlignment="1">
      <alignment horizontal="center" vertical="center"/>
    </xf>
    <xf numFmtId="0" fontId="28" fillId="29" borderId="72" xfId="218" applyFont="1" applyFill="1" applyBorder="1" applyAlignment="1">
      <alignment horizontal="center" vertical="center"/>
    </xf>
    <xf numFmtId="0" fontId="116" fillId="29" borderId="15" xfId="218" applyFont="1" applyFill="1" applyBorder="1" applyAlignment="1">
      <alignment horizontal="center" vertical="center" wrapText="1"/>
    </xf>
    <xf numFmtId="0" fontId="116" fillId="29" borderId="26" xfId="218" applyFont="1" applyFill="1" applyBorder="1" applyAlignment="1">
      <alignment horizontal="center" vertical="center" wrapText="1"/>
    </xf>
    <xf numFmtId="3" fontId="114" fillId="0" borderId="71" xfId="218" applyNumberFormat="1" applyFont="1" applyFill="1" applyBorder="1" applyAlignment="1">
      <alignment horizontal="center" vertical="center" wrapText="1"/>
    </xf>
    <xf numFmtId="3" fontId="114" fillId="0" borderId="72" xfId="218" applyNumberFormat="1" applyFont="1" applyFill="1" applyBorder="1" applyAlignment="1">
      <alignment horizontal="center" vertical="center" wrapText="1"/>
    </xf>
    <xf numFmtId="3" fontId="30" fillId="0" borderId="66" xfId="218" applyNumberFormat="1" applyFont="1" applyFill="1" applyBorder="1" applyAlignment="1">
      <alignment horizontal="center" vertical="center" wrapText="1"/>
    </xf>
    <xf numFmtId="3" fontId="35" fillId="0" borderId="0" xfId="218" applyNumberFormat="1" applyFont="1" applyFill="1" applyBorder="1" applyAlignment="1">
      <alignment horizontal="center" vertical="center"/>
    </xf>
    <xf numFmtId="0" fontId="30" fillId="0" borderId="0" xfId="218" applyFont="1" applyFill="1" applyAlignment="1">
      <alignment horizontal="center" vertical="center"/>
    </xf>
    <xf numFmtId="0" fontId="130" fillId="0" borderId="70" xfId="0" applyFont="1" applyFill="1" applyBorder="1" applyAlignment="1">
      <alignment horizontal="center" vertical="center" wrapText="1"/>
    </xf>
    <xf numFmtId="0" fontId="130" fillId="0" borderId="9" xfId="0" applyFont="1" applyFill="1" applyBorder="1" applyAlignment="1">
      <alignment horizontal="center" vertical="center" wrapText="1"/>
    </xf>
    <xf numFmtId="0" fontId="130" fillId="0" borderId="66" xfId="0" applyFont="1" applyFill="1" applyBorder="1" applyAlignment="1">
      <alignment horizontal="center" vertical="center" wrapText="1"/>
    </xf>
    <xf numFmtId="0" fontId="107" fillId="0" borderId="0" xfId="0" applyFont="1" applyFill="1" applyAlignment="1">
      <alignment horizontal="center" vertical="center" wrapText="1"/>
    </xf>
    <xf numFmtId="3" fontId="35" fillId="0" borderId="65" xfId="218" applyNumberFormat="1" applyFont="1" applyFill="1" applyBorder="1" applyAlignment="1">
      <alignment horizontal="center" vertical="center"/>
    </xf>
    <xf numFmtId="0" fontId="28" fillId="0" borderId="14" xfId="218" applyFont="1" applyFill="1" applyBorder="1" applyAlignment="1">
      <alignment horizontal="center" vertical="center"/>
    </xf>
    <xf numFmtId="3" fontId="30" fillId="0" borderId="29" xfId="218" applyNumberFormat="1" applyFont="1" applyFill="1" applyBorder="1" applyAlignment="1">
      <alignment horizontal="center" vertical="center" wrapText="1"/>
    </xf>
    <xf numFmtId="3" fontId="30" fillId="0" borderId="24" xfId="218" applyNumberFormat="1" applyFont="1" applyFill="1" applyBorder="1" applyAlignment="1">
      <alignment horizontal="center" vertical="center" wrapText="1"/>
    </xf>
    <xf numFmtId="0" fontId="30" fillId="0" borderId="82" xfId="0" applyFont="1" applyFill="1" applyBorder="1" applyAlignment="1">
      <alignment horizontal="center" vertical="center"/>
    </xf>
    <xf numFmtId="0" fontId="30" fillId="0" borderId="83" xfId="0" applyFont="1" applyFill="1" applyBorder="1" applyAlignment="1">
      <alignment horizontal="center" vertical="center"/>
    </xf>
    <xf numFmtId="0" fontId="28" fillId="29" borderId="14" xfId="218" applyFont="1" applyFill="1" applyBorder="1" applyAlignment="1">
      <alignment horizontal="center" vertical="center" wrapText="1"/>
    </xf>
    <xf numFmtId="0" fontId="30" fillId="0" borderId="0" xfId="218" applyFont="1" applyFill="1" applyAlignment="1">
      <alignment horizontal="left" vertical="center"/>
    </xf>
    <xf numFmtId="0" fontId="28" fillId="29" borderId="15" xfId="218" applyFont="1" applyFill="1" applyBorder="1" applyAlignment="1">
      <alignment horizontal="center" vertical="center"/>
    </xf>
    <xf numFmtId="0" fontId="28" fillId="29" borderId="26" xfId="218" applyFont="1" applyFill="1" applyBorder="1" applyAlignment="1">
      <alignment horizontal="center" vertical="center"/>
    </xf>
    <xf numFmtId="0" fontId="28" fillId="29" borderId="70" xfId="218" applyFont="1" applyFill="1" applyBorder="1" applyAlignment="1">
      <alignment horizontal="center" vertical="center"/>
    </xf>
    <xf numFmtId="0" fontId="28" fillId="29" borderId="9" xfId="218" applyFont="1" applyFill="1" applyBorder="1" applyAlignment="1">
      <alignment horizontal="center" vertical="center"/>
    </xf>
    <xf numFmtId="0" fontId="28" fillId="29" borderId="66" xfId="218" applyFont="1" applyFill="1" applyBorder="1" applyAlignment="1">
      <alignment horizontal="center" vertical="center"/>
    </xf>
    <xf numFmtId="0" fontId="107" fillId="0" borderId="0" xfId="0" applyFont="1" applyFill="1" applyAlignment="1">
      <alignment horizontal="center" vertical="center"/>
    </xf>
    <xf numFmtId="0" fontId="37" fillId="29" borderId="0" xfId="218" applyFont="1" applyFill="1" applyAlignment="1">
      <alignment horizontal="left" vertical="center" wrapText="1"/>
    </xf>
    <xf numFmtId="0" fontId="37" fillId="29" borderId="0" xfId="218" applyFont="1" applyFill="1" applyAlignment="1">
      <alignment horizontal="left" vertical="center"/>
    </xf>
    <xf numFmtId="0" fontId="38" fillId="0" borderId="0" xfId="218" applyFont="1" applyFill="1" applyAlignment="1">
      <alignment horizontal="left" vertical="center"/>
    </xf>
    <xf numFmtId="3" fontId="38" fillId="0" borderId="66" xfId="218" applyNumberFormat="1" applyFont="1" applyFill="1" applyBorder="1" applyAlignment="1">
      <alignment horizontal="center" vertical="center" wrapText="1"/>
    </xf>
    <xf numFmtId="3" fontId="38" fillId="0" borderId="14" xfId="218" applyNumberFormat="1" applyFont="1" applyFill="1" applyBorder="1" applyAlignment="1">
      <alignment horizontal="center" vertical="center" wrapText="1"/>
    </xf>
    <xf numFmtId="0" fontId="130" fillId="0" borderId="0" xfId="218" applyFont="1" applyFill="1" applyAlignment="1">
      <alignment horizontal="center" vertical="center"/>
    </xf>
    <xf numFmtId="3" fontId="134" fillId="0" borderId="65" xfId="218" applyNumberFormat="1" applyFont="1" applyFill="1" applyBorder="1" applyAlignment="1">
      <alignment horizontal="center" vertical="center"/>
    </xf>
    <xf numFmtId="0" fontId="30" fillId="0" borderId="15" xfId="218" applyFont="1" applyFill="1" applyBorder="1" applyAlignment="1">
      <alignment horizontal="center" vertical="center"/>
    </xf>
    <xf numFmtId="0" fontId="30" fillId="0" borderId="16" xfId="218" applyFont="1" applyFill="1" applyBorder="1" applyAlignment="1">
      <alignment horizontal="center" vertical="center"/>
    </xf>
    <xf numFmtId="0" fontId="30" fillId="0" borderId="26" xfId="218" applyFont="1" applyFill="1" applyBorder="1" applyAlignment="1">
      <alignment horizontal="center" vertical="center"/>
    </xf>
    <xf numFmtId="0" fontId="30" fillId="0" borderId="15" xfId="218" applyFont="1" applyFill="1" applyBorder="1" applyAlignment="1">
      <alignment horizontal="center" vertical="center" wrapText="1"/>
    </xf>
    <xf numFmtId="0" fontId="30" fillId="0" borderId="16" xfId="218" applyFont="1" applyFill="1" applyBorder="1" applyAlignment="1">
      <alignment horizontal="center" vertical="center" wrapText="1"/>
    </xf>
    <xf numFmtId="0" fontId="30" fillId="0" borderId="26" xfId="218" applyFont="1" applyFill="1" applyBorder="1" applyAlignment="1">
      <alignment horizontal="center" vertical="center" wrapText="1"/>
    </xf>
    <xf numFmtId="0" fontId="30" fillId="0" borderId="0" xfId="0" applyFont="1" applyAlignment="1">
      <alignment horizontal="center" vertical="center" wrapText="1"/>
    </xf>
    <xf numFmtId="0" fontId="33" fillId="26" borderId="48" xfId="0" applyFont="1" applyFill="1" applyBorder="1" applyAlignment="1">
      <alignment horizontal="justify"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5" fillId="0" borderId="68"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51"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0" fillId="0" borderId="0" xfId="0" applyFont="1" applyAlignment="1">
      <alignment horizontal="center"/>
    </xf>
    <xf numFmtId="0" fontId="30" fillId="25" borderId="42" xfId="0" applyFont="1" applyFill="1" applyBorder="1" applyAlignment="1">
      <alignment horizontal="center" vertical="center" wrapText="1"/>
    </xf>
    <xf numFmtId="0" fontId="30" fillId="25" borderId="27" xfId="0" applyFont="1" applyFill="1" applyBorder="1" applyAlignment="1">
      <alignment horizontal="center" vertical="center" wrapText="1"/>
    </xf>
    <xf numFmtId="0" fontId="30" fillId="25" borderId="43" xfId="0" applyFont="1" applyFill="1" applyBorder="1" applyAlignment="1">
      <alignment horizontal="center" vertical="center" wrapText="1"/>
    </xf>
    <xf numFmtId="0" fontId="30" fillId="25" borderId="14" xfId="0" applyFont="1" applyFill="1" applyBorder="1" applyAlignment="1">
      <alignment horizontal="center" vertical="center" wrapText="1"/>
    </xf>
    <xf numFmtId="0" fontId="30" fillId="0" borderId="65" xfId="165" applyFont="1" applyFill="1" applyBorder="1" applyAlignment="1">
      <alignment horizontal="center" vertical="center" wrapText="1"/>
    </xf>
    <xf numFmtId="0" fontId="28" fillId="0" borderId="55" xfId="165" applyFont="1" applyFill="1" applyBorder="1" applyAlignment="1">
      <alignment horizontal="left" vertical="center" wrapText="1"/>
    </xf>
    <xf numFmtId="0" fontId="28" fillId="0" borderId="56" xfId="165" applyFont="1" applyFill="1" applyBorder="1" applyAlignment="1">
      <alignment horizontal="left" vertical="center" wrapText="1"/>
    </xf>
    <xf numFmtId="0" fontId="28" fillId="0" borderId="73" xfId="165" applyFont="1" applyFill="1" applyBorder="1" applyAlignment="1">
      <alignment horizontal="left" vertical="center" wrapText="1"/>
    </xf>
    <xf numFmtId="0" fontId="28" fillId="0" borderId="63" xfId="165" applyFont="1" applyFill="1" applyBorder="1" applyAlignment="1">
      <alignment horizontal="left" vertical="center" wrapText="1"/>
    </xf>
    <xf numFmtId="0" fontId="12" fillId="0" borderId="70" xfId="165" applyFont="1" applyFill="1" applyBorder="1" applyAlignment="1">
      <alignment horizontal="left" vertical="center" wrapText="1"/>
    </xf>
    <xf numFmtId="0" fontId="12" fillId="0" borderId="9" xfId="165" applyFont="1" applyFill="1" applyBorder="1" applyAlignment="1">
      <alignment horizontal="left" vertical="center" wrapText="1"/>
    </xf>
    <xf numFmtId="0" fontId="12" fillId="0" borderId="0" xfId="165" applyFont="1" applyFill="1" applyBorder="1" applyAlignment="1">
      <alignment horizontal="center" vertical="center" wrapText="1"/>
    </xf>
    <xf numFmtId="0" fontId="30" fillId="0" borderId="0" xfId="165" applyFont="1" applyFill="1" applyBorder="1" applyAlignment="1">
      <alignment horizontal="left" vertical="center" wrapText="1"/>
    </xf>
    <xf numFmtId="0" fontId="30" fillId="0" borderId="15" xfId="165" applyFont="1" applyFill="1" applyBorder="1" applyAlignment="1">
      <alignment horizontal="center" vertical="center" wrapText="1"/>
    </xf>
    <xf numFmtId="0" fontId="30" fillId="0" borderId="26" xfId="165" applyFont="1" applyFill="1" applyBorder="1" applyAlignment="1">
      <alignment horizontal="center" vertical="center" wrapText="1"/>
    </xf>
    <xf numFmtId="0" fontId="28" fillId="0" borderId="59" xfId="165" applyFont="1" applyFill="1" applyBorder="1" applyAlignment="1">
      <alignment horizontal="left" vertical="center" wrapText="1"/>
    </xf>
    <xf numFmtId="0" fontId="28" fillId="0" borderId="0" xfId="165" applyFont="1" applyFill="1" applyBorder="1" applyAlignment="1">
      <alignment horizontal="left" wrapText="1"/>
    </xf>
    <xf numFmtId="0" fontId="30" fillId="0" borderId="52" xfId="165" applyFont="1" applyFill="1" applyBorder="1" applyAlignment="1">
      <alignment horizontal="center" vertical="center" wrapText="1"/>
    </xf>
    <xf numFmtId="0" fontId="30" fillId="0" borderId="71" xfId="165" applyFont="1" applyFill="1" applyBorder="1" applyAlignment="1">
      <alignment horizontal="center" vertical="center" wrapText="1"/>
    </xf>
    <xf numFmtId="0" fontId="30" fillId="0" borderId="53" xfId="165" applyFont="1" applyFill="1" applyBorder="1" applyAlignment="1">
      <alignment horizontal="center" vertical="center" wrapText="1"/>
    </xf>
    <xf numFmtId="0" fontId="30" fillId="0" borderId="72" xfId="165" applyFont="1" applyFill="1" applyBorder="1" applyAlignment="1">
      <alignment horizontal="center" vertical="center" wrapText="1"/>
    </xf>
    <xf numFmtId="0" fontId="30" fillId="0" borderId="14" xfId="165" applyFont="1" applyFill="1" applyBorder="1" applyAlignment="1">
      <alignment horizontal="center" vertical="center" wrapText="1"/>
    </xf>
    <xf numFmtId="0" fontId="30" fillId="0" borderId="76" xfId="165" applyFont="1" applyFill="1" applyBorder="1" applyAlignment="1">
      <alignment horizontal="center" vertical="center" wrapText="1"/>
    </xf>
    <xf numFmtId="0" fontId="30" fillId="0" borderId="70" xfId="165" applyFont="1" applyFill="1" applyBorder="1" applyAlignment="1">
      <alignment horizontal="left" vertical="center" wrapText="1"/>
    </xf>
    <xf numFmtId="0" fontId="30" fillId="0" borderId="9" xfId="165" applyFont="1" applyFill="1" applyBorder="1" applyAlignment="1">
      <alignment horizontal="left" vertical="center" wrapText="1"/>
    </xf>
    <xf numFmtId="0" fontId="28" fillId="0" borderId="73" xfId="165" applyFont="1" applyFill="1" applyBorder="1" applyAlignment="1">
      <alignment horizontal="left" wrapText="1"/>
    </xf>
    <xf numFmtId="0" fontId="28" fillId="0" borderId="63" xfId="165" applyFont="1" applyFill="1" applyBorder="1" applyAlignment="1">
      <alignment horizontal="left" wrapText="1"/>
    </xf>
    <xf numFmtId="0" fontId="28" fillId="0" borderId="77" xfId="165" applyFont="1" applyFill="1" applyBorder="1" applyAlignment="1">
      <alignment horizontal="left" wrapText="1"/>
    </xf>
    <xf numFmtId="0" fontId="28" fillId="0" borderId="74" xfId="165" applyFont="1" applyFill="1" applyBorder="1" applyAlignment="1">
      <alignment horizontal="left" wrapText="1"/>
    </xf>
    <xf numFmtId="0" fontId="28" fillId="0" borderId="75" xfId="165" applyFont="1" applyFill="1" applyBorder="1" applyAlignment="1">
      <alignment horizontal="left" wrapText="1"/>
    </xf>
    <xf numFmtId="0" fontId="28" fillId="0" borderId="62" xfId="165" applyFont="1" applyFill="1" applyBorder="1" applyAlignment="1">
      <alignment horizontal="left" wrapText="1"/>
    </xf>
    <xf numFmtId="0" fontId="28" fillId="0" borderId="59" xfId="165" applyFont="1" applyFill="1" applyBorder="1" applyAlignment="1">
      <alignment horizontal="left" wrapText="1"/>
    </xf>
    <xf numFmtId="0" fontId="28" fillId="0" borderId="55" xfId="165" applyFont="1" applyFill="1" applyBorder="1" applyAlignment="1">
      <alignment horizontal="left" wrapText="1"/>
    </xf>
    <xf numFmtId="0" fontId="28" fillId="0" borderId="56" xfId="165" applyFont="1" applyFill="1" applyBorder="1" applyAlignment="1">
      <alignment horizontal="left" wrapText="1"/>
    </xf>
    <xf numFmtId="0" fontId="12" fillId="0" borderId="15" xfId="165" applyFont="1" applyFill="1" applyBorder="1" applyAlignment="1">
      <alignment horizontal="left" vertical="center" wrapText="1"/>
    </xf>
    <xf numFmtId="0" fontId="12" fillId="0" borderId="52" xfId="165" applyFont="1" applyFill="1" applyBorder="1" applyAlignment="1">
      <alignment horizontal="left" vertical="center" wrapText="1"/>
    </xf>
    <xf numFmtId="0" fontId="28" fillId="0" borderId="54" xfId="165" applyFont="1" applyFill="1" applyBorder="1" applyAlignment="1">
      <alignment horizontal="left" wrapText="1"/>
    </xf>
    <xf numFmtId="0" fontId="12" fillId="0" borderId="70" xfId="165" applyFont="1" applyFill="1" applyBorder="1" applyAlignment="1">
      <alignment horizontal="center" vertical="center" wrapText="1"/>
    </xf>
    <xf numFmtId="0" fontId="12" fillId="0" borderId="9" xfId="165" applyFont="1" applyFill="1" applyBorder="1" applyAlignment="1">
      <alignment horizontal="center" vertical="center" wrapText="1"/>
    </xf>
    <xf numFmtId="0" fontId="28" fillId="0" borderId="62" xfId="165" applyFont="1" applyFill="1" applyBorder="1" applyAlignment="1">
      <alignment horizontal="left" vertical="center" wrapText="1"/>
    </xf>
    <xf numFmtId="0" fontId="28" fillId="0" borderId="0" xfId="166" applyFont="1" applyAlignment="1">
      <alignment vertical="center" wrapText="1"/>
    </xf>
    <xf numFmtId="0" fontId="42" fillId="0" borderId="0" xfId="166" applyAlignment="1">
      <alignment vertical="center" wrapText="1"/>
    </xf>
    <xf numFmtId="0" fontId="28" fillId="0" borderId="0" xfId="166" applyFont="1" applyAlignment="1">
      <alignment horizontal="center" vertical="center"/>
    </xf>
    <xf numFmtId="0" fontId="30" fillId="0" borderId="0" xfId="166" applyFont="1" applyAlignment="1">
      <alignment horizontal="center" vertical="center"/>
    </xf>
    <xf numFmtId="0" fontId="35" fillId="0" borderId="0" xfId="166" applyFont="1" applyAlignment="1">
      <alignment horizontal="center" vertical="center"/>
    </xf>
    <xf numFmtId="0" fontId="28" fillId="0" borderId="15" xfId="0" applyFont="1" applyBorder="1" applyAlignment="1">
      <alignment horizontal="center" vertical="center"/>
    </xf>
    <xf numFmtId="0" fontId="28" fillId="0" borderId="26" xfId="0" applyFont="1" applyBorder="1" applyAlignment="1">
      <alignment horizontal="center" vertical="center"/>
    </xf>
    <xf numFmtId="0" fontId="28" fillId="0" borderId="15" xfId="0" applyFont="1" applyBorder="1" applyAlignment="1">
      <alignment horizontal="center" vertical="center" wrapText="1"/>
    </xf>
    <xf numFmtId="0" fontId="28" fillId="0" borderId="26" xfId="0" applyFont="1" applyBorder="1" applyAlignment="1">
      <alignment horizontal="center" vertical="center" wrapText="1"/>
    </xf>
    <xf numFmtId="0" fontId="28" fillId="29" borderId="70" xfId="0" applyFont="1" applyFill="1" applyBorder="1" applyAlignment="1">
      <alignment horizontal="left" vertical="center" wrapText="1"/>
    </xf>
    <xf numFmtId="0" fontId="28" fillId="29" borderId="9" xfId="0" applyFont="1" applyFill="1" applyBorder="1" applyAlignment="1">
      <alignment horizontal="left" vertical="center" wrapText="1"/>
    </xf>
    <xf numFmtId="0" fontId="28" fillId="29" borderId="66" xfId="0" applyFont="1" applyFill="1" applyBorder="1" applyAlignment="1">
      <alignment horizontal="left" vertical="center" wrapText="1"/>
    </xf>
    <xf numFmtId="0" fontId="28" fillId="0" borderId="14" xfId="0" applyFont="1" applyBorder="1" applyAlignment="1">
      <alignment horizontal="center" vertical="center"/>
    </xf>
    <xf numFmtId="0" fontId="28" fillId="0" borderId="52" xfId="0" applyFont="1" applyBorder="1" applyAlignment="1">
      <alignment horizontal="center" vertical="center"/>
    </xf>
    <xf numFmtId="0" fontId="28" fillId="0" borderId="76" xfId="0" applyFont="1" applyBorder="1" applyAlignment="1">
      <alignment horizontal="center" vertical="center"/>
    </xf>
    <xf numFmtId="0" fontId="28" fillId="0" borderId="71" xfId="0" applyFont="1" applyBorder="1" applyAlignment="1">
      <alignment horizontal="center" vertical="center"/>
    </xf>
    <xf numFmtId="0" fontId="30" fillId="29" borderId="70" xfId="0" applyFont="1" applyFill="1" applyBorder="1" applyAlignment="1">
      <alignment horizontal="left" vertical="center" wrapText="1"/>
    </xf>
    <xf numFmtId="0" fontId="30" fillId="29" borderId="9" xfId="0" applyFont="1" applyFill="1" applyBorder="1" applyAlignment="1">
      <alignment horizontal="left" vertical="center" wrapText="1"/>
    </xf>
    <xf numFmtId="0" fontId="30" fillId="29" borderId="66" xfId="0" applyFont="1" applyFill="1" applyBorder="1" applyAlignment="1">
      <alignment horizontal="left" vertical="center" wrapText="1"/>
    </xf>
    <xf numFmtId="0" fontId="30" fillId="29" borderId="0" xfId="0" applyFont="1" applyFill="1" applyBorder="1" applyAlignment="1">
      <alignment horizontal="center" vertical="center" wrapText="1"/>
    </xf>
    <xf numFmtId="0" fontId="30" fillId="29" borderId="65" xfId="0" applyFont="1" applyFill="1" applyBorder="1" applyAlignment="1">
      <alignment horizontal="center" vertical="center" wrapText="1"/>
    </xf>
    <xf numFmtId="0" fontId="30" fillId="29" borderId="14" xfId="0" applyFont="1" applyFill="1" applyBorder="1" applyAlignment="1">
      <alignment horizontal="center" vertical="center" wrapText="1"/>
    </xf>
    <xf numFmtId="0" fontId="30" fillId="29" borderId="15" xfId="0" applyFont="1" applyFill="1" applyBorder="1" applyAlignment="1">
      <alignment horizontal="center" vertical="center" wrapText="1"/>
    </xf>
    <xf numFmtId="0" fontId="30" fillId="29" borderId="16"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28" fillId="29" borderId="14" xfId="0" applyNumberFormat="1" applyFont="1" applyFill="1" applyBorder="1" applyAlignment="1">
      <alignment vertical="center" wrapText="1"/>
    </xf>
    <xf numFmtId="0" fontId="30" fillId="0" borderId="0" xfId="0" applyFont="1" applyAlignment="1">
      <alignment horizontal="center" wrapText="1"/>
    </xf>
    <xf numFmtId="0" fontId="28" fillId="0" borderId="0" xfId="0" applyFont="1" applyAlignment="1">
      <alignment horizontal="center"/>
    </xf>
    <xf numFmtId="0" fontId="28" fillId="0" borderId="0" xfId="0" applyFont="1" applyAlignment="1">
      <alignment horizontal="center" wrapText="1"/>
    </xf>
    <xf numFmtId="0" fontId="28" fillId="29" borderId="15" xfId="0" applyFont="1" applyFill="1" applyBorder="1" applyAlignment="1">
      <alignment horizontal="center" vertical="center" wrapText="1"/>
    </xf>
    <xf numFmtId="0" fontId="28" fillId="29" borderId="26" xfId="0" applyFont="1" applyFill="1" applyBorder="1" applyAlignment="1">
      <alignment horizontal="center" vertical="center" wrapText="1"/>
    </xf>
    <xf numFmtId="0" fontId="28" fillId="0" borderId="16" xfId="0" applyFont="1" applyBorder="1" applyAlignment="1">
      <alignment horizontal="center" vertical="center"/>
    </xf>
    <xf numFmtId="0" fontId="28" fillId="29" borderId="14" xfId="0" applyFont="1" applyFill="1" applyBorder="1" applyAlignment="1">
      <alignment horizontal="left" vertical="center" wrapText="1"/>
    </xf>
    <xf numFmtId="0" fontId="30" fillId="29" borderId="14" xfId="0" applyFont="1" applyFill="1" applyBorder="1" applyAlignment="1">
      <alignment horizontal="left" vertical="center" wrapText="1"/>
    </xf>
    <xf numFmtId="0" fontId="30" fillId="29" borderId="52" xfId="0" applyFont="1" applyFill="1" applyBorder="1" applyAlignment="1">
      <alignment horizontal="center" vertical="center" wrapText="1"/>
    </xf>
    <xf numFmtId="0" fontId="30" fillId="29" borderId="76" xfId="0" applyFont="1" applyFill="1" applyBorder="1" applyAlignment="1">
      <alignment horizontal="center" vertical="center" wrapText="1"/>
    </xf>
    <xf numFmtId="0" fontId="30" fillId="29" borderId="71" xfId="0" applyFont="1" applyFill="1" applyBorder="1" applyAlignment="1">
      <alignment horizontal="center" vertical="center" wrapText="1"/>
    </xf>
    <xf numFmtId="0" fontId="30" fillId="29" borderId="46" xfId="0" applyFont="1" applyFill="1" applyBorder="1" applyAlignment="1">
      <alignment horizontal="center" vertical="center" wrapText="1"/>
    </xf>
    <xf numFmtId="0" fontId="30" fillId="29" borderId="78" xfId="0" applyFont="1" applyFill="1" applyBorder="1" applyAlignment="1">
      <alignment horizontal="center" vertical="center" wrapText="1"/>
    </xf>
    <xf numFmtId="0" fontId="30" fillId="29" borderId="53"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28" fillId="29" borderId="14" xfId="0"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0" fontId="28" fillId="0" borderId="14" xfId="0" applyFont="1" applyBorder="1" applyAlignment="1">
      <alignment horizontal="center"/>
    </xf>
  </cellXfs>
  <cellStyles count="219">
    <cellStyle name="??" xfId="1"/>
    <cellStyle name="?? [0.00]_PRODUCT DETAIL Q1" xfId="2"/>
    <cellStyle name="?? [0]" xfId="3"/>
    <cellStyle name="???? [0.00]_PRODUCT DETAIL Q1" xfId="4"/>
    <cellStyle name="????_PRODUCT DETAIL Q1" xfId="5"/>
    <cellStyle name="???_HOBONG" xfId="6"/>
    <cellStyle name="??_(????)??????" xfId="7"/>
    <cellStyle name="20% - Accent1" xfId="8" builtinId="30" customBuiltin="1"/>
    <cellStyle name="20% - Accent1 2" xfId="9"/>
    <cellStyle name="20% - Accent2" xfId="10" builtinId="34" customBuiltin="1"/>
    <cellStyle name="20% - Accent2 2" xfId="11"/>
    <cellStyle name="20% - Accent3" xfId="12" builtinId="38" customBuiltin="1"/>
    <cellStyle name="20% - Accent3 2" xfId="13"/>
    <cellStyle name="20% - Accent4" xfId="14" builtinId="42" customBuiltin="1"/>
    <cellStyle name="20% - Accent4 2" xfId="15"/>
    <cellStyle name="20% - Accent5" xfId="16" builtinId="46" customBuiltin="1"/>
    <cellStyle name="20% - Accent5 2" xfId="17"/>
    <cellStyle name="20% - Accent6" xfId="18" builtinId="50" customBuiltin="1"/>
    <cellStyle name="20% - Accent6 2" xfId="19"/>
    <cellStyle name="20% - Nhấn1" xfId="20"/>
    <cellStyle name="20% - Nhấn2" xfId="21"/>
    <cellStyle name="20% - Nhấn3" xfId="22"/>
    <cellStyle name="20% - Nhấn4" xfId="23"/>
    <cellStyle name="20% - Nhấn5" xfId="24"/>
    <cellStyle name="20% - Nhấn6" xfId="25"/>
    <cellStyle name="40% - Accent1" xfId="26" builtinId="31" customBuiltin="1"/>
    <cellStyle name="40% - Accent1 2" xfId="27"/>
    <cellStyle name="40% - Accent2" xfId="28" builtinId="35" customBuiltin="1"/>
    <cellStyle name="40% - Accent2 2" xfId="29"/>
    <cellStyle name="40% - Accent3" xfId="30" builtinId="39" customBuiltin="1"/>
    <cellStyle name="40% - Accent3 2" xfId="31"/>
    <cellStyle name="40% - Accent4" xfId="32" builtinId="43" customBuiltin="1"/>
    <cellStyle name="40% - Accent4 2" xfId="33"/>
    <cellStyle name="40% - Accent5" xfId="34" builtinId="47" customBuiltin="1"/>
    <cellStyle name="40% - Accent5 2" xfId="35"/>
    <cellStyle name="40% - Accent6" xfId="36" builtinId="51" customBuiltin="1"/>
    <cellStyle name="40% - Accent6 2" xfId="37"/>
    <cellStyle name="40% - Nhấn1" xfId="38"/>
    <cellStyle name="40% - Nhấn2" xfId="39"/>
    <cellStyle name="40% - Nhấn3" xfId="40"/>
    <cellStyle name="40% - Nhấn4" xfId="41"/>
    <cellStyle name="40% - Nhấn5" xfId="42"/>
    <cellStyle name="40% - Nhấn6" xfId="43"/>
    <cellStyle name="60% - Accent1" xfId="44" builtinId="32" customBuiltin="1"/>
    <cellStyle name="60% - Accent1 2" xfId="45"/>
    <cellStyle name="60% - Accent2" xfId="46" builtinId="36" customBuiltin="1"/>
    <cellStyle name="60% - Accent2 2" xfId="47"/>
    <cellStyle name="60% - Accent3" xfId="48" builtinId="40" customBuiltin="1"/>
    <cellStyle name="60% - Accent3 2" xfId="49"/>
    <cellStyle name="60% - Accent4" xfId="50" builtinId="44" customBuiltin="1"/>
    <cellStyle name="60% - Accent4 2" xfId="51"/>
    <cellStyle name="60% - Accent5" xfId="52" builtinId="48" customBuiltin="1"/>
    <cellStyle name="60% - Accent5 2" xfId="53"/>
    <cellStyle name="60% - Accent6" xfId="54" builtinId="52" customBuiltin="1"/>
    <cellStyle name="60% - Accent6 2" xfId="55"/>
    <cellStyle name="60% - Nhấn1" xfId="56"/>
    <cellStyle name="60% - Nhấn2" xfId="57"/>
    <cellStyle name="60% - Nhấn3" xfId="58"/>
    <cellStyle name="60% - Nhấn4" xfId="59"/>
    <cellStyle name="60% - Nhấn5" xfId="60"/>
    <cellStyle name="60% - Nhấn6" xfId="61"/>
    <cellStyle name="Accent1" xfId="62" builtinId="29" customBuiltin="1"/>
    <cellStyle name="Accent1 2" xfId="63"/>
    <cellStyle name="Accent2" xfId="64" builtinId="33" customBuiltin="1"/>
    <cellStyle name="Accent2 2" xfId="65"/>
    <cellStyle name="Accent3" xfId="66" builtinId="37" customBuiltin="1"/>
    <cellStyle name="Accent3 2" xfId="67"/>
    <cellStyle name="Accent4" xfId="68" builtinId="41" customBuiltin="1"/>
    <cellStyle name="Accent4 2" xfId="69"/>
    <cellStyle name="Accent5" xfId="70" builtinId="45" customBuiltin="1"/>
    <cellStyle name="Accent5 2" xfId="71"/>
    <cellStyle name="Accent6" xfId="72" builtinId="49" customBuiltin="1"/>
    <cellStyle name="Accent6 2" xfId="73"/>
    <cellStyle name="Bad" xfId="74" builtinId="27" customBuiltin="1"/>
    <cellStyle name="Bad 2" xfId="75"/>
    <cellStyle name="Calculation" xfId="76" builtinId="22" customBuiltin="1"/>
    <cellStyle name="Calculation 2" xfId="77"/>
    <cellStyle name="Check Cell" xfId="78" builtinId="23" customBuiltin="1"/>
    <cellStyle name="Check Cell 2" xfId="79"/>
    <cellStyle name="Comma" xfId="80" builtinId="3"/>
    <cellStyle name="Comma 10" xfId="81"/>
    <cellStyle name="Comma 2" xfId="82"/>
    <cellStyle name="Comma 2 2" xfId="83"/>
    <cellStyle name="Comma 2 2 2" xfId="84"/>
    <cellStyle name="Comma 2 2 3" xfId="85"/>
    <cellStyle name="Comma 2 3" xfId="86"/>
    <cellStyle name="Comma 2_PhuLuc_DanhMucDuLieuThuocTinh" xfId="87"/>
    <cellStyle name="Comma 3" xfId="88"/>
    <cellStyle name="Comma 3 2" xfId="89"/>
    <cellStyle name="Comma 3 2 2" xfId="90"/>
    <cellStyle name="Comma 3 3" xfId="91"/>
    <cellStyle name="Comma 4" xfId="92"/>
    <cellStyle name="Comma 4 2" xfId="93"/>
    <cellStyle name="Comma 4 3" xfId="94"/>
    <cellStyle name="Comma 5" xfId="95"/>
    <cellStyle name="Comma 5 2" xfId="96"/>
    <cellStyle name="Comma 6" xfId="97"/>
    <cellStyle name="Comma 6 2" xfId="98"/>
    <cellStyle name="Comma 7" xfId="99"/>
    <cellStyle name="Comma 8" xfId="100"/>
    <cellStyle name="Comma 9" xfId="101"/>
    <cellStyle name="Comma0" xfId="102"/>
    <cellStyle name="Currency0" xfId="103"/>
    <cellStyle name="Currency0 2" xfId="104"/>
    <cellStyle name="Currency0 3" xfId="105"/>
    <cellStyle name="Date" xfId="106"/>
    <cellStyle name="Đầu ra" xfId="107"/>
    <cellStyle name="Đầu vào" xfId="108"/>
    <cellStyle name="Đề mục 1" xfId="109"/>
    <cellStyle name="Đề mục 2" xfId="110"/>
    <cellStyle name="Đề mục 3" xfId="111"/>
    <cellStyle name="Đề mục 4" xfId="112"/>
    <cellStyle name="Explanatory Text" xfId="113" builtinId="53" customBuiltin="1"/>
    <cellStyle name="Explanatory Text 2" xfId="114"/>
    <cellStyle name="Fixed" xfId="115"/>
    <cellStyle name="Ghi chú" xfId="116"/>
    <cellStyle name="Good" xfId="117" builtinId="26" customBuiltin="1"/>
    <cellStyle name="Good 2" xfId="118"/>
    <cellStyle name="Header1" xfId="119"/>
    <cellStyle name="Header2" xfId="120"/>
    <cellStyle name="Heading 1" xfId="121" builtinId="16" customBuiltin="1"/>
    <cellStyle name="Heading 1 2" xfId="122"/>
    <cellStyle name="Heading 2" xfId="123" builtinId="17" customBuiltin="1"/>
    <cellStyle name="Heading 2 2" xfId="124"/>
    <cellStyle name="Heading 3" xfId="125" builtinId="18" customBuiltin="1"/>
    <cellStyle name="Heading 3 2" xfId="126"/>
    <cellStyle name="Heading 4" xfId="127" builtinId="19" customBuiltin="1"/>
    <cellStyle name="Heading 4 2" xfId="128"/>
    <cellStyle name="Input" xfId="129" builtinId="20" customBuiltin="1"/>
    <cellStyle name="Input 2" xfId="130"/>
    <cellStyle name="Kiểm tra Ô" xfId="131"/>
    <cellStyle name="Ledger 17 x 11 in" xfId="132"/>
    <cellStyle name="Ledger 17 x 11 in 2" xfId="133"/>
    <cellStyle name="Ledger 17 x 11 in 3" xfId="134"/>
    <cellStyle name="Linked Cell" xfId="135" builtinId="24" customBuiltin="1"/>
    <cellStyle name="Linked Cell 2" xfId="136"/>
    <cellStyle name="Millares [0]_Well Timing" xfId="137"/>
    <cellStyle name="Millares_Well Timing" xfId="138"/>
    <cellStyle name="Moneda [0]_Well Timing" xfId="139"/>
    <cellStyle name="Moneda_Well Timing" xfId="140"/>
    <cellStyle name="n" xfId="141"/>
    <cellStyle name="Neutral" xfId="142" builtinId="28" customBuiltin="1"/>
    <cellStyle name="Neutral 2" xfId="143"/>
    <cellStyle name="Nhấn1" xfId="144"/>
    <cellStyle name="Nhấn2" xfId="145"/>
    <cellStyle name="Nhấn3" xfId="146"/>
    <cellStyle name="Nhấn4" xfId="147"/>
    <cellStyle name="Nhấn5" xfId="148"/>
    <cellStyle name="Nhấn6" xfId="149"/>
    <cellStyle name="Normal" xfId="0" builtinId="0"/>
    <cellStyle name="Normal 2" xfId="150"/>
    <cellStyle name="Normal 2 2" xfId="151"/>
    <cellStyle name="Normal 2 3" xfId="152"/>
    <cellStyle name="Normal 3" xfId="153"/>
    <cellStyle name="Normal 3 2" xfId="154"/>
    <cellStyle name="Normal 3 3" xfId="155"/>
    <cellStyle name="Normal 3 4" xfId="156"/>
    <cellStyle name="Normal 3_DM_CSDLDC_09-10-12" xfId="157"/>
    <cellStyle name="Normal 38" xfId="217"/>
    <cellStyle name="Normal 4" xfId="158"/>
    <cellStyle name="Normal 4 2" xfId="159"/>
    <cellStyle name="Normal 4 3" xfId="160"/>
    <cellStyle name="Normal 4 4" xfId="161"/>
    <cellStyle name="Normal 5" xfId="162"/>
    <cellStyle name="Normal 6" xfId="163"/>
    <cellStyle name="Normal 7" xfId="164"/>
    <cellStyle name="Normal 9" xfId="218"/>
    <cellStyle name="Normal_Phu luc 3_2 Noi dung sieu du lieu" xfId="165"/>
    <cellStyle name="Normal_PhuLuc_DanhMucDuLieuThuocTinh" xfId="166"/>
    <cellStyle name="Normal_Sheet1_TH.CSDL.165HUYEN.33TINH.2015.12.22-1" xfId="216"/>
    <cellStyle name="Note" xfId="167" builtinId="10" customBuiltin="1"/>
    <cellStyle name="Note 2" xfId="168"/>
    <cellStyle name="Ô Được nối kết" xfId="169"/>
    <cellStyle name="Output" xfId="170" builtinId="21" customBuiltin="1"/>
    <cellStyle name="Output 2" xfId="171"/>
    <cellStyle name="Percent" xfId="172" builtinId="5"/>
    <cellStyle name="Percent 2" xfId="173"/>
    <cellStyle name="Percent 3" xfId="174"/>
    <cellStyle name="Percent 4" xfId="175"/>
    <cellStyle name="Percent 5" xfId="176"/>
    <cellStyle name="sodangoai" xfId="177"/>
    <cellStyle name="Tiêu đề" xfId="178"/>
    <cellStyle name="Tính toán" xfId="179"/>
    <cellStyle name="Title" xfId="180" builtinId="15" customBuiltin="1"/>
    <cellStyle name="Title 2" xfId="181"/>
    <cellStyle name="Tổng" xfId="182"/>
    <cellStyle name="Tốt" xfId="183"/>
    <cellStyle name="Total" xfId="184" builtinId="25" customBuiltin="1"/>
    <cellStyle name="Total 2" xfId="185"/>
    <cellStyle name="Trung tính" xfId="186"/>
    <cellStyle name="Văn bản Cảnh báo" xfId="187"/>
    <cellStyle name="Văn bản Giải thích" xfId="188"/>
    <cellStyle name="vnhead1" xfId="189"/>
    <cellStyle name="vnhead3" xfId="190"/>
    <cellStyle name="vntxt1" xfId="191"/>
    <cellStyle name="vntxt2" xfId="192"/>
    <cellStyle name="Warning Text" xfId="193" builtinId="11" customBuiltin="1"/>
    <cellStyle name="Warning Text 2" xfId="194"/>
    <cellStyle name="Xấu" xfId="195"/>
    <cellStyle name=" [0.00]_ Att. 1- Cover" xfId="196"/>
    <cellStyle name="_ Att. 1- Cover" xfId="197"/>
    <cellStyle name="?_ Att. 1- Cover" xfId="198"/>
    <cellStyle name="똿뗦먛귟 [0.00]_PRODUCT DETAIL Q1" xfId="199"/>
    <cellStyle name="똿뗦먛귟_PRODUCT DETAIL Q1" xfId="200"/>
    <cellStyle name="믅됞 [0.00]_PRODUCT DETAIL Q1" xfId="201"/>
    <cellStyle name="믅됞_PRODUCT DETAIL Q1" xfId="202"/>
    <cellStyle name="백분율_95" xfId="203"/>
    <cellStyle name="뷭?_BOOKSHIP" xfId="204"/>
    <cellStyle name="콤마 [0]_1202" xfId="205"/>
    <cellStyle name="콤마_1202" xfId="206"/>
    <cellStyle name="통화 [0]_1202" xfId="207"/>
    <cellStyle name="통화_1202" xfId="208"/>
    <cellStyle name="표준_(정보부문)월별인원계획" xfId="209"/>
    <cellStyle name="一般_99Q3647-ALL-CAS2" xfId="210"/>
    <cellStyle name="千分位[0]_Book1" xfId="211"/>
    <cellStyle name="千分位_99Q3647-ALL-CAS2" xfId="212"/>
    <cellStyle name="貨幣 [0]_Book1" xfId="213"/>
    <cellStyle name="貨幣[0]_BRE" xfId="214"/>
    <cellStyle name="貨幣_Book1" xfId="2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DG_CSDL_Diachinh_0204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CSDL_Diachinh_10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CBan"/>
      <sheetName val="Gia_Tbi"/>
      <sheetName val="Gia_Dcu"/>
      <sheetName val="Gia_VLieu"/>
      <sheetName val="Gia_Phanmem"/>
      <sheetName val="Nhân công DL Nen 17-&gt;75"/>
      <sheetName val="Dụng cụ DL Nen 17--&gt;75"/>
      <sheetName val="Thiết bị DL Nen 17--&gt;75"/>
      <sheetName val="Vật liệu DL Nen 17--&gt;75"/>
      <sheetName val="Nhân công"/>
      <sheetName val="Thiết bị"/>
      <sheetName val="Dụng cụ"/>
      <sheetName val="Vật liệu"/>
      <sheetName val="NC, DC,VL, TB QT đồng bộ"/>
      <sheetName val="Nhân công Nen"/>
      <sheetName val="Thiết bị Nen"/>
      <sheetName val="Dụng cụ Nen"/>
      <sheetName val="Vật liệu Nen"/>
      <sheetName val="Nhân công quet"/>
      <sheetName val="Thiết bị quet"/>
      <sheetName val="Dụng cụ quet"/>
      <sheetName val="Vật liệu quet"/>
      <sheetName val="Don gia XCSDL DC"/>
      <sheetName val="Đơn gia phân theo loại đất"/>
      <sheetName val="Tinh thu theo du thao"/>
      <sheetName val="Tinh thu theo DM 18"/>
      <sheetName val="Don gia XCSDL DC CAP TW"/>
      <sheetName val="Thiet-bi Trung Uong"/>
      <sheetName val="Dcu Trung Uong"/>
      <sheetName val="Nhan-cong-Trung Uong"/>
      <sheetName val="Vat-lieu Trung Uong"/>
      <sheetName val="KHOILUONG"/>
      <sheetName val="Data_tinh thu"/>
      <sheetName val="Don gia Chuyen doi DLDC"/>
      <sheetName val="Đơn giá 17-&gt;75"/>
      <sheetName val="Thiet bi 17-&gt;75"/>
      <sheetName val="Vật liệu 17-&gt;75"/>
      <sheetName val="Dụng cụ 17-&gt;75"/>
      <sheetName val="Nhân công 17-&gt;75"/>
      <sheetName val="DK thuong xuyen"/>
      <sheetName val="VL DK thuong xuyen"/>
      <sheetName val="TB DK thuong xuyen"/>
      <sheetName val="DC DK thuong xuyen"/>
      <sheetName val="VL_DK bo sung"/>
      <sheetName val="TB_DK bo sung"/>
      <sheetName val="DC_DK bo sung"/>
      <sheetName val="DK bo sung"/>
      <sheetName val="Sắp xêp HS"/>
      <sheetName val="VLieu Xep HS"/>
      <sheetName val="Tbi Xep HS"/>
      <sheetName val="DCu Xep HS"/>
      <sheetName val="He so nhap"/>
      <sheetName val="Tbi"/>
      <sheetName val="VLieu"/>
    </sheetNames>
    <sheetDataSet>
      <sheetData sheetId="0"/>
      <sheetData sheetId="1">
        <row r="7">
          <cell r="B7" t="str">
            <v>Máy photocopy</v>
          </cell>
          <cell r="C7" t="str">
            <v>cái</v>
          </cell>
          <cell r="D7">
            <v>1.5</v>
          </cell>
          <cell r="E7">
            <v>8</v>
          </cell>
          <cell r="F7">
            <v>44000000</v>
          </cell>
          <cell r="G7">
            <v>11000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CBan"/>
      <sheetName val="Gia_Tbi"/>
      <sheetName val="Gia_Dcu"/>
      <sheetName val="Gia_VLieu"/>
      <sheetName val="Gia_Phanmem"/>
      <sheetName val="Nhân công DL Nen 17-&gt;75"/>
      <sheetName val="Dụng cụ DL Nen 17--&gt;75"/>
      <sheetName val="Thiết bị DL Nen 17--&gt;75"/>
      <sheetName val="Vật liệu DL Nen 17--&gt;75"/>
      <sheetName val="Nhân công"/>
      <sheetName val="Thiết bị"/>
      <sheetName val="Dụng cụ"/>
      <sheetName val="Vật liệu"/>
      <sheetName val="NC, DC,VL, TB QT đồng bộ"/>
      <sheetName val="Nhân công Nen"/>
      <sheetName val="Thiết bị Nen"/>
      <sheetName val="Dụng cụ Nen"/>
      <sheetName val="Vật liệu Nen"/>
      <sheetName val="Nhân công quet"/>
      <sheetName val="Thiết bị quet"/>
      <sheetName val="Dụng cụ quet"/>
      <sheetName val="Vật liệu quet"/>
      <sheetName val="Don gia XCSDL DC"/>
      <sheetName val="Đơn gia phân theo loại đất"/>
      <sheetName val="Tinh thu theo du thao"/>
      <sheetName val="Tinh thu theo DM 18"/>
      <sheetName val="Don gia XCSDL DC CAP TW"/>
      <sheetName val="Thiet-bi Trung Uong"/>
      <sheetName val="Dcu Trung Uong"/>
      <sheetName val="Nhan-cong-Trung Uong"/>
      <sheetName val="Vat-lieu Trung Uong"/>
      <sheetName val="KHOILUONG"/>
      <sheetName val="Data_tinh thu"/>
      <sheetName val="Don gia Chuyen doi DLDC"/>
      <sheetName val="Đơn giá 17-&gt;75"/>
      <sheetName val="Thiet bi 17-&gt;75"/>
      <sheetName val="Vật liệu 17-&gt;75"/>
      <sheetName val="Dụng cụ 17-&gt;75"/>
      <sheetName val="Nhân công 17-&gt;75"/>
      <sheetName val="DK thuong xuyen"/>
      <sheetName val="VL DK thuong xuyen"/>
      <sheetName val="TB DK thuong xuyen"/>
      <sheetName val="DC DK thuong xuyen"/>
      <sheetName val="VL_DK bo sung"/>
      <sheetName val="TB_DK bo sung"/>
      <sheetName val="DC_DK bo sung"/>
      <sheetName val="DK bo sung"/>
      <sheetName val="Sắp xêp HS"/>
      <sheetName val="VLieu Xep HS"/>
      <sheetName val="Tbi Xep HS"/>
      <sheetName val="DCu Xep HS"/>
      <sheetName val="He so nhap"/>
      <sheetName val="Tbi"/>
      <sheetName val="VLie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B6" t="str">
            <v>Quét trang A4</v>
          </cell>
        </row>
      </sheetData>
      <sheetData sheetId="19">
        <row r="12">
          <cell r="I12">
            <v>61.065899999999999</v>
          </cell>
        </row>
      </sheetData>
      <sheetData sheetId="20">
        <row r="5">
          <cell r="G5">
            <v>77.431549999999987</v>
          </cell>
        </row>
      </sheetData>
      <sheetData sheetId="21">
        <row r="6">
          <cell r="F6">
            <v>399.05</v>
          </cell>
        </row>
        <row r="15">
          <cell r="F15">
            <v>386.3</v>
          </cell>
        </row>
        <row r="24">
          <cell r="F24">
            <v>340.2</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0"/>
  </sheetPr>
  <dimension ref="A1:L69"/>
  <sheetViews>
    <sheetView topLeftCell="A38" zoomScale="85" zoomScaleNormal="85" workbookViewId="0">
      <selection activeCell="N44" sqref="N44"/>
    </sheetView>
  </sheetViews>
  <sheetFormatPr defaultColWidth="9" defaultRowHeight="15.75"/>
  <cols>
    <col min="1" max="1" width="4.375" style="711" customWidth="1"/>
    <col min="2" max="2" width="7" style="711" customWidth="1"/>
    <col min="3" max="3" width="6.125" style="711" customWidth="1"/>
    <col min="4" max="4" width="10.875" style="321" customWidth="1"/>
    <col min="5" max="5" width="10.125" style="321" hidden="1" customWidth="1"/>
    <col min="6" max="6" width="9.25" style="321" hidden="1" customWidth="1"/>
    <col min="7" max="7" width="8.25" style="321" customWidth="1"/>
    <col min="8" max="8" width="9.25" style="321" hidden="1" customWidth="1"/>
    <col min="9" max="10" width="10.875" style="321" bestFit="1" customWidth="1"/>
    <col min="11" max="11" width="9" style="321" customWidth="1"/>
    <col min="12" max="16384" width="9" style="321"/>
  </cols>
  <sheetData>
    <row r="1" spans="1:11" s="1055" customFormat="1" ht="18.75">
      <c r="A1" s="1174" t="s">
        <v>31</v>
      </c>
      <c r="B1" s="1174"/>
      <c r="C1" s="1174"/>
      <c r="D1" s="1174"/>
      <c r="E1" s="1174"/>
      <c r="F1" s="1174"/>
      <c r="G1" s="1174"/>
      <c r="H1" s="1174"/>
      <c r="I1" s="1174"/>
      <c r="J1" s="1174"/>
      <c r="K1" s="1174"/>
    </row>
    <row r="2" spans="1:11" ht="16.5" thickBot="1">
      <c r="A2" s="1056"/>
    </row>
    <row r="3" spans="1:11" s="711" customFormat="1" ht="31.5">
      <c r="A3" s="1057" t="s">
        <v>26</v>
      </c>
      <c r="B3" s="1058" t="s">
        <v>32</v>
      </c>
      <c r="C3" s="1058" t="s">
        <v>28</v>
      </c>
      <c r="D3" s="1058" t="s">
        <v>33</v>
      </c>
      <c r="E3" s="1059" t="s">
        <v>35</v>
      </c>
      <c r="F3" s="1059" t="s">
        <v>977</v>
      </c>
      <c r="G3" s="1058" t="s">
        <v>13</v>
      </c>
      <c r="H3" s="1058" t="s">
        <v>43</v>
      </c>
      <c r="I3" s="1059" t="s">
        <v>996</v>
      </c>
      <c r="J3" s="1177" t="s">
        <v>37</v>
      </c>
      <c r="K3" s="1060" t="s">
        <v>36</v>
      </c>
    </row>
    <row r="4" spans="1:11" s="711" customFormat="1" ht="31.5">
      <c r="A4" s="1061" t="s">
        <v>9</v>
      </c>
      <c r="B4" s="1062"/>
      <c r="C4" s="1062" t="s">
        <v>29</v>
      </c>
      <c r="D4" s="1063">
        <v>1490000</v>
      </c>
      <c r="E4" s="1064">
        <v>0</v>
      </c>
      <c r="F4" s="1062">
        <v>0.4</v>
      </c>
      <c r="G4" s="1065" t="s">
        <v>1016</v>
      </c>
      <c r="H4" s="1062" t="s">
        <v>44</v>
      </c>
      <c r="I4" s="1066">
        <v>0.23499999999999999</v>
      </c>
      <c r="J4" s="1178"/>
      <c r="K4" s="1067" t="s">
        <v>49</v>
      </c>
    </row>
    <row r="5" spans="1:11" s="711" customFormat="1">
      <c r="A5" s="1061"/>
      <c r="B5" s="1062"/>
      <c r="C5" s="1062"/>
      <c r="D5" s="1062"/>
      <c r="E5" s="1062" t="s">
        <v>34</v>
      </c>
      <c r="F5" s="1062"/>
      <c r="G5" s="1068">
        <f>0.1/5</f>
        <v>0.02</v>
      </c>
      <c r="H5" s="1062">
        <v>0</v>
      </c>
      <c r="I5" s="1062" t="s">
        <v>38</v>
      </c>
      <c r="J5" s="1179"/>
      <c r="K5" s="1069">
        <v>26</v>
      </c>
    </row>
    <row r="6" spans="1:11">
      <c r="A6" s="1070">
        <v>1</v>
      </c>
      <c r="B6" s="1071">
        <v>2</v>
      </c>
      <c r="C6" s="1071">
        <v>3</v>
      </c>
      <c r="D6" s="1071">
        <v>4</v>
      </c>
      <c r="E6" s="1071">
        <v>5</v>
      </c>
      <c r="F6" s="1071"/>
      <c r="G6" s="1071">
        <v>7</v>
      </c>
      <c r="H6" s="1071">
        <v>8</v>
      </c>
      <c r="I6" s="1071">
        <v>9</v>
      </c>
      <c r="J6" s="1071">
        <v>10</v>
      </c>
      <c r="K6" s="1072">
        <v>11</v>
      </c>
    </row>
    <row r="7" spans="1:11" hidden="1">
      <c r="A7" s="1073" t="s">
        <v>39</v>
      </c>
      <c r="B7" s="1074"/>
      <c r="C7" s="1075"/>
      <c r="D7" s="1076"/>
      <c r="E7" s="1076"/>
      <c r="F7" s="1076"/>
      <c r="G7" s="1076"/>
      <c r="H7" s="1076"/>
      <c r="I7" s="1076"/>
      <c r="J7" s="1076"/>
      <c r="K7" s="1077"/>
    </row>
    <row r="8" spans="1:11" hidden="1">
      <c r="A8" s="1078" t="s">
        <v>10</v>
      </c>
      <c r="B8" s="1079" t="s">
        <v>48</v>
      </c>
      <c r="C8" s="1080"/>
      <c r="D8" s="1081"/>
      <c r="E8" s="1081"/>
      <c r="F8" s="1081"/>
      <c r="G8" s="1081"/>
      <c r="H8" s="1081"/>
      <c r="I8" s="1081"/>
      <c r="J8" s="1081"/>
      <c r="K8" s="1082">
        <f t="shared" ref="K8:K16" si="0">J8/K$5</f>
        <v>0</v>
      </c>
    </row>
    <row r="9" spans="1:11" hidden="1">
      <c r="A9" s="1083"/>
      <c r="B9" s="1084">
        <v>1</v>
      </c>
      <c r="C9" s="1084">
        <v>2.34</v>
      </c>
      <c r="D9" s="1085">
        <f t="shared" ref="D9:D16" si="1">C9*$D$4</f>
        <v>3486600</v>
      </c>
      <c r="E9" s="1085">
        <f t="shared" ref="E9:E16" si="2">D9*$E$4</f>
        <v>0</v>
      </c>
      <c r="F9" s="1085">
        <f>$D$4*$F$4</f>
        <v>596000</v>
      </c>
      <c r="G9" s="1086">
        <f t="shared" ref="G9:G16" si="3">$D$4*$G$5</f>
        <v>29800</v>
      </c>
      <c r="H9" s="1087"/>
      <c r="I9" s="1086">
        <f>D9*$I$4</f>
        <v>819351</v>
      </c>
      <c r="J9" s="1086">
        <f t="shared" ref="J9:J16" si="4">SUM(D9:I9)</f>
        <v>4931751</v>
      </c>
      <c r="K9" s="1082">
        <f>J9/K$5</f>
        <v>189682.73076923078</v>
      </c>
    </row>
    <row r="10" spans="1:11" hidden="1">
      <c r="A10" s="1083"/>
      <c r="B10" s="1084">
        <v>2</v>
      </c>
      <c r="C10" s="1088">
        <f>C9+0.33</f>
        <v>2.67</v>
      </c>
      <c r="D10" s="1085">
        <f t="shared" si="1"/>
        <v>3978300</v>
      </c>
      <c r="E10" s="1085">
        <f t="shared" si="2"/>
        <v>0</v>
      </c>
      <c r="F10" s="1085">
        <f t="shared" ref="F10:F34" si="5">$D$4*$F$4</f>
        <v>596000</v>
      </c>
      <c r="G10" s="1086">
        <f t="shared" si="3"/>
        <v>29800</v>
      </c>
      <c r="H10" s="1087"/>
      <c r="I10" s="1086">
        <f t="shared" ref="I10:I16" si="6">D10*$I$4</f>
        <v>934900.5</v>
      </c>
      <c r="J10" s="1086">
        <f t="shared" si="4"/>
        <v>5539000.5</v>
      </c>
      <c r="K10" s="1082">
        <f t="shared" si="0"/>
        <v>213038.48076923078</v>
      </c>
    </row>
    <row r="11" spans="1:11" hidden="1">
      <c r="A11" s="1083"/>
      <c r="B11" s="1084">
        <v>3</v>
      </c>
      <c r="C11" s="1088">
        <f t="shared" ref="C11:C16" si="7">C10+0.33</f>
        <v>3</v>
      </c>
      <c r="D11" s="1085">
        <f t="shared" si="1"/>
        <v>4470000</v>
      </c>
      <c r="E11" s="1085">
        <f t="shared" si="2"/>
        <v>0</v>
      </c>
      <c r="F11" s="1085">
        <f t="shared" si="5"/>
        <v>596000</v>
      </c>
      <c r="G11" s="1086">
        <f t="shared" si="3"/>
        <v>29800</v>
      </c>
      <c r="H11" s="1087"/>
      <c r="I11" s="1086">
        <f t="shared" si="6"/>
        <v>1050450</v>
      </c>
      <c r="J11" s="1086">
        <f t="shared" si="4"/>
        <v>6146250</v>
      </c>
      <c r="K11" s="1082">
        <f t="shared" si="0"/>
        <v>236394.23076923078</v>
      </c>
    </row>
    <row r="12" spans="1:11" hidden="1">
      <c r="A12" s="1083"/>
      <c r="B12" s="1084">
        <v>4</v>
      </c>
      <c r="C12" s="1088">
        <f t="shared" si="7"/>
        <v>3.33</v>
      </c>
      <c r="D12" s="1085">
        <f t="shared" si="1"/>
        <v>4961700</v>
      </c>
      <c r="E12" s="1085">
        <f t="shared" si="2"/>
        <v>0</v>
      </c>
      <c r="F12" s="1085">
        <f t="shared" si="5"/>
        <v>596000</v>
      </c>
      <c r="G12" s="1086">
        <f t="shared" si="3"/>
        <v>29800</v>
      </c>
      <c r="H12" s="1087"/>
      <c r="I12" s="1086">
        <f t="shared" si="6"/>
        <v>1165999.5</v>
      </c>
      <c r="J12" s="1086">
        <f t="shared" si="4"/>
        <v>6753499.5</v>
      </c>
      <c r="K12" s="1082">
        <f t="shared" si="0"/>
        <v>259749.98076923078</v>
      </c>
    </row>
    <row r="13" spans="1:11" hidden="1">
      <c r="A13" s="1083"/>
      <c r="B13" s="1084">
        <v>5</v>
      </c>
      <c r="C13" s="1088">
        <f t="shared" si="7"/>
        <v>3.66</v>
      </c>
      <c r="D13" s="1085">
        <f t="shared" si="1"/>
        <v>5453400</v>
      </c>
      <c r="E13" s="1085">
        <f t="shared" si="2"/>
        <v>0</v>
      </c>
      <c r="F13" s="1085">
        <f t="shared" si="5"/>
        <v>596000</v>
      </c>
      <c r="G13" s="1086">
        <f t="shared" si="3"/>
        <v>29800</v>
      </c>
      <c r="H13" s="1087"/>
      <c r="I13" s="1086">
        <f t="shared" si="6"/>
        <v>1281549</v>
      </c>
      <c r="J13" s="1086">
        <f t="shared" si="4"/>
        <v>7360749</v>
      </c>
      <c r="K13" s="1082">
        <f t="shared" si="0"/>
        <v>283105.73076923075</v>
      </c>
    </row>
    <row r="14" spans="1:11" hidden="1">
      <c r="A14" s="1083"/>
      <c r="B14" s="1084">
        <v>6</v>
      </c>
      <c r="C14" s="1088">
        <f t="shared" si="7"/>
        <v>3.99</v>
      </c>
      <c r="D14" s="1085">
        <f t="shared" si="1"/>
        <v>5945100</v>
      </c>
      <c r="E14" s="1085">
        <f t="shared" si="2"/>
        <v>0</v>
      </c>
      <c r="F14" s="1085">
        <f t="shared" si="5"/>
        <v>596000</v>
      </c>
      <c r="G14" s="1086">
        <f t="shared" si="3"/>
        <v>29800</v>
      </c>
      <c r="H14" s="1087"/>
      <c r="I14" s="1086">
        <f t="shared" si="6"/>
        <v>1397098.5</v>
      </c>
      <c r="J14" s="1086">
        <f t="shared" si="4"/>
        <v>7967998.5</v>
      </c>
      <c r="K14" s="1082">
        <f t="shared" si="0"/>
        <v>306461.48076923075</v>
      </c>
    </row>
    <row r="15" spans="1:11" hidden="1">
      <c r="A15" s="1083"/>
      <c r="B15" s="1084">
        <v>7</v>
      </c>
      <c r="C15" s="1088">
        <f t="shared" si="7"/>
        <v>4.32</v>
      </c>
      <c r="D15" s="1085">
        <f t="shared" si="1"/>
        <v>6436800</v>
      </c>
      <c r="E15" s="1085">
        <f t="shared" si="2"/>
        <v>0</v>
      </c>
      <c r="F15" s="1085">
        <f t="shared" si="5"/>
        <v>596000</v>
      </c>
      <c r="G15" s="1086">
        <f t="shared" si="3"/>
        <v>29800</v>
      </c>
      <c r="H15" s="1087"/>
      <c r="I15" s="1086">
        <f t="shared" si="6"/>
        <v>1512648</v>
      </c>
      <c r="J15" s="1086">
        <f t="shared" si="4"/>
        <v>8575248</v>
      </c>
      <c r="K15" s="1082">
        <f t="shared" si="0"/>
        <v>329817.23076923075</v>
      </c>
    </row>
    <row r="16" spans="1:11" hidden="1">
      <c r="A16" s="1083"/>
      <c r="B16" s="1084">
        <v>8</v>
      </c>
      <c r="C16" s="1088">
        <f t="shared" si="7"/>
        <v>4.6500000000000004</v>
      </c>
      <c r="D16" s="1085">
        <f t="shared" si="1"/>
        <v>6928500.0000000009</v>
      </c>
      <c r="E16" s="1085">
        <f t="shared" si="2"/>
        <v>0</v>
      </c>
      <c r="F16" s="1085">
        <f t="shared" si="5"/>
        <v>596000</v>
      </c>
      <c r="G16" s="1086">
        <f t="shared" si="3"/>
        <v>29800</v>
      </c>
      <c r="H16" s="1087"/>
      <c r="I16" s="1086">
        <f t="shared" si="6"/>
        <v>1628197.5000000002</v>
      </c>
      <c r="J16" s="1086">
        <f t="shared" si="4"/>
        <v>9182497.5000000019</v>
      </c>
      <c r="K16" s="1082">
        <f t="shared" si="0"/>
        <v>353172.98076923087</v>
      </c>
    </row>
    <row r="17" spans="1:11" hidden="1">
      <c r="A17" s="1078" t="s">
        <v>11</v>
      </c>
      <c r="B17" s="1089" t="s">
        <v>45</v>
      </c>
      <c r="C17" s="1088"/>
      <c r="D17" s="1085"/>
      <c r="E17" s="1085"/>
      <c r="F17" s="1085"/>
      <c r="G17" s="1086"/>
      <c r="H17" s="1086"/>
      <c r="I17" s="1086"/>
      <c r="J17" s="1086"/>
      <c r="K17" s="1082"/>
    </row>
    <row r="18" spans="1:11" hidden="1">
      <c r="A18" s="1083"/>
      <c r="B18" s="1084">
        <v>1</v>
      </c>
      <c r="C18" s="1088">
        <f>+C19-0.2</f>
        <v>1.8599999999999997</v>
      </c>
      <c r="D18" s="1085">
        <f t="shared" ref="D18:D29" si="8">C18*$D$4</f>
        <v>2771399.9999999995</v>
      </c>
      <c r="E18" s="1085">
        <f t="shared" ref="E18:E29" si="9">D18*$E$4</f>
        <v>0</v>
      </c>
      <c r="F18" s="1085">
        <f t="shared" si="5"/>
        <v>596000</v>
      </c>
      <c r="G18" s="1086">
        <f t="shared" ref="G18:G29" si="10">$D$4*$G$5</f>
        <v>29800</v>
      </c>
      <c r="H18" s="1087"/>
      <c r="I18" s="1086">
        <f t="shared" ref="I18:I29" si="11">D18*$I$4</f>
        <v>651278.99999999988</v>
      </c>
      <c r="J18" s="1086">
        <f t="shared" ref="J18:J29" si="12">SUM(D18:I18)</f>
        <v>4048478.9999999995</v>
      </c>
      <c r="K18" s="1082">
        <f>J18/K$5</f>
        <v>155710.73076923075</v>
      </c>
    </row>
    <row r="19" spans="1:11" hidden="1">
      <c r="A19" s="1083"/>
      <c r="B19" s="1084">
        <v>2</v>
      </c>
      <c r="C19" s="1088">
        <f>+C20-0.2</f>
        <v>2.0599999999999996</v>
      </c>
      <c r="D19" s="1085">
        <f t="shared" si="8"/>
        <v>3069399.9999999995</v>
      </c>
      <c r="E19" s="1085">
        <f t="shared" si="9"/>
        <v>0</v>
      </c>
      <c r="F19" s="1085">
        <f t="shared" si="5"/>
        <v>596000</v>
      </c>
      <c r="G19" s="1086">
        <f t="shared" si="10"/>
        <v>29800</v>
      </c>
      <c r="H19" s="1087"/>
      <c r="I19" s="1086">
        <f t="shared" si="11"/>
        <v>721308.99999999988</v>
      </c>
      <c r="J19" s="1086">
        <f t="shared" si="12"/>
        <v>4416508.9999999991</v>
      </c>
      <c r="K19" s="1082">
        <f>J19/K$5</f>
        <v>169865.73076923072</v>
      </c>
    </row>
    <row r="20" spans="1:11" hidden="1">
      <c r="A20" s="1083"/>
      <c r="B20" s="1084">
        <v>3</v>
      </c>
      <c r="C20" s="1088">
        <v>2.2599999999999998</v>
      </c>
      <c r="D20" s="1085">
        <f t="shared" si="8"/>
        <v>3367399.9999999995</v>
      </c>
      <c r="E20" s="1085">
        <f t="shared" si="9"/>
        <v>0</v>
      </c>
      <c r="F20" s="1085">
        <f t="shared" si="5"/>
        <v>596000</v>
      </c>
      <c r="G20" s="1086">
        <f t="shared" si="10"/>
        <v>29800</v>
      </c>
      <c r="H20" s="1087"/>
      <c r="I20" s="1086">
        <f t="shared" si="11"/>
        <v>791338.99999999988</v>
      </c>
      <c r="J20" s="1086">
        <f t="shared" si="12"/>
        <v>4784538.9999999991</v>
      </c>
      <c r="K20" s="1082">
        <f>J20/K$5</f>
        <v>184020.73076923072</v>
      </c>
    </row>
    <row r="21" spans="1:11" hidden="1">
      <c r="A21" s="1083"/>
      <c r="B21" s="1084">
        <v>4</v>
      </c>
      <c r="C21" s="1088">
        <f>+C20+0.2</f>
        <v>2.46</v>
      </c>
      <c r="D21" s="1085">
        <f t="shared" si="8"/>
        <v>3665400</v>
      </c>
      <c r="E21" s="1085">
        <f t="shared" si="9"/>
        <v>0</v>
      </c>
      <c r="F21" s="1085">
        <f t="shared" si="5"/>
        <v>596000</v>
      </c>
      <c r="G21" s="1086">
        <f t="shared" si="10"/>
        <v>29800</v>
      </c>
      <c r="H21" s="1087"/>
      <c r="I21" s="1086">
        <f t="shared" si="11"/>
        <v>861369</v>
      </c>
      <c r="J21" s="1086">
        <f t="shared" si="12"/>
        <v>5152569</v>
      </c>
      <c r="K21" s="1082">
        <f>J21/K$5</f>
        <v>198175.73076923078</v>
      </c>
    </row>
    <row r="22" spans="1:11" hidden="1">
      <c r="A22" s="1083"/>
      <c r="B22" s="1084">
        <v>5</v>
      </c>
      <c r="C22" s="1088">
        <f>+C21+0.2</f>
        <v>2.66</v>
      </c>
      <c r="D22" s="1085">
        <f t="shared" si="8"/>
        <v>3963400</v>
      </c>
      <c r="E22" s="1085">
        <f t="shared" si="9"/>
        <v>0</v>
      </c>
      <c r="F22" s="1085">
        <f t="shared" si="5"/>
        <v>596000</v>
      </c>
      <c r="G22" s="1086">
        <f t="shared" si="10"/>
        <v>29800</v>
      </c>
      <c r="H22" s="1087"/>
      <c r="I22" s="1086">
        <f t="shared" si="11"/>
        <v>931399</v>
      </c>
      <c r="J22" s="1086">
        <f t="shared" si="12"/>
        <v>5520599</v>
      </c>
      <c r="K22" s="1082">
        <f t="shared" ref="K22:K66" si="13">J22/K$5</f>
        <v>212330.73076923078</v>
      </c>
    </row>
    <row r="23" spans="1:11" hidden="1">
      <c r="A23" s="1083"/>
      <c r="B23" s="1084">
        <v>6</v>
      </c>
      <c r="C23" s="1088">
        <f>+C22+0.2</f>
        <v>2.8600000000000003</v>
      </c>
      <c r="D23" s="1085">
        <f t="shared" si="8"/>
        <v>4261400.0000000009</v>
      </c>
      <c r="E23" s="1085">
        <f t="shared" si="9"/>
        <v>0</v>
      </c>
      <c r="F23" s="1085">
        <f t="shared" si="5"/>
        <v>596000</v>
      </c>
      <c r="G23" s="1086">
        <f t="shared" si="10"/>
        <v>29800</v>
      </c>
      <c r="H23" s="1087"/>
      <c r="I23" s="1086">
        <f t="shared" si="11"/>
        <v>1001429.0000000001</v>
      </c>
      <c r="J23" s="1086">
        <f t="shared" si="12"/>
        <v>5888629.0000000009</v>
      </c>
      <c r="K23" s="1082">
        <f t="shared" si="13"/>
        <v>226485.73076923081</v>
      </c>
    </row>
    <row r="24" spans="1:11" hidden="1">
      <c r="A24" s="1083"/>
      <c r="B24" s="1084">
        <v>7</v>
      </c>
      <c r="C24" s="1088">
        <f t="shared" ref="C24:C29" si="14">+C23+0.2</f>
        <v>3.0600000000000005</v>
      </c>
      <c r="D24" s="1085">
        <f t="shared" si="8"/>
        <v>4559400.0000000009</v>
      </c>
      <c r="E24" s="1085">
        <f t="shared" si="9"/>
        <v>0</v>
      </c>
      <c r="F24" s="1085">
        <f t="shared" si="5"/>
        <v>596000</v>
      </c>
      <c r="G24" s="1086">
        <f t="shared" si="10"/>
        <v>29800</v>
      </c>
      <c r="H24" s="1087"/>
      <c r="I24" s="1086">
        <f t="shared" si="11"/>
        <v>1071459.0000000002</v>
      </c>
      <c r="J24" s="1086">
        <f t="shared" si="12"/>
        <v>6256659.0000000009</v>
      </c>
      <c r="K24" s="1082">
        <f t="shared" ref="K24:K29" si="15">J24/K$5</f>
        <v>240640.73076923081</v>
      </c>
    </row>
    <row r="25" spans="1:11" hidden="1">
      <c r="A25" s="1083"/>
      <c r="B25" s="1084">
        <v>8</v>
      </c>
      <c r="C25" s="1088">
        <f t="shared" si="14"/>
        <v>3.2600000000000007</v>
      </c>
      <c r="D25" s="1085">
        <f t="shared" si="8"/>
        <v>4857400.0000000009</v>
      </c>
      <c r="E25" s="1085">
        <f t="shared" si="9"/>
        <v>0</v>
      </c>
      <c r="F25" s="1085">
        <f t="shared" si="5"/>
        <v>596000</v>
      </c>
      <c r="G25" s="1086">
        <f t="shared" si="10"/>
        <v>29800</v>
      </c>
      <c r="H25" s="1087"/>
      <c r="I25" s="1086">
        <f t="shared" si="11"/>
        <v>1141489.0000000002</v>
      </c>
      <c r="J25" s="1086">
        <f t="shared" si="12"/>
        <v>6624689.0000000009</v>
      </c>
      <c r="K25" s="1082">
        <f t="shared" si="15"/>
        <v>254795.73076923081</v>
      </c>
    </row>
    <row r="26" spans="1:11" hidden="1">
      <c r="A26" s="1083"/>
      <c r="B26" s="1084">
        <v>9</v>
      </c>
      <c r="C26" s="1088">
        <f t="shared" si="14"/>
        <v>3.4600000000000009</v>
      </c>
      <c r="D26" s="1085">
        <f t="shared" si="8"/>
        <v>5155400.0000000009</v>
      </c>
      <c r="E26" s="1085">
        <f t="shared" si="9"/>
        <v>0</v>
      </c>
      <c r="F26" s="1085">
        <f t="shared" si="5"/>
        <v>596000</v>
      </c>
      <c r="G26" s="1086">
        <f t="shared" si="10"/>
        <v>29800</v>
      </c>
      <c r="H26" s="1087"/>
      <c r="I26" s="1086">
        <f t="shared" si="11"/>
        <v>1211519.0000000002</v>
      </c>
      <c r="J26" s="1086">
        <f t="shared" si="12"/>
        <v>6992719.0000000009</v>
      </c>
      <c r="K26" s="1082">
        <f t="shared" si="15"/>
        <v>268950.73076923081</v>
      </c>
    </row>
    <row r="27" spans="1:11" hidden="1">
      <c r="A27" s="1083"/>
      <c r="B27" s="1084">
        <v>10</v>
      </c>
      <c r="C27" s="1088">
        <f t="shared" si="14"/>
        <v>3.660000000000001</v>
      </c>
      <c r="D27" s="1085">
        <f t="shared" si="8"/>
        <v>5453400.0000000019</v>
      </c>
      <c r="E27" s="1085">
        <f t="shared" si="9"/>
        <v>0</v>
      </c>
      <c r="F27" s="1085">
        <f t="shared" si="5"/>
        <v>596000</v>
      </c>
      <c r="G27" s="1086">
        <f t="shared" si="10"/>
        <v>29800</v>
      </c>
      <c r="H27" s="1087"/>
      <c r="I27" s="1086">
        <f t="shared" si="11"/>
        <v>1281549.0000000005</v>
      </c>
      <c r="J27" s="1086">
        <f t="shared" si="12"/>
        <v>7360749.0000000019</v>
      </c>
      <c r="K27" s="1082">
        <f t="shared" si="15"/>
        <v>283105.73076923087</v>
      </c>
    </row>
    <row r="28" spans="1:11" hidden="1">
      <c r="A28" s="1083"/>
      <c r="B28" s="1084">
        <v>11</v>
      </c>
      <c r="C28" s="1088">
        <f t="shared" si="14"/>
        <v>3.8600000000000012</v>
      </c>
      <c r="D28" s="1085">
        <f t="shared" si="8"/>
        <v>5751400.0000000019</v>
      </c>
      <c r="E28" s="1085">
        <f t="shared" si="9"/>
        <v>0</v>
      </c>
      <c r="F28" s="1085">
        <f t="shared" si="5"/>
        <v>596000</v>
      </c>
      <c r="G28" s="1086">
        <f t="shared" si="10"/>
        <v>29800</v>
      </c>
      <c r="H28" s="1087"/>
      <c r="I28" s="1086">
        <f t="shared" si="11"/>
        <v>1351579.0000000005</v>
      </c>
      <c r="J28" s="1086">
        <f t="shared" si="12"/>
        <v>7728779.0000000019</v>
      </c>
      <c r="K28" s="1082">
        <f t="shared" si="15"/>
        <v>297260.73076923087</v>
      </c>
    </row>
    <row r="29" spans="1:11" hidden="1">
      <c r="A29" s="1083"/>
      <c r="B29" s="1084">
        <v>12</v>
      </c>
      <c r="C29" s="1088">
        <f t="shared" si="14"/>
        <v>4.0600000000000014</v>
      </c>
      <c r="D29" s="1085">
        <f t="shared" si="8"/>
        <v>6049400.0000000019</v>
      </c>
      <c r="E29" s="1085">
        <f t="shared" si="9"/>
        <v>0</v>
      </c>
      <c r="F29" s="1085">
        <f t="shared" si="5"/>
        <v>596000</v>
      </c>
      <c r="G29" s="1086">
        <f t="shared" si="10"/>
        <v>29800</v>
      </c>
      <c r="H29" s="1087"/>
      <c r="I29" s="1086">
        <f t="shared" si="11"/>
        <v>1421609.0000000005</v>
      </c>
      <c r="J29" s="1086">
        <f t="shared" si="12"/>
        <v>8096809.0000000019</v>
      </c>
      <c r="K29" s="1082">
        <f t="shared" si="15"/>
        <v>311415.73076923087</v>
      </c>
    </row>
    <row r="30" spans="1:11" hidden="1">
      <c r="A30" s="1078" t="s">
        <v>12</v>
      </c>
      <c r="B30" s="1089" t="s">
        <v>60</v>
      </c>
      <c r="C30" s="1088"/>
      <c r="D30" s="1085"/>
      <c r="E30" s="1085"/>
      <c r="F30" s="1085"/>
      <c r="G30" s="1086"/>
      <c r="H30" s="1087"/>
      <c r="I30" s="1086"/>
      <c r="J30" s="1086"/>
      <c r="K30" s="1082"/>
    </row>
    <row r="31" spans="1:11" hidden="1">
      <c r="A31" s="1083"/>
      <c r="B31" s="1084">
        <v>1</v>
      </c>
      <c r="C31" s="1088">
        <v>2.0499999999999998</v>
      </c>
      <c r="D31" s="1085">
        <f>C31*$D$4</f>
        <v>3054499.9999999995</v>
      </c>
      <c r="E31" s="1085">
        <f>D31*$E$4</f>
        <v>0</v>
      </c>
      <c r="F31" s="1085">
        <f t="shared" si="5"/>
        <v>596000</v>
      </c>
      <c r="G31" s="1086"/>
      <c r="H31" s="1087"/>
      <c r="I31" s="1086">
        <f>D31*$I$4</f>
        <v>717807.49999999988</v>
      </c>
      <c r="J31" s="1086">
        <f>SUM(D31:I31)</f>
        <v>4368307.4999999991</v>
      </c>
      <c r="K31" s="1082">
        <f>J31/K$5</f>
        <v>168011.82692307688</v>
      </c>
    </row>
    <row r="32" spans="1:11" hidden="1">
      <c r="A32" s="1083"/>
      <c r="B32" s="1084">
        <v>2</v>
      </c>
      <c r="C32" s="1088">
        <v>2.23</v>
      </c>
      <c r="D32" s="1085">
        <f>C32*$D$4</f>
        <v>3322700</v>
      </c>
      <c r="E32" s="1085">
        <f>D32*$E$4</f>
        <v>0</v>
      </c>
      <c r="F32" s="1085">
        <f t="shared" si="5"/>
        <v>596000</v>
      </c>
      <c r="G32" s="1086"/>
      <c r="H32" s="1087"/>
      <c r="I32" s="1086">
        <f>D32*$I$4</f>
        <v>780834.5</v>
      </c>
      <c r="J32" s="1086">
        <f>SUM(D32:I32)</f>
        <v>4699534.5</v>
      </c>
      <c r="K32" s="1082">
        <f>J32/K$5</f>
        <v>180751.32692307694</v>
      </c>
    </row>
    <row r="33" spans="1:12" hidden="1">
      <c r="A33" s="1083"/>
      <c r="B33" s="1084">
        <v>3</v>
      </c>
      <c r="C33" s="1088">
        <v>2.41</v>
      </c>
      <c r="D33" s="1085">
        <f>C33*$D$4</f>
        <v>3590900</v>
      </c>
      <c r="E33" s="1085">
        <f>D33*$E$4</f>
        <v>0</v>
      </c>
      <c r="F33" s="1085">
        <f t="shared" si="5"/>
        <v>596000</v>
      </c>
      <c r="G33" s="1086"/>
      <c r="H33" s="1087"/>
      <c r="I33" s="1086">
        <f>D33*$I$4</f>
        <v>843861.5</v>
      </c>
      <c r="J33" s="1086">
        <f>SUM(D33:I33)</f>
        <v>5030761.5</v>
      </c>
      <c r="K33" s="1082">
        <f>J33/K$5</f>
        <v>193490.82692307694</v>
      </c>
    </row>
    <row r="34" spans="1:12" hidden="1">
      <c r="A34" s="1083"/>
      <c r="B34" s="1084">
        <v>4</v>
      </c>
      <c r="C34" s="1088">
        <v>2.59</v>
      </c>
      <c r="D34" s="1085">
        <f>C34*$D$4</f>
        <v>3859100</v>
      </c>
      <c r="E34" s="1085">
        <f>D34*$E$4</f>
        <v>0</v>
      </c>
      <c r="F34" s="1085">
        <f t="shared" si="5"/>
        <v>596000</v>
      </c>
      <c r="G34" s="1086"/>
      <c r="H34" s="1087"/>
      <c r="I34" s="1086">
        <f>D34*$I$4</f>
        <v>906888.5</v>
      </c>
      <c r="J34" s="1086">
        <f>SUM(D34:I34)</f>
        <v>5361988.5</v>
      </c>
      <c r="K34" s="1082">
        <f>J34/K$5</f>
        <v>206230.32692307694</v>
      </c>
    </row>
    <row r="35" spans="1:12">
      <c r="A35" s="1090" t="s">
        <v>995</v>
      </c>
      <c r="C35" s="1091"/>
      <c r="D35" s="1092"/>
      <c r="E35" s="1092"/>
      <c r="F35" s="1092"/>
      <c r="G35" s="1092"/>
      <c r="H35" s="1093"/>
      <c r="I35" s="1094"/>
      <c r="J35" s="1094"/>
      <c r="K35" s="1095"/>
    </row>
    <row r="36" spans="1:12">
      <c r="A36" s="1078" t="s">
        <v>10</v>
      </c>
      <c r="B36" s="1079" t="s">
        <v>48</v>
      </c>
      <c r="C36" s="1080"/>
      <c r="D36" s="1081"/>
      <c r="E36" s="1081"/>
      <c r="F36" s="1081"/>
      <c r="G36" s="1081"/>
      <c r="H36" s="1081"/>
      <c r="I36" s="1081"/>
      <c r="J36" s="1081"/>
      <c r="K36" s="1082"/>
    </row>
    <row r="37" spans="1:12">
      <c r="A37" s="1083"/>
      <c r="B37" s="1084">
        <v>1</v>
      </c>
      <c r="C37" s="1084">
        <v>2.34</v>
      </c>
      <c r="D37" s="1085">
        <f t="shared" ref="D37:D42" si="16">C37*$D$4</f>
        <v>3486600</v>
      </c>
      <c r="E37" s="1085">
        <f t="shared" ref="E37:E42" si="17">D37*$E$4</f>
        <v>0</v>
      </c>
      <c r="F37" s="1085"/>
      <c r="G37" s="1086">
        <f>$D$4*$G$5</f>
        <v>29800</v>
      </c>
      <c r="H37" s="1086">
        <f>+$H$5*$D$4</f>
        <v>0</v>
      </c>
      <c r="I37" s="1086">
        <f>D37*$I$4</f>
        <v>819351</v>
      </c>
      <c r="J37" s="1086">
        <f t="shared" ref="J37:J44" si="18">SUM(D37:I37)</f>
        <v>4335751</v>
      </c>
      <c r="K37" s="1082">
        <f t="shared" si="13"/>
        <v>166759.65384615384</v>
      </c>
      <c r="L37" s="1096"/>
    </row>
    <row r="38" spans="1:12">
      <c r="A38" s="1083"/>
      <c r="B38" s="1084">
        <v>2</v>
      </c>
      <c r="C38" s="1088">
        <f>C37+0.33</f>
        <v>2.67</v>
      </c>
      <c r="D38" s="1085">
        <f t="shared" si="16"/>
        <v>3978300</v>
      </c>
      <c r="E38" s="1085">
        <f t="shared" si="17"/>
        <v>0</v>
      </c>
      <c r="F38" s="1085"/>
      <c r="G38" s="1086">
        <f t="shared" ref="G38:G44" si="19">$D$4*$G$5</f>
        <v>29800</v>
      </c>
      <c r="H38" s="1086">
        <f t="shared" ref="H38:H57" si="20">+$H$5*$D$4</f>
        <v>0</v>
      </c>
      <c r="I38" s="1086">
        <f t="shared" ref="I38:I44" si="21">D38*$I$4</f>
        <v>934900.5</v>
      </c>
      <c r="J38" s="1086">
        <f t="shared" si="18"/>
        <v>4943000.5</v>
      </c>
      <c r="K38" s="1082">
        <f t="shared" si="13"/>
        <v>190115.40384615384</v>
      </c>
      <c r="L38" s="1096"/>
    </row>
    <row r="39" spans="1:12">
      <c r="A39" s="1083"/>
      <c r="B39" s="1084">
        <v>3</v>
      </c>
      <c r="C39" s="1088">
        <f t="shared" ref="C39:C44" si="22">C38+0.33</f>
        <v>3</v>
      </c>
      <c r="D39" s="1085">
        <f t="shared" si="16"/>
        <v>4470000</v>
      </c>
      <c r="E39" s="1085">
        <f t="shared" si="17"/>
        <v>0</v>
      </c>
      <c r="F39" s="1085"/>
      <c r="G39" s="1086">
        <f t="shared" si="19"/>
        <v>29800</v>
      </c>
      <c r="H39" s="1086">
        <f t="shared" si="20"/>
        <v>0</v>
      </c>
      <c r="I39" s="1086">
        <f t="shared" si="21"/>
        <v>1050450</v>
      </c>
      <c r="J39" s="1086">
        <f t="shared" si="18"/>
        <v>5550250</v>
      </c>
      <c r="K39" s="1082">
        <f t="shared" si="13"/>
        <v>213471.15384615384</v>
      </c>
      <c r="L39" s="1096"/>
    </row>
    <row r="40" spans="1:12">
      <c r="A40" s="1083"/>
      <c r="B40" s="1084">
        <v>4</v>
      </c>
      <c r="C40" s="1088">
        <f t="shared" si="22"/>
        <v>3.33</v>
      </c>
      <c r="D40" s="1085">
        <f t="shared" si="16"/>
        <v>4961700</v>
      </c>
      <c r="E40" s="1085">
        <f t="shared" si="17"/>
        <v>0</v>
      </c>
      <c r="F40" s="1085"/>
      <c r="G40" s="1086">
        <f t="shared" si="19"/>
        <v>29800</v>
      </c>
      <c r="H40" s="1086">
        <f t="shared" si="20"/>
        <v>0</v>
      </c>
      <c r="I40" s="1086">
        <f t="shared" si="21"/>
        <v>1165999.5</v>
      </c>
      <c r="J40" s="1086">
        <f t="shared" si="18"/>
        <v>6157499.5</v>
      </c>
      <c r="K40" s="1082">
        <f t="shared" si="13"/>
        <v>236826.90384615384</v>
      </c>
      <c r="L40" s="1096"/>
    </row>
    <row r="41" spans="1:12">
      <c r="A41" s="1083"/>
      <c r="B41" s="1084">
        <v>5</v>
      </c>
      <c r="C41" s="1088">
        <f t="shared" si="22"/>
        <v>3.66</v>
      </c>
      <c r="D41" s="1085">
        <f t="shared" si="16"/>
        <v>5453400</v>
      </c>
      <c r="E41" s="1085">
        <f t="shared" si="17"/>
        <v>0</v>
      </c>
      <c r="F41" s="1085"/>
      <c r="G41" s="1086">
        <f t="shared" si="19"/>
        <v>29800</v>
      </c>
      <c r="H41" s="1086">
        <f t="shared" si="20"/>
        <v>0</v>
      </c>
      <c r="I41" s="1086">
        <f t="shared" si="21"/>
        <v>1281549</v>
      </c>
      <c r="J41" s="1086">
        <f t="shared" si="18"/>
        <v>6764749</v>
      </c>
      <c r="K41" s="1082">
        <f t="shared" si="13"/>
        <v>260182.65384615384</v>
      </c>
      <c r="L41" s="1096"/>
    </row>
    <row r="42" spans="1:12">
      <c r="A42" s="1083"/>
      <c r="B42" s="1084">
        <v>6</v>
      </c>
      <c r="C42" s="1088">
        <f t="shared" si="22"/>
        <v>3.99</v>
      </c>
      <c r="D42" s="1085">
        <f t="shared" si="16"/>
        <v>5945100</v>
      </c>
      <c r="E42" s="1085">
        <f t="shared" si="17"/>
        <v>0</v>
      </c>
      <c r="F42" s="1085"/>
      <c r="G42" s="1086">
        <f t="shared" si="19"/>
        <v>29800</v>
      </c>
      <c r="H42" s="1086">
        <f t="shared" si="20"/>
        <v>0</v>
      </c>
      <c r="I42" s="1086">
        <f t="shared" si="21"/>
        <v>1397098.5</v>
      </c>
      <c r="J42" s="1086">
        <f t="shared" si="18"/>
        <v>7371998.5</v>
      </c>
      <c r="K42" s="1082">
        <f t="shared" si="13"/>
        <v>283538.40384615387</v>
      </c>
      <c r="L42" s="1096"/>
    </row>
    <row r="43" spans="1:12">
      <c r="A43" s="1083"/>
      <c r="B43" s="1084">
        <v>7</v>
      </c>
      <c r="C43" s="1088">
        <f t="shared" si="22"/>
        <v>4.32</v>
      </c>
      <c r="D43" s="1085">
        <f>C43*$D$4</f>
        <v>6436800</v>
      </c>
      <c r="E43" s="1085">
        <f>D43*$E$4</f>
        <v>0</v>
      </c>
      <c r="F43" s="1085"/>
      <c r="G43" s="1086">
        <f t="shared" si="19"/>
        <v>29800</v>
      </c>
      <c r="H43" s="1086">
        <f t="shared" si="20"/>
        <v>0</v>
      </c>
      <c r="I43" s="1086">
        <f t="shared" si="21"/>
        <v>1512648</v>
      </c>
      <c r="J43" s="1086">
        <f t="shared" si="18"/>
        <v>7979248</v>
      </c>
      <c r="K43" s="1082">
        <f>J43/K$5</f>
        <v>306894.15384615387</v>
      </c>
      <c r="L43" s="1096"/>
    </row>
    <row r="44" spans="1:12">
      <c r="A44" s="1083"/>
      <c r="B44" s="1084">
        <v>8</v>
      </c>
      <c r="C44" s="1088">
        <f t="shared" si="22"/>
        <v>4.6500000000000004</v>
      </c>
      <c r="D44" s="1085">
        <f>C44*$D$4</f>
        <v>6928500.0000000009</v>
      </c>
      <c r="E44" s="1085">
        <f>D44*$E$4</f>
        <v>0</v>
      </c>
      <c r="F44" s="1085"/>
      <c r="G44" s="1086">
        <f t="shared" si="19"/>
        <v>29800</v>
      </c>
      <c r="H44" s="1086">
        <f t="shared" si="20"/>
        <v>0</v>
      </c>
      <c r="I44" s="1086">
        <f t="shared" si="21"/>
        <v>1628197.5000000002</v>
      </c>
      <c r="J44" s="1086">
        <f t="shared" si="18"/>
        <v>8586497.5000000019</v>
      </c>
      <c r="K44" s="1082">
        <f>J44/K$5</f>
        <v>330249.90384615393</v>
      </c>
      <c r="L44" s="1096"/>
    </row>
    <row r="45" spans="1:12">
      <c r="A45" s="1078" t="s">
        <v>11</v>
      </c>
      <c r="B45" s="1089" t="s">
        <v>45</v>
      </c>
      <c r="C45" s="1088"/>
      <c r="D45" s="1085"/>
      <c r="E45" s="1085"/>
      <c r="F45" s="1085"/>
      <c r="G45" s="1086"/>
      <c r="H45" s="1086"/>
      <c r="I45" s="1086"/>
      <c r="J45" s="1086"/>
      <c r="K45" s="1082"/>
      <c r="L45" s="1096"/>
    </row>
    <row r="46" spans="1:12">
      <c r="A46" s="1083"/>
      <c r="B46" s="1084">
        <v>1</v>
      </c>
      <c r="C46" s="1088">
        <f>+C47-0.2</f>
        <v>1.8599999999999997</v>
      </c>
      <c r="D46" s="1085">
        <f>C46*$D$4</f>
        <v>2771399.9999999995</v>
      </c>
      <c r="E46" s="1085">
        <f>D46*$E$4</f>
        <v>0</v>
      </c>
      <c r="F46" s="1085"/>
      <c r="G46" s="1086">
        <f t="shared" ref="G46:G57" si="23">$D$4*$G$5</f>
        <v>29800</v>
      </c>
      <c r="H46" s="1086">
        <f t="shared" si="20"/>
        <v>0</v>
      </c>
      <c r="I46" s="1086">
        <f t="shared" ref="I46:I57" si="24">D46*$I$4</f>
        <v>651278.99999999988</v>
      </c>
      <c r="J46" s="1086">
        <f t="shared" ref="J46:J57" si="25">SUM(D46:I46)</f>
        <v>3452478.9999999995</v>
      </c>
      <c r="K46" s="1082">
        <f>J46/K$5</f>
        <v>132787.65384615381</v>
      </c>
      <c r="L46" s="1096"/>
    </row>
    <row r="47" spans="1:12">
      <c r="A47" s="1083"/>
      <c r="B47" s="1084">
        <v>2</v>
      </c>
      <c r="C47" s="1088">
        <f>+C48-0.2</f>
        <v>2.0599999999999996</v>
      </c>
      <c r="D47" s="1085">
        <f>C47*$D$4</f>
        <v>3069399.9999999995</v>
      </c>
      <c r="E47" s="1085">
        <f>D47*$E$4</f>
        <v>0</v>
      </c>
      <c r="F47" s="1085"/>
      <c r="G47" s="1086">
        <f t="shared" si="23"/>
        <v>29800</v>
      </c>
      <c r="H47" s="1086">
        <f t="shared" si="20"/>
        <v>0</v>
      </c>
      <c r="I47" s="1086">
        <f t="shared" si="24"/>
        <v>721308.99999999988</v>
      </c>
      <c r="J47" s="1086">
        <f t="shared" si="25"/>
        <v>3820508.9999999995</v>
      </c>
      <c r="K47" s="1082">
        <f>J47/K$5</f>
        <v>146942.65384615381</v>
      </c>
      <c r="L47" s="1096"/>
    </row>
    <row r="48" spans="1:12">
      <c r="A48" s="1083"/>
      <c r="B48" s="1084">
        <v>3</v>
      </c>
      <c r="C48" s="1088">
        <v>2.2599999999999998</v>
      </c>
      <c r="D48" s="1085">
        <f>C48*$D$4</f>
        <v>3367399.9999999995</v>
      </c>
      <c r="E48" s="1085">
        <f>D48*$E$4</f>
        <v>0</v>
      </c>
      <c r="F48" s="1085"/>
      <c r="G48" s="1086">
        <f t="shared" si="23"/>
        <v>29800</v>
      </c>
      <c r="H48" s="1086">
        <f t="shared" si="20"/>
        <v>0</v>
      </c>
      <c r="I48" s="1086">
        <f t="shared" si="24"/>
        <v>791338.99999999988</v>
      </c>
      <c r="J48" s="1086">
        <f t="shared" si="25"/>
        <v>4188538.9999999995</v>
      </c>
      <c r="K48" s="1082">
        <f>J48/K$5</f>
        <v>161097.65384615381</v>
      </c>
      <c r="L48" s="1096"/>
    </row>
    <row r="49" spans="1:12">
      <c r="A49" s="1083"/>
      <c r="B49" s="1084">
        <v>4</v>
      </c>
      <c r="C49" s="1088">
        <f>+C48+0.2</f>
        <v>2.46</v>
      </c>
      <c r="D49" s="1085">
        <f t="shared" ref="D49:D55" si="26">C49*$D$4</f>
        <v>3665400</v>
      </c>
      <c r="E49" s="1085">
        <f t="shared" ref="E49:E55" si="27">D49*$E$4</f>
        <v>0</v>
      </c>
      <c r="F49" s="1085"/>
      <c r="G49" s="1086">
        <f t="shared" si="23"/>
        <v>29800</v>
      </c>
      <c r="H49" s="1086">
        <f t="shared" si="20"/>
        <v>0</v>
      </c>
      <c r="I49" s="1086">
        <f t="shared" si="24"/>
        <v>861369</v>
      </c>
      <c r="J49" s="1086">
        <f t="shared" si="25"/>
        <v>4556569</v>
      </c>
      <c r="K49" s="1082">
        <f t="shared" si="13"/>
        <v>175252.65384615384</v>
      </c>
      <c r="L49" s="1096"/>
    </row>
    <row r="50" spans="1:12">
      <c r="A50" s="1083"/>
      <c r="B50" s="1084">
        <v>5</v>
      </c>
      <c r="C50" s="1088">
        <f>+C49+0.2</f>
        <v>2.66</v>
      </c>
      <c r="D50" s="1085">
        <f t="shared" si="26"/>
        <v>3963400</v>
      </c>
      <c r="E50" s="1085">
        <f t="shared" si="27"/>
        <v>0</v>
      </c>
      <c r="F50" s="1085"/>
      <c r="G50" s="1086">
        <f t="shared" si="23"/>
        <v>29800</v>
      </c>
      <c r="H50" s="1086">
        <f t="shared" si="20"/>
        <v>0</v>
      </c>
      <c r="I50" s="1086">
        <f t="shared" si="24"/>
        <v>931399</v>
      </c>
      <c r="J50" s="1086">
        <f t="shared" si="25"/>
        <v>4924599</v>
      </c>
      <c r="K50" s="1082">
        <f t="shared" si="13"/>
        <v>189407.65384615384</v>
      </c>
      <c r="L50" s="1096"/>
    </row>
    <row r="51" spans="1:12">
      <c r="A51" s="1083"/>
      <c r="B51" s="1084">
        <v>6</v>
      </c>
      <c r="C51" s="1088">
        <f>+C50+0.2</f>
        <v>2.8600000000000003</v>
      </c>
      <c r="D51" s="1085">
        <f t="shared" si="26"/>
        <v>4261400.0000000009</v>
      </c>
      <c r="E51" s="1085">
        <f t="shared" si="27"/>
        <v>0</v>
      </c>
      <c r="F51" s="1085"/>
      <c r="G51" s="1086">
        <f t="shared" si="23"/>
        <v>29800</v>
      </c>
      <c r="H51" s="1086">
        <f t="shared" si="20"/>
        <v>0</v>
      </c>
      <c r="I51" s="1086">
        <f t="shared" si="24"/>
        <v>1001429.0000000001</v>
      </c>
      <c r="J51" s="1086">
        <f t="shared" si="25"/>
        <v>5292629.0000000009</v>
      </c>
      <c r="K51" s="1082">
        <f t="shared" si="13"/>
        <v>203562.65384615387</v>
      </c>
      <c r="L51" s="1096"/>
    </row>
    <row r="52" spans="1:12">
      <c r="A52" s="1083"/>
      <c r="B52" s="1084">
        <v>7</v>
      </c>
      <c r="C52" s="1088">
        <f t="shared" ref="C52:C57" si="28">+C51+0.2</f>
        <v>3.0600000000000005</v>
      </c>
      <c r="D52" s="1085">
        <f t="shared" si="26"/>
        <v>4559400.0000000009</v>
      </c>
      <c r="E52" s="1085">
        <f t="shared" si="27"/>
        <v>0</v>
      </c>
      <c r="F52" s="1085"/>
      <c r="G52" s="1086">
        <f t="shared" si="23"/>
        <v>29800</v>
      </c>
      <c r="H52" s="1086">
        <f t="shared" si="20"/>
        <v>0</v>
      </c>
      <c r="I52" s="1086">
        <f t="shared" si="24"/>
        <v>1071459.0000000002</v>
      </c>
      <c r="J52" s="1086">
        <f t="shared" si="25"/>
        <v>5660659.0000000009</v>
      </c>
      <c r="K52" s="1082">
        <f t="shared" si="13"/>
        <v>217717.65384615387</v>
      </c>
      <c r="L52" s="1096"/>
    </row>
    <row r="53" spans="1:12">
      <c r="A53" s="1083"/>
      <c r="B53" s="1084">
        <v>8</v>
      </c>
      <c r="C53" s="1088">
        <f t="shared" si="28"/>
        <v>3.2600000000000007</v>
      </c>
      <c r="D53" s="1085">
        <f t="shared" si="26"/>
        <v>4857400.0000000009</v>
      </c>
      <c r="E53" s="1085">
        <f t="shared" si="27"/>
        <v>0</v>
      </c>
      <c r="F53" s="1085"/>
      <c r="G53" s="1086">
        <f t="shared" si="23"/>
        <v>29800</v>
      </c>
      <c r="H53" s="1086">
        <f t="shared" si="20"/>
        <v>0</v>
      </c>
      <c r="I53" s="1086">
        <f t="shared" si="24"/>
        <v>1141489.0000000002</v>
      </c>
      <c r="J53" s="1086">
        <f t="shared" si="25"/>
        <v>6028689.0000000009</v>
      </c>
      <c r="K53" s="1082">
        <f t="shared" si="13"/>
        <v>231872.65384615387</v>
      </c>
      <c r="L53" s="1096"/>
    </row>
    <row r="54" spans="1:12">
      <c r="A54" s="1083"/>
      <c r="B54" s="1084">
        <v>9</v>
      </c>
      <c r="C54" s="1088">
        <f t="shared" si="28"/>
        <v>3.4600000000000009</v>
      </c>
      <c r="D54" s="1085">
        <f t="shared" si="26"/>
        <v>5155400.0000000009</v>
      </c>
      <c r="E54" s="1085">
        <f t="shared" si="27"/>
        <v>0</v>
      </c>
      <c r="F54" s="1085"/>
      <c r="G54" s="1086">
        <f t="shared" si="23"/>
        <v>29800</v>
      </c>
      <c r="H54" s="1086">
        <f t="shared" si="20"/>
        <v>0</v>
      </c>
      <c r="I54" s="1086">
        <f t="shared" si="24"/>
        <v>1211519.0000000002</v>
      </c>
      <c r="J54" s="1086">
        <f t="shared" si="25"/>
        <v>6396719.0000000009</v>
      </c>
      <c r="K54" s="1082">
        <f t="shared" si="13"/>
        <v>246027.65384615387</v>
      </c>
      <c r="L54" s="1096"/>
    </row>
    <row r="55" spans="1:12">
      <c r="A55" s="1083"/>
      <c r="B55" s="1084">
        <v>10</v>
      </c>
      <c r="C55" s="1088">
        <f t="shared" si="28"/>
        <v>3.660000000000001</v>
      </c>
      <c r="D55" s="1085">
        <f t="shared" si="26"/>
        <v>5453400.0000000019</v>
      </c>
      <c r="E55" s="1085">
        <f t="shared" si="27"/>
        <v>0</v>
      </c>
      <c r="F55" s="1085"/>
      <c r="G55" s="1086">
        <f t="shared" si="23"/>
        <v>29800</v>
      </c>
      <c r="H55" s="1086">
        <f t="shared" si="20"/>
        <v>0</v>
      </c>
      <c r="I55" s="1086">
        <f t="shared" si="24"/>
        <v>1281549.0000000005</v>
      </c>
      <c r="J55" s="1086">
        <f t="shared" si="25"/>
        <v>6764749.0000000019</v>
      </c>
      <c r="K55" s="1082">
        <f t="shared" si="13"/>
        <v>260182.65384615393</v>
      </c>
      <c r="L55" s="1096"/>
    </row>
    <row r="56" spans="1:12">
      <c r="A56" s="1083"/>
      <c r="B56" s="1084">
        <v>11</v>
      </c>
      <c r="C56" s="1088">
        <f t="shared" si="28"/>
        <v>3.8600000000000012</v>
      </c>
      <c r="D56" s="1085">
        <f>C56*$D$4</f>
        <v>5751400.0000000019</v>
      </c>
      <c r="E56" s="1085">
        <f>D56*$E$4</f>
        <v>0</v>
      </c>
      <c r="F56" s="1085"/>
      <c r="G56" s="1086">
        <f t="shared" si="23"/>
        <v>29800</v>
      </c>
      <c r="H56" s="1086">
        <f t="shared" si="20"/>
        <v>0</v>
      </c>
      <c r="I56" s="1086">
        <f t="shared" si="24"/>
        <v>1351579.0000000005</v>
      </c>
      <c r="J56" s="1086">
        <f t="shared" si="25"/>
        <v>7132779.0000000019</v>
      </c>
      <c r="K56" s="1082">
        <f>J56/K$5</f>
        <v>274337.65384615393</v>
      </c>
      <c r="L56" s="1096"/>
    </row>
    <row r="57" spans="1:12">
      <c r="A57" s="1097"/>
      <c r="B57" s="1084">
        <v>12</v>
      </c>
      <c r="C57" s="1098">
        <f t="shared" si="28"/>
        <v>4.0600000000000014</v>
      </c>
      <c r="D57" s="1097">
        <f>C57*$D$4</f>
        <v>6049400.0000000019</v>
      </c>
      <c r="E57" s="1097">
        <f>D57*$E$4</f>
        <v>0</v>
      </c>
      <c r="F57" s="1097"/>
      <c r="G57" s="1097">
        <f t="shared" si="23"/>
        <v>29800</v>
      </c>
      <c r="H57" s="1097">
        <f t="shared" si="20"/>
        <v>0</v>
      </c>
      <c r="I57" s="1097">
        <f t="shared" si="24"/>
        <v>1421609.0000000005</v>
      </c>
      <c r="J57" s="1097">
        <f t="shared" si="25"/>
        <v>7500809.0000000019</v>
      </c>
      <c r="K57" s="1099">
        <f>J57/K$5</f>
        <v>288492.65384615393</v>
      </c>
      <c r="L57" s="1096"/>
    </row>
    <row r="58" spans="1:12">
      <c r="A58" s="1090" t="s">
        <v>40</v>
      </c>
      <c r="B58" s="1100"/>
      <c r="C58" s="1101"/>
      <c r="D58" s="1102"/>
      <c r="E58" s="1102"/>
      <c r="F58" s="1102"/>
      <c r="G58" s="1094"/>
      <c r="H58" s="1094"/>
      <c r="I58" s="1094"/>
      <c r="J58" s="1094"/>
      <c r="K58" s="1103"/>
    </row>
    <row r="59" spans="1:12" hidden="1">
      <c r="A59" s="1090"/>
      <c r="B59" s="1104" t="s">
        <v>41</v>
      </c>
      <c r="C59" s="1105"/>
      <c r="D59" s="1102"/>
      <c r="E59" s="1102"/>
      <c r="F59" s="1102"/>
      <c r="G59" s="1094"/>
      <c r="H59" s="1094"/>
      <c r="I59" s="1094"/>
      <c r="J59" s="1094"/>
      <c r="K59" s="1103"/>
    </row>
    <row r="60" spans="1:12" hidden="1">
      <c r="A60" s="1083">
        <v>1</v>
      </c>
      <c r="B60" s="1175" t="s">
        <v>61</v>
      </c>
      <c r="C60" s="1176"/>
      <c r="D60" s="1085">
        <f>$D$4*0.1</f>
        <v>149000</v>
      </c>
      <c r="E60" s="1085">
        <f>D60*E$4</f>
        <v>0</v>
      </c>
      <c r="F60" s="1085"/>
      <c r="G60" s="1086"/>
      <c r="H60" s="1106"/>
      <c r="I60" s="1086"/>
      <c r="J60" s="1086">
        <f>+D60</f>
        <v>149000</v>
      </c>
      <c r="K60" s="1082">
        <f>J60/K$5</f>
        <v>5730.7692307692305</v>
      </c>
    </row>
    <row r="61" spans="1:12" hidden="1">
      <c r="A61" s="1083">
        <v>2</v>
      </c>
      <c r="B61" s="1175" t="s">
        <v>46</v>
      </c>
      <c r="C61" s="1176"/>
      <c r="D61" s="1085">
        <f>$D$4*0.1</f>
        <v>149000</v>
      </c>
      <c r="E61" s="1085">
        <f>D61*E$4</f>
        <v>0</v>
      </c>
      <c r="F61" s="1085"/>
      <c r="G61" s="1086"/>
      <c r="H61" s="1106"/>
      <c r="I61" s="1086"/>
      <c r="J61" s="1086">
        <f t="shared" ref="J61:J66" si="29">+D61</f>
        <v>149000</v>
      </c>
      <c r="K61" s="1082">
        <f t="shared" si="13"/>
        <v>5730.7692307692305</v>
      </c>
    </row>
    <row r="62" spans="1:12" hidden="1">
      <c r="A62" s="1083">
        <v>3</v>
      </c>
      <c r="B62" s="1175" t="s">
        <v>47</v>
      </c>
      <c r="C62" s="1176"/>
      <c r="D62" s="1085">
        <f>$D$4*0.1</f>
        <v>149000</v>
      </c>
      <c r="E62" s="1085">
        <f>D62*E$4</f>
        <v>0</v>
      </c>
      <c r="F62" s="1085"/>
      <c r="G62" s="1086"/>
      <c r="H62" s="1106"/>
      <c r="I62" s="1086"/>
      <c r="J62" s="1086">
        <f t="shared" si="29"/>
        <v>149000</v>
      </c>
      <c r="K62" s="1082">
        <f t="shared" si="13"/>
        <v>5730.7692307692305</v>
      </c>
    </row>
    <row r="63" spans="1:12">
      <c r="A63" s="1090"/>
      <c r="B63" s="1104" t="s">
        <v>42</v>
      </c>
      <c r="C63" s="1105"/>
      <c r="D63" s="1102"/>
      <c r="E63" s="1102"/>
      <c r="F63" s="1102"/>
      <c r="G63" s="1094"/>
      <c r="H63" s="1094"/>
      <c r="I63" s="1094"/>
      <c r="J63" s="1086"/>
      <c r="K63" s="1103"/>
    </row>
    <row r="64" spans="1:12">
      <c r="A64" s="1083">
        <v>1</v>
      </c>
      <c r="B64" s="1175" t="s">
        <v>61</v>
      </c>
      <c r="C64" s="1176"/>
      <c r="D64" s="1085">
        <f>$D$4*0.1</f>
        <v>149000</v>
      </c>
      <c r="E64" s="1085">
        <f>D64*E$4</f>
        <v>0</v>
      </c>
      <c r="F64" s="1085"/>
      <c r="G64" s="1086"/>
      <c r="H64" s="1106"/>
      <c r="I64" s="1086"/>
      <c r="J64" s="1086">
        <f t="shared" si="29"/>
        <v>149000</v>
      </c>
      <c r="K64" s="1082">
        <f>J64/K$5</f>
        <v>5730.7692307692305</v>
      </c>
    </row>
    <row r="65" spans="1:11">
      <c r="A65" s="1107">
        <v>2</v>
      </c>
      <c r="B65" s="1172" t="s">
        <v>46</v>
      </c>
      <c r="C65" s="1173"/>
      <c r="D65" s="1108">
        <f>$D$4*0.1</f>
        <v>149000</v>
      </c>
      <c r="E65" s="1108">
        <f>D65*E$4</f>
        <v>0</v>
      </c>
      <c r="F65" s="1108"/>
      <c r="G65" s="1087"/>
      <c r="H65" s="1109"/>
      <c r="I65" s="1087"/>
      <c r="J65" s="1087">
        <f t="shared" si="29"/>
        <v>149000</v>
      </c>
      <c r="K65" s="1110">
        <f t="shared" si="13"/>
        <v>5730.7692307692305</v>
      </c>
    </row>
    <row r="66" spans="1:11">
      <c r="A66" s="1107">
        <v>3</v>
      </c>
      <c r="B66" s="1172" t="s">
        <v>47</v>
      </c>
      <c r="C66" s="1173"/>
      <c r="D66" s="1108">
        <f>$D$4*0.1</f>
        <v>149000</v>
      </c>
      <c r="E66" s="1108">
        <f>D66*E$4</f>
        <v>0</v>
      </c>
      <c r="F66" s="1108"/>
      <c r="G66" s="1087"/>
      <c r="H66" s="1109"/>
      <c r="I66" s="1087"/>
      <c r="J66" s="1087">
        <f t="shared" si="29"/>
        <v>149000</v>
      </c>
      <c r="K66" s="1110">
        <f t="shared" si="13"/>
        <v>5730.7692307692305</v>
      </c>
    </row>
    <row r="67" spans="1:11">
      <c r="A67" s="1083"/>
      <c r="B67" s="1111"/>
      <c r="C67" s="1112"/>
      <c r="D67" s="1085"/>
      <c r="E67" s="1085"/>
      <c r="F67" s="1085"/>
      <c r="G67" s="1086"/>
      <c r="H67" s="1106"/>
      <c r="I67" s="1086"/>
      <c r="J67" s="1086"/>
      <c r="K67" s="1082"/>
    </row>
    <row r="68" spans="1:11" hidden="1">
      <c r="A68" s="1083"/>
      <c r="B68" s="1104" t="s">
        <v>30</v>
      </c>
      <c r="C68" s="1104"/>
      <c r="D68" s="1085"/>
      <c r="E68" s="1085"/>
      <c r="F68" s="1085"/>
      <c r="G68" s="1086"/>
      <c r="H68" s="1106"/>
      <c r="I68" s="1086"/>
      <c r="J68" s="1086"/>
      <c r="K68" s="1113"/>
    </row>
    <row r="69" spans="1:11" ht="16.5" thickBot="1">
      <c r="A69" s="1114"/>
      <c r="B69" s="1115"/>
      <c r="C69" s="1116"/>
      <c r="D69" s="1117"/>
      <c r="E69" s="1117"/>
      <c r="F69" s="1117"/>
      <c r="G69" s="1118"/>
      <c r="H69" s="1118"/>
      <c r="I69" s="1118"/>
      <c r="J69" s="1118"/>
      <c r="K69" s="1119"/>
    </row>
  </sheetData>
  <mergeCells count="8">
    <mergeCell ref="B65:C65"/>
    <mergeCell ref="B66:C66"/>
    <mergeCell ref="A1:K1"/>
    <mergeCell ref="B61:C61"/>
    <mergeCell ref="B62:C62"/>
    <mergeCell ref="B60:C60"/>
    <mergeCell ref="B64:C64"/>
    <mergeCell ref="J3:J5"/>
  </mergeCells>
  <phoneticPr fontId="0" type="noConversion"/>
  <printOptions horizontalCentered="1"/>
  <pageMargins left="0.19685039370078741" right="7.874015748031496E-2" top="0.55118110236220474" bottom="0.55118110236220474" header="0.51181102362204722" footer="0.23622047244094491"/>
  <pageSetup paperSize="9" orientation="portrait" horizontalDpi="360" verticalDpi="36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7"/>
  <sheetViews>
    <sheetView topLeftCell="A16" zoomScale="85" zoomScaleNormal="85" workbookViewId="0">
      <selection activeCell="E46" sqref="E46"/>
    </sheetView>
  </sheetViews>
  <sheetFormatPr defaultRowHeight="12.75"/>
  <cols>
    <col min="1" max="1" width="5" style="422" bestFit="1" customWidth="1"/>
    <col min="2" max="2" width="42.625" style="422" customWidth="1"/>
    <col min="3" max="3" width="7.625" style="550" bestFit="1" customWidth="1"/>
    <col min="4" max="4" width="6" style="422" bestFit="1" customWidth="1"/>
    <col min="5" max="5" width="15.375" style="422" customWidth="1"/>
    <col min="6" max="6" width="12.625" style="449" customWidth="1"/>
    <col min="7" max="7" width="12.125" style="449" customWidth="1"/>
    <col min="8" max="8" width="16.125" style="449" customWidth="1"/>
    <col min="9" max="9" width="13.375" style="449" customWidth="1"/>
    <col min="10" max="10" width="12.125" style="449" customWidth="1"/>
    <col min="11" max="11" width="13.375" style="449" bestFit="1" customWidth="1"/>
    <col min="12" max="12" width="15" style="421" customWidth="1"/>
    <col min="13" max="13" width="15.375" style="422" customWidth="1"/>
    <col min="14" max="253" width="8.625" style="422"/>
    <col min="254" max="254" width="5" style="422" bestFit="1" customWidth="1"/>
    <col min="255" max="255" width="3" style="422" bestFit="1" customWidth="1"/>
    <col min="256" max="256" width="42.375" style="422" customWidth="1"/>
    <col min="257" max="257" width="7.625" style="422" bestFit="1" customWidth="1"/>
    <col min="258" max="259" width="0" style="422" hidden="1" customWidth="1"/>
    <col min="260" max="260" width="6" style="422" bestFit="1" customWidth="1"/>
    <col min="261" max="261" width="11.375" style="422" customWidth="1"/>
    <col min="262" max="262" width="12.625" style="422" bestFit="1" customWidth="1"/>
    <col min="263" max="263" width="12.125" style="422" bestFit="1" customWidth="1"/>
    <col min="264" max="264" width="16.125" style="422" customWidth="1"/>
    <col min="265" max="265" width="13.375" style="422" bestFit="1" customWidth="1"/>
    <col min="266" max="266" width="12.125" style="422" customWidth="1"/>
    <col min="267" max="267" width="13.375" style="422" bestFit="1" customWidth="1"/>
    <col min="268" max="509" width="8.625" style="422"/>
    <col min="510" max="510" width="5" style="422" bestFit="1" customWidth="1"/>
    <col min="511" max="511" width="3" style="422" bestFit="1" customWidth="1"/>
    <col min="512" max="512" width="42.375" style="422" customWidth="1"/>
    <col min="513" max="513" width="7.625" style="422" bestFit="1" customWidth="1"/>
    <col min="514" max="515" width="0" style="422" hidden="1" customWidth="1"/>
    <col min="516" max="516" width="6" style="422" bestFit="1" customWidth="1"/>
    <col min="517" max="517" width="11.375" style="422" customWidth="1"/>
    <col min="518" max="518" width="12.625" style="422" bestFit="1" customWidth="1"/>
    <col min="519" max="519" width="12.125" style="422" bestFit="1" customWidth="1"/>
    <col min="520" max="520" width="16.125" style="422" customWidth="1"/>
    <col min="521" max="521" width="13.375" style="422" bestFit="1" customWidth="1"/>
    <col min="522" max="522" width="12.125" style="422" customWidth="1"/>
    <col min="523" max="523" width="13.375" style="422" bestFit="1" customWidth="1"/>
    <col min="524" max="765" width="8.625" style="422"/>
    <col min="766" max="766" width="5" style="422" bestFit="1" customWidth="1"/>
    <col min="767" max="767" width="3" style="422" bestFit="1" customWidth="1"/>
    <col min="768" max="768" width="42.375" style="422" customWidth="1"/>
    <col min="769" max="769" width="7.625" style="422" bestFit="1" customWidth="1"/>
    <col min="770" max="771" width="0" style="422" hidden="1" customWidth="1"/>
    <col min="772" max="772" width="6" style="422" bestFit="1" customWidth="1"/>
    <col min="773" max="773" width="11.375" style="422" customWidth="1"/>
    <col min="774" max="774" width="12.625" style="422" bestFit="1" customWidth="1"/>
    <col min="775" max="775" width="12.125" style="422" bestFit="1" customWidth="1"/>
    <col min="776" max="776" width="16.125" style="422" customWidth="1"/>
    <col min="777" max="777" width="13.375" style="422" bestFit="1" customWidth="1"/>
    <col min="778" max="778" width="12.125" style="422" customWidth="1"/>
    <col min="779" max="779" width="13.375" style="422" bestFit="1" customWidth="1"/>
    <col min="780" max="1021" width="8.625" style="422"/>
    <col min="1022" max="1022" width="5" style="422" bestFit="1" customWidth="1"/>
    <col min="1023" max="1023" width="3" style="422" bestFit="1" customWidth="1"/>
    <col min="1024" max="1024" width="42.375" style="422" customWidth="1"/>
    <col min="1025" max="1025" width="7.625" style="422" bestFit="1" customWidth="1"/>
    <col min="1026" max="1027" width="0" style="422" hidden="1" customWidth="1"/>
    <col min="1028" max="1028" width="6" style="422" bestFit="1" customWidth="1"/>
    <col min="1029" max="1029" width="11.375" style="422" customWidth="1"/>
    <col min="1030" max="1030" width="12.625" style="422" bestFit="1" customWidth="1"/>
    <col min="1031" max="1031" width="12.125" style="422" bestFit="1" customWidth="1"/>
    <col min="1032" max="1032" width="16.125" style="422" customWidth="1"/>
    <col min="1033" max="1033" width="13.375" style="422" bestFit="1" customWidth="1"/>
    <col min="1034" max="1034" width="12.125" style="422" customWidth="1"/>
    <col min="1035" max="1035" width="13.375" style="422" bestFit="1" customWidth="1"/>
    <col min="1036" max="1277" width="8.625" style="422"/>
    <col min="1278" max="1278" width="5" style="422" bestFit="1" customWidth="1"/>
    <col min="1279" max="1279" width="3" style="422" bestFit="1" customWidth="1"/>
    <col min="1280" max="1280" width="42.375" style="422" customWidth="1"/>
    <col min="1281" max="1281" width="7.625" style="422" bestFit="1" customWidth="1"/>
    <col min="1282" max="1283" width="0" style="422" hidden="1" customWidth="1"/>
    <col min="1284" max="1284" width="6" style="422" bestFit="1" customWidth="1"/>
    <col min="1285" max="1285" width="11.375" style="422" customWidth="1"/>
    <col min="1286" max="1286" width="12.625" style="422" bestFit="1" customWidth="1"/>
    <col min="1287" max="1287" width="12.125" style="422" bestFit="1" customWidth="1"/>
    <col min="1288" max="1288" width="16.125" style="422" customWidth="1"/>
    <col min="1289" max="1289" width="13.375" style="422" bestFit="1" customWidth="1"/>
    <col min="1290" max="1290" width="12.125" style="422" customWidth="1"/>
    <col min="1291" max="1291" width="13.375" style="422" bestFit="1" customWidth="1"/>
    <col min="1292" max="1533" width="8.625" style="422"/>
    <col min="1534" max="1534" width="5" style="422" bestFit="1" customWidth="1"/>
    <col min="1535" max="1535" width="3" style="422" bestFit="1" customWidth="1"/>
    <col min="1536" max="1536" width="42.375" style="422" customWidth="1"/>
    <col min="1537" max="1537" width="7.625" style="422" bestFit="1" customWidth="1"/>
    <col min="1538" max="1539" width="0" style="422" hidden="1" customWidth="1"/>
    <col min="1540" max="1540" width="6" style="422" bestFit="1" customWidth="1"/>
    <col min="1541" max="1541" width="11.375" style="422" customWidth="1"/>
    <col min="1542" max="1542" width="12.625" style="422" bestFit="1" customWidth="1"/>
    <col min="1543" max="1543" width="12.125" style="422" bestFit="1" customWidth="1"/>
    <col min="1544" max="1544" width="16.125" style="422" customWidth="1"/>
    <col min="1545" max="1545" width="13.375" style="422" bestFit="1" customWidth="1"/>
    <col min="1546" max="1546" width="12.125" style="422" customWidth="1"/>
    <col min="1547" max="1547" width="13.375" style="422" bestFit="1" customWidth="1"/>
    <col min="1548" max="1789" width="8.625" style="422"/>
    <col min="1790" max="1790" width="5" style="422" bestFit="1" customWidth="1"/>
    <col min="1791" max="1791" width="3" style="422" bestFit="1" customWidth="1"/>
    <col min="1792" max="1792" width="42.375" style="422" customWidth="1"/>
    <col min="1793" max="1793" width="7.625" style="422" bestFit="1" customWidth="1"/>
    <col min="1794" max="1795" width="0" style="422" hidden="1" customWidth="1"/>
    <col min="1796" max="1796" width="6" style="422" bestFit="1" customWidth="1"/>
    <col min="1797" max="1797" width="11.375" style="422" customWidth="1"/>
    <col min="1798" max="1798" width="12.625" style="422" bestFit="1" customWidth="1"/>
    <col min="1799" max="1799" width="12.125" style="422" bestFit="1" customWidth="1"/>
    <col min="1800" max="1800" width="16.125" style="422" customWidth="1"/>
    <col min="1801" max="1801" width="13.375" style="422" bestFit="1" customWidth="1"/>
    <col min="1802" max="1802" width="12.125" style="422" customWidth="1"/>
    <col min="1803" max="1803" width="13.375" style="422" bestFit="1" customWidth="1"/>
    <col min="1804" max="2045" width="8.625" style="422"/>
    <col min="2046" max="2046" width="5" style="422" bestFit="1" customWidth="1"/>
    <col min="2047" max="2047" width="3" style="422" bestFit="1" customWidth="1"/>
    <col min="2048" max="2048" width="42.375" style="422" customWidth="1"/>
    <col min="2049" max="2049" width="7.625" style="422" bestFit="1" customWidth="1"/>
    <col min="2050" max="2051" width="0" style="422" hidden="1" customWidth="1"/>
    <col min="2052" max="2052" width="6" style="422" bestFit="1" customWidth="1"/>
    <col min="2053" max="2053" width="11.375" style="422" customWidth="1"/>
    <col min="2054" max="2054" width="12.625" style="422" bestFit="1" customWidth="1"/>
    <col min="2055" max="2055" width="12.125" style="422" bestFit="1" customWidth="1"/>
    <col min="2056" max="2056" width="16.125" style="422" customWidth="1"/>
    <col min="2057" max="2057" width="13.375" style="422" bestFit="1" customWidth="1"/>
    <col min="2058" max="2058" width="12.125" style="422" customWidth="1"/>
    <col min="2059" max="2059" width="13.375" style="422" bestFit="1" customWidth="1"/>
    <col min="2060" max="2301" width="8.625" style="422"/>
    <col min="2302" max="2302" width="5" style="422" bestFit="1" customWidth="1"/>
    <col min="2303" max="2303" width="3" style="422" bestFit="1" customWidth="1"/>
    <col min="2304" max="2304" width="42.375" style="422" customWidth="1"/>
    <col min="2305" max="2305" width="7.625" style="422" bestFit="1" customWidth="1"/>
    <col min="2306" max="2307" width="0" style="422" hidden="1" customWidth="1"/>
    <col min="2308" max="2308" width="6" style="422" bestFit="1" customWidth="1"/>
    <col min="2309" max="2309" width="11.375" style="422" customWidth="1"/>
    <col min="2310" max="2310" width="12.625" style="422" bestFit="1" customWidth="1"/>
    <col min="2311" max="2311" width="12.125" style="422" bestFit="1" customWidth="1"/>
    <col min="2312" max="2312" width="16.125" style="422" customWidth="1"/>
    <col min="2313" max="2313" width="13.375" style="422" bestFit="1" customWidth="1"/>
    <col min="2314" max="2314" width="12.125" style="422" customWidth="1"/>
    <col min="2315" max="2315" width="13.375" style="422" bestFit="1" customWidth="1"/>
    <col min="2316" max="2557" width="8.625" style="422"/>
    <col min="2558" max="2558" width="5" style="422" bestFit="1" customWidth="1"/>
    <col min="2559" max="2559" width="3" style="422" bestFit="1" customWidth="1"/>
    <col min="2560" max="2560" width="42.375" style="422" customWidth="1"/>
    <col min="2561" max="2561" width="7.625" style="422" bestFit="1" customWidth="1"/>
    <col min="2562" max="2563" width="0" style="422" hidden="1" customWidth="1"/>
    <col min="2564" max="2564" width="6" style="422" bestFit="1" customWidth="1"/>
    <col min="2565" max="2565" width="11.375" style="422" customWidth="1"/>
    <col min="2566" max="2566" width="12.625" style="422" bestFit="1" customWidth="1"/>
    <col min="2567" max="2567" width="12.125" style="422" bestFit="1" customWidth="1"/>
    <col min="2568" max="2568" width="16.125" style="422" customWidth="1"/>
    <col min="2569" max="2569" width="13.375" style="422" bestFit="1" customWidth="1"/>
    <col min="2570" max="2570" width="12.125" style="422" customWidth="1"/>
    <col min="2571" max="2571" width="13.375" style="422" bestFit="1" customWidth="1"/>
    <col min="2572" max="2813" width="8.625" style="422"/>
    <col min="2814" max="2814" width="5" style="422" bestFit="1" customWidth="1"/>
    <col min="2815" max="2815" width="3" style="422" bestFit="1" customWidth="1"/>
    <col min="2816" max="2816" width="42.375" style="422" customWidth="1"/>
    <col min="2817" max="2817" width="7.625" style="422" bestFit="1" customWidth="1"/>
    <col min="2818" max="2819" width="0" style="422" hidden="1" customWidth="1"/>
    <col min="2820" max="2820" width="6" style="422" bestFit="1" customWidth="1"/>
    <col min="2821" max="2821" width="11.375" style="422" customWidth="1"/>
    <col min="2822" max="2822" width="12.625" style="422" bestFit="1" customWidth="1"/>
    <col min="2823" max="2823" width="12.125" style="422" bestFit="1" customWidth="1"/>
    <col min="2824" max="2824" width="16.125" style="422" customWidth="1"/>
    <col min="2825" max="2825" width="13.375" style="422" bestFit="1" customWidth="1"/>
    <col min="2826" max="2826" width="12.125" style="422" customWidth="1"/>
    <col min="2827" max="2827" width="13.375" style="422" bestFit="1" customWidth="1"/>
    <col min="2828" max="3069" width="8.625" style="422"/>
    <col min="3070" max="3070" width="5" style="422" bestFit="1" customWidth="1"/>
    <col min="3071" max="3071" width="3" style="422" bestFit="1" customWidth="1"/>
    <col min="3072" max="3072" width="42.375" style="422" customWidth="1"/>
    <col min="3073" max="3073" width="7.625" style="422" bestFit="1" customWidth="1"/>
    <col min="3074" max="3075" width="0" style="422" hidden="1" customWidth="1"/>
    <col min="3076" max="3076" width="6" style="422" bestFit="1" customWidth="1"/>
    <col min="3077" max="3077" width="11.375" style="422" customWidth="1"/>
    <col min="3078" max="3078" width="12.625" style="422" bestFit="1" customWidth="1"/>
    <col min="3079" max="3079" width="12.125" style="422" bestFit="1" customWidth="1"/>
    <col min="3080" max="3080" width="16.125" style="422" customWidth="1"/>
    <col min="3081" max="3081" width="13.375" style="422" bestFit="1" customWidth="1"/>
    <col min="3082" max="3082" width="12.125" style="422" customWidth="1"/>
    <col min="3083" max="3083" width="13.375" style="422" bestFit="1" customWidth="1"/>
    <col min="3084" max="3325" width="8.625" style="422"/>
    <col min="3326" max="3326" width="5" style="422" bestFit="1" customWidth="1"/>
    <col min="3327" max="3327" width="3" style="422" bestFit="1" customWidth="1"/>
    <col min="3328" max="3328" width="42.375" style="422" customWidth="1"/>
    <col min="3329" max="3329" width="7.625" style="422" bestFit="1" customWidth="1"/>
    <col min="3330" max="3331" width="0" style="422" hidden="1" customWidth="1"/>
    <col min="3332" max="3332" width="6" style="422" bestFit="1" customWidth="1"/>
    <col min="3333" max="3333" width="11.375" style="422" customWidth="1"/>
    <col min="3334" max="3334" width="12.625" style="422" bestFit="1" customWidth="1"/>
    <col min="3335" max="3335" width="12.125" style="422" bestFit="1" customWidth="1"/>
    <col min="3336" max="3336" width="16.125" style="422" customWidth="1"/>
    <col min="3337" max="3337" width="13.375" style="422" bestFit="1" customWidth="1"/>
    <col min="3338" max="3338" width="12.125" style="422" customWidth="1"/>
    <col min="3339" max="3339" width="13.375" style="422" bestFit="1" customWidth="1"/>
    <col min="3340" max="3581" width="8.625" style="422"/>
    <col min="3582" max="3582" width="5" style="422" bestFit="1" customWidth="1"/>
    <col min="3583" max="3583" width="3" style="422" bestFit="1" customWidth="1"/>
    <col min="3584" max="3584" width="42.375" style="422" customWidth="1"/>
    <col min="3585" max="3585" width="7.625" style="422" bestFit="1" customWidth="1"/>
    <col min="3586" max="3587" width="0" style="422" hidden="1" customWidth="1"/>
    <col min="3588" max="3588" width="6" style="422" bestFit="1" customWidth="1"/>
    <col min="3589" max="3589" width="11.375" style="422" customWidth="1"/>
    <col min="3590" max="3590" width="12.625" style="422" bestFit="1" customWidth="1"/>
    <col min="3591" max="3591" width="12.125" style="422" bestFit="1" customWidth="1"/>
    <col min="3592" max="3592" width="16.125" style="422" customWidth="1"/>
    <col min="3593" max="3593" width="13.375" style="422" bestFit="1" customWidth="1"/>
    <col min="3594" max="3594" width="12.125" style="422" customWidth="1"/>
    <col min="3595" max="3595" width="13.375" style="422" bestFit="1" customWidth="1"/>
    <col min="3596" max="3837" width="8.625" style="422"/>
    <col min="3838" max="3838" width="5" style="422" bestFit="1" customWidth="1"/>
    <col min="3839" max="3839" width="3" style="422" bestFit="1" customWidth="1"/>
    <col min="3840" max="3840" width="42.375" style="422" customWidth="1"/>
    <col min="3841" max="3841" width="7.625" style="422" bestFit="1" customWidth="1"/>
    <col min="3842" max="3843" width="0" style="422" hidden="1" customWidth="1"/>
    <col min="3844" max="3844" width="6" style="422" bestFit="1" customWidth="1"/>
    <col min="3845" max="3845" width="11.375" style="422" customWidth="1"/>
    <col min="3846" max="3846" width="12.625" style="422" bestFit="1" customWidth="1"/>
    <col min="3847" max="3847" width="12.125" style="422" bestFit="1" customWidth="1"/>
    <col min="3848" max="3848" width="16.125" style="422" customWidth="1"/>
    <col min="3849" max="3849" width="13.375" style="422" bestFit="1" customWidth="1"/>
    <col min="3850" max="3850" width="12.125" style="422" customWidth="1"/>
    <col min="3851" max="3851" width="13.375" style="422" bestFit="1" customWidth="1"/>
    <col min="3852" max="4093" width="8.625" style="422"/>
    <col min="4094" max="4094" width="5" style="422" bestFit="1" customWidth="1"/>
    <col min="4095" max="4095" width="3" style="422" bestFit="1" customWidth="1"/>
    <col min="4096" max="4096" width="42.375" style="422" customWidth="1"/>
    <col min="4097" max="4097" width="7.625" style="422" bestFit="1" customWidth="1"/>
    <col min="4098" max="4099" width="0" style="422" hidden="1" customWidth="1"/>
    <col min="4100" max="4100" width="6" style="422" bestFit="1" customWidth="1"/>
    <col min="4101" max="4101" width="11.375" style="422" customWidth="1"/>
    <col min="4102" max="4102" width="12.625" style="422" bestFit="1" customWidth="1"/>
    <col min="4103" max="4103" width="12.125" style="422" bestFit="1" customWidth="1"/>
    <col min="4104" max="4104" width="16.125" style="422" customWidth="1"/>
    <col min="4105" max="4105" width="13.375" style="422" bestFit="1" customWidth="1"/>
    <col min="4106" max="4106" width="12.125" style="422" customWidth="1"/>
    <col min="4107" max="4107" width="13.375" style="422" bestFit="1" customWidth="1"/>
    <col min="4108" max="4349" width="8.625" style="422"/>
    <col min="4350" max="4350" width="5" style="422" bestFit="1" customWidth="1"/>
    <col min="4351" max="4351" width="3" style="422" bestFit="1" customWidth="1"/>
    <col min="4352" max="4352" width="42.375" style="422" customWidth="1"/>
    <col min="4353" max="4353" width="7.625" style="422" bestFit="1" customWidth="1"/>
    <col min="4354" max="4355" width="0" style="422" hidden="1" customWidth="1"/>
    <col min="4356" max="4356" width="6" style="422" bestFit="1" customWidth="1"/>
    <col min="4357" max="4357" width="11.375" style="422" customWidth="1"/>
    <col min="4358" max="4358" width="12.625" style="422" bestFit="1" customWidth="1"/>
    <col min="4359" max="4359" width="12.125" style="422" bestFit="1" customWidth="1"/>
    <col min="4360" max="4360" width="16.125" style="422" customWidth="1"/>
    <col min="4361" max="4361" width="13.375" style="422" bestFit="1" customWidth="1"/>
    <col min="4362" max="4362" width="12.125" style="422" customWidth="1"/>
    <col min="4363" max="4363" width="13.375" style="422" bestFit="1" customWidth="1"/>
    <col min="4364" max="4605" width="8.625" style="422"/>
    <col min="4606" max="4606" width="5" style="422" bestFit="1" customWidth="1"/>
    <col min="4607" max="4607" width="3" style="422" bestFit="1" customWidth="1"/>
    <col min="4608" max="4608" width="42.375" style="422" customWidth="1"/>
    <col min="4609" max="4609" width="7.625" style="422" bestFit="1" customWidth="1"/>
    <col min="4610" max="4611" width="0" style="422" hidden="1" customWidth="1"/>
    <col min="4612" max="4612" width="6" style="422" bestFit="1" customWidth="1"/>
    <col min="4613" max="4613" width="11.375" style="422" customWidth="1"/>
    <col min="4614" max="4614" width="12.625" style="422" bestFit="1" customWidth="1"/>
    <col min="4615" max="4615" width="12.125" style="422" bestFit="1" customWidth="1"/>
    <col min="4616" max="4616" width="16.125" style="422" customWidth="1"/>
    <col min="4617" max="4617" width="13.375" style="422" bestFit="1" customWidth="1"/>
    <col min="4618" max="4618" width="12.125" style="422" customWidth="1"/>
    <col min="4619" max="4619" width="13.375" style="422" bestFit="1" customWidth="1"/>
    <col min="4620" max="4861" width="8.625" style="422"/>
    <col min="4862" max="4862" width="5" style="422" bestFit="1" customWidth="1"/>
    <col min="4863" max="4863" width="3" style="422" bestFit="1" customWidth="1"/>
    <col min="4864" max="4864" width="42.375" style="422" customWidth="1"/>
    <col min="4865" max="4865" width="7.625" style="422" bestFit="1" customWidth="1"/>
    <col min="4866" max="4867" width="0" style="422" hidden="1" customWidth="1"/>
    <col min="4868" max="4868" width="6" style="422" bestFit="1" customWidth="1"/>
    <col min="4869" max="4869" width="11.375" style="422" customWidth="1"/>
    <col min="4870" max="4870" width="12.625" style="422" bestFit="1" customWidth="1"/>
    <col min="4871" max="4871" width="12.125" style="422" bestFit="1" customWidth="1"/>
    <col min="4872" max="4872" width="16.125" style="422" customWidth="1"/>
    <col min="4873" max="4873" width="13.375" style="422" bestFit="1" customWidth="1"/>
    <col min="4874" max="4874" width="12.125" style="422" customWidth="1"/>
    <col min="4875" max="4875" width="13.375" style="422" bestFit="1" customWidth="1"/>
    <col min="4876" max="5117" width="8.625" style="422"/>
    <col min="5118" max="5118" width="5" style="422" bestFit="1" customWidth="1"/>
    <col min="5119" max="5119" width="3" style="422" bestFit="1" customWidth="1"/>
    <col min="5120" max="5120" width="42.375" style="422" customWidth="1"/>
    <col min="5121" max="5121" width="7.625" style="422" bestFit="1" customWidth="1"/>
    <col min="5122" max="5123" width="0" style="422" hidden="1" customWidth="1"/>
    <col min="5124" max="5124" width="6" style="422" bestFit="1" customWidth="1"/>
    <col min="5125" max="5125" width="11.375" style="422" customWidth="1"/>
    <col min="5126" max="5126" width="12.625" style="422" bestFit="1" customWidth="1"/>
    <col min="5127" max="5127" width="12.125" style="422" bestFit="1" customWidth="1"/>
    <col min="5128" max="5128" width="16.125" style="422" customWidth="1"/>
    <col min="5129" max="5129" width="13.375" style="422" bestFit="1" customWidth="1"/>
    <col min="5130" max="5130" width="12.125" style="422" customWidth="1"/>
    <col min="5131" max="5131" width="13.375" style="422" bestFit="1" customWidth="1"/>
    <col min="5132" max="5373" width="8.625" style="422"/>
    <col min="5374" max="5374" width="5" style="422" bestFit="1" customWidth="1"/>
    <col min="5375" max="5375" width="3" style="422" bestFit="1" customWidth="1"/>
    <col min="5376" max="5376" width="42.375" style="422" customWidth="1"/>
    <col min="5377" max="5377" width="7.625" style="422" bestFit="1" customWidth="1"/>
    <col min="5378" max="5379" width="0" style="422" hidden="1" customWidth="1"/>
    <col min="5380" max="5380" width="6" style="422" bestFit="1" customWidth="1"/>
    <col min="5381" max="5381" width="11.375" style="422" customWidth="1"/>
    <col min="5382" max="5382" width="12.625" style="422" bestFit="1" customWidth="1"/>
    <col min="5383" max="5383" width="12.125" style="422" bestFit="1" customWidth="1"/>
    <col min="5384" max="5384" width="16.125" style="422" customWidth="1"/>
    <col min="5385" max="5385" width="13.375" style="422" bestFit="1" customWidth="1"/>
    <col min="5386" max="5386" width="12.125" style="422" customWidth="1"/>
    <col min="5387" max="5387" width="13.375" style="422" bestFit="1" customWidth="1"/>
    <col min="5388" max="5629" width="8.625" style="422"/>
    <col min="5630" max="5630" width="5" style="422" bestFit="1" customWidth="1"/>
    <col min="5631" max="5631" width="3" style="422" bestFit="1" customWidth="1"/>
    <col min="5632" max="5632" width="42.375" style="422" customWidth="1"/>
    <col min="5633" max="5633" width="7.625" style="422" bestFit="1" customWidth="1"/>
    <col min="5634" max="5635" width="0" style="422" hidden="1" customWidth="1"/>
    <col min="5636" max="5636" width="6" style="422" bestFit="1" customWidth="1"/>
    <col min="5637" max="5637" width="11.375" style="422" customWidth="1"/>
    <col min="5638" max="5638" width="12.625" style="422" bestFit="1" customWidth="1"/>
    <col min="5639" max="5639" width="12.125" style="422" bestFit="1" customWidth="1"/>
    <col min="5640" max="5640" width="16.125" style="422" customWidth="1"/>
    <col min="5641" max="5641" width="13.375" style="422" bestFit="1" customWidth="1"/>
    <col min="5642" max="5642" width="12.125" style="422" customWidth="1"/>
    <col min="5643" max="5643" width="13.375" style="422" bestFit="1" customWidth="1"/>
    <col min="5644" max="5885" width="8.625" style="422"/>
    <col min="5886" max="5886" width="5" style="422" bestFit="1" customWidth="1"/>
    <col min="5887" max="5887" width="3" style="422" bestFit="1" customWidth="1"/>
    <col min="5888" max="5888" width="42.375" style="422" customWidth="1"/>
    <col min="5889" max="5889" width="7.625" style="422" bestFit="1" customWidth="1"/>
    <col min="5890" max="5891" width="0" style="422" hidden="1" customWidth="1"/>
    <col min="5892" max="5892" width="6" style="422" bestFit="1" customWidth="1"/>
    <col min="5893" max="5893" width="11.375" style="422" customWidth="1"/>
    <col min="5894" max="5894" width="12.625" style="422" bestFit="1" customWidth="1"/>
    <col min="5895" max="5895" width="12.125" style="422" bestFit="1" customWidth="1"/>
    <col min="5896" max="5896" width="16.125" style="422" customWidth="1"/>
    <col min="5897" max="5897" width="13.375" style="422" bestFit="1" customWidth="1"/>
    <col min="5898" max="5898" width="12.125" style="422" customWidth="1"/>
    <col min="5899" max="5899" width="13.375" style="422" bestFit="1" customWidth="1"/>
    <col min="5900" max="6141" width="8.625" style="422"/>
    <col min="6142" max="6142" width="5" style="422" bestFit="1" customWidth="1"/>
    <col min="6143" max="6143" width="3" style="422" bestFit="1" customWidth="1"/>
    <col min="6144" max="6144" width="42.375" style="422" customWidth="1"/>
    <col min="6145" max="6145" width="7.625" style="422" bestFit="1" customWidth="1"/>
    <col min="6146" max="6147" width="0" style="422" hidden="1" customWidth="1"/>
    <col min="6148" max="6148" width="6" style="422" bestFit="1" customWidth="1"/>
    <col min="6149" max="6149" width="11.375" style="422" customWidth="1"/>
    <col min="6150" max="6150" width="12.625" style="422" bestFit="1" customWidth="1"/>
    <col min="6151" max="6151" width="12.125" style="422" bestFit="1" customWidth="1"/>
    <col min="6152" max="6152" width="16.125" style="422" customWidth="1"/>
    <col min="6153" max="6153" width="13.375" style="422" bestFit="1" customWidth="1"/>
    <col min="6154" max="6154" width="12.125" style="422" customWidth="1"/>
    <col min="6155" max="6155" width="13.375" style="422" bestFit="1" customWidth="1"/>
    <col min="6156" max="6397" width="8.625" style="422"/>
    <col min="6398" max="6398" width="5" style="422" bestFit="1" customWidth="1"/>
    <col min="6399" max="6399" width="3" style="422" bestFit="1" customWidth="1"/>
    <col min="6400" max="6400" width="42.375" style="422" customWidth="1"/>
    <col min="6401" max="6401" width="7.625" style="422" bestFit="1" customWidth="1"/>
    <col min="6402" max="6403" width="0" style="422" hidden="1" customWidth="1"/>
    <col min="6404" max="6404" width="6" style="422" bestFit="1" customWidth="1"/>
    <col min="6405" max="6405" width="11.375" style="422" customWidth="1"/>
    <col min="6406" max="6406" width="12.625" style="422" bestFit="1" customWidth="1"/>
    <col min="6407" max="6407" width="12.125" style="422" bestFit="1" customWidth="1"/>
    <col min="6408" max="6408" width="16.125" style="422" customWidth="1"/>
    <col min="6409" max="6409" width="13.375" style="422" bestFit="1" customWidth="1"/>
    <col min="6410" max="6410" width="12.125" style="422" customWidth="1"/>
    <col min="6411" max="6411" width="13.375" style="422" bestFit="1" customWidth="1"/>
    <col min="6412" max="6653" width="8.625" style="422"/>
    <col min="6654" max="6654" width="5" style="422" bestFit="1" customWidth="1"/>
    <col min="6655" max="6655" width="3" style="422" bestFit="1" customWidth="1"/>
    <col min="6656" max="6656" width="42.375" style="422" customWidth="1"/>
    <col min="6657" max="6657" width="7.625" style="422" bestFit="1" customWidth="1"/>
    <col min="6658" max="6659" width="0" style="422" hidden="1" customWidth="1"/>
    <col min="6660" max="6660" width="6" style="422" bestFit="1" customWidth="1"/>
    <col min="6661" max="6661" width="11.375" style="422" customWidth="1"/>
    <col min="6662" max="6662" width="12.625" style="422" bestFit="1" customWidth="1"/>
    <col min="6663" max="6663" width="12.125" style="422" bestFit="1" customWidth="1"/>
    <col min="6664" max="6664" width="16.125" style="422" customWidth="1"/>
    <col min="6665" max="6665" width="13.375" style="422" bestFit="1" customWidth="1"/>
    <col min="6666" max="6666" width="12.125" style="422" customWidth="1"/>
    <col min="6667" max="6667" width="13.375" style="422" bestFit="1" customWidth="1"/>
    <col min="6668" max="6909" width="8.625" style="422"/>
    <col min="6910" max="6910" width="5" style="422" bestFit="1" customWidth="1"/>
    <col min="6911" max="6911" width="3" style="422" bestFit="1" customWidth="1"/>
    <col min="6912" max="6912" width="42.375" style="422" customWidth="1"/>
    <col min="6913" max="6913" width="7.625" style="422" bestFit="1" customWidth="1"/>
    <col min="6914" max="6915" width="0" style="422" hidden="1" customWidth="1"/>
    <col min="6916" max="6916" width="6" style="422" bestFit="1" customWidth="1"/>
    <col min="6917" max="6917" width="11.375" style="422" customWidth="1"/>
    <col min="6918" max="6918" width="12.625" style="422" bestFit="1" customWidth="1"/>
    <col min="6919" max="6919" width="12.125" style="422" bestFit="1" customWidth="1"/>
    <col min="6920" max="6920" width="16.125" style="422" customWidth="1"/>
    <col min="6921" max="6921" width="13.375" style="422" bestFit="1" customWidth="1"/>
    <col min="6922" max="6922" width="12.125" style="422" customWidth="1"/>
    <col min="6923" max="6923" width="13.375" style="422" bestFit="1" customWidth="1"/>
    <col min="6924" max="7165" width="8.625" style="422"/>
    <col min="7166" max="7166" width="5" style="422" bestFit="1" customWidth="1"/>
    <col min="7167" max="7167" width="3" style="422" bestFit="1" customWidth="1"/>
    <col min="7168" max="7168" width="42.375" style="422" customWidth="1"/>
    <col min="7169" max="7169" width="7.625" style="422" bestFit="1" customWidth="1"/>
    <col min="7170" max="7171" width="0" style="422" hidden="1" customWidth="1"/>
    <col min="7172" max="7172" width="6" style="422" bestFit="1" customWidth="1"/>
    <col min="7173" max="7173" width="11.375" style="422" customWidth="1"/>
    <col min="7174" max="7174" width="12.625" style="422" bestFit="1" customWidth="1"/>
    <col min="7175" max="7175" width="12.125" style="422" bestFit="1" customWidth="1"/>
    <col min="7176" max="7176" width="16.125" style="422" customWidth="1"/>
    <col min="7177" max="7177" width="13.375" style="422" bestFit="1" customWidth="1"/>
    <col min="7178" max="7178" width="12.125" style="422" customWidth="1"/>
    <col min="7179" max="7179" width="13.375" style="422" bestFit="1" customWidth="1"/>
    <col min="7180" max="7421" width="8.625" style="422"/>
    <col min="7422" max="7422" width="5" style="422" bestFit="1" customWidth="1"/>
    <col min="7423" max="7423" width="3" style="422" bestFit="1" customWidth="1"/>
    <col min="7424" max="7424" width="42.375" style="422" customWidth="1"/>
    <col min="7425" max="7425" width="7.625" style="422" bestFit="1" customWidth="1"/>
    <col min="7426" max="7427" width="0" style="422" hidden="1" customWidth="1"/>
    <col min="7428" max="7428" width="6" style="422" bestFit="1" customWidth="1"/>
    <col min="7429" max="7429" width="11.375" style="422" customWidth="1"/>
    <col min="7430" max="7430" width="12.625" style="422" bestFit="1" customWidth="1"/>
    <col min="7431" max="7431" width="12.125" style="422" bestFit="1" customWidth="1"/>
    <col min="7432" max="7432" width="16.125" style="422" customWidth="1"/>
    <col min="7433" max="7433" width="13.375" style="422" bestFit="1" customWidth="1"/>
    <col min="7434" max="7434" width="12.125" style="422" customWidth="1"/>
    <col min="7435" max="7435" width="13.375" style="422" bestFit="1" customWidth="1"/>
    <col min="7436" max="7677" width="8.625" style="422"/>
    <col min="7678" max="7678" width="5" style="422" bestFit="1" customWidth="1"/>
    <col min="7679" max="7679" width="3" style="422" bestFit="1" customWidth="1"/>
    <col min="7680" max="7680" width="42.375" style="422" customWidth="1"/>
    <col min="7681" max="7681" width="7.625" style="422" bestFit="1" customWidth="1"/>
    <col min="7682" max="7683" width="0" style="422" hidden="1" customWidth="1"/>
    <col min="7684" max="7684" width="6" style="422" bestFit="1" customWidth="1"/>
    <col min="7685" max="7685" width="11.375" style="422" customWidth="1"/>
    <col min="7686" max="7686" width="12.625" style="422" bestFit="1" customWidth="1"/>
    <col min="7687" max="7687" width="12.125" style="422" bestFit="1" customWidth="1"/>
    <col min="7688" max="7688" width="16.125" style="422" customWidth="1"/>
    <col min="7689" max="7689" width="13.375" style="422" bestFit="1" customWidth="1"/>
    <col min="7690" max="7690" width="12.125" style="422" customWidth="1"/>
    <col min="7691" max="7691" width="13.375" style="422" bestFit="1" customWidth="1"/>
    <col min="7692" max="7933" width="8.625" style="422"/>
    <col min="7934" max="7934" width="5" style="422" bestFit="1" customWidth="1"/>
    <col min="7935" max="7935" width="3" style="422" bestFit="1" customWidth="1"/>
    <col min="7936" max="7936" width="42.375" style="422" customWidth="1"/>
    <col min="7937" max="7937" width="7.625" style="422" bestFit="1" customWidth="1"/>
    <col min="7938" max="7939" width="0" style="422" hidden="1" customWidth="1"/>
    <col min="7940" max="7940" width="6" style="422" bestFit="1" customWidth="1"/>
    <col min="7941" max="7941" width="11.375" style="422" customWidth="1"/>
    <col min="7942" max="7942" width="12.625" style="422" bestFit="1" customWidth="1"/>
    <col min="7943" max="7943" width="12.125" style="422" bestFit="1" customWidth="1"/>
    <col min="7944" max="7944" width="16.125" style="422" customWidth="1"/>
    <col min="7945" max="7945" width="13.375" style="422" bestFit="1" customWidth="1"/>
    <col min="7946" max="7946" width="12.125" style="422" customWidth="1"/>
    <col min="7947" max="7947" width="13.375" style="422" bestFit="1" customWidth="1"/>
    <col min="7948" max="8189" width="8.625" style="422"/>
    <col min="8190" max="8190" width="5" style="422" bestFit="1" customWidth="1"/>
    <col min="8191" max="8191" width="3" style="422" bestFit="1" customWidth="1"/>
    <col min="8192" max="8192" width="42.375" style="422" customWidth="1"/>
    <col min="8193" max="8193" width="7.625" style="422" bestFit="1" customWidth="1"/>
    <col min="8194" max="8195" width="0" style="422" hidden="1" customWidth="1"/>
    <col min="8196" max="8196" width="6" style="422" bestFit="1" customWidth="1"/>
    <col min="8197" max="8197" width="11.375" style="422" customWidth="1"/>
    <col min="8198" max="8198" width="12.625" style="422" bestFit="1" customWidth="1"/>
    <col min="8199" max="8199" width="12.125" style="422" bestFit="1" customWidth="1"/>
    <col min="8200" max="8200" width="16.125" style="422" customWidth="1"/>
    <col min="8201" max="8201" width="13.375" style="422" bestFit="1" customWidth="1"/>
    <col min="8202" max="8202" width="12.125" style="422" customWidth="1"/>
    <col min="8203" max="8203" width="13.375" style="422" bestFit="1" customWidth="1"/>
    <col min="8204" max="8445" width="8.625" style="422"/>
    <col min="8446" max="8446" width="5" style="422" bestFit="1" customWidth="1"/>
    <col min="8447" max="8447" width="3" style="422" bestFit="1" customWidth="1"/>
    <col min="8448" max="8448" width="42.375" style="422" customWidth="1"/>
    <col min="8449" max="8449" width="7.625" style="422" bestFit="1" customWidth="1"/>
    <col min="8450" max="8451" width="0" style="422" hidden="1" customWidth="1"/>
    <col min="8452" max="8452" width="6" style="422" bestFit="1" customWidth="1"/>
    <col min="8453" max="8453" width="11.375" style="422" customWidth="1"/>
    <col min="8454" max="8454" width="12.625" style="422" bestFit="1" customWidth="1"/>
    <col min="8455" max="8455" width="12.125" style="422" bestFit="1" customWidth="1"/>
    <col min="8456" max="8456" width="16.125" style="422" customWidth="1"/>
    <col min="8457" max="8457" width="13.375" style="422" bestFit="1" customWidth="1"/>
    <col min="8458" max="8458" width="12.125" style="422" customWidth="1"/>
    <col min="8459" max="8459" width="13.375" style="422" bestFit="1" customWidth="1"/>
    <col min="8460" max="8701" width="8.625" style="422"/>
    <col min="8702" max="8702" width="5" style="422" bestFit="1" customWidth="1"/>
    <col min="8703" max="8703" width="3" style="422" bestFit="1" customWidth="1"/>
    <col min="8704" max="8704" width="42.375" style="422" customWidth="1"/>
    <col min="8705" max="8705" width="7.625" style="422" bestFit="1" customWidth="1"/>
    <col min="8706" max="8707" width="0" style="422" hidden="1" customWidth="1"/>
    <col min="8708" max="8708" width="6" style="422" bestFit="1" customWidth="1"/>
    <col min="8709" max="8709" width="11.375" style="422" customWidth="1"/>
    <col min="8710" max="8710" width="12.625" style="422" bestFit="1" customWidth="1"/>
    <col min="8711" max="8711" width="12.125" style="422" bestFit="1" customWidth="1"/>
    <col min="8712" max="8712" width="16.125" style="422" customWidth="1"/>
    <col min="8713" max="8713" width="13.375" style="422" bestFit="1" customWidth="1"/>
    <col min="8714" max="8714" width="12.125" style="422" customWidth="1"/>
    <col min="8715" max="8715" width="13.375" style="422" bestFit="1" customWidth="1"/>
    <col min="8716" max="8957" width="8.625" style="422"/>
    <col min="8958" max="8958" width="5" style="422" bestFit="1" customWidth="1"/>
    <col min="8959" max="8959" width="3" style="422" bestFit="1" customWidth="1"/>
    <col min="8960" max="8960" width="42.375" style="422" customWidth="1"/>
    <col min="8961" max="8961" width="7.625" style="422" bestFit="1" customWidth="1"/>
    <col min="8962" max="8963" width="0" style="422" hidden="1" customWidth="1"/>
    <col min="8964" max="8964" width="6" style="422" bestFit="1" customWidth="1"/>
    <col min="8965" max="8965" width="11.375" style="422" customWidth="1"/>
    <col min="8966" max="8966" width="12.625" style="422" bestFit="1" customWidth="1"/>
    <col min="8967" max="8967" width="12.125" style="422" bestFit="1" customWidth="1"/>
    <col min="8968" max="8968" width="16.125" style="422" customWidth="1"/>
    <col min="8969" max="8969" width="13.375" style="422" bestFit="1" customWidth="1"/>
    <col min="8970" max="8970" width="12.125" style="422" customWidth="1"/>
    <col min="8971" max="8971" width="13.375" style="422" bestFit="1" customWidth="1"/>
    <col min="8972" max="9213" width="8.625" style="422"/>
    <col min="9214" max="9214" width="5" style="422" bestFit="1" customWidth="1"/>
    <col min="9215" max="9215" width="3" style="422" bestFit="1" customWidth="1"/>
    <col min="9216" max="9216" width="42.375" style="422" customWidth="1"/>
    <col min="9217" max="9217" width="7.625" style="422" bestFit="1" customWidth="1"/>
    <col min="9218" max="9219" width="0" style="422" hidden="1" customWidth="1"/>
    <col min="9220" max="9220" width="6" style="422" bestFit="1" customWidth="1"/>
    <col min="9221" max="9221" width="11.375" style="422" customWidth="1"/>
    <col min="9222" max="9222" width="12.625" style="422" bestFit="1" customWidth="1"/>
    <col min="9223" max="9223" width="12.125" style="422" bestFit="1" customWidth="1"/>
    <col min="9224" max="9224" width="16.125" style="422" customWidth="1"/>
    <col min="9225" max="9225" width="13.375" style="422" bestFit="1" customWidth="1"/>
    <col min="9226" max="9226" width="12.125" style="422" customWidth="1"/>
    <col min="9227" max="9227" width="13.375" style="422" bestFit="1" customWidth="1"/>
    <col min="9228" max="9469" width="8.625" style="422"/>
    <col min="9470" max="9470" width="5" style="422" bestFit="1" customWidth="1"/>
    <col min="9471" max="9471" width="3" style="422" bestFit="1" customWidth="1"/>
    <col min="9472" max="9472" width="42.375" style="422" customWidth="1"/>
    <col min="9473" max="9473" width="7.625" style="422" bestFit="1" customWidth="1"/>
    <col min="9474" max="9475" width="0" style="422" hidden="1" customWidth="1"/>
    <col min="9476" max="9476" width="6" style="422" bestFit="1" customWidth="1"/>
    <col min="9477" max="9477" width="11.375" style="422" customWidth="1"/>
    <col min="9478" max="9478" width="12.625" style="422" bestFit="1" customWidth="1"/>
    <col min="9479" max="9479" width="12.125" style="422" bestFit="1" customWidth="1"/>
    <col min="9480" max="9480" width="16.125" style="422" customWidth="1"/>
    <col min="9481" max="9481" width="13.375" style="422" bestFit="1" customWidth="1"/>
    <col min="9482" max="9482" width="12.125" style="422" customWidth="1"/>
    <col min="9483" max="9483" width="13.375" style="422" bestFit="1" customWidth="1"/>
    <col min="9484" max="9725" width="8.625" style="422"/>
    <col min="9726" max="9726" width="5" style="422" bestFit="1" customWidth="1"/>
    <col min="9727" max="9727" width="3" style="422" bestFit="1" customWidth="1"/>
    <col min="9728" max="9728" width="42.375" style="422" customWidth="1"/>
    <col min="9729" max="9729" width="7.625" style="422" bestFit="1" customWidth="1"/>
    <col min="9730" max="9731" width="0" style="422" hidden="1" customWidth="1"/>
    <col min="9732" max="9732" width="6" style="422" bestFit="1" customWidth="1"/>
    <col min="9733" max="9733" width="11.375" style="422" customWidth="1"/>
    <col min="9734" max="9734" width="12.625" style="422" bestFit="1" customWidth="1"/>
    <col min="9735" max="9735" width="12.125" style="422" bestFit="1" customWidth="1"/>
    <col min="9736" max="9736" width="16.125" style="422" customWidth="1"/>
    <col min="9737" max="9737" width="13.375" style="422" bestFit="1" customWidth="1"/>
    <col min="9738" max="9738" width="12.125" style="422" customWidth="1"/>
    <col min="9739" max="9739" width="13.375" style="422" bestFit="1" customWidth="1"/>
    <col min="9740" max="9981" width="8.625" style="422"/>
    <col min="9982" max="9982" width="5" style="422" bestFit="1" customWidth="1"/>
    <col min="9983" max="9983" width="3" style="422" bestFit="1" customWidth="1"/>
    <col min="9984" max="9984" width="42.375" style="422" customWidth="1"/>
    <col min="9985" max="9985" width="7.625" style="422" bestFit="1" customWidth="1"/>
    <col min="9986" max="9987" width="0" style="422" hidden="1" customWidth="1"/>
    <col min="9988" max="9988" width="6" style="422" bestFit="1" customWidth="1"/>
    <col min="9989" max="9989" width="11.375" style="422" customWidth="1"/>
    <col min="9990" max="9990" width="12.625" style="422" bestFit="1" customWidth="1"/>
    <col min="9991" max="9991" width="12.125" style="422" bestFit="1" customWidth="1"/>
    <col min="9992" max="9992" width="16.125" style="422" customWidth="1"/>
    <col min="9993" max="9993" width="13.375" style="422" bestFit="1" customWidth="1"/>
    <col min="9994" max="9994" width="12.125" style="422" customWidth="1"/>
    <col min="9995" max="9995" width="13.375" style="422" bestFit="1" customWidth="1"/>
    <col min="9996" max="10237" width="8.625" style="422"/>
    <col min="10238" max="10238" width="5" style="422" bestFit="1" customWidth="1"/>
    <col min="10239" max="10239" width="3" style="422" bestFit="1" customWidth="1"/>
    <col min="10240" max="10240" width="42.375" style="422" customWidth="1"/>
    <col min="10241" max="10241" width="7.625" style="422" bestFit="1" customWidth="1"/>
    <col min="10242" max="10243" width="0" style="422" hidden="1" customWidth="1"/>
    <col min="10244" max="10244" width="6" style="422" bestFit="1" customWidth="1"/>
    <col min="10245" max="10245" width="11.375" style="422" customWidth="1"/>
    <col min="10246" max="10246" width="12.625" style="422" bestFit="1" customWidth="1"/>
    <col min="10247" max="10247" width="12.125" style="422" bestFit="1" customWidth="1"/>
    <col min="10248" max="10248" width="16.125" style="422" customWidth="1"/>
    <col min="10249" max="10249" width="13.375" style="422" bestFit="1" customWidth="1"/>
    <col min="10250" max="10250" width="12.125" style="422" customWidth="1"/>
    <col min="10251" max="10251" width="13.375" style="422" bestFit="1" customWidth="1"/>
    <col min="10252" max="10493" width="8.625" style="422"/>
    <col min="10494" max="10494" width="5" style="422" bestFit="1" customWidth="1"/>
    <col min="10495" max="10495" width="3" style="422" bestFit="1" customWidth="1"/>
    <col min="10496" max="10496" width="42.375" style="422" customWidth="1"/>
    <col min="10497" max="10497" width="7.625" style="422" bestFit="1" customWidth="1"/>
    <col min="10498" max="10499" width="0" style="422" hidden="1" customWidth="1"/>
    <col min="10500" max="10500" width="6" style="422" bestFit="1" customWidth="1"/>
    <col min="10501" max="10501" width="11.375" style="422" customWidth="1"/>
    <col min="10502" max="10502" width="12.625" style="422" bestFit="1" customWidth="1"/>
    <col min="10503" max="10503" width="12.125" style="422" bestFit="1" customWidth="1"/>
    <col min="10504" max="10504" width="16.125" style="422" customWidth="1"/>
    <col min="10505" max="10505" width="13.375" style="422" bestFit="1" customWidth="1"/>
    <col min="10506" max="10506" width="12.125" style="422" customWidth="1"/>
    <col min="10507" max="10507" width="13.375" style="422" bestFit="1" customWidth="1"/>
    <col min="10508" max="10749" width="8.625" style="422"/>
    <col min="10750" max="10750" width="5" style="422" bestFit="1" customWidth="1"/>
    <col min="10751" max="10751" width="3" style="422" bestFit="1" customWidth="1"/>
    <col min="10752" max="10752" width="42.375" style="422" customWidth="1"/>
    <col min="10753" max="10753" width="7.625" style="422" bestFit="1" customWidth="1"/>
    <col min="10754" max="10755" width="0" style="422" hidden="1" customWidth="1"/>
    <col min="10756" max="10756" width="6" style="422" bestFit="1" customWidth="1"/>
    <col min="10757" max="10757" width="11.375" style="422" customWidth="1"/>
    <col min="10758" max="10758" width="12.625" style="422" bestFit="1" customWidth="1"/>
    <col min="10759" max="10759" width="12.125" style="422" bestFit="1" customWidth="1"/>
    <col min="10760" max="10760" width="16.125" style="422" customWidth="1"/>
    <col min="10761" max="10761" width="13.375" style="422" bestFit="1" customWidth="1"/>
    <col min="10762" max="10762" width="12.125" style="422" customWidth="1"/>
    <col min="10763" max="10763" width="13.375" style="422" bestFit="1" customWidth="1"/>
    <col min="10764" max="11005" width="8.625" style="422"/>
    <col min="11006" max="11006" width="5" style="422" bestFit="1" customWidth="1"/>
    <col min="11007" max="11007" width="3" style="422" bestFit="1" customWidth="1"/>
    <col min="11008" max="11008" width="42.375" style="422" customWidth="1"/>
    <col min="11009" max="11009" width="7.625" style="422" bestFit="1" customWidth="1"/>
    <col min="11010" max="11011" width="0" style="422" hidden="1" customWidth="1"/>
    <col min="11012" max="11012" width="6" style="422" bestFit="1" customWidth="1"/>
    <col min="11013" max="11013" width="11.375" style="422" customWidth="1"/>
    <col min="11014" max="11014" width="12.625" style="422" bestFit="1" customWidth="1"/>
    <col min="11015" max="11015" width="12.125" style="422" bestFit="1" customWidth="1"/>
    <col min="11016" max="11016" width="16.125" style="422" customWidth="1"/>
    <col min="11017" max="11017" width="13.375" style="422" bestFit="1" customWidth="1"/>
    <col min="11018" max="11018" width="12.125" style="422" customWidth="1"/>
    <col min="11019" max="11019" width="13.375" style="422" bestFit="1" customWidth="1"/>
    <col min="11020" max="11261" width="8.625" style="422"/>
    <col min="11262" max="11262" width="5" style="422" bestFit="1" customWidth="1"/>
    <col min="11263" max="11263" width="3" style="422" bestFit="1" customWidth="1"/>
    <col min="11264" max="11264" width="42.375" style="422" customWidth="1"/>
    <col min="11265" max="11265" width="7.625" style="422" bestFit="1" customWidth="1"/>
    <col min="11266" max="11267" width="0" style="422" hidden="1" customWidth="1"/>
    <col min="11268" max="11268" width="6" style="422" bestFit="1" customWidth="1"/>
    <col min="11269" max="11269" width="11.375" style="422" customWidth="1"/>
    <col min="11270" max="11270" width="12.625" style="422" bestFit="1" customWidth="1"/>
    <col min="11271" max="11271" width="12.125" style="422" bestFit="1" customWidth="1"/>
    <col min="11272" max="11272" width="16.125" style="422" customWidth="1"/>
    <col min="11273" max="11273" width="13.375" style="422" bestFit="1" customWidth="1"/>
    <col min="11274" max="11274" width="12.125" style="422" customWidth="1"/>
    <col min="11275" max="11275" width="13.375" style="422" bestFit="1" customWidth="1"/>
    <col min="11276" max="11517" width="8.625" style="422"/>
    <col min="11518" max="11518" width="5" style="422" bestFit="1" customWidth="1"/>
    <col min="11519" max="11519" width="3" style="422" bestFit="1" customWidth="1"/>
    <col min="11520" max="11520" width="42.375" style="422" customWidth="1"/>
    <col min="11521" max="11521" width="7.625" style="422" bestFit="1" customWidth="1"/>
    <col min="11522" max="11523" width="0" style="422" hidden="1" customWidth="1"/>
    <col min="11524" max="11524" width="6" style="422" bestFit="1" customWidth="1"/>
    <col min="11525" max="11525" width="11.375" style="422" customWidth="1"/>
    <col min="11526" max="11526" width="12.625" style="422" bestFit="1" customWidth="1"/>
    <col min="11527" max="11527" width="12.125" style="422" bestFit="1" customWidth="1"/>
    <col min="11528" max="11528" width="16.125" style="422" customWidth="1"/>
    <col min="11529" max="11529" width="13.375" style="422" bestFit="1" customWidth="1"/>
    <col min="11530" max="11530" width="12.125" style="422" customWidth="1"/>
    <col min="11531" max="11531" width="13.375" style="422" bestFit="1" customWidth="1"/>
    <col min="11532" max="11773" width="8.625" style="422"/>
    <col min="11774" max="11774" width="5" style="422" bestFit="1" customWidth="1"/>
    <col min="11775" max="11775" width="3" style="422" bestFit="1" customWidth="1"/>
    <col min="11776" max="11776" width="42.375" style="422" customWidth="1"/>
    <col min="11777" max="11777" width="7.625" style="422" bestFit="1" customWidth="1"/>
    <col min="11778" max="11779" width="0" style="422" hidden="1" customWidth="1"/>
    <col min="11780" max="11780" width="6" style="422" bestFit="1" customWidth="1"/>
    <col min="11781" max="11781" width="11.375" style="422" customWidth="1"/>
    <col min="11782" max="11782" width="12.625" style="422" bestFit="1" customWidth="1"/>
    <col min="11783" max="11783" width="12.125" style="422" bestFit="1" customWidth="1"/>
    <col min="11784" max="11784" width="16.125" style="422" customWidth="1"/>
    <col min="11785" max="11785" width="13.375" style="422" bestFit="1" customWidth="1"/>
    <col min="11786" max="11786" width="12.125" style="422" customWidth="1"/>
    <col min="11787" max="11787" width="13.375" style="422" bestFit="1" customWidth="1"/>
    <col min="11788" max="12029" width="8.625" style="422"/>
    <col min="12030" max="12030" width="5" style="422" bestFit="1" customWidth="1"/>
    <col min="12031" max="12031" width="3" style="422" bestFit="1" customWidth="1"/>
    <col min="12032" max="12032" width="42.375" style="422" customWidth="1"/>
    <col min="12033" max="12033" width="7.625" style="422" bestFit="1" customWidth="1"/>
    <col min="12034" max="12035" width="0" style="422" hidden="1" customWidth="1"/>
    <col min="12036" max="12036" width="6" style="422" bestFit="1" customWidth="1"/>
    <col min="12037" max="12037" width="11.375" style="422" customWidth="1"/>
    <col min="12038" max="12038" width="12.625" style="422" bestFit="1" customWidth="1"/>
    <col min="12039" max="12039" width="12.125" style="422" bestFit="1" customWidth="1"/>
    <col min="12040" max="12040" width="16.125" style="422" customWidth="1"/>
    <col min="12041" max="12041" width="13.375" style="422" bestFit="1" customWidth="1"/>
    <col min="12042" max="12042" width="12.125" style="422" customWidth="1"/>
    <col min="12043" max="12043" width="13.375" style="422" bestFit="1" customWidth="1"/>
    <col min="12044" max="12285" width="8.625" style="422"/>
    <col min="12286" max="12286" width="5" style="422" bestFit="1" customWidth="1"/>
    <col min="12287" max="12287" width="3" style="422" bestFit="1" customWidth="1"/>
    <col min="12288" max="12288" width="42.375" style="422" customWidth="1"/>
    <col min="12289" max="12289" width="7.625" style="422" bestFit="1" customWidth="1"/>
    <col min="12290" max="12291" width="0" style="422" hidden="1" customWidth="1"/>
    <col min="12292" max="12292" width="6" style="422" bestFit="1" customWidth="1"/>
    <col min="12293" max="12293" width="11.375" style="422" customWidth="1"/>
    <col min="12294" max="12294" width="12.625" style="422" bestFit="1" customWidth="1"/>
    <col min="12295" max="12295" width="12.125" style="422" bestFit="1" customWidth="1"/>
    <col min="12296" max="12296" width="16.125" style="422" customWidth="1"/>
    <col min="12297" max="12297" width="13.375" style="422" bestFit="1" customWidth="1"/>
    <col min="12298" max="12298" width="12.125" style="422" customWidth="1"/>
    <col min="12299" max="12299" width="13.375" style="422" bestFit="1" customWidth="1"/>
    <col min="12300" max="12541" width="8.625" style="422"/>
    <col min="12542" max="12542" width="5" style="422" bestFit="1" customWidth="1"/>
    <col min="12543" max="12543" width="3" style="422" bestFit="1" customWidth="1"/>
    <col min="12544" max="12544" width="42.375" style="422" customWidth="1"/>
    <col min="12545" max="12545" width="7.625" style="422" bestFit="1" customWidth="1"/>
    <col min="12546" max="12547" width="0" style="422" hidden="1" customWidth="1"/>
    <col min="12548" max="12548" width="6" style="422" bestFit="1" customWidth="1"/>
    <col min="12549" max="12549" width="11.375" style="422" customWidth="1"/>
    <col min="12550" max="12550" width="12.625" style="422" bestFit="1" customWidth="1"/>
    <col min="12551" max="12551" width="12.125" style="422" bestFit="1" customWidth="1"/>
    <col min="12552" max="12552" width="16.125" style="422" customWidth="1"/>
    <col min="12553" max="12553" width="13.375" style="422" bestFit="1" customWidth="1"/>
    <col min="12554" max="12554" width="12.125" style="422" customWidth="1"/>
    <col min="12555" max="12555" width="13.375" style="422" bestFit="1" customWidth="1"/>
    <col min="12556" max="12797" width="8.625" style="422"/>
    <col min="12798" max="12798" width="5" style="422" bestFit="1" customWidth="1"/>
    <col min="12799" max="12799" width="3" style="422" bestFit="1" customWidth="1"/>
    <col min="12800" max="12800" width="42.375" style="422" customWidth="1"/>
    <col min="12801" max="12801" width="7.625" style="422" bestFit="1" customWidth="1"/>
    <col min="12802" max="12803" width="0" style="422" hidden="1" customWidth="1"/>
    <col min="12804" max="12804" width="6" style="422" bestFit="1" customWidth="1"/>
    <col min="12805" max="12805" width="11.375" style="422" customWidth="1"/>
    <col min="12806" max="12806" width="12.625" style="422" bestFit="1" customWidth="1"/>
    <col min="12807" max="12807" width="12.125" style="422" bestFit="1" customWidth="1"/>
    <col min="12808" max="12808" width="16.125" style="422" customWidth="1"/>
    <col min="12809" max="12809" width="13.375" style="422" bestFit="1" customWidth="1"/>
    <col min="12810" max="12810" width="12.125" style="422" customWidth="1"/>
    <col min="12811" max="12811" width="13.375" style="422" bestFit="1" customWidth="1"/>
    <col min="12812" max="13053" width="8.625" style="422"/>
    <col min="13054" max="13054" width="5" style="422" bestFit="1" customWidth="1"/>
    <col min="13055" max="13055" width="3" style="422" bestFit="1" customWidth="1"/>
    <col min="13056" max="13056" width="42.375" style="422" customWidth="1"/>
    <col min="13057" max="13057" width="7.625" style="422" bestFit="1" customWidth="1"/>
    <col min="13058" max="13059" width="0" style="422" hidden="1" customWidth="1"/>
    <col min="13060" max="13060" width="6" style="422" bestFit="1" customWidth="1"/>
    <col min="13061" max="13061" width="11.375" style="422" customWidth="1"/>
    <col min="13062" max="13062" width="12.625" style="422" bestFit="1" customWidth="1"/>
    <col min="13063" max="13063" width="12.125" style="422" bestFit="1" customWidth="1"/>
    <col min="13064" max="13064" width="16.125" style="422" customWidth="1"/>
    <col min="13065" max="13065" width="13.375" style="422" bestFit="1" customWidth="1"/>
    <col min="13066" max="13066" width="12.125" style="422" customWidth="1"/>
    <col min="13067" max="13067" width="13.375" style="422" bestFit="1" customWidth="1"/>
    <col min="13068" max="13309" width="8.625" style="422"/>
    <col min="13310" max="13310" width="5" style="422" bestFit="1" customWidth="1"/>
    <col min="13311" max="13311" width="3" style="422" bestFit="1" customWidth="1"/>
    <col min="13312" max="13312" width="42.375" style="422" customWidth="1"/>
    <col min="13313" max="13313" width="7.625" style="422" bestFit="1" customWidth="1"/>
    <col min="13314" max="13315" width="0" style="422" hidden="1" customWidth="1"/>
    <col min="13316" max="13316" width="6" style="422" bestFit="1" customWidth="1"/>
    <col min="13317" max="13317" width="11.375" style="422" customWidth="1"/>
    <col min="13318" max="13318" width="12.625" style="422" bestFit="1" customWidth="1"/>
    <col min="13319" max="13319" width="12.125" style="422" bestFit="1" customWidth="1"/>
    <col min="13320" max="13320" width="16.125" style="422" customWidth="1"/>
    <col min="13321" max="13321" width="13.375" style="422" bestFit="1" customWidth="1"/>
    <col min="13322" max="13322" width="12.125" style="422" customWidth="1"/>
    <col min="13323" max="13323" width="13.375" style="422" bestFit="1" customWidth="1"/>
    <col min="13324" max="13565" width="8.625" style="422"/>
    <col min="13566" max="13566" width="5" style="422" bestFit="1" customWidth="1"/>
    <col min="13567" max="13567" width="3" style="422" bestFit="1" customWidth="1"/>
    <col min="13568" max="13568" width="42.375" style="422" customWidth="1"/>
    <col min="13569" max="13569" width="7.625" style="422" bestFit="1" customWidth="1"/>
    <col min="13570" max="13571" width="0" style="422" hidden="1" customWidth="1"/>
    <col min="13572" max="13572" width="6" style="422" bestFit="1" customWidth="1"/>
    <col min="13573" max="13573" width="11.375" style="422" customWidth="1"/>
    <col min="13574" max="13574" width="12.625" style="422" bestFit="1" customWidth="1"/>
    <col min="13575" max="13575" width="12.125" style="422" bestFit="1" customWidth="1"/>
    <col min="13576" max="13576" width="16.125" style="422" customWidth="1"/>
    <col min="13577" max="13577" width="13.375" style="422" bestFit="1" customWidth="1"/>
    <col min="13578" max="13578" width="12.125" style="422" customWidth="1"/>
    <col min="13579" max="13579" width="13.375" style="422" bestFit="1" customWidth="1"/>
    <col min="13580" max="13821" width="8.625" style="422"/>
    <col min="13822" max="13822" width="5" style="422" bestFit="1" customWidth="1"/>
    <col min="13823" max="13823" width="3" style="422" bestFit="1" customWidth="1"/>
    <col min="13824" max="13824" width="42.375" style="422" customWidth="1"/>
    <col min="13825" max="13825" width="7.625" style="422" bestFit="1" customWidth="1"/>
    <col min="13826" max="13827" width="0" style="422" hidden="1" customWidth="1"/>
    <col min="13828" max="13828" width="6" style="422" bestFit="1" customWidth="1"/>
    <col min="13829" max="13829" width="11.375" style="422" customWidth="1"/>
    <col min="13830" max="13830" width="12.625" style="422" bestFit="1" customWidth="1"/>
    <col min="13831" max="13831" width="12.125" style="422" bestFit="1" customWidth="1"/>
    <col min="13832" max="13832" width="16.125" style="422" customWidth="1"/>
    <col min="13833" max="13833" width="13.375" style="422" bestFit="1" customWidth="1"/>
    <col min="13834" max="13834" width="12.125" style="422" customWidth="1"/>
    <col min="13835" max="13835" width="13.375" style="422" bestFit="1" customWidth="1"/>
    <col min="13836" max="14077" width="8.625" style="422"/>
    <col min="14078" max="14078" width="5" style="422" bestFit="1" customWidth="1"/>
    <col min="14079" max="14079" width="3" style="422" bestFit="1" customWidth="1"/>
    <col min="14080" max="14080" width="42.375" style="422" customWidth="1"/>
    <col min="14081" max="14081" width="7.625" style="422" bestFit="1" customWidth="1"/>
    <col min="14082" max="14083" width="0" style="422" hidden="1" customWidth="1"/>
    <col min="14084" max="14084" width="6" style="422" bestFit="1" customWidth="1"/>
    <col min="14085" max="14085" width="11.375" style="422" customWidth="1"/>
    <col min="14086" max="14086" width="12.625" style="422" bestFit="1" customWidth="1"/>
    <col min="14087" max="14087" width="12.125" style="422" bestFit="1" customWidth="1"/>
    <col min="14088" max="14088" width="16.125" style="422" customWidth="1"/>
    <col min="14089" max="14089" width="13.375" style="422" bestFit="1" customWidth="1"/>
    <col min="14090" max="14090" width="12.125" style="422" customWidth="1"/>
    <col min="14091" max="14091" width="13.375" style="422" bestFit="1" customWidth="1"/>
    <col min="14092" max="14333" width="8.625" style="422"/>
    <col min="14334" max="14334" width="5" style="422" bestFit="1" customWidth="1"/>
    <col min="14335" max="14335" width="3" style="422" bestFit="1" customWidth="1"/>
    <col min="14336" max="14336" width="42.375" style="422" customWidth="1"/>
    <col min="14337" max="14337" width="7.625" style="422" bestFit="1" customWidth="1"/>
    <col min="14338" max="14339" width="0" style="422" hidden="1" customWidth="1"/>
    <col min="14340" max="14340" width="6" style="422" bestFit="1" customWidth="1"/>
    <col min="14341" max="14341" width="11.375" style="422" customWidth="1"/>
    <col min="14342" max="14342" width="12.625" style="422" bestFit="1" customWidth="1"/>
    <col min="14343" max="14343" width="12.125" style="422" bestFit="1" customWidth="1"/>
    <col min="14344" max="14344" width="16.125" style="422" customWidth="1"/>
    <col min="14345" max="14345" width="13.375" style="422" bestFit="1" customWidth="1"/>
    <col min="14346" max="14346" width="12.125" style="422" customWidth="1"/>
    <col min="14347" max="14347" width="13.375" style="422" bestFit="1" customWidth="1"/>
    <col min="14348" max="14589" width="8.625" style="422"/>
    <col min="14590" max="14590" width="5" style="422" bestFit="1" customWidth="1"/>
    <col min="14591" max="14591" width="3" style="422" bestFit="1" customWidth="1"/>
    <col min="14592" max="14592" width="42.375" style="422" customWidth="1"/>
    <col min="14593" max="14593" width="7.625" style="422" bestFit="1" customWidth="1"/>
    <col min="14594" max="14595" width="0" style="422" hidden="1" customWidth="1"/>
    <col min="14596" max="14596" width="6" style="422" bestFit="1" customWidth="1"/>
    <col min="14597" max="14597" width="11.375" style="422" customWidth="1"/>
    <col min="14598" max="14598" width="12.625" style="422" bestFit="1" customWidth="1"/>
    <col min="14599" max="14599" width="12.125" style="422" bestFit="1" customWidth="1"/>
    <col min="14600" max="14600" width="16.125" style="422" customWidth="1"/>
    <col min="14601" max="14601" width="13.375" style="422" bestFit="1" customWidth="1"/>
    <col min="14602" max="14602" width="12.125" style="422" customWidth="1"/>
    <col min="14603" max="14603" width="13.375" style="422" bestFit="1" customWidth="1"/>
    <col min="14604" max="14845" width="8.625" style="422"/>
    <col min="14846" max="14846" width="5" style="422" bestFit="1" customWidth="1"/>
    <col min="14847" max="14847" width="3" style="422" bestFit="1" customWidth="1"/>
    <col min="14848" max="14848" width="42.375" style="422" customWidth="1"/>
    <col min="14849" max="14849" width="7.625" style="422" bestFit="1" customWidth="1"/>
    <col min="14850" max="14851" width="0" style="422" hidden="1" customWidth="1"/>
    <col min="14852" max="14852" width="6" style="422" bestFit="1" customWidth="1"/>
    <col min="14853" max="14853" width="11.375" style="422" customWidth="1"/>
    <col min="14854" max="14854" width="12.625" style="422" bestFit="1" customWidth="1"/>
    <col min="14855" max="14855" width="12.125" style="422" bestFit="1" customWidth="1"/>
    <col min="14856" max="14856" width="16.125" style="422" customWidth="1"/>
    <col min="14857" max="14857" width="13.375" style="422" bestFit="1" customWidth="1"/>
    <col min="14858" max="14858" width="12.125" style="422" customWidth="1"/>
    <col min="14859" max="14859" width="13.375" style="422" bestFit="1" customWidth="1"/>
    <col min="14860" max="15101" width="8.625" style="422"/>
    <col min="15102" max="15102" width="5" style="422" bestFit="1" customWidth="1"/>
    <col min="15103" max="15103" width="3" style="422" bestFit="1" customWidth="1"/>
    <col min="15104" max="15104" width="42.375" style="422" customWidth="1"/>
    <col min="15105" max="15105" width="7.625" style="422" bestFit="1" customWidth="1"/>
    <col min="15106" max="15107" width="0" style="422" hidden="1" customWidth="1"/>
    <col min="15108" max="15108" width="6" style="422" bestFit="1" customWidth="1"/>
    <col min="15109" max="15109" width="11.375" style="422" customWidth="1"/>
    <col min="15110" max="15110" width="12.625" style="422" bestFit="1" customWidth="1"/>
    <col min="15111" max="15111" width="12.125" style="422" bestFit="1" customWidth="1"/>
    <col min="15112" max="15112" width="16.125" style="422" customWidth="1"/>
    <col min="15113" max="15113" width="13.375" style="422" bestFit="1" customWidth="1"/>
    <col min="15114" max="15114" width="12.125" style="422" customWidth="1"/>
    <col min="15115" max="15115" width="13.375" style="422" bestFit="1" customWidth="1"/>
    <col min="15116" max="15357" width="8.625" style="422"/>
    <col min="15358" max="15358" width="5" style="422" bestFit="1" customWidth="1"/>
    <col min="15359" max="15359" width="3" style="422" bestFit="1" customWidth="1"/>
    <col min="15360" max="15360" width="42.375" style="422" customWidth="1"/>
    <col min="15361" max="15361" width="7.625" style="422" bestFit="1" customWidth="1"/>
    <col min="15362" max="15363" width="0" style="422" hidden="1" customWidth="1"/>
    <col min="15364" max="15364" width="6" style="422" bestFit="1" customWidth="1"/>
    <col min="15365" max="15365" width="11.375" style="422" customWidth="1"/>
    <col min="15366" max="15366" width="12.625" style="422" bestFit="1" customWidth="1"/>
    <col min="15367" max="15367" width="12.125" style="422" bestFit="1" customWidth="1"/>
    <col min="15368" max="15368" width="16.125" style="422" customWidth="1"/>
    <col min="15369" max="15369" width="13.375" style="422" bestFit="1" customWidth="1"/>
    <col min="15370" max="15370" width="12.125" style="422" customWidth="1"/>
    <col min="15371" max="15371" width="13.375" style="422" bestFit="1" customWidth="1"/>
    <col min="15372" max="15613" width="8.625" style="422"/>
    <col min="15614" max="15614" width="5" style="422" bestFit="1" customWidth="1"/>
    <col min="15615" max="15615" width="3" style="422" bestFit="1" customWidth="1"/>
    <col min="15616" max="15616" width="42.375" style="422" customWidth="1"/>
    <col min="15617" max="15617" width="7.625" style="422" bestFit="1" customWidth="1"/>
    <col min="15618" max="15619" width="0" style="422" hidden="1" customWidth="1"/>
    <col min="15620" max="15620" width="6" style="422" bestFit="1" customWidth="1"/>
    <col min="15621" max="15621" width="11.375" style="422" customWidth="1"/>
    <col min="15622" max="15622" width="12.625" style="422" bestFit="1" customWidth="1"/>
    <col min="15623" max="15623" width="12.125" style="422" bestFit="1" customWidth="1"/>
    <col min="15624" max="15624" width="16.125" style="422" customWidth="1"/>
    <col min="15625" max="15625" width="13.375" style="422" bestFit="1" customWidth="1"/>
    <col min="15626" max="15626" width="12.125" style="422" customWidth="1"/>
    <col min="15627" max="15627" width="13.375" style="422" bestFit="1" customWidth="1"/>
    <col min="15628" max="15869" width="8.625" style="422"/>
    <col min="15870" max="15870" width="5" style="422" bestFit="1" customWidth="1"/>
    <col min="15871" max="15871" width="3" style="422" bestFit="1" customWidth="1"/>
    <col min="15872" max="15872" width="42.375" style="422" customWidth="1"/>
    <col min="15873" max="15873" width="7.625" style="422" bestFit="1" customWidth="1"/>
    <col min="15874" max="15875" width="0" style="422" hidden="1" customWidth="1"/>
    <col min="15876" max="15876" width="6" style="422" bestFit="1" customWidth="1"/>
    <col min="15877" max="15877" width="11.375" style="422" customWidth="1"/>
    <col min="15878" max="15878" width="12.625" style="422" bestFit="1" customWidth="1"/>
    <col min="15879" max="15879" width="12.125" style="422" bestFit="1" customWidth="1"/>
    <col min="15880" max="15880" width="16.125" style="422" customWidth="1"/>
    <col min="15881" max="15881" width="13.375" style="422" bestFit="1" customWidth="1"/>
    <col min="15882" max="15882" width="12.125" style="422" customWidth="1"/>
    <col min="15883" max="15883" width="13.375" style="422" bestFit="1" customWidth="1"/>
    <col min="15884" max="16125" width="8.625" style="422"/>
    <col min="16126" max="16126" width="5" style="422" bestFit="1" customWidth="1"/>
    <col min="16127" max="16127" width="3" style="422" bestFit="1" customWidth="1"/>
    <col min="16128" max="16128" width="42.375" style="422" customWidth="1"/>
    <col min="16129" max="16129" width="7.625" style="422" bestFit="1" customWidth="1"/>
    <col min="16130" max="16131" width="0" style="422" hidden="1" customWidth="1"/>
    <col min="16132" max="16132" width="6" style="422" bestFit="1" customWidth="1"/>
    <col min="16133" max="16133" width="11.375" style="422" customWidth="1"/>
    <col min="16134" max="16134" width="12.625" style="422" bestFit="1" customWidth="1"/>
    <col min="16135" max="16135" width="12.125" style="422" bestFit="1" customWidth="1"/>
    <col min="16136" max="16136" width="16.125" style="422" customWidth="1"/>
    <col min="16137" max="16137" width="13.375" style="422" bestFit="1" customWidth="1"/>
    <col min="16138" max="16138" width="12.125" style="422" customWidth="1"/>
    <col min="16139" max="16139" width="13.375" style="422" bestFit="1" customWidth="1"/>
    <col min="16140" max="16384" width="8.625" style="422"/>
  </cols>
  <sheetData>
    <row r="1" spans="1:13" ht="14.25">
      <c r="A1" s="1211" t="s">
        <v>750</v>
      </c>
      <c r="B1" s="1211"/>
      <c r="C1" s="1211"/>
      <c r="D1" s="1211"/>
      <c r="E1" s="1211"/>
      <c r="F1" s="1211"/>
      <c r="G1" s="1211"/>
      <c r="H1" s="1211"/>
      <c r="I1" s="1211"/>
      <c r="J1" s="1211"/>
      <c r="K1" s="1211"/>
    </row>
    <row r="2" spans="1:13" ht="15">
      <c r="A2" s="1212"/>
      <c r="B2" s="1212"/>
      <c r="C2" s="1212"/>
      <c r="D2" s="1212"/>
      <c r="E2" s="1212"/>
      <c r="F2" s="1212"/>
      <c r="G2" s="1212"/>
      <c r="H2" s="1212"/>
      <c r="I2" s="1212"/>
      <c r="J2" s="1212"/>
      <c r="K2" s="1212"/>
    </row>
    <row r="3" spans="1:13" ht="15">
      <c r="A3" s="423"/>
      <c r="B3" s="423"/>
      <c r="C3" s="549"/>
      <c r="D3" s="424"/>
      <c r="E3" s="425"/>
      <c r="F3" s="426"/>
      <c r="G3" s="532"/>
      <c r="H3" s="532"/>
      <c r="I3" s="532"/>
      <c r="J3" s="1213" t="s">
        <v>734</v>
      </c>
      <c r="K3" s="1213"/>
    </row>
    <row r="4" spans="1:13" ht="63" customHeight="1">
      <c r="A4" s="428" t="s">
        <v>9</v>
      </c>
      <c r="B4" s="428" t="s">
        <v>162</v>
      </c>
      <c r="C4" s="428" t="s">
        <v>21</v>
      </c>
      <c r="D4" s="429" t="s">
        <v>686</v>
      </c>
      <c r="E4" s="430" t="s">
        <v>103</v>
      </c>
      <c r="F4" s="429" t="s">
        <v>735</v>
      </c>
      <c r="G4" s="429" t="s">
        <v>736</v>
      </c>
      <c r="H4" s="429" t="s">
        <v>737</v>
      </c>
      <c r="I4" s="429" t="s">
        <v>738</v>
      </c>
      <c r="J4" s="429" t="s">
        <v>739</v>
      </c>
      <c r="K4" s="429" t="s">
        <v>744</v>
      </c>
      <c r="L4" s="431"/>
    </row>
    <row r="5" spans="1:13" ht="15.75" customHeight="1">
      <c r="A5" s="432" t="s">
        <v>15</v>
      </c>
      <c r="B5" s="433" t="s">
        <v>740</v>
      </c>
      <c r="C5" s="434"/>
      <c r="D5" s="435"/>
      <c r="E5" s="436"/>
      <c r="F5" s="437"/>
      <c r="G5" s="437"/>
      <c r="H5" s="437"/>
      <c r="I5" s="437"/>
      <c r="J5" s="437"/>
      <c r="K5" s="437"/>
    </row>
    <row r="6" spans="1:13" s="439" customFormat="1" ht="15">
      <c r="A6" s="432">
        <f>NhanCong_QG!B3</f>
        <v>1</v>
      </c>
      <c r="B6" s="433" t="str">
        <f>NhanCong_QG!C3</f>
        <v>Công tác chuẩn bị</v>
      </c>
      <c r="C6" s="434"/>
      <c r="D6" s="435"/>
      <c r="E6" s="438"/>
      <c r="F6" s="437"/>
      <c r="G6" s="437"/>
      <c r="H6" s="437"/>
      <c r="I6" s="437"/>
      <c r="J6" s="437"/>
      <c r="K6" s="437" t="e">
        <f>K7+K8+K9</f>
        <v>#REF!</v>
      </c>
      <c r="L6" s="421"/>
    </row>
    <row r="7" spans="1:13" ht="75">
      <c r="A7" s="440" t="str">
        <f>NhanCong_QG!B4</f>
        <v>1.1</v>
      </c>
      <c r="B7" s="441" t="str">
        <f>NhanCong_QG!C4</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C7" s="452" t="str">
        <f>NhanCong_QG!D4</f>
        <v>Bộ dữ liệu cho cả nước</v>
      </c>
      <c r="D7" s="442">
        <f>Chitietbangbieu!$AB$31</f>
        <v>8</v>
      </c>
      <c r="E7" s="436">
        <f>DonGia_QG!N7</f>
        <v>2427439.6814379818</v>
      </c>
      <c r="F7" s="443">
        <f>D7*E7</f>
        <v>19419517.451503854</v>
      </c>
      <c r="G7" s="443">
        <f>F7*15%</f>
        <v>2912927.6177255781</v>
      </c>
      <c r="H7" s="443">
        <f>F7*4%</f>
        <v>776780.69806015422</v>
      </c>
      <c r="I7" s="443">
        <f>F7+G7+H7</f>
        <v>23109225.767289586</v>
      </c>
      <c r="J7" s="443">
        <f>I7*10%</f>
        <v>2310922.5767289586</v>
      </c>
      <c r="K7" s="443">
        <f>I7+J7</f>
        <v>25420148.344018545</v>
      </c>
    </row>
    <row r="8" spans="1:13" ht="45">
      <c r="A8" s="440" t="str">
        <f>NhanCong_QG!B5</f>
        <v>1.2</v>
      </c>
      <c r="B8" s="441" t="str">
        <f>NhanCong_QG!C5</f>
        <v>Chuẩn bị nhân lực, địa điểm làm việc; Chuẩn bị vật tư, thiết bị, dụng cụ, phần mềm phục vụ cho công tác xây dựng cơ sở dữ liệu thống kê, kiểm kê đất đai</v>
      </c>
      <c r="C8" s="452" t="str">
        <f>NhanCong_QG!D5</f>
        <v>Bộ dữ liệu cho cả nước</v>
      </c>
      <c r="D8" s="442">
        <f>Chitietbangbieu!$AB$31</f>
        <v>8</v>
      </c>
      <c r="E8" s="436">
        <f>DonGia_QG!N8</f>
        <v>2321631.0564379822</v>
      </c>
      <c r="F8" s="443">
        <f t="shared" ref="F8:F36" si="0">D8*E8</f>
        <v>18573048.451503858</v>
      </c>
      <c r="G8" s="443">
        <f t="shared" ref="G8:G36" si="1">F8*15%</f>
        <v>2785957.2677255785</v>
      </c>
      <c r="H8" s="443">
        <f t="shared" ref="H8:H36" si="2">F8*4%</f>
        <v>742921.93806015432</v>
      </c>
      <c r="I8" s="443">
        <f t="shared" ref="I8:I36" si="3">F8+G8+H8</f>
        <v>22101927.657289591</v>
      </c>
      <c r="J8" s="443">
        <f t="shared" ref="J8:J36" si="4">I8*10%</f>
        <v>2210192.7657289593</v>
      </c>
      <c r="K8" s="443">
        <f t="shared" ref="K8:K36" si="5">I8+J8</f>
        <v>24312120.423018549</v>
      </c>
    </row>
    <row r="9" spans="1:13" ht="15">
      <c r="A9" s="440" t="e">
        <f>NhanCong_QG!#REF!</f>
        <v>#REF!</v>
      </c>
      <c r="B9" s="441" t="e">
        <f>NhanCong_QG!#REF!</f>
        <v>#REF!</v>
      </c>
      <c r="C9" s="452" t="e">
        <f>NhanCong_QG!#REF!</f>
        <v>#REF!</v>
      </c>
      <c r="D9" s="442">
        <f>Chitietbangbieu!$AB$31</f>
        <v>8</v>
      </c>
      <c r="E9" s="436" t="e">
        <f>DonGia_QG!#REF!</f>
        <v>#REF!</v>
      </c>
      <c r="F9" s="443" t="e">
        <f t="shared" si="0"/>
        <v>#REF!</v>
      </c>
      <c r="G9" s="443" t="e">
        <f t="shared" si="1"/>
        <v>#REF!</v>
      </c>
      <c r="H9" s="443" t="e">
        <f t="shared" si="2"/>
        <v>#REF!</v>
      </c>
      <c r="I9" s="443" t="e">
        <f t="shared" si="3"/>
        <v>#REF!</v>
      </c>
      <c r="J9" s="443" t="e">
        <f t="shared" si="4"/>
        <v>#REF!</v>
      </c>
      <c r="K9" s="443" t="e">
        <f t="shared" si="5"/>
        <v>#REF!</v>
      </c>
    </row>
    <row r="10" spans="1:13" s="439" customFormat="1" ht="15">
      <c r="A10" s="432">
        <f>NhanCong_QG!B17</f>
        <v>1</v>
      </c>
      <c r="B10" s="433" t="str">
        <f>NhanCong_QG!C17</f>
        <v>Thu thập tài liệu, dữ liệu</v>
      </c>
      <c r="C10" s="452">
        <f>NhanCong_QG!D17</f>
        <v>0</v>
      </c>
      <c r="D10" s="442">
        <f>Chitietbangbieu!$AB$31</f>
        <v>8</v>
      </c>
      <c r="E10" s="436">
        <f>DonGia_QG!N9</f>
        <v>0</v>
      </c>
      <c r="F10" s="443">
        <f t="shared" si="0"/>
        <v>0</v>
      </c>
      <c r="G10" s="443">
        <f t="shared" si="1"/>
        <v>0</v>
      </c>
      <c r="H10" s="443">
        <f t="shared" si="2"/>
        <v>0</v>
      </c>
      <c r="I10" s="443">
        <f t="shared" si="3"/>
        <v>0</v>
      </c>
      <c r="J10" s="443">
        <f t="shared" si="4"/>
        <v>0</v>
      </c>
      <c r="K10" s="437">
        <f t="shared" si="5"/>
        <v>0</v>
      </c>
      <c r="L10" s="421"/>
    </row>
    <row r="11" spans="1:13" s="439" customFormat="1" ht="15">
      <c r="A11" s="432">
        <f>NhanCong_QG!B41</f>
        <v>1</v>
      </c>
      <c r="B11" s="433" t="str">
        <f>NhanCong_QG!C41</f>
        <v>Xây dựng dữ liệu không gian</v>
      </c>
      <c r="C11" s="452"/>
      <c r="D11" s="442"/>
      <c r="E11" s="436"/>
      <c r="F11" s="443"/>
      <c r="G11" s="443"/>
      <c r="H11" s="443"/>
      <c r="I11" s="443"/>
      <c r="J11" s="443"/>
      <c r="K11" s="437">
        <f>K12+K17</f>
        <v>181232407.37819475</v>
      </c>
      <c r="L11" s="421"/>
      <c r="M11" s="444"/>
    </row>
    <row r="12" spans="1:13" s="545" customFormat="1" ht="30">
      <c r="A12" s="440">
        <f>NhanCong_QG!B42</f>
        <v>1</v>
      </c>
      <c r="B12" s="441" t="str">
        <f>NhanCong_QG!C42</f>
        <v>Chuẩn hóa các lớp đối tượng không gian hiện trạng sử dụng đất</v>
      </c>
      <c r="C12" s="452"/>
      <c r="D12" s="442"/>
      <c r="E12" s="436"/>
      <c r="F12" s="443"/>
      <c r="G12" s="443"/>
      <c r="H12" s="443"/>
      <c r="I12" s="443"/>
      <c r="J12" s="443"/>
      <c r="K12" s="443">
        <f>K13+K14+K15+K16</f>
        <v>120603187.81922883</v>
      </c>
      <c r="L12" s="543"/>
      <c r="M12" s="544"/>
    </row>
    <row r="13" spans="1:13" ht="60">
      <c r="A13" s="440" t="str">
        <f>NhanCong_QG!B43</f>
        <v>1.1</v>
      </c>
      <c r="B13" s="441" t="str">
        <f>NhanCong_QG!C43</f>
        <v>Lập bảng đối chiếu giữa lớp đối tượng không gian kiểm kê đất đai với nội dung tương ứng trong bản đồ hiện trạng sử dụng đất để tách, lọc các đối tượng từ nội dung bản đồ hiện trạng sử dụng đất</v>
      </c>
      <c r="C13" s="452" t="str">
        <f>NhanCong_QG!D43</f>
        <v>Lớp dữ liệu</v>
      </c>
      <c r="D13" s="548">
        <f>Chitietbangbieu!$T$37</f>
        <v>8</v>
      </c>
      <c r="E13" s="436">
        <f>DonGia_QG!N14</f>
        <v>1645246.7527428267</v>
      </c>
      <c r="F13" s="443">
        <f>D13*E13</f>
        <v>13161974.021942614</v>
      </c>
      <c r="G13" s="443">
        <f t="shared" ref="G13" si="6">F13*15%</f>
        <v>1974296.1032913919</v>
      </c>
      <c r="H13" s="443">
        <f t="shared" ref="H13" si="7">F13*4%</f>
        <v>526478.96087770455</v>
      </c>
      <c r="I13" s="443">
        <f t="shared" ref="I13" si="8">F13+G13+H13</f>
        <v>15662749.086111711</v>
      </c>
      <c r="J13" s="443">
        <f t="shared" ref="J13" si="9">I13*10%</f>
        <v>1566274.9086111712</v>
      </c>
      <c r="K13" s="443">
        <f t="shared" ref="K13" si="10">I13+J13</f>
        <v>17229023.994722884</v>
      </c>
    </row>
    <row r="14" spans="1:13" ht="30">
      <c r="A14" s="440" t="str">
        <f>NhanCong_QG!B44</f>
        <v>1.2</v>
      </c>
      <c r="B14" s="441" t="str">
        <f>NhanCong_QG!C44</f>
        <v>Chuẩn hóa các lớp đối tượng bản đồ hiện trạng sử dụng đất</v>
      </c>
      <c r="C14" s="452" t="str">
        <f>NhanCong_QG!D44</f>
        <v>Lớp dữ liệu</v>
      </c>
      <c r="D14" s="548">
        <f>Chitietbangbieu!$T$37</f>
        <v>8</v>
      </c>
      <c r="E14" s="436">
        <f>DonGia_QG!N15</f>
        <v>4606708.5287812892</v>
      </c>
      <c r="F14" s="443">
        <f t="shared" si="0"/>
        <v>36853668.230250314</v>
      </c>
      <c r="G14" s="443">
        <f t="shared" si="1"/>
        <v>5528050.2345375465</v>
      </c>
      <c r="H14" s="443">
        <f t="shared" si="2"/>
        <v>1474146.7292100126</v>
      </c>
      <c r="I14" s="443">
        <f t="shared" si="3"/>
        <v>43855865.193997875</v>
      </c>
      <c r="J14" s="443">
        <f t="shared" si="4"/>
        <v>4385586.5193997873</v>
      </c>
      <c r="K14" s="443">
        <f t="shared" si="5"/>
        <v>48241451.713397659</v>
      </c>
    </row>
    <row r="15" spans="1:13" ht="36" customHeight="1">
      <c r="A15" s="440" t="str">
        <f>NhanCong_QG!B45</f>
        <v>1.3</v>
      </c>
      <c r="B15" s="441" t="str">
        <f>NhanCong_QG!C45</f>
        <v>Nhập bổ sung các thông tin thuộc tính cho đối tượng không gian bản đồ hiện trạng sử dụng đất còn thiếu (nếu có)</v>
      </c>
      <c r="C15" s="452" t="str">
        <f>NhanCong_QG!D45</f>
        <v>Lớp dữ liệu</v>
      </c>
      <c r="D15" s="548">
        <f>Chitietbangbieu!$T$37</f>
        <v>8</v>
      </c>
      <c r="E15" s="436">
        <f>DonGia_QG!N16</f>
        <v>658065.35501438449</v>
      </c>
      <c r="F15" s="443">
        <f t="shared" si="0"/>
        <v>5264522.8401150759</v>
      </c>
      <c r="G15" s="443">
        <f t="shared" si="1"/>
        <v>789678.42601726134</v>
      </c>
      <c r="H15" s="443">
        <f t="shared" si="2"/>
        <v>210580.91360460303</v>
      </c>
      <c r="I15" s="443">
        <f t="shared" si="3"/>
        <v>6264782.1797369402</v>
      </c>
      <c r="J15" s="443">
        <f t="shared" si="4"/>
        <v>626478.21797369409</v>
      </c>
      <c r="K15" s="443">
        <f t="shared" si="5"/>
        <v>6891260.3977106344</v>
      </c>
    </row>
    <row r="16" spans="1:13" ht="30">
      <c r="A16" s="440" t="str">
        <f>NhanCong_QG!B46</f>
        <v>1.4</v>
      </c>
      <c r="B16" s="441" t="str">
        <f>NhanCong_QG!C46</f>
        <v>Rà soát chuẩn hóa thông tin thuộc tính cho từng đối tượng không gian hiện trạng sử dụng đất</v>
      </c>
      <c r="C16" s="452" t="str">
        <f>NhanCong_QG!D46</f>
        <v>Lớp dữ liệu</v>
      </c>
      <c r="D16" s="548">
        <f>Chitietbangbieu!$T$37</f>
        <v>8</v>
      </c>
      <c r="E16" s="436">
        <f>DonGia_QG!N17</f>
        <v>4606708.5287812892</v>
      </c>
      <c r="F16" s="443">
        <f t="shared" si="0"/>
        <v>36853668.230250314</v>
      </c>
      <c r="G16" s="443">
        <f t="shared" si="1"/>
        <v>5528050.2345375465</v>
      </c>
      <c r="H16" s="443">
        <f t="shared" si="2"/>
        <v>1474146.7292100126</v>
      </c>
      <c r="I16" s="443">
        <f t="shared" si="3"/>
        <v>43855865.193997875</v>
      </c>
      <c r="J16" s="443">
        <f t="shared" si="4"/>
        <v>4385586.5193997873</v>
      </c>
      <c r="K16" s="443">
        <f t="shared" si="5"/>
        <v>48241451.713397659</v>
      </c>
    </row>
    <row r="17" spans="1:12" ht="30">
      <c r="A17" s="440">
        <f>NhanCong_QG!B47</f>
        <v>2</v>
      </c>
      <c r="B17" s="441" t="str">
        <f>NhanCong_QG!C47</f>
        <v>Chuyển đổi và tích hợp dữ liệu không gian hiện trạng sử dụng đất</v>
      </c>
      <c r="C17" s="452"/>
      <c r="D17" s="442"/>
      <c r="E17" s="436"/>
      <c r="F17" s="443"/>
      <c r="G17" s="443"/>
      <c r="H17" s="443"/>
      <c r="I17" s="443"/>
      <c r="J17" s="443"/>
      <c r="K17" s="443">
        <f>K18+K19</f>
        <v>60629219.558965921</v>
      </c>
    </row>
    <row r="18" spans="1:12" ht="30">
      <c r="A18" s="440" t="str">
        <f>NhanCong_QG!B48</f>
        <v>2.1</v>
      </c>
      <c r="B18" s="441" t="str">
        <f>NhanCong_QG!C48</f>
        <v>Chuyển đổi các lớp dữ liệu không gian hiện trạng sử dụng đất từ tệp (File) bản đồ số vào cơ sở dữ liệu</v>
      </c>
      <c r="C18" s="452" t="str">
        <f>NhanCong_QG!D48</f>
        <v>Lớp dữ liệu</v>
      </c>
      <c r="D18" s="548">
        <f>Chitietbangbieu!$T$37</f>
        <v>8</v>
      </c>
      <c r="E18" s="436">
        <f>DonGia_QG!N19</f>
        <v>1351037.0232956347</v>
      </c>
      <c r="F18" s="443">
        <f t="shared" si="0"/>
        <v>10808296.186365077</v>
      </c>
      <c r="G18" s="443">
        <f t="shared" si="1"/>
        <v>1621244.4279547615</v>
      </c>
      <c r="H18" s="443">
        <f t="shared" si="2"/>
        <v>432331.84745460312</v>
      </c>
      <c r="I18" s="443">
        <f t="shared" si="3"/>
        <v>12861872.461774442</v>
      </c>
      <c r="J18" s="443">
        <f t="shared" si="4"/>
        <v>1286187.2461774442</v>
      </c>
      <c r="K18" s="443">
        <f>K19+K20</f>
        <v>42805668.260941431</v>
      </c>
    </row>
    <row r="19" spans="1:12" ht="30">
      <c r="A19" s="440" t="str">
        <f>NhanCong_QG!B49</f>
        <v>2.2</v>
      </c>
      <c r="B19" s="441" t="str">
        <f>NhanCong_QG!C49</f>
        <v>Rà soát dữ liệu không gian hiện trạng sử dụng đất để xử lý các lỗi dọc biên giữa các tỉnh, các vùng</v>
      </c>
      <c r="C19" s="452" t="str">
        <f>NhanCong_QG!D49</f>
        <v>Lớp dữ liệu</v>
      </c>
      <c r="D19" s="548">
        <f>Chitietbangbieu!$T$37</f>
        <v>8</v>
      </c>
      <c r="E19" s="436">
        <f>DonGia_QG!N20</f>
        <v>1702019.7954568844</v>
      </c>
      <c r="F19" s="443">
        <f t="shared" si="0"/>
        <v>13616158.363655075</v>
      </c>
      <c r="G19" s="443">
        <f t="shared" si="1"/>
        <v>2042423.7545482612</v>
      </c>
      <c r="H19" s="443">
        <f t="shared" si="2"/>
        <v>544646.33454620303</v>
      </c>
      <c r="I19" s="443">
        <f t="shared" si="3"/>
        <v>16203228.452749539</v>
      </c>
      <c r="J19" s="443">
        <f t="shared" si="4"/>
        <v>1620322.8452749541</v>
      </c>
      <c r="K19" s="443">
        <f t="shared" si="5"/>
        <v>17823551.298024494</v>
      </c>
    </row>
    <row r="20" spans="1:12" ht="15">
      <c r="A20" s="432">
        <f>NhanCong_QG!B20</f>
        <v>2</v>
      </c>
      <c r="B20" s="433" t="str">
        <f>NhanCong_QG!C20</f>
        <v>Quét giấy tờ pháp lý và xử lý tập tin</v>
      </c>
      <c r="C20" s="452"/>
      <c r="D20" s="442"/>
      <c r="E20" s="436"/>
      <c r="F20" s="443"/>
      <c r="G20" s="443"/>
      <c r="H20" s="443"/>
      <c r="I20" s="443"/>
      <c r="J20" s="443"/>
      <c r="K20" s="437">
        <f>K21+K24+K25</f>
        <v>24982116.962916933</v>
      </c>
    </row>
    <row r="21" spans="1:12" s="439" customFormat="1" ht="75">
      <c r="A21" s="440" t="str">
        <f>NhanCong_QG!B21</f>
        <v>2.1</v>
      </c>
      <c r="B21" s="441" t="str">
        <f>NhanCong_QG!C21</f>
        <v>Quét các giấy tờ đưa vào cơ sở dữ liệu kiểm kê đất đai. Chế độ quét của thiết bị được thiết lập theo hệ màu RGB với độ phân giải tối thiểu là 150 DPI. Các tài liệu quét bao gồm: các báo cáo, biểu, bảng số liệu kiểm kê đất đai cấp vùng và cả nước</v>
      </c>
      <c r="C21" s="453"/>
      <c r="D21" s="435"/>
      <c r="E21" s="438"/>
      <c r="F21" s="443"/>
      <c r="G21" s="443"/>
      <c r="H21" s="443"/>
      <c r="I21" s="443"/>
      <c r="J21" s="443"/>
      <c r="K21" s="443">
        <f>K22+K23</f>
        <v>2405152.8135492774</v>
      </c>
      <c r="L21" s="421"/>
    </row>
    <row r="22" spans="1:12" ht="30">
      <c r="A22" s="440" t="str">
        <f>NhanCong_QG!B22</f>
        <v>1.1.1</v>
      </c>
      <c r="B22" s="441" t="str">
        <f>NhanCong_QG!C22</f>
        <v>Trang A3</v>
      </c>
      <c r="C22" s="441" t="str">
        <f>NhanCong_QG!D22</f>
        <v>Trang A3</v>
      </c>
      <c r="D22" s="442">
        <f>(Chitietbangbieu!T35+Chitietbangbieu!X35)</f>
        <v>1000</v>
      </c>
      <c r="E22" s="436">
        <f>DonGia_QG!N23</f>
        <v>2978.9907421538464</v>
      </c>
      <c r="F22" s="443">
        <f t="shared" si="0"/>
        <v>2978990.7421538467</v>
      </c>
      <c r="G22" s="443">
        <f t="shared" si="1"/>
        <v>446848.611323077</v>
      </c>
      <c r="H22" s="443">
        <f t="shared" si="2"/>
        <v>119159.62968615387</v>
      </c>
      <c r="I22" s="443">
        <f t="shared" si="3"/>
        <v>3544998.9831630778</v>
      </c>
      <c r="J22" s="443">
        <f t="shared" si="4"/>
        <v>354499.89831630781</v>
      </c>
      <c r="K22" s="443">
        <f>K23+K24</f>
        <v>1916811.4495678241</v>
      </c>
    </row>
    <row r="23" spans="1:12" ht="30">
      <c r="A23" s="440" t="str">
        <f>NhanCong_QG!B23</f>
        <v>1.1.2</v>
      </c>
      <c r="B23" s="441" t="str">
        <f>NhanCong_QG!C23</f>
        <v>Trang A4</v>
      </c>
      <c r="C23" s="452" t="str">
        <f>NhanCong_QG!D23</f>
        <v>Trang A4</v>
      </c>
      <c r="D23" s="442">
        <f>(Chitietbangbieu!T36+Chitietbangbieu!X36)</f>
        <v>214</v>
      </c>
      <c r="E23" s="436">
        <f>DonGia_QG!N24</f>
        <v>1743.291818615385</v>
      </c>
      <c r="F23" s="443">
        <f t="shared" si="0"/>
        <v>373064.4491836924</v>
      </c>
      <c r="G23" s="443">
        <f t="shared" si="1"/>
        <v>55959.667377553858</v>
      </c>
      <c r="H23" s="443">
        <f t="shared" si="2"/>
        <v>14922.577967347695</v>
      </c>
      <c r="I23" s="443">
        <f t="shared" si="3"/>
        <v>443946.69452859397</v>
      </c>
      <c r="J23" s="443">
        <f t="shared" si="4"/>
        <v>44394.669452859402</v>
      </c>
      <c r="K23" s="443">
        <f t="shared" si="5"/>
        <v>488341.36398145335</v>
      </c>
    </row>
    <row r="24" spans="1:12" ht="90">
      <c r="A24" s="440" t="str">
        <f>NhanCong_QG!B24</f>
        <v>2.2</v>
      </c>
      <c r="B24" s="441" t="str">
        <f>NhanCong_QG!C24</f>
        <v>Xử lý các tệp tin quét hình thành tệp (File) hồ sơ quét tài liệu kiểm kê đất đai dạng số, lưu trữ dưới khuôn dạng tệp tin PDF; chất lượng hình ảnh số phải sắc nét và rõ ràng, các hình ảnh được sắp xếp theo cùng một hướng, hình ảnh phải được quét vuông góc, không được cong vênh</v>
      </c>
      <c r="C24" s="452" t="str">
        <f>NhanCong_QG!D24</f>
        <v>1KS1</v>
      </c>
      <c r="D24" s="442">
        <f>D23+D22</f>
        <v>1214</v>
      </c>
      <c r="E24" s="436">
        <f>DonGia_QG!N25</f>
        <v>898.9029728205129</v>
      </c>
      <c r="F24" s="443">
        <f t="shared" si="0"/>
        <v>1091268.2090041027</v>
      </c>
      <c r="G24" s="443">
        <f t="shared" si="1"/>
        <v>163690.23135061542</v>
      </c>
      <c r="H24" s="443">
        <f t="shared" si="2"/>
        <v>43650.72836016411</v>
      </c>
      <c r="I24" s="443">
        <f t="shared" si="3"/>
        <v>1298609.1687148823</v>
      </c>
      <c r="J24" s="443">
        <f t="shared" si="4"/>
        <v>129860.91687148824</v>
      </c>
      <c r="K24" s="443">
        <f t="shared" si="5"/>
        <v>1428470.0855863707</v>
      </c>
    </row>
    <row r="25" spans="1:12" ht="60">
      <c r="A25" s="440" t="str">
        <f>NhanCong_QG!B25</f>
        <v/>
      </c>
      <c r="B25" s="441" t="str">
        <f>NhanCong_QG!C25</f>
        <v>Tạo danh mục tra cứu hồ sơ quét trong cơ sở dữ liệu kiểm kê đất đai</v>
      </c>
      <c r="C25" s="452" t="str">
        <f>NhanCong_QG!D25</f>
        <v>Năm TK hoặc Kỳ KK</v>
      </c>
      <c r="D25" s="442">
        <f>Chitietbangbieu!$AB$31</f>
        <v>8</v>
      </c>
      <c r="E25" s="436">
        <f>DonGia_QG!N26</f>
        <v>2019527.6989859899</v>
      </c>
      <c r="F25" s="443">
        <f t="shared" si="0"/>
        <v>16156221.591887919</v>
      </c>
      <c r="G25" s="443">
        <f t="shared" si="1"/>
        <v>2423433.2387831877</v>
      </c>
      <c r="H25" s="443">
        <f t="shared" si="2"/>
        <v>646248.8636755168</v>
      </c>
      <c r="I25" s="443">
        <f t="shared" si="3"/>
        <v>19225903.694346622</v>
      </c>
      <c r="J25" s="443">
        <f t="shared" si="4"/>
        <v>1922590.3694346622</v>
      </c>
      <c r="K25" s="443">
        <f t="shared" si="5"/>
        <v>21148494.063781284</v>
      </c>
    </row>
    <row r="26" spans="1:12" ht="28.5">
      <c r="A26" s="432">
        <f>NhanCong_QG!B26</f>
        <v>3</v>
      </c>
      <c r="B26" s="433" t="str">
        <f>NhanCong_QG!C26</f>
        <v>Xây dựng dữ liệu thuộc tính thống kê, kiểm kê đất đai</v>
      </c>
      <c r="C26" s="452"/>
      <c r="D26" s="442"/>
      <c r="E26" s="436"/>
      <c r="F26" s="443"/>
      <c r="G26" s="443"/>
      <c r="H26" s="443"/>
      <c r="I26" s="443"/>
      <c r="J26" s="443"/>
      <c r="K26" s="437">
        <f>K27+K30</f>
        <v>46961562.936360985</v>
      </c>
    </row>
    <row r="27" spans="1:12" s="439" customFormat="1" ht="30">
      <c r="A27" s="440" t="str">
        <f>NhanCong_QG!B27</f>
        <v>3.1</v>
      </c>
      <c r="B27" s="441" t="str">
        <f>NhanCong_QG!C27</f>
        <v>Đối với tài liệu, số liệu là bảng, biểu dạng số thì thực hiện như sau:</v>
      </c>
      <c r="C27" s="453"/>
      <c r="D27" s="435"/>
      <c r="E27" s="438"/>
      <c r="F27" s="437"/>
      <c r="G27" s="437"/>
      <c r="H27" s="437"/>
      <c r="I27" s="437"/>
      <c r="J27" s="437"/>
      <c r="K27" s="443">
        <f>K28+K29</f>
        <v>33680388.512127154</v>
      </c>
      <c r="L27" s="421"/>
    </row>
    <row r="28" spans="1:12" ht="30">
      <c r="A28" s="440" t="str">
        <f>NhanCong_QG!B28</f>
        <v>3.1.1</v>
      </c>
      <c r="B28" s="441" t="str">
        <f>NhanCong_QG!C28</f>
        <v>Lập mô hình chuyển đổi cơ sở dữ liệu thống kê, kiểm kê đất đai</v>
      </c>
      <c r="C28" s="452"/>
      <c r="D28" s="442">
        <f>Chitietbangbieu!$AB$31</f>
        <v>8</v>
      </c>
      <c r="E28" s="436">
        <f>DonGia_QG!N29</f>
        <v>1374748.7025758051</v>
      </c>
      <c r="F28" s="443">
        <f t="shared" si="0"/>
        <v>10997989.620606441</v>
      </c>
      <c r="G28" s="443">
        <f t="shared" si="1"/>
        <v>1649698.4430909662</v>
      </c>
      <c r="H28" s="443">
        <f t="shared" si="2"/>
        <v>439919.58482425765</v>
      </c>
      <c r="I28" s="443">
        <f t="shared" si="3"/>
        <v>13087607.648521665</v>
      </c>
      <c r="J28" s="443">
        <f t="shared" si="4"/>
        <v>1308760.7648521666</v>
      </c>
      <c r="K28" s="443">
        <f>K29+K30</f>
        <v>23480781.468180493</v>
      </c>
    </row>
    <row r="29" spans="1:12" ht="60">
      <c r="A29" s="440" t="str">
        <f>NhanCong_QG!B29</f>
        <v>3.1.2</v>
      </c>
      <c r="B29" s="441" t="str">
        <f>NhanCong_QG!C29</f>
        <v>Chuyển đổi vào cơ sở dữ liệu thống kê,  kiểm kê đất đai</v>
      </c>
      <c r="C29" s="452" t="str">
        <f>NhanCong_QG!D29</f>
        <v>Năm TK hoặc Kỳ KK</v>
      </c>
      <c r="D29" s="442">
        <f>Chitietbangbieu!$AB$31</f>
        <v>8</v>
      </c>
      <c r="E29" s="436">
        <f>DonGia_QG!N30</f>
        <v>973988.44957473828</v>
      </c>
      <c r="F29" s="443">
        <f t="shared" si="0"/>
        <v>7791907.5965979062</v>
      </c>
      <c r="G29" s="443">
        <f t="shared" si="1"/>
        <v>1168786.1394896859</v>
      </c>
      <c r="H29" s="443">
        <f t="shared" si="2"/>
        <v>311676.30386391626</v>
      </c>
      <c r="I29" s="443">
        <f t="shared" si="3"/>
        <v>9272370.0399515089</v>
      </c>
      <c r="J29" s="443">
        <f t="shared" si="4"/>
        <v>927237.00399515091</v>
      </c>
      <c r="K29" s="443">
        <f t="shared" si="5"/>
        <v>10199607.043946659</v>
      </c>
    </row>
    <row r="30" spans="1:12" s="439" customFormat="1" ht="60">
      <c r="A30" s="440" t="str">
        <f>NhanCong_QG!B30</f>
        <v>3.2</v>
      </c>
      <c r="B30" s="441" t="str">
        <f>NhanCong_QG!C30</f>
        <v>Đối với tài liệu, số liệu là báo cáo dạng số thì tạo danh mục tra cứu trong cơ sở dữ liệu thống kê, kiểm kê đất đai</v>
      </c>
      <c r="C30" s="452" t="str">
        <f>NhanCong_QG!D30</f>
        <v>Năm TK hoặc Kỳ KK</v>
      </c>
      <c r="D30" s="442">
        <f>Chitietbangbieu!$AB$31</f>
        <v>8</v>
      </c>
      <c r="E30" s="436">
        <f>DonGia_QG!N31</f>
        <v>1268255.770075805</v>
      </c>
      <c r="F30" s="443">
        <f t="shared" si="0"/>
        <v>10146046.16060644</v>
      </c>
      <c r="G30" s="443">
        <f t="shared" si="1"/>
        <v>1521906.9240909659</v>
      </c>
      <c r="H30" s="443">
        <f t="shared" si="2"/>
        <v>405841.84642425762</v>
      </c>
      <c r="I30" s="443">
        <f t="shared" si="3"/>
        <v>12073794.931121664</v>
      </c>
      <c r="J30" s="443">
        <f t="shared" si="4"/>
        <v>1207379.4931121664</v>
      </c>
      <c r="K30" s="443">
        <f t="shared" si="5"/>
        <v>13281174.424233831</v>
      </c>
      <c r="L30" s="421"/>
    </row>
    <row r="31" spans="1:12" ht="15">
      <c r="A31" s="432">
        <f>NhanCong_QG!B31</f>
        <v>4</v>
      </c>
      <c r="B31" s="433" t="str">
        <f>NhanCong_QG!C31</f>
        <v>Đối soát, hoàn thiện dữ liệu</v>
      </c>
      <c r="C31" s="452"/>
      <c r="D31" s="442"/>
      <c r="E31" s="436"/>
      <c r="F31" s="443"/>
      <c r="G31" s="443"/>
      <c r="H31" s="443"/>
      <c r="I31" s="443"/>
      <c r="J31" s="443"/>
      <c r="K31" s="437">
        <f>SUM(K32:K34)</f>
        <v>63693867.108558401</v>
      </c>
    </row>
    <row r="32" spans="1:12" s="545" customFormat="1" ht="30">
      <c r="A32" s="440" t="str">
        <f>NhanCong_QG!B32</f>
        <v>4.1</v>
      </c>
      <c r="B32" s="441" t="str">
        <f>NhanCong_QG!C32</f>
        <v>Thực hiện đối soát, hoàn thiện dữ liệu, tạo liên kết dữ liệu</v>
      </c>
      <c r="C32" s="452">
        <f>NhanCong_QG!D32</f>
        <v>0</v>
      </c>
      <c r="D32" s="442">
        <f>Chitietbangbieu!$AB$31</f>
        <v>8</v>
      </c>
      <c r="E32" s="436">
        <f>DonGia_QG!N33</f>
        <v>0</v>
      </c>
      <c r="F32" s="443">
        <f t="shared" si="0"/>
        <v>0</v>
      </c>
      <c r="G32" s="443">
        <f t="shared" si="1"/>
        <v>0</v>
      </c>
      <c r="H32" s="443">
        <f t="shared" si="2"/>
        <v>0</v>
      </c>
      <c r="I32" s="443">
        <f t="shared" si="3"/>
        <v>0</v>
      </c>
      <c r="J32" s="443">
        <f t="shared" si="4"/>
        <v>0</v>
      </c>
      <c r="K32" s="443">
        <f t="shared" si="5"/>
        <v>0</v>
      </c>
      <c r="L32" s="546"/>
    </row>
    <row r="33" spans="1:12" s="545" customFormat="1" ht="45">
      <c r="A33" s="440" t="str">
        <f>NhanCong_QG!B7</f>
        <v>2.1</v>
      </c>
      <c r="B33" s="441" t="str">
        <f>NhanCong_QG!C7</f>
        <v>Thu nhận các thông tin cần thiết về các dữ liệu để xây dựng siêu dữ liệu</v>
      </c>
      <c r="C33" s="452" t="str">
        <f>NhanCong_QG!D7</f>
        <v>Bộ dữ liệu cho cả nước</v>
      </c>
      <c r="D33" s="442">
        <f>Chitietbangbieu!$AB$31</f>
        <v>8</v>
      </c>
      <c r="E33" s="436">
        <f>DonGia_QG!N37</f>
        <v>1106150.7959353975</v>
      </c>
      <c r="F33" s="443">
        <f t="shared" si="0"/>
        <v>8849206.36748318</v>
      </c>
      <c r="G33" s="443">
        <f t="shared" si="1"/>
        <v>1327380.9551224769</v>
      </c>
      <c r="H33" s="443">
        <f t="shared" si="2"/>
        <v>353968.25469932723</v>
      </c>
      <c r="I33" s="443">
        <f t="shared" si="3"/>
        <v>10530555.577304984</v>
      </c>
      <c r="J33" s="443">
        <f t="shared" si="4"/>
        <v>1053055.5577304985</v>
      </c>
      <c r="K33" s="443">
        <f>K34+K35</f>
        <v>56569421.339618981</v>
      </c>
      <c r="L33" s="547"/>
    </row>
    <row r="34" spans="1:12" ht="45">
      <c r="A34" s="440" t="str">
        <f>NhanCong_QG!B8</f>
        <v>2.2</v>
      </c>
      <c r="B34" s="441" t="str">
        <f>NhanCong_QG!C8</f>
        <v>Nhập thông tin siêu dữ liệu</v>
      </c>
      <c r="C34" s="452" t="str">
        <f>NhanCong_QG!D8</f>
        <v>Bộ dữ liệu cho cả nước</v>
      </c>
      <c r="D34" s="442">
        <f>Chitietbangbieu!$AB$31</f>
        <v>8</v>
      </c>
      <c r="E34" s="436">
        <f>DonGia_QG!N38</f>
        <v>680332.86563592672</v>
      </c>
      <c r="F34" s="443">
        <f t="shared" si="0"/>
        <v>5442662.9250874138</v>
      </c>
      <c r="G34" s="443">
        <f t="shared" si="1"/>
        <v>816399.43876311206</v>
      </c>
      <c r="H34" s="443">
        <f t="shared" si="2"/>
        <v>217706.51700349656</v>
      </c>
      <c r="I34" s="443">
        <f t="shared" si="3"/>
        <v>6476768.8808540218</v>
      </c>
      <c r="J34" s="443">
        <f t="shared" si="4"/>
        <v>647676.8880854022</v>
      </c>
      <c r="K34" s="443">
        <f t="shared" si="5"/>
        <v>7124445.7689394243</v>
      </c>
    </row>
    <row r="35" spans="1:12" s="439" customFormat="1" ht="28.5">
      <c r="A35" s="432">
        <f>NhanCong_QG!B9</f>
        <v>3</v>
      </c>
      <c r="B35" s="433" t="str">
        <f>NhanCong_QG!C9</f>
        <v>Kiểm tra, nghiệm thu cơ sở dữ liệu thống kê, kiểm kê đất đai</v>
      </c>
      <c r="C35" s="452"/>
      <c r="D35" s="442"/>
      <c r="E35" s="436"/>
      <c r="F35" s="443"/>
      <c r="G35" s="443"/>
      <c r="H35" s="443"/>
      <c r="I35" s="443"/>
      <c r="J35" s="443"/>
      <c r="K35" s="437">
        <f>K36</f>
        <v>49444975.57067956</v>
      </c>
      <c r="L35" s="421"/>
    </row>
    <row r="36" spans="1:12" ht="45">
      <c r="A36" s="440" t="str">
        <f>NhanCong_QG!B10</f>
        <v/>
      </c>
      <c r="B36" s="441" t="str">
        <f>NhanCong_QG!C10</f>
        <v>Đơn vị thi công chuẩn bị tài liệu và phục vụ giám sát, kiểm tra, nghiệm thu. Đóng gói giao nộp cơ sở dữ liệu thống kê, kiểm kê đất đai</v>
      </c>
      <c r="C36" s="452" t="str">
        <f>NhanCong_QG!D10</f>
        <v>Bộ dữ liệu cho cả nước</v>
      </c>
      <c r="D36" s="442">
        <f>Chitietbangbieu!$AB$31</f>
        <v>8</v>
      </c>
      <c r="E36" s="436">
        <f>DonGia_QG!N40</f>
        <v>4721636.3226393778</v>
      </c>
      <c r="F36" s="443">
        <f t="shared" si="0"/>
        <v>37773090.581115022</v>
      </c>
      <c r="G36" s="443">
        <f t="shared" si="1"/>
        <v>5665963.5871672528</v>
      </c>
      <c r="H36" s="443">
        <f t="shared" si="2"/>
        <v>1510923.6232446008</v>
      </c>
      <c r="I36" s="443">
        <f t="shared" si="3"/>
        <v>44949977.791526876</v>
      </c>
      <c r="J36" s="443">
        <f t="shared" si="4"/>
        <v>4494997.7791526876</v>
      </c>
      <c r="K36" s="443">
        <f t="shared" si="5"/>
        <v>49444975.57067956</v>
      </c>
    </row>
    <row r="37" spans="1:12">
      <c r="A37" s="447"/>
      <c r="B37" s="450" t="s">
        <v>37</v>
      </c>
      <c r="C37" s="551"/>
      <c r="D37" s="447"/>
      <c r="E37" s="447"/>
      <c r="F37" s="448"/>
      <c r="G37" s="448"/>
      <c r="H37" s="448"/>
      <c r="I37" s="448"/>
      <c r="J37" s="448"/>
      <c r="K37" s="451" t="e">
        <f>K35+K31+K26+K20+K11+K10+K6</f>
        <v>#REF!</v>
      </c>
    </row>
  </sheetData>
  <mergeCells count="3">
    <mergeCell ref="A1:K1"/>
    <mergeCell ref="A2:K2"/>
    <mergeCell ref="J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74"/>
  <sheetViews>
    <sheetView showZeros="0" topLeftCell="B1" zoomScaleNormal="100" workbookViewId="0">
      <pane ySplit="3" topLeftCell="A12" activePane="bottomLeft" state="frozen"/>
      <selection activeCell="D24" sqref="D24"/>
      <selection pane="bottomLeft" activeCell="E13" sqref="E13"/>
    </sheetView>
  </sheetViews>
  <sheetFormatPr defaultColWidth="9" defaultRowHeight="15.75"/>
  <cols>
    <col min="1" max="1" width="9" style="321" hidden="1" customWidth="1"/>
    <col min="2" max="2" width="4" style="321" bestFit="1" customWidth="1"/>
    <col min="3" max="3" width="33.75" style="321" customWidth="1"/>
    <col min="4" max="4" width="10.125" style="518" customWidth="1"/>
    <col min="5" max="5" width="9.375" style="321" customWidth="1"/>
    <col min="6" max="6" width="9.625" style="376" customWidth="1"/>
    <col min="7" max="7" width="8.5" style="377" customWidth="1"/>
    <col min="8" max="8" width="7.625" style="377" customWidth="1"/>
    <col min="9" max="16384" width="9" style="321"/>
  </cols>
  <sheetData>
    <row r="1" spans="1:11">
      <c r="B1" s="1217" t="s">
        <v>997</v>
      </c>
      <c r="C1" s="1217"/>
      <c r="D1" s="1217"/>
      <c r="E1" s="1217"/>
      <c r="F1" s="1217"/>
      <c r="G1" s="1217"/>
      <c r="H1" s="1217"/>
    </row>
    <row r="2" spans="1:11">
      <c r="B2" s="868"/>
      <c r="C2" s="868"/>
      <c r="D2" s="852"/>
      <c r="E2" s="868"/>
      <c r="F2" s="868"/>
      <c r="G2" s="843"/>
      <c r="H2" s="843"/>
    </row>
    <row r="3" spans="1:11" ht="66.75" customHeight="1">
      <c r="B3" s="556" t="s">
        <v>9</v>
      </c>
      <c r="C3" s="895" t="s">
        <v>162</v>
      </c>
      <c r="D3" s="895" t="s">
        <v>21</v>
      </c>
      <c r="E3" s="895" t="s">
        <v>7</v>
      </c>
      <c r="F3" s="895" t="s">
        <v>888</v>
      </c>
      <c r="G3" s="345" t="s">
        <v>787</v>
      </c>
      <c r="H3" s="345" t="s">
        <v>788</v>
      </c>
    </row>
    <row r="4" spans="1:11" ht="15.6" customHeight="1">
      <c r="A4" s="321">
        <v>1</v>
      </c>
      <c r="B4" s="556">
        <v>1</v>
      </c>
      <c r="C4" s="896" t="s">
        <v>761</v>
      </c>
      <c r="D4" s="897"/>
      <c r="E4" s="898"/>
      <c r="F4" s="895"/>
      <c r="G4" s="360"/>
      <c r="H4" s="899"/>
    </row>
    <row r="5" spans="1:11" ht="101.45" customHeight="1">
      <c r="A5" s="321" t="s">
        <v>767</v>
      </c>
      <c r="B5" s="562" t="s">
        <v>767</v>
      </c>
      <c r="C5" s="557" t="s">
        <v>812</v>
      </c>
      <c r="D5" s="897" t="s">
        <v>852</v>
      </c>
      <c r="E5" s="359" t="s">
        <v>960</v>
      </c>
      <c r="F5" s="646">
        <v>0.25</v>
      </c>
      <c r="G5" s="900">
        <f>(L_CBan!$K$47+L_CBan!$K$40)</f>
        <v>383769.55769230763</v>
      </c>
      <c r="H5" s="900">
        <f t="shared" ref="H5:H10" si="0">+G5*F5</f>
        <v>95942.389423076907</v>
      </c>
    </row>
    <row r="6" spans="1:11" ht="63">
      <c r="A6" s="321" t="s">
        <v>768</v>
      </c>
      <c r="B6" s="562" t="s">
        <v>768</v>
      </c>
      <c r="C6" s="557" t="s">
        <v>826</v>
      </c>
      <c r="D6" s="897" t="str">
        <f>D5</f>
        <v>Bộ dữ liệu theo xã</v>
      </c>
      <c r="E6" s="359" t="s">
        <v>903</v>
      </c>
      <c r="F6" s="646">
        <v>0.2</v>
      </c>
      <c r="G6" s="900">
        <f>(L_CBan!$K$49+L_CBan!$K$38)</f>
        <v>365368.05769230769</v>
      </c>
      <c r="H6" s="900">
        <f t="shared" si="0"/>
        <v>73073.61153846154</v>
      </c>
      <c r="K6" s="377">
        <f>SUM(H5:H13)</f>
        <v>444634.48173076927</v>
      </c>
    </row>
    <row r="7" spans="1:11" ht="31.5">
      <c r="A7" s="321">
        <v>8</v>
      </c>
      <c r="B7" s="561">
        <v>2</v>
      </c>
      <c r="C7" s="896" t="s">
        <v>820</v>
      </c>
      <c r="D7" s="901"/>
      <c r="E7" s="556"/>
      <c r="F7" s="640"/>
      <c r="G7" s="902"/>
      <c r="H7" s="900">
        <f t="shared" si="0"/>
        <v>0</v>
      </c>
      <c r="K7" s="377">
        <f>K6+H36+H63</f>
        <v>2101413.7691923077</v>
      </c>
    </row>
    <row r="8" spans="1:11" ht="47.25">
      <c r="A8" s="321" t="s">
        <v>876</v>
      </c>
      <c r="B8" s="558" t="s">
        <v>827</v>
      </c>
      <c r="C8" s="557" t="s">
        <v>821</v>
      </c>
      <c r="D8" s="897" t="s">
        <v>852</v>
      </c>
      <c r="E8" s="898" t="s">
        <v>785</v>
      </c>
      <c r="F8" s="646">
        <v>0.5</v>
      </c>
      <c r="G8" s="900">
        <f>L_CBan!K37</f>
        <v>166759.65384615384</v>
      </c>
      <c r="H8" s="900">
        <f>+G8*F8</f>
        <v>83379.826923076922</v>
      </c>
    </row>
    <row r="9" spans="1:11" ht="31.5">
      <c r="A9" s="321" t="s">
        <v>877</v>
      </c>
      <c r="B9" s="558" t="s">
        <v>830</v>
      </c>
      <c r="C9" s="557" t="s">
        <v>791</v>
      </c>
      <c r="D9" s="897" t="str">
        <f>D8</f>
        <v>Bộ dữ liệu theo xã</v>
      </c>
      <c r="E9" s="898" t="s">
        <v>785</v>
      </c>
      <c r="F9" s="646">
        <v>0.25</v>
      </c>
      <c r="G9" s="900">
        <f>L_CBan!K37</f>
        <v>166759.65384615384</v>
      </c>
      <c r="H9" s="900">
        <f>+G9*F9</f>
        <v>41689.913461538461</v>
      </c>
    </row>
    <row r="10" spans="1:11" ht="31.5">
      <c r="A10" s="321">
        <v>9</v>
      </c>
      <c r="B10" s="561">
        <v>3</v>
      </c>
      <c r="C10" s="896" t="s">
        <v>822</v>
      </c>
      <c r="D10" s="897"/>
      <c r="E10" s="898"/>
      <c r="F10" s="640"/>
      <c r="G10" s="900"/>
      <c r="H10" s="900">
        <f t="shared" si="0"/>
        <v>0</v>
      </c>
    </row>
    <row r="11" spans="1:11" ht="31.5">
      <c r="A11" s="321" t="s">
        <v>878</v>
      </c>
      <c r="B11" s="558" t="s">
        <v>771</v>
      </c>
      <c r="C11" s="557" t="s">
        <v>824</v>
      </c>
      <c r="D11" s="897" t="str">
        <f>D8</f>
        <v>Bộ dữ liệu theo xã</v>
      </c>
      <c r="E11" s="898" t="s">
        <v>784</v>
      </c>
      <c r="F11" s="646">
        <v>0.15</v>
      </c>
      <c r="G11" s="900">
        <f>L_CBan!K49</f>
        <v>175252.65384615384</v>
      </c>
      <c r="H11" s="900">
        <f>+G11*F11</f>
        <v>26287.898076923077</v>
      </c>
    </row>
    <row r="12" spans="1:11" ht="78.75">
      <c r="A12" s="321" t="s">
        <v>879</v>
      </c>
      <c r="B12" s="558" t="s">
        <v>774</v>
      </c>
      <c r="C12" s="557" t="s">
        <v>823</v>
      </c>
      <c r="D12" s="897" t="str">
        <f>D8</f>
        <v>Bộ dữ liệu theo xã</v>
      </c>
      <c r="E12" s="898" t="s">
        <v>783</v>
      </c>
      <c r="F12" s="646">
        <v>0.5</v>
      </c>
      <c r="G12" s="900">
        <f>L_CBan!K39</f>
        <v>213471.15384615384</v>
      </c>
      <c r="H12" s="900">
        <f>+G12*F12</f>
        <v>106735.57692307692</v>
      </c>
    </row>
    <row r="13" spans="1:11" ht="31.5">
      <c r="A13" s="321" t="s">
        <v>880</v>
      </c>
      <c r="B13" s="558" t="s">
        <v>886</v>
      </c>
      <c r="C13" s="557" t="s">
        <v>825</v>
      </c>
      <c r="D13" s="897" t="str">
        <f>D8</f>
        <v>Bộ dữ liệu theo xã</v>
      </c>
      <c r="E13" s="898" t="s">
        <v>784</v>
      </c>
      <c r="F13" s="903">
        <v>0.1</v>
      </c>
      <c r="G13" s="900">
        <f>L_CBan!K49</f>
        <v>175252.65384615384</v>
      </c>
      <c r="H13" s="900">
        <f>+G13*F13</f>
        <v>17525.265384615384</v>
      </c>
    </row>
    <row r="14" spans="1:11">
      <c r="B14" s="651"/>
      <c r="C14" s="868"/>
      <c r="D14" s="841"/>
      <c r="E14" s="653"/>
      <c r="F14" s="792"/>
      <c r="G14" s="844"/>
      <c r="H14" s="845"/>
    </row>
    <row r="15" spans="1:11" ht="132.75" customHeight="1">
      <c r="B15" s="556" t="s">
        <v>9</v>
      </c>
      <c r="C15" s="895" t="s">
        <v>162</v>
      </c>
      <c r="D15" s="895" t="s">
        <v>21</v>
      </c>
      <c r="E15" s="895" t="s">
        <v>7</v>
      </c>
      <c r="F15" s="895" t="s">
        <v>925</v>
      </c>
      <c r="G15" s="345" t="s">
        <v>787</v>
      </c>
      <c r="H15" s="345" t="s">
        <v>788</v>
      </c>
    </row>
    <row r="16" spans="1:11">
      <c r="A16" s="321">
        <v>2</v>
      </c>
      <c r="B16" s="556">
        <v>1</v>
      </c>
      <c r="C16" s="896" t="s">
        <v>762</v>
      </c>
      <c r="D16" s="897"/>
      <c r="E16" s="536"/>
      <c r="F16" s="904"/>
      <c r="G16" s="900"/>
      <c r="H16" s="900"/>
    </row>
    <row r="17" spans="1:8" ht="30.6" customHeight="1">
      <c r="A17" s="321" t="s">
        <v>827</v>
      </c>
      <c r="B17" s="898" t="s">
        <v>767</v>
      </c>
      <c r="C17" s="557" t="s">
        <v>828</v>
      </c>
      <c r="D17" s="897" t="s">
        <v>932</v>
      </c>
      <c r="E17" s="359" t="s">
        <v>783</v>
      </c>
      <c r="F17" s="646">
        <v>0.1</v>
      </c>
      <c r="G17" s="905">
        <f>L_CBan!$K$39</f>
        <v>213471.15384615384</v>
      </c>
      <c r="H17" s="905">
        <f>+G17*F17</f>
        <v>21347.115384615387</v>
      </c>
    </row>
    <row r="18" spans="1:8" ht="45">
      <c r="A18" s="321" t="s">
        <v>830</v>
      </c>
      <c r="B18" s="898" t="s">
        <v>768</v>
      </c>
      <c r="C18" s="557" t="s">
        <v>829</v>
      </c>
      <c r="D18" s="897" t="s">
        <v>933</v>
      </c>
      <c r="E18" s="359" t="s">
        <v>904</v>
      </c>
      <c r="F18" s="646">
        <v>0.25</v>
      </c>
      <c r="G18" s="905">
        <f>(L_CBan!$K$49+L_CBan!$K$39)</f>
        <v>388723.80769230769</v>
      </c>
      <c r="H18" s="905">
        <f>+G18*F18</f>
        <v>97180.951923076922</v>
      </c>
    </row>
    <row r="19" spans="1:8" ht="30.95" customHeight="1">
      <c r="A19" s="321">
        <v>3</v>
      </c>
      <c r="B19" s="556">
        <v>2</v>
      </c>
      <c r="C19" s="896" t="s">
        <v>763</v>
      </c>
      <c r="D19" s="897"/>
      <c r="E19" s="898"/>
      <c r="F19" s="646"/>
      <c r="G19" s="905"/>
      <c r="H19" s="905">
        <f t="shared" ref="H19:H29" si="1">+G19*F19</f>
        <v>0</v>
      </c>
    </row>
    <row r="20" spans="1:8" ht="47.25">
      <c r="A20" s="321" t="s">
        <v>771</v>
      </c>
      <c r="B20" s="897" t="s">
        <v>827</v>
      </c>
      <c r="C20" s="560" t="s">
        <v>845</v>
      </c>
      <c r="D20" s="897" t="s">
        <v>932</v>
      </c>
      <c r="E20" s="897" t="s">
        <v>783</v>
      </c>
      <c r="F20" s="646">
        <v>0.1</v>
      </c>
      <c r="G20" s="905">
        <f>L_CBan!K39</f>
        <v>213471.15384615384</v>
      </c>
      <c r="H20" s="905">
        <f>+G20*F20</f>
        <v>21347.115384615387</v>
      </c>
    </row>
    <row r="21" spans="1:8" ht="47.25">
      <c r="A21" s="321" t="s">
        <v>774</v>
      </c>
      <c r="B21" s="897" t="s">
        <v>830</v>
      </c>
      <c r="C21" s="560" t="s">
        <v>846</v>
      </c>
      <c r="D21" s="897" t="s">
        <v>933</v>
      </c>
      <c r="E21" s="897" t="s">
        <v>904</v>
      </c>
      <c r="F21" s="646">
        <v>0.2</v>
      </c>
      <c r="G21" s="905">
        <f>(L_CBan!$K$49+L_CBan!$K$39)</f>
        <v>388723.80769230769</v>
      </c>
      <c r="H21" s="905">
        <f>+G21*F21</f>
        <v>77744.761538461535</v>
      </c>
    </row>
    <row r="22" spans="1:8">
      <c r="A22" s="321">
        <v>5</v>
      </c>
      <c r="B22" s="561">
        <v>3</v>
      </c>
      <c r="C22" s="896" t="s">
        <v>764</v>
      </c>
      <c r="D22" s="901"/>
      <c r="E22" s="556"/>
      <c r="F22" s="337"/>
      <c r="G22" s="906"/>
      <c r="H22" s="905">
        <f t="shared" si="1"/>
        <v>0</v>
      </c>
    </row>
    <row r="23" spans="1:8" ht="126">
      <c r="A23" s="321" t="s">
        <v>867</v>
      </c>
      <c r="B23" s="558" t="s">
        <v>771</v>
      </c>
      <c r="C23" s="557" t="s">
        <v>813</v>
      </c>
      <c r="D23" s="907"/>
      <c r="E23" s="898"/>
      <c r="F23" s="908"/>
      <c r="G23" s="905"/>
      <c r="H23" s="905">
        <f t="shared" si="1"/>
        <v>0</v>
      </c>
    </row>
    <row r="24" spans="1:8">
      <c r="B24" s="558" t="s">
        <v>62</v>
      </c>
      <c r="C24" s="560" t="s">
        <v>569</v>
      </c>
      <c r="D24" s="1120" t="s">
        <v>569</v>
      </c>
      <c r="E24" s="1121" t="s">
        <v>785</v>
      </c>
      <c r="F24" s="1122">
        <v>1.2E-2</v>
      </c>
      <c r="G24" s="1123">
        <f>L_CBan!K37</f>
        <v>166759.65384615384</v>
      </c>
      <c r="H24" s="1123">
        <f>+G24*F24</f>
        <v>2001.1158461538462</v>
      </c>
    </row>
    <row r="25" spans="1:8">
      <c r="B25" s="558" t="s">
        <v>63</v>
      </c>
      <c r="C25" s="557" t="s">
        <v>570</v>
      </c>
      <c r="D25" s="1120" t="s">
        <v>570</v>
      </c>
      <c r="E25" s="1121" t="s">
        <v>785</v>
      </c>
      <c r="F25" s="1122">
        <v>8.0000000000000002E-3</v>
      </c>
      <c r="G25" s="1123">
        <f>L_CBan!K37</f>
        <v>166759.65384615384</v>
      </c>
      <c r="H25" s="1123">
        <f>+G25*F25</f>
        <v>1334.0772307692307</v>
      </c>
    </row>
    <row r="26" spans="1:8" ht="110.25">
      <c r="A26" s="321" t="s">
        <v>868</v>
      </c>
      <c r="B26" s="910" t="s">
        <v>774</v>
      </c>
      <c r="C26" s="557" t="s">
        <v>814</v>
      </c>
      <c r="D26" s="1124"/>
      <c r="E26" s="1121" t="s">
        <v>785</v>
      </c>
      <c r="F26" s="1122">
        <v>4.0000000000000001E-3</v>
      </c>
      <c r="G26" s="1123">
        <f>L_CBan!K37</f>
        <v>166759.65384615384</v>
      </c>
      <c r="H26" s="1123">
        <f>+G26*F26</f>
        <v>667.03861538461535</v>
      </c>
    </row>
    <row r="27" spans="1:8" ht="47.25">
      <c r="A27" s="321" t="s">
        <v>869</v>
      </c>
      <c r="B27" s="910" t="s">
        <v>886</v>
      </c>
      <c r="C27" s="560" t="s">
        <v>815</v>
      </c>
      <c r="D27" s="897" t="s">
        <v>934</v>
      </c>
      <c r="E27" s="898" t="s">
        <v>785</v>
      </c>
      <c r="F27" s="1125">
        <v>0.1</v>
      </c>
      <c r="G27" s="1123">
        <f>L_CBan!K37</f>
        <v>166759.65384615384</v>
      </c>
      <c r="H27" s="1123">
        <f>+G27*F27</f>
        <v>16675.965384615385</v>
      </c>
    </row>
    <row r="28" spans="1:8" ht="31.5">
      <c r="A28" s="321">
        <v>6</v>
      </c>
      <c r="B28" s="561">
        <v>4</v>
      </c>
      <c r="C28" s="896" t="s">
        <v>816</v>
      </c>
      <c r="D28" s="897"/>
      <c r="E28" s="898"/>
      <c r="F28" s="337"/>
      <c r="G28" s="906"/>
      <c r="H28" s="905">
        <f t="shared" si="1"/>
        <v>0</v>
      </c>
    </row>
    <row r="29" spans="1:8" ht="31.5">
      <c r="A29" s="321" t="s">
        <v>870</v>
      </c>
      <c r="B29" s="910" t="s">
        <v>553</v>
      </c>
      <c r="C29" s="557" t="s">
        <v>794</v>
      </c>
      <c r="D29" s="895"/>
      <c r="E29" s="898"/>
      <c r="F29" s="337"/>
      <c r="G29" s="906"/>
      <c r="H29" s="905">
        <f t="shared" si="1"/>
        <v>0</v>
      </c>
    </row>
    <row r="30" spans="1:8" s="385" customFormat="1" ht="47.25">
      <c r="A30" s="385" t="s">
        <v>871</v>
      </c>
      <c r="B30" s="558" t="s">
        <v>69</v>
      </c>
      <c r="C30" s="560" t="s">
        <v>817</v>
      </c>
      <c r="D30" s="897" t="s">
        <v>934</v>
      </c>
      <c r="E30" s="898" t="s">
        <v>783</v>
      </c>
      <c r="F30" s="646">
        <v>0.2</v>
      </c>
      <c r="G30" s="905">
        <f>L_CBan!K39</f>
        <v>213471.15384615384</v>
      </c>
      <c r="H30" s="905">
        <f>+G30*F30</f>
        <v>42694.230769230773</v>
      </c>
    </row>
    <row r="31" spans="1:8" ht="47.25">
      <c r="A31" s="321" t="s">
        <v>872</v>
      </c>
      <c r="B31" s="898" t="s">
        <v>70</v>
      </c>
      <c r="C31" s="557" t="s">
        <v>818</v>
      </c>
      <c r="D31" s="897" t="s">
        <v>934</v>
      </c>
      <c r="E31" s="898" t="s">
        <v>786</v>
      </c>
      <c r="F31" s="646">
        <v>0.4</v>
      </c>
      <c r="G31" s="905">
        <f>L_CBan!K38</f>
        <v>190115.40384615384</v>
      </c>
      <c r="H31" s="905">
        <f>+G31*F31</f>
        <v>76046.161538461543</v>
      </c>
    </row>
    <row r="32" spans="1:8" ht="47.25">
      <c r="A32" s="321" t="s">
        <v>873</v>
      </c>
      <c r="B32" s="562" t="s">
        <v>864</v>
      </c>
      <c r="C32" s="560" t="s">
        <v>819</v>
      </c>
      <c r="D32" s="897" t="s">
        <v>934</v>
      </c>
      <c r="E32" s="898" t="s">
        <v>786</v>
      </c>
      <c r="F32" s="646">
        <v>0.2</v>
      </c>
      <c r="G32" s="905">
        <f>L_CBan!K38</f>
        <v>190115.40384615384</v>
      </c>
      <c r="H32" s="905">
        <f>+G32*F32</f>
        <v>38023.080769230772</v>
      </c>
    </row>
    <row r="33" spans="1:8" ht="31.5">
      <c r="A33" s="321">
        <v>7</v>
      </c>
      <c r="B33" s="561">
        <v>5</v>
      </c>
      <c r="C33" s="896" t="s">
        <v>834</v>
      </c>
      <c r="D33" s="770"/>
      <c r="E33" s="898"/>
      <c r="F33" s="336"/>
      <c r="G33" s="905"/>
      <c r="H33" s="905"/>
    </row>
    <row r="34" spans="1:8" ht="31.5">
      <c r="A34" s="321" t="s">
        <v>874</v>
      </c>
      <c r="B34" s="558" t="s">
        <v>867</v>
      </c>
      <c r="C34" s="557" t="s">
        <v>835</v>
      </c>
      <c r="D34" s="897" t="s">
        <v>932</v>
      </c>
      <c r="E34" s="898" t="s">
        <v>783</v>
      </c>
      <c r="F34" s="646">
        <v>0.4</v>
      </c>
      <c r="G34" s="905">
        <f>L_CBan!K39</f>
        <v>213471.15384615384</v>
      </c>
      <c r="H34" s="905">
        <f>+G34*F34</f>
        <v>85388.461538461546</v>
      </c>
    </row>
    <row r="35" spans="1:8" ht="45">
      <c r="A35" s="321" t="s">
        <v>875</v>
      </c>
      <c r="B35" s="558" t="s">
        <v>868</v>
      </c>
      <c r="C35" s="557" t="s">
        <v>789</v>
      </c>
      <c r="D35" s="897" t="s">
        <v>933</v>
      </c>
      <c r="E35" s="898" t="s">
        <v>836</v>
      </c>
      <c r="F35" s="646">
        <v>0.5</v>
      </c>
      <c r="G35" s="905">
        <f>(L_CBan!$K$49+L_CBan!$K$39)</f>
        <v>388723.80769230769</v>
      </c>
      <c r="H35" s="905">
        <f>+G35*F35</f>
        <v>194361.90384615384</v>
      </c>
    </row>
    <row r="36" spans="1:8">
      <c r="B36" s="651"/>
      <c r="C36" s="868"/>
      <c r="D36" s="841"/>
      <c r="E36" s="653"/>
      <c r="F36" s="661"/>
      <c r="G36" s="846"/>
      <c r="H36" s="379">
        <f>+SUM(H17:H35)</f>
        <v>674811.97976923082</v>
      </c>
    </row>
    <row r="37" spans="1:8" ht="63">
      <c r="B37" s="556" t="s">
        <v>9</v>
      </c>
      <c r="C37" s="895" t="s">
        <v>162</v>
      </c>
      <c r="D37" s="895" t="s">
        <v>21</v>
      </c>
      <c r="E37" s="895" t="s">
        <v>7</v>
      </c>
      <c r="F37" s="895" t="s">
        <v>902</v>
      </c>
      <c r="G37" s="345" t="s">
        <v>787</v>
      </c>
      <c r="H37" s="345" t="s">
        <v>788</v>
      </c>
    </row>
    <row r="38" spans="1:8" ht="31.5">
      <c r="A38" s="710">
        <v>4</v>
      </c>
      <c r="B38" s="556"/>
      <c r="C38" s="896" t="s">
        <v>700</v>
      </c>
      <c r="D38" s="895"/>
      <c r="E38" s="895"/>
      <c r="F38" s="895"/>
      <c r="G38" s="345"/>
      <c r="H38" s="345"/>
    </row>
    <row r="39" spans="1:8" ht="31.5">
      <c r="A39" s="321" t="s">
        <v>553</v>
      </c>
      <c r="B39" s="561">
        <v>1</v>
      </c>
      <c r="C39" s="896" t="s">
        <v>700</v>
      </c>
      <c r="D39" s="897"/>
      <c r="E39" s="898"/>
      <c r="F39" s="336"/>
      <c r="G39" s="911"/>
      <c r="H39" s="911"/>
    </row>
    <row r="40" spans="1:8" ht="94.5">
      <c r="A40" s="321" t="s">
        <v>69</v>
      </c>
      <c r="B40" s="558" t="s">
        <v>767</v>
      </c>
      <c r="C40" s="912" t="s">
        <v>853</v>
      </c>
      <c r="D40" s="897" t="s">
        <v>831</v>
      </c>
      <c r="E40" s="898" t="s">
        <v>783</v>
      </c>
      <c r="F40" s="646">
        <v>1</v>
      </c>
      <c r="G40" s="900">
        <f>L_CBan!K39</f>
        <v>213471.15384615384</v>
      </c>
      <c r="H40" s="900">
        <f>+G40*F40</f>
        <v>213471.15384615384</v>
      </c>
    </row>
    <row r="41" spans="1:8" ht="31.5">
      <c r="A41" s="321" t="s">
        <v>70</v>
      </c>
      <c r="B41" s="558" t="s">
        <v>768</v>
      </c>
      <c r="C41" s="557" t="s">
        <v>703</v>
      </c>
      <c r="D41" s="897" t="s">
        <v>831</v>
      </c>
      <c r="E41" s="898" t="s">
        <v>783</v>
      </c>
      <c r="F41" s="646">
        <v>1.5</v>
      </c>
      <c r="G41" s="900">
        <f>L_CBan!K39</f>
        <v>213471.15384615384</v>
      </c>
      <c r="H41" s="900">
        <f>+G41*F41</f>
        <v>320206.73076923075</v>
      </c>
    </row>
    <row r="42" spans="1:8" ht="47.25">
      <c r="A42" s="321" t="s">
        <v>691</v>
      </c>
      <c r="B42" s="558" t="s">
        <v>890</v>
      </c>
      <c r="C42" s="557" t="s">
        <v>795</v>
      </c>
      <c r="D42" s="897" t="str">
        <f>D41</f>
        <v>Lớp dữ liệu</v>
      </c>
      <c r="E42" s="898" t="s">
        <v>783</v>
      </c>
      <c r="F42" s="646">
        <v>0.3</v>
      </c>
      <c r="G42" s="900">
        <f>L_CBan!K39</f>
        <v>213471.15384615384</v>
      </c>
      <c r="H42" s="900">
        <f>+G42*F42</f>
        <v>64041.346153846149</v>
      </c>
    </row>
    <row r="43" spans="1:8" ht="47.25">
      <c r="A43" s="321" t="s">
        <v>694</v>
      </c>
      <c r="B43" s="558" t="s">
        <v>891</v>
      </c>
      <c r="C43" s="557" t="s">
        <v>704</v>
      </c>
      <c r="D43" s="897" t="str">
        <f>D41</f>
        <v>Lớp dữ liệu</v>
      </c>
      <c r="E43" s="898" t="s">
        <v>783</v>
      </c>
      <c r="F43" s="646">
        <v>1</v>
      </c>
      <c r="G43" s="900">
        <f>L_CBan!K39</f>
        <v>213471.15384615384</v>
      </c>
      <c r="H43" s="900">
        <f>+G43*F43</f>
        <v>213471.15384615384</v>
      </c>
    </row>
    <row r="44" spans="1:8" ht="31.5">
      <c r="A44" s="321" t="s">
        <v>864</v>
      </c>
      <c r="B44" s="913">
        <v>2</v>
      </c>
      <c r="C44" s="914" t="s">
        <v>705</v>
      </c>
      <c r="D44" s="897"/>
      <c r="E44" s="898"/>
      <c r="F44" s="336"/>
      <c r="G44" s="900"/>
      <c r="H44" s="900">
        <f t="shared" ref="H44" si="2">+G44*F44</f>
        <v>0</v>
      </c>
    </row>
    <row r="45" spans="1:8" ht="47.25">
      <c r="A45" s="321" t="s">
        <v>865</v>
      </c>
      <c r="B45" s="558" t="s">
        <v>827</v>
      </c>
      <c r="C45" s="557" t="s">
        <v>702</v>
      </c>
      <c r="D45" s="897" t="str">
        <f>D41</f>
        <v>Lớp dữ liệu</v>
      </c>
      <c r="E45" s="898" t="s">
        <v>783</v>
      </c>
      <c r="F45" s="646">
        <v>0.3</v>
      </c>
      <c r="G45" s="900">
        <f>L_CBan!K39</f>
        <v>213471.15384615384</v>
      </c>
      <c r="H45" s="900">
        <f>+G45*F45</f>
        <v>64041.346153846149</v>
      </c>
    </row>
    <row r="46" spans="1:8" ht="47.25">
      <c r="A46" s="321" t="s">
        <v>866</v>
      </c>
      <c r="B46" s="558" t="s">
        <v>830</v>
      </c>
      <c r="C46" s="557" t="s">
        <v>692</v>
      </c>
      <c r="D46" s="897" t="str">
        <f>D41</f>
        <v>Lớp dữ liệu</v>
      </c>
      <c r="E46" s="898" t="s">
        <v>783</v>
      </c>
      <c r="F46" s="646">
        <v>0.5</v>
      </c>
      <c r="G46" s="900">
        <f>L_CBan!K39</f>
        <v>213471.15384615384</v>
      </c>
      <c r="H46" s="900">
        <f>+G46*F46</f>
        <v>106735.57692307692</v>
      </c>
    </row>
    <row r="47" spans="1:8" hidden="1">
      <c r="B47" s="656"/>
      <c r="C47" s="657"/>
      <c r="D47" s="842"/>
      <c r="E47" s="659"/>
      <c r="F47" s="664"/>
      <c r="G47" s="847"/>
      <c r="H47" s="848">
        <f>SUM(H40:H46)</f>
        <v>981967.30769230763</v>
      </c>
    </row>
    <row r="48" spans="1:8" hidden="1">
      <c r="B48" s="651"/>
      <c r="C48" s="652"/>
      <c r="D48" s="841"/>
      <c r="E48" s="653"/>
      <c r="F48" s="654"/>
      <c r="G48" s="849"/>
      <c r="H48" s="849">
        <f>+H47+H36+H14</f>
        <v>1656779.2874615383</v>
      </c>
    </row>
    <row r="49" spans="2:8" hidden="1">
      <c r="C49" s="321" t="s">
        <v>6</v>
      </c>
      <c r="D49" s="853" t="e">
        <f>#REF!+#REF!+#REF!+#REF!+#REF!+#REF!+#REF!+#REF!+#REF!+#REF!+#REF!+#REF!+#REF!</f>
        <v>#REF!</v>
      </c>
      <c r="E49" s="376"/>
    </row>
    <row r="50" spans="2:8" hidden="1">
      <c r="C50" s="321" t="s">
        <v>832</v>
      </c>
    </row>
    <row r="51" spans="2:8" hidden="1">
      <c r="C51" s="321" t="s">
        <v>833</v>
      </c>
    </row>
    <row r="52" spans="2:8" hidden="1">
      <c r="C52" s="321" t="s">
        <v>796</v>
      </c>
    </row>
    <row r="53" spans="2:8" hidden="1"/>
    <row r="54" spans="2:8" hidden="1">
      <c r="B54" s="1218" t="s">
        <v>14</v>
      </c>
      <c r="C54" s="1218" t="s">
        <v>162</v>
      </c>
      <c r="D54" s="1215" t="s">
        <v>844</v>
      </c>
      <c r="E54" s="1216"/>
      <c r="F54" s="1216"/>
      <c r="G54" s="850"/>
    </row>
    <row r="55" spans="2:8" ht="31.5" hidden="1">
      <c r="B55" s="1218"/>
      <c r="C55" s="1218"/>
      <c r="D55" s="358" t="s">
        <v>797</v>
      </c>
      <c r="E55" s="535" t="s">
        <v>798</v>
      </c>
      <c r="F55" s="535" t="s">
        <v>799</v>
      </c>
      <c r="G55" s="851"/>
    </row>
    <row r="56" spans="2:8" ht="31.5" hidden="1">
      <c r="B56" s="709">
        <v>1</v>
      </c>
      <c r="C56" s="601" t="s">
        <v>700</v>
      </c>
      <c r="D56" s="358"/>
      <c r="E56" s="535"/>
      <c r="F56" s="535"/>
      <c r="G56" s="851"/>
      <c r="H56" s="1214" t="s">
        <v>843</v>
      </c>
    </row>
    <row r="57" spans="2:8" ht="110.25" hidden="1">
      <c r="B57" s="709" t="s">
        <v>767</v>
      </c>
      <c r="C57" s="602" t="s">
        <v>701</v>
      </c>
      <c r="D57" s="358">
        <v>0.8</v>
      </c>
      <c r="E57" s="535">
        <v>0.9</v>
      </c>
      <c r="F57" s="535">
        <v>1</v>
      </c>
      <c r="G57" s="851"/>
      <c r="H57" s="1214"/>
    </row>
    <row r="58" spans="2:8" ht="31.5" hidden="1">
      <c r="B58" s="709" t="s">
        <v>768</v>
      </c>
      <c r="C58" s="601" t="s">
        <v>703</v>
      </c>
      <c r="D58" s="358">
        <v>0.8</v>
      </c>
      <c r="E58" s="535">
        <v>0.9</v>
      </c>
      <c r="F58" s="535">
        <v>1</v>
      </c>
      <c r="G58" s="851"/>
      <c r="H58" s="1214"/>
    </row>
    <row r="59" spans="2:8" ht="47.25" hidden="1">
      <c r="B59" s="709" t="s">
        <v>890</v>
      </c>
      <c r="C59" s="601" t="s">
        <v>795</v>
      </c>
      <c r="D59" s="358">
        <v>0.8</v>
      </c>
      <c r="E59" s="535">
        <v>0.9</v>
      </c>
      <c r="F59" s="535">
        <v>1</v>
      </c>
      <c r="G59" s="851"/>
      <c r="H59" s="1214"/>
    </row>
    <row r="60" spans="2:8" ht="47.25" hidden="1">
      <c r="B60" s="709" t="s">
        <v>891</v>
      </c>
      <c r="C60" s="601" t="s">
        <v>704</v>
      </c>
      <c r="D60" s="358">
        <v>0.8</v>
      </c>
      <c r="E60" s="535">
        <v>0.9</v>
      </c>
      <c r="F60" s="535">
        <v>1</v>
      </c>
      <c r="G60" s="851"/>
      <c r="H60" s="1214"/>
    </row>
    <row r="61" spans="2:8" hidden="1"/>
    <row r="62" spans="2:8" hidden="1"/>
    <row r="63" spans="2:8" hidden="1">
      <c r="E63" s="376"/>
      <c r="H63" s="377">
        <f>SUM(H40:H46)</f>
        <v>981967.30769230763</v>
      </c>
    </row>
    <row r="64" spans="2:8" hidden="1">
      <c r="E64" s="322"/>
      <c r="F64" s="322"/>
    </row>
    <row r="65" hidden="1"/>
    <row r="66" hidden="1"/>
    <row r="67" hidden="1"/>
    <row r="68" hidden="1"/>
    <row r="69" hidden="1"/>
    <row r="70" hidden="1"/>
    <row r="71" hidden="1"/>
    <row r="72" hidden="1"/>
    <row r="73" hidden="1"/>
    <row r="74" hidden="1"/>
  </sheetData>
  <mergeCells count="5">
    <mergeCell ref="H56:H60"/>
    <mergeCell ref="D54:F54"/>
    <mergeCell ref="B1:H1"/>
    <mergeCell ref="C54:C55"/>
    <mergeCell ref="B54:B55"/>
  </mergeCells>
  <phoneticPr fontId="104" type="noConversion"/>
  <pageMargins left="0.75551181099999998" right="7.8740157480315001E-2" top="0.3" bottom="0.40748031499999998" header="0.31496062992126" footer="0.31496062992126"/>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60"/>
  <sheetViews>
    <sheetView topLeftCell="B1" zoomScale="85" zoomScaleNormal="85" workbookViewId="0">
      <pane xSplit="3" ySplit="3" topLeftCell="E142" activePane="bottomRight" state="frozen"/>
      <selection activeCell="D24" sqref="D24"/>
      <selection pane="topRight" activeCell="D24" sqref="D24"/>
      <selection pane="bottomLeft" activeCell="D24" sqref="D24"/>
      <selection pane="bottomRight" activeCell="I9" sqref="I9"/>
    </sheetView>
  </sheetViews>
  <sheetFormatPr defaultColWidth="9" defaultRowHeight="15"/>
  <cols>
    <col min="1" max="1" width="9" style="357" hidden="1" customWidth="1"/>
    <col min="2" max="2" width="6.875" style="514" customWidth="1"/>
    <col min="3" max="3" width="45.875" style="357" customWidth="1"/>
    <col min="4" max="4" width="6.125" style="514" bestFit="1" customWidth="1"/>
    <col min="5" max="5" width="7" style="357" customWidth="1"/>
    <col min="6" max="6" width="10.5" style="635" customWidth="1"/>
    <col min="7" max="7" width="9.125" style="514" customWidth="1"/>
    <col min="8" max="8" width="11.875" style="515" customWidth="1"/>
    <col min="9" max="9" width="8.125" style="515" customWidth="1"/>
    <col min="10" max="10" width="8.625" style="356" customWidth="1"/>
    <col min="11" max="11" width="7.75" style="357" customWidth="1"/>
    <col min="12" max="16384" width="9" style="357"/>
  </cols>
  <sheetData>
    <row r="1" spans="1:13" ht="15.75">
      <c r="B1" s="1190" t="s">
        <v>998</v>
      </c>
      <c r="C1" s="1190"/>
      <c r="D1" s="1190"/>
      <c r="E1" s="1190"/>
      <c r="F1" s="1190"/>
      <c r="G1" s="1190"/>
      <c r="H1" s="1190"/>
      <c r="I1" s="1190"/>
      <c r="J1" s="1190"/>
      <c r="K1" s="1190"/>
    </row>
    <row r="2" spans="1:13" ht="15.75">
      <c r="B2" s="504"/>
      <c r="C2" s="725"/>
      <c r="D2" s="504"/>
      <c r="E2" s="505"/>
      <c r="G2" s="504"/>
      <c r="H2" s="506"/>
      <c r="I2" s="634" t="s">
        <v>79</v>
      </c>
      <c r="J2" s="389" t="s">
        <v>746</v>
      </c>
    </row>
    <row r="3" spans="1:13" s="509" customFormat="1" ht="47.25">
      <c r="B3" s="326" t="s">
        <v>14</v>
      </c>
      <c r="C3" s="326" t="s">
        <v>17</v>
      </c>
      <c r="D3" s="326" t="s">
        <v>21</v>
      </c>
      <c r="E3" s="326" t="s">
        <v>4</v>
      </c>
      <c r="F3" s="636" t="s">
        <v>892</v>
      </c>
      <c r="G3" s="326" t="s">
        <v>5</v>
      </c>
      <c r="H3" s="483" t="s">
        <v>19</v>
      </c>
      <c r="I3" s="483" t="s">
        <v>1</v>
      </c>
      <c r="J3" s="484" t="s">
        <v>780</v>
      </c>
      <c r="K3" s="484" t="s">
        <v>781</v>
      </c>
    </row>
    <row r="4" spans="1:13" s="510" customFormat="1" ht="15.75">
      <c r="A4" s="510">
        <f>NhanCong_Xa!A4</f>
        <v>1</v>
      </c>
      <c r="B4" s="485">
        <v>1</v>
      </c>
      <c r="C4" s="486" t="str">
        <f>NhanCong_Xa!C4:C4</f>
        <v>Công tác chuẩn bị</v>
      </c>
      <c r="D4" s="326"/>
      <c r="E4" s="487"/>
      <c r="F4" s="1017"/>
      <c r="G4" s="1018"/>
      <c r="H4" s="330"/>
      <c r="I4" s="330"/>
      <c r="J4" s="498"/>
      <c r="K4" s="569"/>
    </row>
    <row r="5" spans="1:13" s="510" customFormat="1" ht="78.75">
      <c r="A5" s="510" t="str">
        <f>NhanCong_Xa!A5</f>
        <v>1.1</v>
      </c>
      <c r="B5" s="490" t="str">
        <f>NhanCong_Xa!B5</f>
        <v>1.1</v>
      </c>
      <c r="C5" s="491"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5" s="326"/>
      <c r="E5" s="487"/>
      <c r="F5" s="1017"/>
      <c r="G5" s="1018"/>
      <c r="H5" s="488"/>
      <c r="I5" s="488"/>
      <c r="J5" s="1019">
        <f>SUM(J6:J7)</f>
        <v>850.1</v>
      </c>
      <c r="K5" s="1020">
        <f>J8</f>
        <v>1574.0496000000001</v>
      </c>
    </row>
    <row r="6" spans="1:13" ht="15.75">
      <c r="B6" s="332"/>
      <c r="C6" s="1021" t="str">
        <f>Gia_Tbi!$B$4</f>
        <v>Máy tính để bàn</v>
      </c>
      <c r="D6" s="332" t="s">
        <v>556</v>
      </c>
      <c r="E6" s="332">
        <f>Gia_Tbi!$D$4</f>
        <v>0.4</v>
      </c>
      <c r="F6" s="1022">
        <v>0.2</v>
      </c>
      <c r="G6" s="1023">
        <f>Gia_Tbi!$E$4</f>
        <v>5</v>
      </c>
      <c r="H6" s="1024">
        <f>Gia_Tbi!$F$4</f>
        <v>10000000</v>
      </c>
      <c r="I6" s="1024">
        <f>Gia_Tbi!$G$4</f>
        <v>4000</v>
      </c>
      <c r="J6" s="960">
        <f>$I6*F6</f>
        <v>800</v>
      </c>
      <c r="K6" s="1025"/>
    </row>
    <row r="7" spans="1:13" ht="15.75">
      <c r="B7" s="332"/>
      <c r="C7" s="333" t="s">
        <v>25</v>
      </c>
      <c r="D7" s="332" t="s">
        <v>556</v>
      </c>
      <c r="E7" s="332">
        <f>Gia_Tbi!$D$6</f>
        <v>2.2000000000000002</v>
      </c>
      <c r="F7" s="1026">
        <v>1.67E-2</v>
      </c>
      <c r="G7" s="1023">
        <f>Gia_Tbi!$E$6</f>
        <v>8</v>
      </c>
      <c r="H7" s="1024">
        <f>Gia_Tbi!$F$6</f>
        <v>12000000</v>
      </c>
      <c r="I7" s="1024">
        <f>Gia_Tbi!$G$6</f>
        <v>3000</v>
      </c>
      <c r="J7" s="960">
        <f>$I7*F7</f>
        <v>50.1</v>
      </c>
      <c r="K7" s="1025"/>
    </row>
    <row r="8" spans="1:13" ht="15.75">
      <c r="B8" s="332"/>
      <c r="C8" s="333" t="s">
        <v>8</v>
      </c>
      <c r="D8" s="332" t="str">
        <f>Gia_Tbi!$C$13</f>
        <v>KW</v>
      </c>
      <c r="E8" s="1027"/>
      <c r="F8" s="1022">
        <v>0.1167</v>
      </c>
      <c r="G8" s="1028"/>
      <c r="H8" s="1024">
        <f>Gia_Tbi!$F$13</f>
        <v>1686</v>
      </c>
      <c r="I8" s="1024">
        <f>Gia_Tbi!$G$13</f>
        <v>13488</v>
      </c>
      <c r="J8" s="960">
        <f>$I8*F8</f>
        <v>1574.0496000000001</v>
      </c>
      <c r="K8" s="1025"/>
    </row>
    <row r="9" spans="1:13" ht="47.25">
      <c r="A9" s="510" t="str">
        <f>NhanCong_Xa!A6</f>
        <v>1.2</v>
      </c>
      <c r="B9" s="332" t="str">
        <f>NhanCong_Xa!B6</f>
        <v>1.2</v>
      </c>
      <c r="C9" s="495" t="str">
        <f>NhanCong_Xa!C6</f>
        <v>Chuẩn bị nhân lực, địa điểm làm việc; Chuẩn bị vật tư, thiết bị, dụng cụ, phần mềm phục vụ cho công tác xây dựng cơ sở dữ liệu thống kê, kiểm kê đất đai</v>
      </c>
      <c r="D9" s="332"/>
      <c r="E9" s="332"/>
      <c r="F9" s="1022"/>
      <c r="G9" s="1023"/>
      <c r="H9" s="1024"/>
      <c r="I9" s="1024"/>
      <c r="J9" s="1019">
        <f>SUM(J10:J11)</f>
        <v>680.00000000000011</v>
      </c>
      <c r="K9" s="1020">
        <f>J12</f>
        <v>1258.8800000000003</v>
      </c>
      <c r="M9" s="1148"/>
    </row>
    <row r="10" spans="1:13" ht="15.75">
      <c r="B10" s="332"/>
      <c r="C10" s="1021" t="str">
        <f>Gia_Tbi!$B$4</f>
        <v>Máy tính để bàn</v>
      </c>
      <c r="D10" s="332" t="s">
        <v>556</v>
      </c>
      <c r="E10" s="332">
        <f>Gia_Tbi!$D$4</f>
        <v>0.4</v>
      </c>
      <c r="F10" s="1022">
        <v>0.16000000000000003</v>
      </c>
      <c r="G10" s="1023">
        <f>Gia_Tbi!$E$4</f>
        <v>5</v>
      </c>
      <c r="H10" s="1024">
        <f>Gia_Tbi!$F$4</f>
        <v>10000000</v>
      </c>
      <c r="I10" s="1024">
        <f>Gia_Tbi!$G$4</f>
        <v>4000</v>
      </c>
      <c r="J10" s="960">
        <f>$I10*F10</f>
        <v>640.00000000000011</v>
      </c>
      <c r="K10" s="1025"/>
    </row>
    <row r="11" spans="1:13" ht="15.75">
      <c r="B11" s="332"/>
      <c r="C11" s="333" t="s">
        <v>25</v>
      </c>
      <c r="D11" s="332" t="s">
        <v>556</v>
      </c>
      <c r="E11" s="332">
        <f>Gia_Tbi!$D$6</f>
        <v>2.2000000000000002</v>
      </c>
      <c r="F11" s="1022">
        <v>1.3333333333333336E-2</v>
      </c>
      <c r="G11" s="1023">
        <f>Gia_Tbi!$E$6</f>
        <v>8</v>
      </c>
      <c r="H11" s="1024">
        <f>Gia_Tbi!$F$6</f>
        <v>12000000</v>
      </c>
      <c r="I11" s="1024">
        <f>Gia_Tbi!$G$6</f>
        <v>3000</v>
      </c>
      <c r="J11" s="960">
        <f>$I11*F11</f>
        <v>40.000000000000007</v>
      </c>
      <c r="K11" s="1025"/>
    </row>
    <row r="12" spans="1:13" ht="15.75">
      <c r="B12" s="332"/>
      <c r="C12" s="333" t="s">
        <v>8</v>
      </c>
      <c r="D12" s="332" t="str">
        <f>Gia_Tbi!$C$13</f>
        <v>KW</v>
      </c>
      <c r="E12" s="332"/>
      <c r="F12" s="1022">
        <v>9.3333333333333351E-2</v>
      </c>
      <c r="G12" s="1023"/>
      <c r="H12" s="1024">
        <f>Gia_Tbi!$F$13</f>
        <v>1686</v>
      </c>
      <c r="I12" s="1024">
        <f>Gia_Tbi!$G$13</f>
        <v>13488</v>
      </c>
      <c r="J12" s="960">
        <f>$I12*F12</f>
        <v>1258.8800000000003</v>
      </c>
      <c r="K12" s="1025"/>
    </row>
    <row r="13" spans="1:13" ht="15.75">
      <c r="A13" s="357">
        <f>NhanCong_Xa!A7</f>
        <v>8</v>
      </c>
      <c r="B13" s="326">
        <f>NhanCong_Xa!B7</f>
        <v>2</v>
      </c>
      <c r="C13" s="327" t="str">
        <f>NhanCong_Xa!C7:C7</f>
        <v>Xây dựng siêu dữ liệu thống kê, kiểm kê đất đai</v>
      </c>
      <c r="D13" s="326"/>
      <c r="E13" s="487"/>
      <c r="F13" s="1017"/>
      <c r="G13" s="1018"/>
      <c r="H13" s="488"/>
      <c r="I13" s="488"/>
      <c r="J13" s="1019"/>
      <c r="K13" s="1025"/>
    </row>
    <row r="14" spans="1:13" ht="31.5">
      <c r="A14" s="357" t="str">
        <f>NhanCong_Xa!A8</f>
        <v>8.1</v>
      </c>
      <c r="B14" s="332" t="str">
        <f>NhanCong_Xa!B8</f>
        <v>2.1</v>
      </c>
      <c r="C14" s="333" t="str">
        <f>NhanCong_Xa!C8:C8</f>
        <v>Thu nhận các thông tin cần thiết để xây dựng siêu dữ liệu (thông tin mô tả dữ liệu) thống kê, kiểm kê đất đai</v>
      </c>
      <c r="D14" s="326"/>
      <c r="E14" s="487"/>
      <c r="F14" s="1017"/>
      <c r="G14" s="1018"/>
      <c r="H14" s="488"/>
      <c r="I14" s="488"/>
      <c r="J14" s="1019">
        <f>SUM(J15:J16)</f>
        <v>1699.9</v>
      </c>
      <c r="K14" s="1020">
        <f>J17</f>
        <v>3146.7503999999999</v>
      </c>
    </row>
    <row r="15" spans="1:13" ht="15.75">
      <c r="B15" s="332"/>
      <c r="C15" s="1021" t="str">
        <f>Gia_Tbi!$B$4</f>
        <v>Máy tính để bàn</v>
      </c>
      <c r="D15" s="332" t="str">
        <f>Gia_Tbi!C4</f>
        <v>Cái</v>
      </c>
      <c r="E15" s="332">
        <f>Gia_Tbi!$D$4</f>
        <v>0.4</v>
      </c>
      <c r="F15" s="1022">
        <v>0.4</v>
      </c>
      <c r="G15" s="1023">
        <f>Gia_Tbi!$E$4</f>
        <v>5</v>
      </c>
      <c r="H15" s="1024">
        <f>Gia_Tbi!$F$4</f>
        <v>10000000</v>
      </c>
      <c r="I15" s="1024">
        <f>Gia_Tbi!$G$4</f>
        <v>4000</v>
      </c>
      <c r="J15" s="960">
        <f>I15*F15</f>
        <v>1600</v>
      </c>
      <c r="K15" s="1025"/>
    </row>
    <row r="16" spans="1:13" ht="15.75">
      <c r="B16" s="332"/>
      <c r="C16" s="333" t="s">
        <v>25</v>
      </c>
      <c r="D16" s="332" t="str">
        <f>Gia_Tbi!$C$6</f>
        <v>Cái</v>
      </c>
      <c r="E16" s="332">
        <f>Gia_Tbi!$D$6</f>
        <v>2.2000000000000002</v>
      </c>
      <c r="F16" s="1022">
        <v>3.3300000000000003E-2</v>
      </c>
      <c r="G16" s="1023">
        <f>Gia_Tbi!$E$6</f>
        <v>8</v>
      </c>
      <c r="H16" s="1024">
        <f>Gia_Tbi!$F$6</f>
        <v>12000000</v>
      </c>
      <c r="I16" s="1024">
        <f>Gia_Tbi!$G$6</f>
        <v>3000</v>
      </c>
      <c r="J16" s="960">
        <f>I16*F16</f>
        <v>99.9</v>
      </c>
      <c r="K16" s="1025"/>
    </row>
    <row r="17" spans="1:11" ht="15.75">
      <c r="B17" s="332"/>
      <c r="C17" s="333" t="s">
        <v>8</v>
      </c>
      <c r="D17" s="332" t="str">
        <f>Gia_Tbi!$C$13</f>
        <v>KW</v>
      </c>
      <c r="E17" s="332"/>
      <c r="F17" s="1022">
        <v>0.23330000000000001</v>
      </c>
      <c r="G17" s="1023"/>
      <c r="H17" s="1024">
        <f>Gia_Tbi!$F$13</f>
        <v>1686</v>
      </c>
      <c r="I17" s="1024">
        <f>Gia_Tbi!$G$13</f>
        <v>13488</v>
      </c>
      <c r="J17" s="960">
        <f>I17*F17</f>
        <v>3146.7503999999999</v>
      </c>
      <c r="K17" s="1025"/>
    </row>
    <row r="18" spans="1:11" ht="15.75">
      <c r="A18" s="357" t="str">
        <f>NhanCong_Xa!A9</f>
        <v>8.2</v>
      </c>
      <c r="B18" s="332" t="str">
        <f>NhanCong_Xa!B9</f>
        <v>2.2</v>
      </c>
      <c r="C18" s="333" t="str">
        <f>NhanCong_Xa!C9:C9</f>
        <v>Nhập thông tin siêu dữ liệu kiểm kê đất đai</v>
      </c>
      <c r="D18" s="332"/>
      <c r="E18" s="332"/>
      <c r="F18" s="1022"/>
      <c r="G18" s="1023"/>
      <c r="H18" s="1024"/>
      <c r="I18" s="1024"/>
      <c r="J18" s="1019">
        <f>SUM(J19:J20)</f>
        <v>850.1</v>
      </c>
      <c r="K18" s="1020">
        <f>J21</f>
        <v>1574.0496000000001</v>
      </c>
    </row>
    <row r="19" spans="1:11" ht="15.75">
      <c r="B19" s="332"/>
      <c r="C19" s="333" t="s">
        <v>82</v>
      </c>
      <c r="D19" s="332" t="str">
        <f>Gia_Tbi!C8</f>
        <v>Cái</v>
      </c>
      <c r="E19" s="332">
        <f>Gia_Tbi!$D$4</f>
        <v>0.4</v>
      </c>
      <c r="F19" s="1022">
        <v>0.2</v>
      </c>
      <c r="G19" s="1023">
        <f>Gia_Tbi!$E$4</f>
        <v>5</v>
      </c>
      <c r="H19" s="1024">
        <f>Gia_Tbi!$F$4</f>
        <v>10000000</v>
      </c>
      <c r="I19" s="1024">
        <f>Gia_Tbi!$G$4</f>
        <v>4000</v>
      </c>
      <c r="J19" s="960">
        <f>I19*F19</f>
        <v>800</v>
      </c>
      <c r="K19" s="1025"/>
    </row>
    <row r="20" spans="1:11" ht="15.75">
      <c r="B20" s="332"/>
      <c r="C20" s="333" t="s">
        <v>25</v>
      </c>
      <c r="D20" s="332" t="str">
        <f>Gia_Tbi!C9</f>
        <v>Cái</v>
      </c>
      <c r="E20" s="332">
        <f>Gia_Tbi!$D$6</f>
        <v>2.2000000000000002</v>
      </c>
      <c r="F20" s="1022">
        <v>1.67E-2</v>
      </c>
      <c r="G20" s="1023">
        <f>Gia_Tbi!$E$6</f>
        <v>8</v>
      </c>
      <c r="H20" s="1024">
        <f>Gia_Tbi!$F$6</f>
        <v>12000000</v>
      </c>
      <c r="I20" s="1024">
        <f>Gia_Tbi!$G$6</f>
        <v>3000</v>
      </c>
      <c r="J20" s="960">
        <f>I20*F20</f>
        <v>50.1</v>
      </c>
      <c r="K20" s="1025"/>
    </row>
    <row r="21" spans="1:11" ht="15.75">
      <c r="B21" s="332"/>
      <c r="C21" s="333" t="s">
        <v>8</v>
      </c>
      <c r="D21" s="332" t="str">
        <f>Gia_Tbi!$C$13</f>
        <v>KW</v>
      </c>
      <c r="E21" s="332"/>
      <c r="F21" s="1022">
        <v>0.1167</v>
      </c>
      <c r="G21" s="1023"/>
      <c r="H21" s="1024">
        <f>Gia_Tbi!$F$13</f>
        <v>1686</v>
      </c>
      <c r="I21" s="1024">
        <f>Gia_Tbi!$G$13</f>
        <v>13488</v>
      </c>
      <c r="J21" s="960">
        <f>I21*F21</f>
        <v>1574.0496000000001</v>
      </c>
      <c r="K21" s="1025"/>
    </row>
    <row r="22" spans="1:11" ht="31.5">
      <c r="A22" s="357">
        <f>NhanCong_Xa!A10</f>
        <v>9</v>
      </c>
      <c r="B22" s="326">
        <f>NhanCong_Xa!B10</f>
        <v>3</v>
      </c>
      <c r="C22" s="327" t="str">
        <f>NhanCong_Xa!C10:C10</f>
        <v>Phục vụ kiểm tra, nghiệm thu cơ sở dữ liệu thống kê, kiểm kê đất đai</v>
      </c>
      <c r="D22" s="332"/>
      <c r="E22" s="332"/>
      <c r="F22" s="1029"/>
      <c r="G22" s="353"/>
      <c r="H22" s="1030"/>
      <c r="I22" s="1030"/>
      <c r="J22" s="1019"/>
      <c r="K22" s="1025"/>
    </row>
    <row r="23" spans="1:11" ht="31.5">
      <c r="A23" s="357" t="str">
        <f>NhanCong_Xa!A11</f>
        <v>9.1</v>
      </c>
      <c r="B23" s="332" t="str">
        <f>NhanCong_Xa!B11</f>
        <v>3.1</v>
      </c>
      <c r="C23" s="333" t="str">
        <f>NhanCong_Xa!C11:C11</f>
        <v>Đơn vị thi công chuẩn bị tài liệu và phục vụ giám sát kiểm tra, nghiệm thu.</v>
      </c>
      <c r="D23" s="332"/>
      <c r="E23" s="332"/>
      <c r="F23" s="1029"/>
      <c r="G23" s="353"/>
      <c r="H23" s="1030"/>
      <c r="I23" s="1030"/>
      <c r="J23" s="1019">
        <f>SUM(J24:J26)</f>
        <v>518</v>
      </c>
      <c r="K23" s="1020">
        <f>J27</f>
        <v>1008.9024000000001</v>
      </c>
    </row>
    <row r="24" spans="1:11" ht="15.75">
      <c r="B24" s="332"/>
      <c r="C24" s="1021" t="str">
        <f>Gia_Tbi!$B$4</f>
        <v>Máy tính để bàn</v>
      </c>
      <c r="D24" s="332" t="str">
        <f>Gia_Tbi!$C$4</f>
        <v>Cái</v>
      </c>
      <c r="E24" s="332">
        <f>Gia_Tbi!$D$4</f>
        <v>0.4</v>
      </c>
      <c r="F24" s="1029">
        <v>0.12</v>
      </c>
      <c r="G24" s="1023">
        <f>Gia_Tbi!$E$4</f>
        <v>5</v>
      </c>
      <c r="H24" s="1024">
        <f>Gia_Tbi!F$4</f>
        <v>10000000</v>
      </c>
      <c r="I24" s="1024">
        <f>Gia_Tbi!$G$4</f>
        <v>4000</v>
      </c>
      <c r="J24" s="960">
        <f>I24*F24</f>
        <v>480</v>
      </c>
      <c r="K24" s="1025"/>
    </row>
    <row r="25" spans="1:11" ht="15.75">
      <c r="B25" s="332"/>
      <c r="C25" s="333" t="s">
        <v>83</v>
      </c>
      <c r="D25" s="332" t="str">
        <f>Gia_Tbi!$C$5</f>
        <v>Cái</v>
      </c>
      <c r="E25" s="332">
        <f>Gia_Tbi!$D$5</f>
        <v>0.6</v>
      </c>
      <c r="F25" s="1029">
        <v>8.0000000000000002E-3</v>
      </c>
      <c r="G25" s="353">
        <f>Gia_Tbi!$E$5</f>
        <v>5</v>
      </c>
      <c r="H25" s="1030">
        <f>Gia_Tbi!$F$5</f>
        <v>2500000</v>
      </c>
      <c r="I25" s="1030">
        <f>Gia_Tbi!$G$5</f>
        <v>1000</v>
      </c>
      <c r="J25" s="960">
        <f>I25*F25</f>
        <v>8</v>
      </c>
      <c r="K25" s="1025"/>
    </row>
    <row r="26" spans="1:11" ht="15.75">
      <c r="B26" s="332"/>
      <c r="C26" s="333" t="s">
        <v>25</v>
      </c>
      <c r="D26" s="332" t="str">
        <f>Gia_Tbi!$C$6</f>
        <v>Cái</v>
      </c>
      <c r="E26" s="332">
        <f>Gia_Tbi!$D$6</f>
        <v>2.2000000000000002</v>
      </c>
      <c r="F26" s="1029">
        <v>0.01</v>
      </c>
      <c r="G26" s="1023">
        <f>Gia_Tbi!$E$6</f>
        <v>8</v>
      </c>
      <c r="H26" s="1024">
        <f>Gia_Tbi!$F$6</f>
        <v>12000000</v>
      </c>
      <c r="I26" s="1024">
        <f>Gia_Tbi!$G$6</f>
        <v>3000</v>
      </c>
      <c r="J26" s="960">
        <f>I26*F26</f>
        <v>30</v>
      </c>
      <c r="K26" s="1025"/>
    </row>
    <row r="27" spans="1:11" ht="15.75">
      <c r="B27" s="332"/>
      <c r="C27" s="333" t="s">
        <v>8</v>
      </c>
      <c r="D27" s="332" t="str">
        <f>Gia_Tbi!$C$13</f>
        <v>KW</v>
      </c>
      <c r="E27" s="332"/>
      <c r="F27" s="1022">
        <v>7.4800000000000005E-2</v>
      </c>
      <c r="G27" s="1023"/>
      <c r="H27" s="1024">
        <f>Gia_Tbi!$F$13</f>
        <v>1686</v>
      </c>
      <c r="I27" s="1024">
        <f>Gia_Tbi!$G$13</f>
        <v>13488</v>
      </c>
      <c r="J27" s="960">
        <f>I27*F27</f>
        <v>1008.9024000000001</v>
      </c>
      <c r="K27" s="1025"/>
    </row>
    <row r="28" spans="1:11" ht="63">
      <c r="A28" s="357" t="str">
        <f>NhanCong_Xa!A12</f>
        <v>9.2</v>
      </c>
      <c r="B28" s="951" t="str">
        <f>NhanCong_Xa!B12</f>
        <v>3.2</v>
      </c>
      <c r="C28" s="333" t="str">
        <f>NhanCong_Xa!C12:C12</f>
        <v>Thực hiện kiểm tra tổng thể cơ sở dữ liệu thống kê, kiểm kê đất đai và tích hợp vào hệ thống ngay sau khi được nghiệm thu để phục vụ quản lý, vận hành, khai thác sử dụng.</v>
      </c>
      <c r="D28" s="951"/>
      <c r="E28" s="956"/>
      <c r="F28" s="1031"/>
      <c r="G28" s="1032"/>
      <c r="H28" s="1033"/>
      <c r="I28" s="1033"/>
      <c r="J28" s="1020">
        <f>SUM(J29:J35)</f>
        <v>11284.220000000001</v>
      </c>
      <c r="K28" s="1020">
        <f>J36</f>
        <v>5250.8783999999996</v>
      </c>
    </row>
    <row r="29" spans="1:11" ht="15.75">
      <c r="B29" s="332"/>
      <c r="C29" s="1021" t="str">
        <f>Gia_Tbi!$B$4</f>
        <v>Máy tính để bàn</v>
      </c>
      <c r="D29" s="332" t="str">
        <f>Gia_Tbi!$C$4</f>
        <v>Cái</v>
      </c>
      <c r="E29" s="332">
        <f>Gia_Tbi!$D$4</f>
        <v>0.4</v>
      </c>
      <c r="F29" s="1029">
        <v>0.4</v>
      </c>
      <c r="G29" s="1023">
        <f>Gia_Tbi!$E$4</f>
        <v>5</v>
      </c>
      <c r="H29" s="1024">
        <f>Gia_Tbi!F$4</f>
        <v>10000000</v>
      </c>
      <c r="I29" s="1024">
        <f>Gia_Tbi!$G$4</f>
        <v>4000</v>
      </c>
      <c r="J29" s="960">
        <f>I29*F29</f>
        <v>1600</v>
      </c>
      <c r="K29" s="1025"/>
    </row>
    <row r="30" spans="1:11" ht="15.75">
      <c r="B30" s="332"/>
      <c r="C30" s="333" t="s">
        <v>83</v>
      </c>
      <c r="D30" s="332" t="str">
        <f>Gia_Tbi!$C$5</f>
        <v>Cái</v>
      </c>
      <c r="E30" s="332">
        <f>Gia_Tbi!$D$5</f>
        <v>0.6</v>
      </c>
      <c r="F30" s="1029">
        <v>2.6700000000000002E-2</v>
      </c>
      <c r="G30" s="353">
        <f>Gia_Tbi!$E$5</f>
        <v>5</v>
      </c>
      <c r="H30" s="1030">
        <f>Gia_Tbi!$F$5</f>
        <v>2500000</v>
      </c>
      <c r="I30" s="1030">
        <f>Gia_Tbi!$G$5</f>
        <v>1000</v>
      </c>
      <c r="J30" s="960">
        <f>I30*F30</f>
        <v>26.700000000000003</v>
      </c>
      <c r="K30" s="1025"/>
    </row>
    <row r="31" spans="1:11" ht="15.75">
      <c r="B31" s="332"/>
      <c r="C31" s="333" t="s">
        <v>25</v>
      </c>
      <c r="D31" s="332" t="str">
        <f>Gia_Tbi!$C$6</f>
        <v>Cái</v>
      </c>
      <c r="E31" s="332">
        <f>Gia_Tbi!$D$6</f>
        <v>2.2000000000000002</v>
      </c>
      <c r="F31" s="1029">
        <v>3.3300000000000003E-2</v>
      </c>
      <c r="G31" s="1023">
        <f>Gia_Tbi!$E$6</f>
        <v>8</v>
      </c>
      <c r="H31" s="1024">
        <f>Gia_Tbi!$F$6</f>
        <v>12000000</v>
      </c>
      <c r="I31" s="1024">
        <f>Gia_Tbi!$G$6</f>
        <v>3000</v>
      </c>
      <c r="J31" s="960">
        <f>I31*F31</f>
        <v>99.9</v>
      </c>
      <c r="K31" s="1025"/>
    </row>
    <row r="32" spans="1:11" ht="15.75">
      <c r="B32" s="332"/>
      <c r="C32" s="333" t="str">
        <f>Gia_Tbi!B10</f>
        <v>Máy chủ</v>
      </c>
      <c r="D32" s="332" t="str">
        <f>Gia_Tbi!$C$10</f>
        <v>Cái</v>
      </c>
      <c r="E32" s="332">
        <f>Gia_Tbi!$D$10</f>
        <v>1</v>
      </c>
      <c r="F32" s="1029">
        <v>0.1</v>
      </c>
      <c r="G32" s="353">
        <f>Gia_Tbi!$E$10</f>
        <v>10</v>
      </c>
      <c r="H32" s="1024">
        <f>Gia_Tbi!$F$10</f>
        <v>80000000</v>
      </c>
      <c r="I32" s="1024">
        <f>Gia_Tbi!$G$10</f>
        <v>16000</v>
      </c>
      <c r="J32" s="960">
        <f>I32*F32</f>
        <v>1600</v>
      </c>
      <c r="K32" s="1025"/>
    </row>
    <row r="33" spans="1:11" ht="15.75">
      <c r="B33" s="332"/>
      <c r="C33" s="333" t="str">
        <f>Gia_Tbi!$B$14</f>
        <v>Hệ quản trị cơ sở dữ liệu thuộc tính</v>
      </c>
      <c r="D33" s="332" t="str">
        <f>Gia_Tbi!$C$14</f>
        <v>Bộ</v>
      </c>
      <c r="E33" s="332" t="str">
        <f>Gia_Tbi!$D$14</f>
        <v/>
      </c>
      <c r="F33" s="1022">
        <v>0.1</v>
      </c>
      <c r="G33" s="1023">
        <f>Gia_Tbi!$E$14</f>
        <v>10</v>
      </c>
      <c r="H33" s="621">
        <f>Gia_Tbi!$F$14</f>
        <v>20881000</v>
      </c>
      <c r="I33" s="621">
        <f>Gia_Tbi!$G$14</f>
        <v>4176.2</v>
      </c>
      <c r="J33" s="960">
        <f>$I33*F33</f>
        <v>417.62</v>
      </c>
      <c r="K33" s="1034"/>
    </row>
    <row r="34" spans="1:11" ht="15.75">
      <c r="B34" s="332"/>
      <c r="C34" s="333" t="str">
        <f>Gia_Tbi!$B$15</f>
        <v>Hệ quản trị dữ liệu không gian</v>
      </c>
      <c r="D34" s="332" t="str">
        <f>Gia_Tbi!$C$15</f>
        <v>Bộ</v>
      </c>
      <c r="E34" s="332" t="str">
        <f>Gia_Tbi!$D$15</f>
        <v/>
      </c>
      <c r="F34" s="1022">
        <v>0.1</v>
      </c>
      <c r="G34" s="1023">
        <f>Gia_Tbi!$E$15</f>
        <v>10</v>
      </c>
      <c r="H34" s="621">
        <f>Gia_Tbi!$F$15</f>
        <v>357000000</v>
      </c>
      <c r="I34" s="621">
        <f>Gia_Tbi!$G$15</f>
        <v>71400</v>
      </c>
      <c r="J34" s="960">
        <f>$I34*F34</f>
        <v>7140</v>
      </c>
      <c r="K34" s="1034"/>
    </row>
    <row r="35" spans="1:11" ht="15.75">
      <c r="B35" s="332"/>
      <c r="C35" s="333" t="s">
        <v>557</v>
      </c>
      <c r="D35" s="332" t="str">
        <f>Gia_Tbi!$C$12</f>
        <v>Bộ</v>
      </c>
      <c r="E35" s="332">
        <f>Gia_Tbi!$D$12</f>
        <v>0.1</v>
      </c>
      <c r="F35" s="1029">
        <v>0.4</v>
      </c>
      <c r="G35" s="353">
        <f>Gia_Tbi!$E$12</f>
        <v>5</v>
      </c>
      <c r="H35" s="1024">
        <f>Gia_Tbi!$F$12</f>
        <v>2500000</v>
      </c>
      <c r="I35" s="1024">
        <f>Gia_Tbi!$G$12</f>
        <v>1000</v>
      </c>
      <c r="J35" s="960">
        <f>I35*F35</f>
        <v>400</v>
      </c>
      <c r="K35" s="1025"/>
    </row>
    <row r="36" spans="1:11" ht="15.75">
      <c r="B36" s="332"/>
      <c r="C36" s="333" t="s">
        <v>8</v>
      </c>
      <c r="D36" s="332" t="str">
        <f>Gia_Tbi!$C$13</f>
        <v>KW</v>
      </c>
      <c r="E36" s="332"/>
      <c r="F36" s="1022">
        <v>0.38929999999999998</v>
      </c>
      <c r="G36" s="1023"/>
      <c r="H36" s="1024">
        <f>Gia_Tbi!$F$13</f>
        <v>1686</v>
      </c>
      <c r="I36" s="1024">
        <f>Gia_Tbi!$G$13</f>
        <v>13488</v>
      </c>
      <c r="J36" s="960">
        <f>I36*F36</f>
        <v>5250.8783999999996</v>
      </c>
      <c r="K36" s="1025"/>
    </row>
    <row r="37" spans="1:11" ht="15.75">
      <c r="A37" s="357" t="str">
        <f>NhanCong_Xa!A13</f>
        <v>9.3</v>
      </c>
      <c r="B37" s="332" t="str">
        <f>NhanCong_Xa!B13</f>
        <v>3.3</v>
      </c>
      <c r="C37" s="333" t="str">
        <f>NhanCong_Xa!C13:C13</f>
        <v>Đóng gói giao nộp cơ sở dữ liệu thống kê, kiểm kê đất đai</v>
      </c>
      <c r="D37" s="332"/>
      <c r="E37" s="332"/>
      <c r="F37" s="1029"/>
      <c r="G37" s="353"/>
      <c r="H37" s="1030"/>
      <c r="I37" s="1030"/>
      <c r="J37" s="1019">
        <f>SUM(J38:J40)</f>
        <v>345.40000000000003</v>
      </c>
      <c r="K37" s="1020">
        <f>J41</f>
        <v>673.05119999999999</v>
      </c>
    </row>
    <row r="38" spans="1:11" ht="15.75">
      <c r="B38" s="332"/>
      <c r="C38" s="1021" t="str">
        <f>Gia_Tbi!$B$4</f>
        <v>Máy tính để bàn</v>
      </c>
      <c r="D38" s="332" t="str">
        <f>Gia_Tbi!$C$4</f>
        <v>Cái</v>
      </c>
      <c r="E38" s="332">
        <f>Gia_Tbi!$D$4</f>
        <v>0.4</v>
      </c>
      <c r="F38" s="1029">
        <v>0.08</v>
      </c>
      <c r="G38" s="1023">
        <f>Gia_Tbi!$E$4</f>
        <v>5</v>
      </c>
      <c r="H38" s="1024">
        <f>Gia_Tbi!F$4</f>
        <v>10000000</v>
      </c>
      <c r="I38" s="1024">
        <f>Gia_Tbi!$G$4</f>
        <v>4000</v>
      </c>
      <c r="J38" s="960">
        <f>I38*F38</f>
        <v>320</v>
      </c>
      <c r="K38" s="1025"/>
    </row>
    <row r="39" spans="1:11" ht="15.75">
      <c r="B39" s="332"/>
      <c r="C39" s="333" t="s">
        <v>83</v>
      </c>
      <c r="D39" s="332" t="str">
        <f>Gia_Tbi!$C$5</f>
        <v>Cái</v>
      </c>
      <c r="E39" s="332">
        <f>Gia_Tbi!$D$5</f>
        <v>0.6</v>
      </c>
      <c r="F39" s="1029">
        <v>5.3E-3</v>
      </c>
      <c r="G39" s="353">
        <f>Gia_Tbi!$E$5</f>
        <v>5</v>
      </c>
      <c r="H39" s="1030">
        <f>Gia_Tbi!$F$5</f>
        <v>2500000</v>
      </c>
      <c r="I39" s="1030">
        <f>Gia_Tbi!$G$5</f>
        <v>1000</v>
      </c>
      <c r="J39" s="960">
        <f>I39*F39</f>
        <v>5.3</v>
      </c>
      <c r="K39" s="1025"/>
    </row>
    <row r="40" spans="1:11" ht="15.75">
      <c r="B40" s="332"/>
      <c r="C40" s="333" t="s">
        <v>25</v>
      </c>
      <c r="D40" s="332" t="str">
        <f>Gia_Tbi!$C$6</f>
        <v>Cái</v>
      </c>
      <c r="E40" s="332">
        <f>Gia_Tbi!$D$6</f>
        <v>2.2000000000000002</v>
      </c>
      <c r="F40" s="1029">
        <v>6.7000000000000002E-3</v>
      </c>
      <c r="G40" s="1023">
        <f>Gia_Tbi!$E$6</f>
        <v>8</v>
      </c>
      <c r="H40" s="1024">
        <f>Gia_Tbi!$F$6</f>
        <v>12000000</v>
      </c>
      <c r="I40" s="1024">
        <f>Gia_Tbi!$G$6</f>
        <v>3000</v>
      </c>
      <c r="J40" s="960">
        <f>I40*F40</f>
        <v>20.100000000000001</v>
      </c>
      <c r="K40" s="1025"/>
    </row>
    <row r="41" spans="1:11" ht="15.75">
      <c r="B41" s="332"/>
      <c r="C41" s="333" t="s">
        <v>8</v>
      </c>
      <c r="D41" s="332" t="str">
        <f>Gia_Tbi!$C$13</f>
        <v>KW</v>
      </c>
      <c r="E41" s="332"/>
      <c r="F41" s="1022">
        <v>4.99E-2</v>
      </c>
      <c r="G41" s="1023"/>
      <c r="H41" s="1024">
        <f>Gia_Tbi!$F$13</f>
        <v>1686</v>
      </c>
      <c r="I41" s="1024">
        <f>Gia_Tbi!$G$13</f>
        <v>13488</v>
      </c>
      <c r="J41" s="960">
        <f>I41*F41</f>
        <v>673.05119999999999</v>
      </c>
      <c r="K41" s="1025"/>
    </row>
    <row r="42" spans="1:11" ht="15.75">
      <c r="B42" s="725"/>
      <c r="C42" s="725"/>
      <c r="D42" s="725"/>
      <c r="E42" s="725"/>
      <c r="F42" s="726"/>
      <c r="G42" s="858"/>
      <c r="H42" s="862"/>
      <c r="I42" s="862"/>
      <c r="J42" s="859"/>
      <c r="K42" s="865"/>
    </row>
    <row r="43" spans="1:11" s="331" customFormat="1" ht="110.25" customHeight="1">
      <c r="B43" s="326" t="s">
        <v>14</v>
      </c>
      <c r="C43" s="326" t="str">
        <f>C3</f>
        <v>Danh mục thiết bị</v>
      </c>
      <c r="D43" s="326" t="s">
        <v>21</v>
      </c>
      <c r="E43" s="326" t="s">
        <v>893</v>
      </c>
      <c r="F43" s="636" t="s">
        <v>894</v>
      </c>
      <c r="G43" s="1035" t="s">
        <v>5</v>
      </c>
      <c r="H43" s="1036" t="s">
        <v>19</v>
      </c>
      <c r="I43" s="1036" t="s">
        <v>1</v>
      </c>
      <c r="J43" s="1035" t="s">
        <v>780</v>
      </c>
      <c r="K43" s="1035" t="s">
        <v>781</v>
      </c>
    </row>
    <row r="44" spans="1:11" s="331" customFormat="1" ht="15.75">
      <c r="A44" s="331">
        <f>NhanCong_Xa!A16</f>
        <v>2</v>
      </c>
      <c r="B44" s="326">
        <f>NhanCong_Xa!B16</f>
        <v>1</v>
      </c>
      <c r="C44" s="496" t="str">
        <f>NhanCong_Xa!C16:C16</f>
        <v>Thu thập tài liệu, dữ liệu</v>
      </c>
      <c r="D44" s="326"/>
      <c r="E44" s="487"/>
      <c r="F44" s="1017"/>
      <c r="G44" s="959"/>
      <c r="H44" s="488"/>
      <c r="I44" s="488"/>
      <c r="J44" s="960"/>
      <c r="K44" s="960"/>
    </row>
    <row r="45" spans="1:11" ht="15.75">
      <c r="A45" s="357" t="str">
        <f>NhanCong_Xa!A17</f>
        <v>2.1</v>
      </c>
      <c r="B45" s="332" t="str">
        <f>NhanCong_Xa!B17</f>
        <v>1.1</v>
      </c>
      <c r="C45" s="495" t="str">
        <f>NhanCong_Xa!C17</f>
        <v>Thu thập tài liệu, dữ liệu thống kê</v>
      </c>
      <c r="D45" s="326"/>
      <c r="E45" s="487"/>
      <c r="F45" s="1017"/>
      <c r="G45" s="959"/>
      <c r="H45" s="488"/>
      <c r="I45" s="488"/>
      <c r="J45" s="1019">
        <f>SUM(J46:J47)</f>
        <v>340.1</v>
      </c>
      <c r="K45" s="1019">
        <f>J48</f>
        <v>629.88959999999997</v>
      </c>
    </row>
    <row r="46" spans="1:11" ht="15.75">
      <c r="B46" s="332"/>
      <c r="C46" s="1021" t="str">
        <f>Gia_Tbi!$B$4</f>
        <v>Máy tính để bàn</v>
      </c>
      <c r="D46" s="332" t="str">
        <f>Gia_Tbi!$C$4</f>
        <v>Cái</v>
      </c>
      <c r="E46" s="332">
        <f>Gia_Tbi!$D$4</f>
        <v>0.4</v>
      </c>
      <c r="F46" s="1022">
        <v>0.08</v>
      </c>
      <c r="G46" s="1023">
        <f>Gia_Tbi!$E$4</f>
        <v>5</v>
      </c>
      <c r="H46" s="1024">
        <f>Gia_Tbi!$F$4</f>
        <v>10000000</v>
      </c>
      <c r="I46" s="1024">
        <f>Gia_Tbi!$G$4</f>
        <v>4000</v>
      </c>
      <c r="J46" s="960">
        <f>$I46*F46</f>
        <v>320</v>
      </c>
      <c r="K46" s="1025"/>
    </row>
    <row r="47" spans="1:11" ht="15.75">
      <c r="B47" s="332"/>
      <c r="C47" s="333" t="s">
        <v>25</v>
      </c>
      <c r="D47" s="332" t="str">
        <f>D7</f>
        <v>Cái</v>
      </c>
      <c r="E47" s="332">
        <f>Gia_Tbi!$D$6</f>
        <v>2.2000000000000002</v>
      </c>
      <c r="F47" s="1022">
        <v>6.7000000000000002E-3</v>
      </c>
      <c r="G47" s="1023">
        <f>Gia_Tbi!$E$6</f>
        <v>8</v>
      </c>
      <c r="H47" s="1024">
        <f>Gia_Tbi!$F$6</f>
        <v>12000000</v>
      </c>
      <c r="I47" s="1024">
        <f>Gia_Tbi!$G$6</f>
        <v>3000</v>
      </c>
      <c r="J47" s="960">
        <f>$I47*F47</f>
        <v>20.100000000000001</v>
      </c>
      <c r="K47" s="1025"/>
    </row>
    <row r="48" spans="1:11" ht="15.75">
      <c r="B48" s="332"/>
      <c r="C48" s="333" t="s">
        <v>8</v>
      </c>
      <c r="D48" s="332" t="str">
        <f>Gia_Tbi!$C$13</f>
        <v>KW</v>
      </c>
      <c r="E48" s="332"/>
      <c r="F48" s="1022">
        <v>4.6699999999999998E-2</v>
      </c>
      <c r="G48" s="1023"/>
      <c r="H48" s="1024">
        <f>Gia_Tbi!$F$13</f>
        <v>1686</v>
      </c>
      <c r="I48" s="1024">
        <f>Gia_Tbi!$G$13</f>
        <v>13488</v>
      </c>
      <c r="J48" s="960">
        <f>$I48*F48</f>
        <v>629.88959999999997</v>
      </c>
      <c r="K48" s="1025"/>
    </row>
    <row r="49" spans="1:11" ht="15.75">
      <c r="A49" s="357" t="str">
        <f>NhanCong_Xa!A18</f>
        <v>2.2</v>
      </c>
      <c r="B49" s="332" t="str">
        <f>NhanCong_Xa!B18</f>
        <v>1.2</v>
      </c>
      <c r="C49" s="495" t="str">
        <f>NhanCong_Xa!C18</f>
        <v>Thu thập tài liệu, dữ liệu kiểm kê</v>
      </c>
      <c r="D49" s="332"/>
      <c r="E49" s="332"/>
      <c r="F49" s="1022"/>
      <c r="G49" s="1023"/>
      <c r="H49" s="1024"/>
      <c r="I49" s="1024"/>
      <c r="J49" s="1019">
        <f>SUM(J50:J51)</f>
        <v>850.1</v>
      </c>
      <c r="K49" s="1019">
        <f>J52</f>
        <v>1574.0496000000001</v>
      </c>
    </row>
    <row r="50" spans="1:11" ht="15.75">
      <c r="B50" s="332"/>
      <c r="C50" s="1021" t="str">
        <f>Gia_Tbi!$B$4</f>
        <v>Máy tính để bàn</v>
      </c>
      <c r="D50" s="332" t="str">
        <f>Gia_Tbi!$C$4</f>
        <v>Cái</v>
      </c>
      <c r="E50" s="332">
        <f>Gia_Tbi!$D$4</f>
        <v>0.4</v>
      </c>
      <c r="F50" s="1022">
        <v>0.2</v>
      </c>
      <c r="G50" s="1023">
        <f>Gia_Tbi!$E$4</f>
        <v>5</v>
      </c>
      <c r="H50" s="1024">
        <f>Gia_Tbi!$F$4</f>
        <v>10000000</v>
      </c>
      <c r="I50" s="1024">
        <f>Gia_Tbi!$G$4</f>
        <v>4000</v>
      </c>
      <c r="J50" s="960">
        <f>$I50*F50</f>
        <v>800</v>
      </c>
      <c r="K50" s="1025"/>
    </row>
    <row r="51" spans="1:11" s="511" customFormat="1" ht="15.75">
      <c r="B51" s="332"/>
      <c r="C51" s="333" t="s">
        <v>25</v>
      </c>
      <c r="D51" s="332" t="str">
        <f>D10</f>
        <v>Cái</v>
      </c>
      <c r="E51" s="332">
        <f>Gia_Tbi!$D$6</f>
        <v>2.2000000000000002</v>
      </c>
      <c r="F51" s="1022">
        <v>1.67E-2</v>
      </c>
      <c r="G51" s="1023">
        <f>Gia_Tbi!$E$6</f>
        <v>8</v>
      </c>
      <c r="H51" s="1024">
        <f>Gia_Tbi!$F$6</f>
        <v>12000000</v>
      </c>
      <c r="I51" s="1024">
        <f>Gia_Tbi!$G$6</f>
        <v>3000</v>
      </c>
      <c r="J51" s="960">
        <f>$I51*F51</f>
        <v>50.1</v>
      </c>
      <c r="K51" s="1025"/>
    </row>
    <row r="52" spans="1:11" ht="15.75">
      <c r="B52" s="332"/>
      <c r="C52" s="333" t="s">
        <v>8</v>
      </c>
      <c r="D52" s="332" t="str">
        <f>Gia_Tbi!$C$13</f>
        <v>KW</v>
      </c>
      <c r="E52" s="332"/>
      <c r="F52" s="1022">
        <v>0.1167</v>
      </c>
      <c r="G52" s="1023"/>
      <c r="H52" s="1024">
        <f>Gia_Tbi!$F$13</f>
        <v>1686</v>
      </c>
      <c r="I52" s="1024">
        <f>Gia_Tbi!$G$13</f>
        <v>13488</v>
      </c>
      <c r="J52" s="960">
        <f>$I52*F52</f>
        <v>1574.0496000000001</v>
      </c>
      <c r="K52" s="1025"/>
    </row>
    <row r="53" spans="1:11" ht="31.5">
      <c r="A53" s="357">
        <f>NhanCong_Xa!A19</f>
        <v>3</v>
      </c>
      <c r="B53" s="326">
        <f>NhanCong_Xa!B19</f>
        <v>2</v>
      </c>
      <c r="C53" s="327" t="str">
        <f>NhanCong_Xa!C19:C19</f>
        <v>Rà soát, đánh giá, phân loại và sắp xếp tài liệu, dữ liệu</v>
      </c>
      <c r="D53" s="326"/>
      <c r="E53" s="487"/>
      <c r="F53" s="1022"/>
      <c r="G53" s="959"/>
      <c r="H53" s="488"/>
      <c r="I53" s="488"/>
      <c r="J53" s="1019"/>
      <c r="K53" s="1019"/>
    </row>
    <row r="54" spans="1:11" ht="31.5">
      <c r="A54" s="357" t="str">
        <f>NhanCong_Xa!A20</f>
        <v>3.1</v>
      </c>
      <c r="B54" s="332" t="str">
        <f>NhanCong_Xa!B20</f>
        <v>2.1</v>
      </c>
      <c r="C54" s="495" t="str">
        <f>NhanCong_Xa!C20</f>
        <v>Rà soát, đánh giá, phân loại và sắp xếp tài liệu, dữ liệu thống kê và lập báo cáo kết quản thực hiện</v>
      </c>
      <c r="D54" s="326"/>
      <c r="E54" s="487"/>
      <c r="F54" s="1022"/>
      <c r="G54" s="959"/>
      <c r="H54" s="488"/>
      <c r="I54" s="488"/>
      <c r="J54" s="1019">
        <f>SUM(J56:J56)</f>
        <v>20.100000000000001</v>
      </c>
      <c r="K54" s="1019">
        <f>J57</f>
        <v>629.88959999999997</v>
      </c>
    </row>
    <row r="55" spans="1:11" ht="15.75">
      <c r="B55" s="332"/>
      <c r="C55" s="1021" t="str">
        <f>Gia_Tbi!$B$4</f>
        <v>Máy tính để bàn</v>
      </c>
      <c r="D55" s="332" t="str">
        <f>Gia_Tbi!$C$4</f>
        <v>Cái</v>
      </c>
      <c r="E55" s="332">
        <f>Gia_Tbi!$D$4</f>
        <v>0.4</v>
      </c>
      <c r="F55" s="1022">
        <v>0.08</v>
      </c>
      <c r="G55" s="1023">
        <f>Gia_Tbi!$E$4</f>
        <v>5</v>
      </c>
      <c r="H55" s="1024">
        <f>Gia_Tbi!$F$4</f>
        <v>10000000</v>
      </c>
      <c r="I55" s="1024">
        <f>Gia_Tbi!$G$4</f>
        <v>4000</v>
      </c>
      <c r="J55" s="960">
        <f>$I55*F55</f>
        <v>320</v>
      </c>
      <c r="K55" s="1025"/>
    </row>
    <row r="56" spans="1:11" ht="15.75">
      <c r="B56" s="332"/>
      <c r="C56" s="333" t="s">
        <v>25</v>
      </c>
      <c r="D56" s="332" t="str">
        <f>D47</f>
        <v>Cái</v>
      </c>
      <c r="E56" s="332">
        <f>Gia_Tbi!$D$6</f>
        <v>2.2000000000000002</v>
      </c>
      <c r="F56" s="1022">
        <v>6.7000000000000002E-3</v>
      </c>
      <c r="G56" s="1023">
        <f>Gia_Tbi!$E$6</f>
        <v>8</v>
      </c>
      <c r="H56" s="1024">
        <f>Gia_Tbi!$F$6</f>
        <v>12000000</v>
      </c>
      <c r="I56" s="1024">
        <f>Gia_Tbi!$G$6</f>
        <v>3000</v>
      </c>
      <c r="J56" s="960">
        <f>$I56*F56</f>
        <v>20.100000000000001</v>
      </c>
      <c r="K56" s="1025"/>
    </row>
    <row r="57" spans="1:11" ht="15.75">
      <c r="B57" s="332"/>
      <c r="C57" s="333" t="s">
        <v>8</v>
      </c>
      <c r="D57" s="332" t="str">
        <f>D48</f>
        <v>KW</v>
      </c>
      <c r="E57" s="332"/>
      <c r="F57" s="1022">
        <v>4.6699999999999998E-2</v>
      </c>
      <c r="G57" s="1023"/>
      <c r="H57" s="1024">
        <f>Gia_Tbi!$F$13</f>
        <v>1686</v>
      </c>
      <c r="I57" s="1024">
        <f>Gia_Tbi!$G$13</f>
        <v>13488</v>
      </c>
      <c r="J57" s="960">
        <f>$I57*F57</f>
        <v>629.88959999999997</v>
      </c>
      <c r="K57" s="1025"/>
    </row>
    <row r="58" spans="1:11" ht="31.5">
      <c r="A58" s="357" t="str">
        <f>NhanCong_Xa!A21</f>
        <v>3.2</v>
      </c>
      <c r="B58" s="332" t="str">
        <f>NhanCong_Xa!B21</f>
        <v>2.2</v>
      </c>
      <c r="C58" s="495" t="str">
        <f>NhanCong_Xa!C21</f>
        <v>Rà soát, đánh giá, phân loại và sắp xếp tài liệu, dữ liệu kiểm kê và lập báo cáo kết quản thực hiện</v>
      </c>
      <c r="D58" s="332"/>
      <c r="E58" s="332"/>
      <c r="F58" s="1022"/>
      <c r="G58" s="1023"/>
      <c r="H58" s="1024"/>
      <c r="I58" s="1024"/>
      <c r="J58" s="1019">
        <f>SUM(J60:J60)</f>
        <v>39.9</v>
      </c>
      <c r="K58" s="1019">
        <f>J61</f>
        <v>1258.4304</v>
      </c>
    </row>
    <row r="59" spans="1:11" s="511" customFormat="1" ht="15.75">
      <c r="B59" s="332"/>
      <c r="C59" s="1021" t="str">
        <f>Gia_Tbi!$B$4</f>
        <v>Máy tính để bàn</v>
      </c>
      <c r="D59" s="332" t="str">
        <f>Gia_Tbi!$C$4</f>
        <v>Cái</v>
      </c>
      <c r="E59" s="332">
        <f>Gia_Tbi!$D$4</f>
        <v>0.4</v>
      </c>
      <c r="F59" s="1022">
        <v>0.16</v>
      </c>
      <c r="G59" s="1023">
        <f>Gia_Tbi!$E$4</f>
        <v>5</v>
      </c>
      <c r="H59" s="1024">
        <f>Gia_Tbi!$F$4</f>
        <v>10000000</v>
      </c>
      <c r="I59" s="1024">
        <f>Gia_Tbi!$G$4</f>
        <v>4000</v>
      </c>
      <c r="J59" s="960">
        <f>$I59*F59</f>
        <v>640</v>
      </c>
      <c r="K59" s="1025"/>
    </row>
    <row r="60" spans="1:11" ht="15.75">
      <c r="B60" s="332"/>
      <c r="C60" s="333" t="s">
        <v>25</v>
      </c>
      <c r="D60" s="332" t="str">
        <f>D50</f>
        <v>Cái</v>
      </c>
      <c r="E60" s="332">
        <f>Gia_Tbi!$D$6</f>
        <v>2.2000000000000002</v>
      </c>
      <c r="F60" s="1022">
        <v>1.3299999999999999E-2</v>
      </c>
      <c r="G60" s="1023">
        <f>Gia_Tbi!$E$6</f>
        <v>8</v>
      </c>
      <c r="H60" s="1024">
        <f>Gia_Tbi!$F$6</f>
        <v>12000000</v>
      </c>
      <c r="I60" s="1024">
        <f>Gia_Tbi!$G$6</f>
        <v>3000</v>
      </c>
      <c r="J60" s="960">
        <f>$I60*F60</f>
        <v>39.9</v>
      </c>
      <c r="K60" s="1025"/>
    </row>
    <row r="61" spans="1:11" ht="15.75">
      <c r="B61" s="332"/>
      <c r="C61" s="333" t="s">
        <v>8</v>
      </c>
      <c r="D61" s="332" t="str">
        <f>Gia_Tbi!$C$13</f>
        <v>KW</v>
      </c>
      <c r="E61" s="332"/>
      <c r="F61" s="1022">
        <v>9.3299999999999994E-2</v>
      </c>
      <c r="G61" s="1023"/>
      <c r="H61" s="1024">
        <f>Gia_Tbi!$F$13</f>
        <v>1686</v>
      </c>
      <c r="I61" s="1024">
        <f>Gia_Tbi!$G$13</f>
        <v>13488</v>
      </c>
      <c r="J61" s="960">
        <f>$I61*F61</f>
        <v>1258.4304</v>
      </c>
      <c r="K61" s="1025"/>
    </row>
    <row r="62" spans="1:11" ht="15.75">
      <c r="A62" s="357">
        <f>NhanCong_Xa!A22</f>
        <v>5</v>
      </c>
      <c r="B62" s="326">
        <f>NhanCong_Xa!B22</f>
        <v>3</v>
      </c>
      <c r="C62" s="327" t="str">
        <f>NhanCong_Xa!C22:C22</f>
        <v>Quét giấy tờ pháp lý và xử lý tệp tin</v>
      </c>
      <c r="D62" s="326"/>
      <c r="E62" s="326"/>
      <c r="F62" s="1022"/>
      <c r="G62" s="959"/>
      <c r="H62" s="488"/>
      <c r="I62" s="488"/>
      <c r="J62" s="1019"/>
      <c r="K62" s="1025"/>
    </row>
    <row r="63" spans="1:11" ht="94.5">
      <c r="B63" s="1037" t="str">
        <f>+NhanCong_Xa!B23</f>
        <v>3.1</v>
      </c>
      <c r="C63" s="1038" t="str">
        <f>+NhanCong_Xa!C23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63" s="326"/>
      <c r="E63" s="326"/>
      <c r="F63" s="1022"/>
      <c r="G63" s="959"/>
      <c r="H63" s="488"/>
      <c r="I63" s="488"/>
      <c r="J63" s="1039"/>
      <c r="K63" s="1039"/>
    </row>
    <row r="64" spans="1:11" ht="15.75">
      <c r="B64" s="1037" t="str">
        <f>+NhanCong_Xa!B24</f>
        <v>3.1.1</v>
      </c>
      <c r="C64" s="1038" t="str">
        <f>+NhanCong_Xa!C24</f>
        <v>Trang A3</v>
      </c>
      <c r="D64" s="326"/>
      <c r="E64" s="326"/>
      <c r="F64" s="1022"/>
      <c r="G64" s="959"/>
      <c r="H64" s="488"/>
      <c r="I64" s="488"/>
      <c r="J64" s="1019">
        <f>+SUM(J65:J68)</f>
        <v>168.48</v>
      </c>
      <c r="K64" s="1020">
        <f>+J69</f>
        <v>230.6448</v>
      </c>
    </row>
    <row r="65" spans="1:11" ht="15.75">
      <c r="B65" s="1037"/>
      <c r="C65" s="1040" t="s">
        <v>82</v>
      </c>
      <c r="D65" s="332" t="s">
        <v>556</v>
      </c>
      <c r="E65" s="332">
        <v>0.4</v>
      </c>
      <c r="F65" s="355">
        <v>9.5999999999999992E-3</v>
      </c>
      <c r="G65" s="1023">
        <f>+Gia_Tbi!E4</f>
        <v>5</v>
      </c>
      <c r="H65" s="960">
        <f>+Gia_Tbi!F4</f>
        <v>10000000</v>
      </c>
      <c r="I65" s="960">
        <f>+Gia_Tbi!G4</f>
        <v>4000</v>
      </c>
      <c r="J65" s="960">
        <f>+I65*F65</f>
        <v>38.4</v>
      </c>
      <c r="K65" s="1039"/>
    </row>
    <row r="66" spans="1:11" ht="15.75">
      <c r="B66" s="1037"/>
      <c r="C66" s="1041" t="s">
        <v>982</v>
      </c>
      <c r="D66" s="332" t="s">
        <v>556</v>
      </c>
      <c r="E66" s="332">
        <v>0.6</v>
      </c>
      <c r="F66" s="355">
        <v>9.5999999999999992E-3</v>
      </c>
      <c r="G66" s="958">
        <f>+Gia_Tbi!E9</f>
        <v>8</v>
      </c>
      <c r="H66" s="960">
        <f>+Gia_Tbi!F9</f>
        <v>45200000</v>
      </c>
      <c r="I66" s="960">
        <f>+Gia_Tbi!G9</f>
        <v>11300</v>
      </c>
      <c r="J66" s="960">
        <f t="shared" ref="J66:J68" si="0">+I66*F66</f>
        <v>108.47999999999999</v>
      </c>
      <c r="K66" s="1039"/>
    </row>
    <row r="67" spans="1:11" ht="15.75">
      <c r="B67" s="1037"/>
      <c r="C67" s="1041" t="s">
        <v>983</v>
      </c>
      <c r="D67" s="332" t="s">
        <v>556</v>
      </c>
      <c r="E67" s="332">
        <v>0.4</v>
      </c>
      <c r="F67" s="355">
        <v>9.5999999999999992E-3</v>
      </c>
      <c r="G67" s="958">
        <f>+Gia_Tbi!E11</f>
        <v>5</v>
      </c>
      <c r="H67" s="960">
        <f>+Gia_Tbi!F11</f>
        <v>5000000</v>
      </c>
      <c r="I67" s="960">
        <f>+Gia_Tbi!G11</f>
        <v>2000</v>
      </c>
      <c r="J67" s="960">
        <f t="shared" si="0"/>
        <v>19.2</v>
      </c>
      <c r="K67" s="1039"/>
    </row>
    <row r="68" spans="1:11" ht="15.75">
      <c r="B68" s="1037"/>
      <c r="C68" s="1040" t="s">
        <v>25</v>
      </c>
      <c r="D68" s="332" t="s">
        <v>556</v>
      </c>
      <c r="E68" s="332">
        <v>2.2000000000000002</v>
      </c>
      <c r="F68" s="355">
        <v>8.0000000000000004E-4</v>
      </c>
      <c r="G68" s="1023">
        <f>+Gia_Tbi!E6</f>
        <v>8</v>
      </c>
      <c r="H68" s="621">
        <f>+Gia_Tbi!F6</f>
        <v>12000000</v>
      </c>
      <c r="I68" s="621">
        <f>+Gia_Tbi!G6</f>
        <v>3000</v>
      </c>
      <c r="J68" s="960">
        <f t="shared" si="0"/>
        <v>2.4</v>
      </c>
      <c r="K68" s="1039"/>
    </row>
    <row r="69" spans="1:11" ht="15.75">
      <c r="B69" s="1037"/>
      <c r="C69" s="1040" t="s">
        <v>8</v>
      </c>
      <c r="D69" s="332" t="s">
        <v>563</v>
      </c>
      <c r="E69" s="326"/>
      <c r="F69" s="409">
        <v>1.7100000000000001E-2</v>
      </c>
      <c r="G69" s="959"/>
      <c r="H69" s="960">
        <f>+Gia_Tbi!F13</f>
        <v>1686</v>
      </c>
      <c r="I69" s="960">
        <f>+Gia_Tbi!G13</f>
        <v>13488</v>
      </c>
      <c r="J69" s="960">
        <f>+I69*F69</f>
        <v>230.6448</v>
      </c>
      <c r="K69" s="1039"/>
    </row>
    <row r="70" spans="1:11" ht="15.75">
      <c r="B70" s="1037" t="str">
        <f>+NhanCong_Xa!B25</f>
        <v>3.1.2</v>
      </c>
      <c r="C70" s="1038" t="str">
        <f>+NhanCong_Xa!C25</f>
        <v>Trang A4</v>
      </c>
      <c r="D70" s="332"/>
      <c r="E70" s="326"/>
      <c r="F70" s="409"/>
      <c r="G70" s="959"/>
      <c r="H70" s="960"/>
      <c r="I70" s="960"/>
      <c r="J70" s="1019">
        <f>+SUM(J71:J74)</f>
        <v>55.900000000000006</v>
      </c>
      <c r="K70" s="1020">
        <f>+J75</f>
        <v>136.22880000000001</v>
      </c>
    </row>
    <row r="71" spans="1:11" ht="15.75">
      <c r="B71" s="1037"/>
      <c r="C71" s="1040" t="s">
        <v>82</v>
      </c>
      <c r="D71" s="332" t="s">
        <v>556</v>
      </c>
      <c r="E71" s="332">
        <v>0.4</v>
      </c>
      <c r="F71" s="355">
        <v>6.4000000000000003E-3</v>
      </c>
      <c r="G71" s="958">
        <f>+G59</f>
        <v>5</v>
      </c>
      <c r="H71" s="960">
        <f t="shared" ref="H71:I71" si="1">+H59</f>
        <v>10000000</v>
      </c>
      <c r="I71" s="960">
        <f t="shared" si="1"/>
        <v>4000</v>
      </c>
      <c r="J71" s="960">
        <f>+I71*F71</f>
        <v>25.6</v>
      </c>
      <c r="K71" s="1039"/>
    </row>
    <row r="72" spans="1:11" ht="15.75">
      <c r="B72" s="1037"/>
      <c r="C72" s="1041" t="s">
        <v>984</v>
      </c>
      <c r="D72" s="332" t="s">
        <v>556</v>
      </c>
      <c r="E72" s="332">
        <v>0.8</v>
      </c>
      <c r="F72" s="355">
        <v>6.4000000000000003E-3</v>
      </c>
      <c r="G72" s="958">
        <f>+Gia_Tbi!E8</f>
        <v>8</v>
      </c>
      <c r="H72" s="960">
        <f>+Gia_Tbi!F8</f>
        <v>10000000</v>
      </c>
      <c r="I72" s="960">
        <f>+Gia_Tbi!G8</f>
        <v>2500</v>
      </c>
      <c r="J72" s="960">
        <f t="shared" ref="J72:J74" si="2">+I72*F72</f>
        <v>16</v>
      </c>
      <c r="K72" s="1039"/>
    </row>
    <row r="73" spans="1:11" ht="15.75">
      <c r="B73" s="1037"/>
      <c r="C73" s="1041" t="s">
        <v>983</v>
      </c>
      <c r="D73" s="332" t="s">
        <v>556</v>
      </c>
      <c r="E73" s="332">
        <v>0.4</v>
      </c>
      <c r="F73" s="355">
        <v>6.4000000000000003E-3</v>
      </c>
      <c r="G73" s="958">
        <f>+G67</f>
        <v>5</v>
      </c>
      <c r="H73" s="960">
        <f t="shared" ref="H73:I73" si="3">+H67</f>
        <v>5000000</v>
      </c>
      <c r="I73" s="960">
        <f t="shared" si="3"/>
        <v>2000</v>
      </c>
      <c r="J73" s="960">
        <f t="shared" si="2"/>
        <v>12.8</v>
      </c>
      <c r="K73" s="1039"/>
    </row>
    <row r="74" spans="1:11" ht="15.75">
      <c r="B74" s="332"/>
      <c r="C74" s="333" t="s">
        <v>25</v>
      </c>
      <c r="D74" s="332" t="s">
        <v>556</v>
      </c>
      <c r="E74" s="332">
        <v>2.2000000000000002</v>
      </c>
      <c r="F74" s="355">
        <v>5.0000000000000001E-4</v>
      </c>
      <c r="G74" s="958">
        <f>+G68</f>
        <v>8</v>
      </c>
      <c r="H74" s="960">
        <f t="shared" ref="H74:I74" si="4">+H68</f>
        <v>12000000</v>
      </c>
      <c r="I74" s="960">
        <f t="shared" si="4"/>
        <v>3000</v>
      </c>
      <c r="J74" s="960">
        <f t="shared" si="2"/>
        <v>1.5</v>
      </c>
      <c r="K74" s="1039"/>
    </row>
    <row r="75" spans="1:11" ht="15.75">
      <c r="B75" s="332"/>
      <c r="C75" s="333" t="s">
        <v>8</v>
      </c>
      <c r="D75" s="332" t="s">
        <v>563</v>
      </c>
      <c r="E75" s="326"/>
      <c r="F75" s="409">
        <v>1.01E-2</v>
      </c>
      <c r="G75" s="958">
        <f>+G69</f>
        <v>0</v>
      </c>
      <c r="H75" s="960">
        <f t="shared" ref="H75:I75" si="5">+H69</f>
        <v>1686</v>
      </c>
      <c r="I75" s="960">
        <f t="shared" si="5"/>
        <v>13488</v>
      </c>
      <c r="J75" s="960">
        <f>+I75*F75</f>
        <v>136.22880000000001</v>
      </c>
      <c r="K75" s="1039"/>
    </row>
    <row r="76" spans="1:11" ht="94.5">
      <c r="B76" s="1037" t="str">
        <f>+NhanCong_Xa!B26</f>
        <v>3.2</v>
      </c>
      <c r="C76" s="1038" t="str">
        <f>+NhanCong_Xa!C26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D76" s="326"/>
      <c r="E76" s="326"/>
      <c r="F76" s="961"/>
      <c r="G76" s="959"/>
      <c r="H76" s="488"/>
      <c r="I76" s="488"/>
      <c r="J76" s="1019">
        <f>+J77+J78</f>
        <v>13.700000000000001</v>
      </c>
      <c r="K76" s="1020">
        <f>+J79</f>
        <v>25.627199999999998</v>
      </c>
    </row>
    <row r="77" spans="1:11" ht="15.75">
      <c r="B77" s="1037"/>
      <c r="C77" s="333" t="s">
        <v>82</v>
      </c>
      <c r="D77" s="332" t="s">
        <v>556</v>
      </c>
      <c r="E77" s="332">
        <f>+Gia_Tbi!D4</f>
        <v>0.4</v>
      </c>
      <c r="F77" s="409">
        <v>3.2000000000000002E-3</v>
      </c>
      <c r="G77" s="958">
        <f>+Gia_Tbi!E4</f>
        <v>5</v>
      </c>
      <c r="H77" s="960">
        <f>+Gia_Tbi!F4</f>
        <v>10000000</v>
      </c>
      <c r="I77" s="960">
        <f>+Gia_Tbi!G4</f>
        <v>4000</v>
      </c>
      <c r="J77" s="960">
        <f t="shared" ref="J77:J79" si="6">$I77*F77</f>
        <v>12.8</v>
      </c>
      <c r="K77" s="1020"/>
    </row>
    <row r="78" spans="1:11" ht="15.75">
      <c r="B78" s="1037"/>
      <c r="C78" s="333" t="s">
        <v>25</v>
      </c>
      <c r="D78" s="332" t="s">
        <v>556</v>
      </c>
      <c r="E78" s="332">
        <f>+Gia_Tbi!D6</f>
        <v>2.2000000000000002</v>
      </c>
      <c r="F78" s="409">
        <v>2.9999999999999997E-4</v>
      </c>
      <c r="G78" s="958">
        <f>+Gia_Tbi!E6</f>
        <v>8</v>
      </c>
      <c r="H78" s="960">
        <f>+Gia_Tbi!F6</f>
        <v>12000000</v>
      </c>
      <c r="I78" s="960">
        <f>+Gia_Tbi!G6</f>
        <v>3000</v>
      </c>
      <c r="J78" s="960">
        <f t="shared" si="6"/>
        <v>0.89999999999999991</v>
      </c>
      <c r="K78" s="1020"/>
    </row>
    <row r="79" spans="1:11" ht="15.75">
      <c r="B79" s="1037"/>
      <c r="C79" s="333" t="s">
        <v>8</v>
      </c>
      <c r="D79" s="332" t="s">
        <v>563</v>
      </c>
      <c r="E79" s="332">
        <f>+Gia_Tbi!D13</f>
        <v>0</v>
      </c>
      <c r="F79" s="409">
        <v>1.9E-3</v>
      </c>
      <c r="G79" s="958"/>
      <c r="H79" s="960">
        <f>+Gia_Tbi!F13</f>
        <v>1686</v>
      </c>
      <c r="I79" s="960">
        <f>+Gia_Tbi!G13</f>
        <v>13488</v>
      </c>
      <c r="J79" s="960">
        <f t="shared" si="6"/>
        <v>25.627199999999998</v>
      </c>
      <c r="K79" s="1020"/>
    </row>
    <row r="80" spans="1:11" ht="31.5">
      <c r="A80" s="357" t="str">
        <f>NhanCong_Xa!A27</f>
        <v>5.3</v>
      </c>
      <c r="B80" s="332" t="str">
        <f>NhanCong_Xa!B27</f>
        <v>3.3</v>
      </c>
      <c r="C80" s="333" t="str">
        <f>NhanCong_Xa!C27:C27</f>
        <v>Tạo danh mục tra cứu hồ sơ quét trong cơ sở dữ liệu thống kê, kiểm kê đất đai</v>
      </c>
      <c r="D80" s="332"/>
      <c r="E80" s="332"/>
      <c r="F80" s="1022"/>
      <c r="G80" s="958"/>
      <c r="H80" s="1030"/>
      <c r="I80" s="1030"/>
      <c r="J80" s="1034">
        <f>SUM(J81:J85)</f>
        <v>823.62400000000002</v>
      </c>
      <c r="K80" s="1020">
        <f>J86</f>
        <v>629.88959999999997</v>
      </c>
    </row>
    <row r="81" spans="1:11" ht="15.75">
      <c r="B81" s="332"/>
      <c r="C81" s="1021" t="str">
        <f>Gia_Tbi!$B$4</f>
        <v>Máy tính để bàn</v>
      </c>
      <c r="D81" s="332" t="str">
        <f>Gia_Tbi!$C$4</f>
        <v>Cái</v>
      </c>
      <c r="E81" s="332">
        <f>Gia_Tbi!$D$4</f>
        <v>0.4</v>
      </c>
      <c r="F81" s="1022">
        <v>0.08</v>
      </c>
      <c r="G81" s="1023">
        <f>Gia_Tbi!$E$4</f>
        <v>5</v>
      </c>
      <c r="H81" s="1024">
        <f>Gia_Tbi!$F$4</f>
        <v>10000000</v>
      </c>
      <c r="I81" s="1024">
        <f>Gia_Tbi!$G$4</f>
        <v>4000</v>
      </c>
      <c r="J81" s="960">
        <f t="shared" ref="J81:J86" si="7">$I81*F81</f>
        <v>320</v>
      </c>
      <c r="K81" s="1025"/>
    </row>
    <row r="82" spans="1:11" ht="15.75">
      <c r="B82" s="332"/>
      <c r="C82" s="333" t="str">
        <f>Gia_Tbi!$B$10</f>
        <v>Máy chủ</v>
      </c>
      <c r="D82" s="332" t="str">
        <f>Gia_Tbi!$C$10</f>
        <v>Cái</v>
      </c>
      <c r="E82" s="332">
        <f>Gia_Tbi!$D$10</f>
        <v>1</v>
      </c>
      <c r="F82" s="1022">
        <v>0.02</v>
      </c>
      <c r="G82" s="353">
        <f>Gia_Tbi!$E$10</f>
        <v>10</v>
      </c>
      <c r="H82" s="1024">
        <f>Gia_Tbi!$F$10</f>
        <v>80000000</v>
      </c>
      <c r="I82" s="1024">
        <f>Gia_Tbi!$G$10</f>
        <v>16000</v>
      </c>
      <c r="J82" s="960">
        <f t="shared" si="7"/>
        <v>320</v>
      </c>
      <c r="K82" s="1025"/>
    </row>
    <row r="83" spans="1:11" ht="15.75">
      <c r="B83" s="332"/>
      <c r="C83" s="333" t="str">
        <f>Gia_Tbi!$B$14</f>
        <v>Hệ quản trị cơ sở dữ liệu thuộc tính</v>
      </c>
      <c r="D83" s="332" t="str">
        <f>Gia_Tbi!$C$14</f>
        <v>Bộ</v>
      </c>
      <c r="E83" s="332" t="str">
        <f>Gia_Tbi!$D$14</f>
        <v/>
      </c>
      <c r="F83" s="1022">
        <v>0.02</v>
      </c>
      <c r="G83" s="1023">
        <f>Gia_Tbi!$E$14</f>
        <v>10</v>
      </c>
      <c r="H83" s="621">
        <f>Gia_Tbi!$F$14</f>
        <v>20881000</v>
      </c>
      <c r="I83" s="621">
        <f>Gia_Tbi!$G$14</f>
        <v>4176.2</v>
      </c>
      <c r="J83" s="960">
        <f t="shared" si="7"/>
        <v>83.524000000000001</v>
      </c>
      <c r="K83" s="1034"/>
    </row>
    <row r="84" spans="1:11" ht="15.75">
      <c r="B84" s="332"/>
      <c r="C84" s="333" t="s">
        <v>557</v>
      </c>
      <c r="D84" s="332" t="str">
        <f>Gia_Tbi!$C$12</f>
        <v>Bộ</v>
      </c>
      <c r="E84" s="332">
        <f>Gia_Tbi!$D$12</f>
        <v>0.1</v>
      </c>
      <c r="F84" s="1022">
        <v>0.08</v>
      </c>
      <c r="G84" s="353">
        <f>Gia_Tbi!$E$12</f>
        <v>5</v>
      </c>
      <c r="H84" s="1024">
        <f>Gia_Tbi!$F$12</f>
        <v>2500000</v>
      </c>
      <c r="I84" s="1024">
        <f>Gia_Tbi!$G$12</f>
        <v>1000</v>
      </c>
      <c r="J84" s="960">
        <f t="shared" si="7"/>
        <v>80</v>
      </c>
      <c r="K84" s="1025"/>
    </row>
    <row r="85" spans="1:11" ht="15.75">
      <c r="B85" s="332"/>
      <c r="C85" s="333" t="s">
        <v>25</v>
      </c>
      <c r="D85" s="332" t="s">
        <v>556</v>
      </c>
      <c r="E85" s="332">
        <f>Gia_Tbi!$D$6</f>
        <v>2.2000000000000002</v>
      </c>
      <c r="F85" s="1022">
        <v>6.7000000000000002E-3</v>
      </c>
      <c r="G85" s="1023">
        <f>Gia_Tbi!$E$6</f>
        <v>8</v>
      </c>
      <c r="H85" s="1024">
        <f>Gia_Tbi!$F$6</f>
        <v>12000000</v>
      </c>
      <c r="I85" s="1024">
        <f>Gia_Tbi!$G$6</f>
        <v>3000</v>
      </c>
      <c r="J85" s="960">
        <f t="shared" si="7"/>
        <v>20.100000000000001</v>
      </c>
      <c r="K85" s="1025"/>
    </row>
    <row r="86" spans="1:11" ht="15.75">
      <c r="B86" s="332"/>
      <c r="C86" s="333" t="s">
        <v>8</v>
      </c>
      <c r="D86" s="332" t="str">
        <f>Gia_Tbi!$C$13</f>
        <v>KW</v>
      </c>
      <c r="E86" s="332"/>
      <c r="F86" s="1022">
        <v>4.6699999999999998E-2</v>
      </c>
      <c r="G86" s="1023"/>
      <c r="H86" s="1024">
        <f>Gia_Tbi!$F$13</f>
        <v>1686</v>
      </c>
      <c r="I86" s="1024">
        <f>Gia_Tbi!$G$13</f>
        <v>13488</v>
      </c>
      <c r="J86" s="960">
        <f t="shared" si="7"/>
        <v>629.88959999999997</v>
      </c>
      <c r="K86" s="1025"/>
    </row>
    <row r="87" spans="1:11" ht="31.5">
      <c r="A87" s="357">
        <f>NhanCong_Xa!A28</f>
        <v>6</v>
      </c>
      <c r="B87" s="326">
        <f>NhanCong_Xa!B28</f>
        <v>4</v>
      </c>
      <c r="C87" s="327" t="str">
        <f>NhanCong_Xa!C28:C28</f>
        <v>Xây dựng dữ liệu thuộc tính thống kê, kiểm kê đất đai</v>
      </c>
      <c r="D87" s="326"/>
      <c r="E87" s="487"/>
      <c r="F87" s="1022"/>
      <c r="G87" s="959"/>
      <c r="H87" s="488"/>
      <c r="I87" s="488"/>
      <c r="J87" s="1019"/>
      <c r="K87" s="1025"/>
    </row>
    <row r="88" spans="1:11" ht="15.75">
      <c r="A88" s="357" t="str">
        <f>NhanCong_Xa!A29</f>
        <v>6.1</v>
      </c>
      <c r="B88" s="332" t="str">
        <f>NhanCong_Xa!B29</f>
        <v>4.1</v>
      </c>
      <c r="C88" s="495" t="str">
        <f>NhanCong_Xa!C29</f>
        <v>Đối với tài liệu, số liệu là bảng, biểu dạng số</v>
      </c>
      <c r="D88" s="326"/>
      <c r="E88" s="487"/>
      <c r="F88" s="1022"/>
      <c r="G88" s="959"/>
      <c r="H88" s="488"/>
      <c r="I88" s="488"/>
      <c r="J88" s="1019"/>
      <c r="K88" s="1025"/>
    </row>
    <row r="89" spans="1:11" ht="31.5">
      <c r="A89" s="357" t="str">
        <f>NhanCong_Xa!A30</f>
        <v>6.1.1</v>
      </c>
      <c r="B89" s="332" t="str">
        <f>NhanCong_Xa!B30</f>
        <v>4.1.1</v>
      </c>
      <c r="C89" s="333" t="str">
        <f>NhanCong_Xa!C30:C30</f>
        <v>Lập mô hình chuyển đổi cơ sở dữ liệu thống kê, kiểm kê đất đai</v>
      </c>
      <c r="D89" s="326"/>
      <c r="E89" s="487"/>
      <c r="F89" s="1022"/>
      <c r="G89" s="959"/>
      <c r="H89" s="488"/>
      <c r="I89" s="488"/>
      <c r="J89" s="1019">
        <f>SUM(J90:J91)</f>
        <v>679.9</v>
      </c>
      <c r="K89" s="1020">
        <f>J92</f>
        <v>1258.4304</v>
      </c>
    </row>
    <row r="90" spans="1:11" ht="15.75">
      <c r="B90" s="332"/>
      <c r="C90" s="333" t="s">
        <v>82</v>
      </c>
      <c r="D90" s="332" t="str">
        <f>Gia_Tbi!$C$4</f>
        <v>Cái</v>
      </c>
      <c r="E90" s="332">
        <f>Gia_Tbi!$D$4</f>
        <v>0.4</v>
      </c>
      <c r="F90" s="1022">
        <v>0.16</v>
      </c>
      <c r="G90" s="1023">
        <f>Gia_Tbi!$E$4</f>
        <v>5</v>
      </c>
      <c r="H90" s="1024">
        <f>Gia_Tbi!$F$4</f>
        <v>10000000</v>
      </c>
      <c r="I90" s="1024">
        <f>Gia_Tbi!$G$4</f>
        <v>4000</v>
      </c>
      <c r="J90" s="960">
        <f>$I90*F90</f>
        <v>640</v>
      </c>
      <c r="K90" s="1025"/>
    </row>
    <row r="91" spans="1:11" ht="15.75">
      <c r="B91" s="332"/>
      <c r="C91" s="333" t="s">
        <v>25</v>
      </c>
      <c r="D91" s="332" t="s">
        <v>556</v>
      </c>
      <c r="E91" s="332">
        <f>Gia_Tbi!$D$6</f>
        <v>2.2000000000000002</v>
      </c>
      <c r="F91" s="1022">
        <v>1.3299999999999999E-2</v>
      </c>
      <c r="G91" s="1023">
        <f>Gia_Tbi!$E$6</f>
        <v>8</v>
      </c>
      <c r="H91" s="1024">
        <f>Gia_Tbi!$F$6</f>
        <v>12000000</v>
      </c>
      <c r="I91" s="1024">
        <f>Gia_Tbi!$G$6</f>
        <v>3000</v>
      </c>
      <c r="J91" s="960">
        <f>$I91*F91</f>
        <v>39.9</v>
      </c>
      <c r="K91" s="1025"/>
    </row>
    <row r="92" spans="1:11" ht="15.75">
      <c r="B92" s="332"/>
      <c r="C92" s="333" t="s">
        <v>8</v>
      </c>
      <c r="D92" s="332" t="str">
        <f>Gia_Tbi!$C$13</f>
        <v>KW</v>
      </c>
      <c r="E92" s="332"/>
      <c r="F92" s="1022">
        <v>9.3299999999999994E-2</v>
      </c>
      <c r="G92" s="1023"/>
      <c r="H92" s="1024">
        <f>Gia_Tbi!$F$13</f>
        <v>1686</v>
      </c>
      <c r="I92" s="1024">
        <f>Gia_Tbi!$G$13</f>
        <v>13488</v>
      </c>
      <c r="J92" s="960">
        <f>$I92*F92</f>
        <v>1258.4304</v>
      </c>
      <c r="K92" s="1025"/>
    </row>
    <row r="93" spans="1:11" ht="15.75">
      <c r="A93" s="357" t="str">
        <f>NhanCong_Xa!A31</f>
        <v>6.1.2</v>
      </c>
      <c r="B93" s="332" t="str">
        <f>NhanCong_Xa!B31</f>
        <v>4.1.2</v>
      </c>
      <c r="C93" s="333" t="str">
        <f>NhanCong_Xa!C31:C31</f>
        <v>Chuyển đổi vào cơ sở dữ liệu thống kê, kiểm kê đất đai</v>
      </c>
      <c r="D93" s="332"/>
      <c r="E93" s="332"/>
      <c r="F93" s="1022"/>
      <c r="G93" s="1023"/>
      <c r="H93" s="1024"/>
      <c r="I93" s="1024"/>
      <c r="J93" s="1019">
        <f>SUM(J94:J98)</f>
        <v>3043.6239999999998</v>
      </c>
      <c r="K93" s="1020">
        <f>J99</f>
        <v>2518.2096000000001</v>
      </c>
    </row>
    <row r="94" spans="1:11" ht="15.75">
      <c r="B94" s="332"/>
      <c r="C94" s="1021" t="str">
        <f>Gia_Tbi!$B$4</f>
        <v>Máy tính để bàn</v>
      </c>
      <c r="D94" s="332" t="str">
        <f>Gia_Tbi!$C$4</f>
        <v>Cái</v>
      </c>
      <c r="E94" s="332">
        <f>Gia_Tbi!$D$4</f>
        <v>0.4</v>
      </c>
      <c r="F94" s="1022">
        <v>0.32</v>
      </c>
      <c r="G94" s="1023">
        <f>Gia_Tbi!$E$4</f>
        <v>5</v>
      </c>
      <c r="H94" s="1024">
        <f>Gia_Tbi!$F$4</f>
        <v>10000000</v>
      </c>
      <c r="I94" s="1024">
        <f>Gia_Tbi!$G$4</f>
        <v>4000</v>
      </c>
      <c r="J94" s="960">
        <f>I94*F94</f>
        <v>1280</v>
      </c>
      <c r="K94" s="1025"/>
    </row>
    <row r="95" spans="1:11" ht="15.75">
      <c r="B95" s="332"/>
      <c r="C95" s="333" t="str">
        <f>Gia_Tbi!$B$10</f>
        <v>Máy chủ</v>
      </c>
      <c r="D95" s="332" t="str">
        <f>Gia_Tbi!$C$10</f>
        <v>Cái</v>
      </c>
      <c r="E95" s="332">
        <f>Gia_Tbi!$D$10</f>
        <v>1</v>
      </c>
      <c r="F95" s="1022">
        <v>0.08</v>
      </c>
      <c r="G95" s="353">
        <f>Gia_Tbi!$E$10</f>
        <v>10</v>
      </c>
      <c r="H95" s="1024">
        <f>Gia_Tbi!$F$10</f>
        <v>80000000</v>
      </c>
      <c r="I95" s="1024">
        <f>Gia_Tbi!$G$10</f>
        <v>16000</v>
      </c>
      <c r="J95" s="960">
        <f>I95*F95</f>
        <v>1280</v>
      </c>
      <c r="K95" s="1025"/>
    </row>
    <row r="96" spans="1:11" ht="15.75">
      <c r="B96" s="332"/>
      <c r="C96" s="333" t="str">
        <f>Gia_Tbi!$B$14</f>
        <v>Hệ quản trị cơ sở dữ liệu thuộc tính</v>
      </c>
      <c r="D96" s="332" t="str">
        <f>Gia_Tbi!$C$14</f>
        <v>Bộ</v>
      </c>
      <c r="E96" s="332" t="str">
        <f>Gia_Tbi!$D$14</f>
        <v/>
      </c>
      <c r="F96" s="1022">
        <v>0.02</v>
      </c>
      <c r="G96" s="1023">
        <f>Gia_Tbi!$E$14</f>
        <v>10</v>
      </c>
      <c r="H96" s="621">
        <f>Gia_Tbi!$F$14</f>
        <v>20881000</v>
      </c>
      <c r="I96" s="621">
        <f>Gia_Tbi!$G$14</f>
        <v>4176.2</v>
      </c>
      <c r="J96" s="960">
        <f>$I96*F96</f>
        <v>83.524000000000001</v>
      </c>
      <c r="K96" s="1034"/>
    </row>
    <row r="97" spans="1:11" ht="15.75">
      <c r="B97" s="332"/>
      <c r="C97" s="333" t="s">
        <v>557</v>
      </c>
      <c r="D97" s="332" t="str">
        <f>Gia_Tbi!$C$12</f>
        <v>Bộ</v>
      </c>
      <c r="E97" s="332">
        <f>Gia_Tbi!$D$12</f>
        <v>0.1</v>
      </c>
      <c r="F97" s="1022">
        <v>0.32</v>
      </c>
      <c r="G97" s="353">
        <f>Gia_Tbi!$E$12</f>
        <v>5</v>
      </c>
      <c r="H97" s="1024">
        <f>Gia_Tbi!$F$12</f>
        <v>2500000</v>
      </c>
      <c r="I97" s="1024">
        <f>Gia_Tbi!$G$12</f>
        <v>1000</v>
      </c>
      <c r="J97" s="960">
        <f>I97*F97</f>
        <v>320</v>
      </c>
      <c r="K97" s="1025"/>
    </row>
    <row r="98" spans="1:11" ht="15.75">
      <c r="B98" s="332"/>
      <c r="C98" s="333" t="s">
        <v>25</v>
      </c>
      <c r="D98" s="332" t="str">
        <f>Gia_Tbi!$C$6</f>
        <v>Cái</v>
      </c>
      <c r="E98" s="332">
        <f>Gia_Tbi!$D$6</f>
        <v>2.2000000000000002</v>
      </c>
      <c r="F98" s="1022">
        <v>2.6700000000000002E-2</v>
      </c>
      <c r="G98" s="1023">
        <f>Gia_Tbi!$E$6</f>
        <v>8</v>
      </c>
      <c r="H98" s="1024">
        <f>Gia_Tbi!$F$6</f>
        <v>12000000</v>
      </c>
      <c r="I98" s="1024">
        <f>Gia_Tbi!$G$6</f>
        <v>3000</v>
      </c>
      <c r="J98" s="960">
        <f>I98*F98</f>
        <v>80.100000000000009</v>
      </c>
      <c r="K98" s="1025"/>
    </row>
    <row r="99" spans="1:11" ht="15.75">
      <c r="B99" s="332"/>
      <c r="C99" s="333" t="s">
        <v>8</v>
      </c>
      <c r="D99" s="332" t="str">
        <f>Gia_Tbi!$C$13</f>
        <v>KW</v>
      </c>
      <c r="E99" s="332"/>
      <c r="F99" s="1022">
        <v>0.1867</v>
      </c>
      <c r="G99" s="1023"/>
      <c r="H99" s="1024">
        <f>Gia_Tbi!$F$13</f>
        <v>1686</v>
      </c>
      <c r="I99" s="1024">
        <f>Gia_Tbi!$G$13</f>
        <v>13488</v>
      </c>
      <c r="J99" s="960">
        <f>I99*F99</f>
        <v>2518.2096000000001</v>
      </c>
      <c r="K99" s="1025"/>
    </row>
    <row r="100" spans="1:11" ht="31.5">
      <c r="A100" s="357" t="str">
        <f>NhanCong_Xa!A32</f>
        <v>6.2</v>
      </c>
      <c r="B100" s="332" t="str">
        <f>NhanCong_Xa!B32</f>
        <v>4.2</v>
      </c>
      <c r="C100" s="333" t="str">
        <f>NhanCong_Xa!C32:C32</f>
        <v>Đối với tài liệu, số liệu là báo cáo dạng số thì tạo danh mục tra cứu trong cơ sở dữ liệu thống kê, kiểm kê đất đai</v>
      </c>
      <c r="D100" s="332"/>
      <c r="E100" s="332"/>
      <c r="F100" s="1022"/>
      <c r="G100" s="1023"/>
      <c r="H100" s="1024"/>
      <c r="I100" s="1024"/>
      <c r="J100" s="1019">
        <f>SUM(J101:J105)</f>
        <v>1521.662</v>
      </c>
      <c r="K100" s="1020">
        <f>J106</f>
        <v>1258.4304</v>
      </c>
    </row>
    <row r="101" spans="1:11" ht="15.75">
      <c r="B101" s="332"/>
      <c r="C101" s="1021" t="str">
        <f>Gia_Tbi!$B$4</f>
        <v>Máy tính để bàn</v>
      </c>
      <c r="D101" s="332" t="str">
        <f>Gia_Tbi!$C$4</f>
        <v>Cái</v>
      </c>
      <c r="E101" s="332">
        <f>Gia_Tbi!$D$4</f>
        <v>0.4</v>
      </c>
      <c r="F101" s="1022">
        <v>0.16</v>
      </c>
      <c r="G101" s="1023">
        <f>Gia_Tbi!$E$4</f>
        <v>5</v>
      </c>
      <c r="H101" s="1024">
        <f>Gia_Tbi!$F$4</f>
        <v>10000000</v>
      </c>
      <c r="I101" s="1024">
        <f>Gia_Tbi!$G$4</f>
        <v>4000</v>
      </c>
      <c r="J101" s="960">
        <f>I101*F101</f>
        <v>640</v>
      </c>
      <c r="K101" s="1025"/>
    </row>
    <row r="102" spans="1:11" ht="15.75">
      <c r="B102" s="332"/>
      <c r="C102" s="333" t="str">
        <f>Gia_Tbi!$B$10</f>
        <v>Máy chủ</v>
      </c>
      <c r="D102" s="332" t="str">
        <f>Gia_Tbi!$C$10</f>
        <v>Cái</v>
      </c>
      <c r="E102" s="332">
        <f>Gia_Tbi!$D$10</f>
        <v>1</v>
      </c>
      <c r="F102" s="1022">
        <v>0.04</v>
      </c>
      <c r="G102" s="353">
        <f>Gia_Tbi!$E$10</f>
        <v>10</v>
      </c>
      <c r="H102" s="1024">
        <f>Gia_Tbi!$F$10</f>
        <v>80000000</v>
      </c>
      <c r="I102" s="1024">
        <f>Gia_Tbi!$G$10</f>
        <v>16000</v>
      </c>
      <c r="J102" s="960">
        <f>I102*F102</f>
        <v>640</v>
      </c>
      <c r="K102" s="1025"/>
    </row>
    <row r="103" spans="1:11" ht="15.75">
      <c r="B103" s="332"/>
      <c r="C103" s="333" t="str">
        <f>Gia_Tbi!$B$14</f>
        <v>Hệ quản trị cơ sở dữ liệu thuộc tính</v>
      </c>
      <c r="D103" s="332" t="str">
        <f>Gia_Tbi!$C$14</f>
        <v>Bộ</v>
      </c>
      <c r="E103" s="332" t="str">
        <f>Gia_Tbi!$D$14</f>
        <v/>
      </c>
      <c r="F103" s="1022">
        <v>0.01</v>
      </c>
      <c r="G103" s="1023">
        <f>Gia_Tbi!$E$14</f>
        <v>10</v>
      </c>
      <c r="H103" s="621">
        <f>Gia_Tbi!$F$14</f>
        <v>20881000</v>
      </c>
      <c r="I103" s="621">
        <f>Gia_Tbi!$G$14</f>
        <v>4176.2</v>
      </c>
      <c r="J103" s="960">
        <f>$I103*F103</f>
        <v>41.762</v>
      </c>
      <c r="K103" s="1034"/>
    </row>
    <row r="104" spans="1:11" ht="15.75">
      <c r="B104" s="332"/>
      <c r="C104" s="333" t="s">
        <v>557</v>
      </c>
      <c r="D104" s="332" t="str">
        <f>Gia_Tbi!$C$12</f>
        <v>Bộ</v>
      </c>
      <c r="E104" s="332">
        <f>Gia_Tbi!$D$12</f>
        <v>0.1</v>
      </c>
      <c r="F104" s="1022">
        <v>0.16</v>
      </c>
      <c r="G104" s="353">
        <f>Gia_Tbi!$E$12</f>
        <v>5</v>
      </c>
      <c r="H104" s="1024">
        <f>Gia_Tbi!$F$12</f>
        <v>2500000</v>
      </c>
      <c r="I104" s="1024">
        <f>Gia_Tbi!$G$12</f>
        <v>1000</v>
      </c>
      <c r="J104" s="960">
        <f>I104*F104</f>
        <v>160</v>
      </c>
      <c r="K104" s="1025"/>
    </row>
    <row r="105" spans="1:11" ht="15.75">
      <c r="B105" s="332"/>
      <c r="C105" s="333" t="s">
        <v>25</v>
      </c>
      <c r="D105" s="332" t="str">
        <f>Gia_Tbi!$C$6</f>
        <v>Cái</v>
      </c>
      <c r="E105" s="332">
        <f>Gia_Tbi!$D$6</f>
        <v>2.2000000000000002</v>
      </c>
      <c r="F105" s="1022">
        <v>1.3299999999999999E-2</v>
      </c>
      <c r="G105" s="1023">
        <f>Gia_Tbi!$E$6</f>
        <v>8</v>
      </c>
      <c r="H105" s="1024">
        <f>Gia_Tbi!$F$6</f>
        <v>12000000</v>
      </c>
      <c r="I105" s="1024">
        <f>Gia_Tbi!$G$6</f>
        <v>3000</v>
      </c>
      <c r="J105" s="960">
        <f>I105*F105</f>
        <v>39.9</v>
      </c>
      <c r="K105" s="1025"/>
    </row>
    <row r="106" spans="1:11" ht="15.75">
      <c r="B106" s="332"/>
      <c r="C106" s="333" t="s">
        <v>8</v>
      </c>
      <c r="D106" s="332" t="str">
        <f>Gia_Tbi!$C$13</f>
        <v>KW</v>
      </c>
      <c r="E106" s="332"/>
      <c r="F106" s="1022">
        <v>9.3299999999999994E-2</v>
      </c>
      <c r="G106" s="1023"/>
      <c r="H106" s="1024">
        <f>Gia_Tbi!$F$13</f>
        <v>1686</v>
      </c>
      <c r="I106" s="1024">
        <f>Gia_Tbi!$G$13</f>
        <v>13488</v>
      </c>
      <c r="J106" s="960">
        <f>I106*F106</f>
        <v>1258.4304</v>
      </c>
      <c r="K106" s="1025"/>
    </row>
    <row r="107" spans="1:11" ht="31.5">
      <c r="A107" s="357">
        <f>NhanCong_Xa!A33</f>
        <v>7</v>
      </c>
      <c r="B107" s="326">
        <f>NhanCong_Xa!B33</f>
        <v>5</v>
      </c>
      <c r="C107" s="327" t="str">
        <f>NhanCong_Xa!C33:C33</f>
        <v>Đối soát, hoàn thiện dữ liệu thống kê, kiểm kê đất đai</v>
      </c>
      <c r="D107" s="326"/>
      <c r="E107" s="487"/>
      <c r="F107" s="1022"/>
      <c r="G107" s="959"/>
      <c r="H107" s="488"/>
      <c r="I107" s="488"/>
      <c r="J107" s="1019"/>
      <c r="K107" s="1020"/>
    </row>
    <row r="108" spans="1:11" ht="15.75">
      <c r="A108" s="357" t="str">
        <f>NhanCong_Xa!A34</f>
        <v>7.1</v>
      </c>
      <c r="B108" s="332" t="str">
        <f>NhanCong_Xa!B34</f>
        <v>5.1</v>
      </c>
      <c r="C108" s="495" t="str">
        <f>NhanCong_Xa!C34</f>
        <v>Đối soát, hoàn thiện dữ liệu thống kê đất đai</v>
      </c>
      <c r="D108" s="326"/>
      <c r="E108" s="487"/>
      <c r="F108" s="1022"/>
      <c r="G108" s="959"/>
      <c r="H108" s="488"/>
      <c r="I108" s="488"/>
      <c r="J108" s="1019">
        <f>SUM(J110:J110)</f>
        <v>80.100000000000009</v>
      </c>
      <c r="K108" s="1020">
        <f>J111</f>
        <v>2518.2096000000001</v>
      </c>
    </row>
    <row r="109" spans="1:11" ht="15.75">
      <c r="B109" s="332"/>
      <c r="C109" s="1021" t="str">
        <f>Gia_Tbi!$B$4</f>
        <v>Máy tính để bàn</v>
      </c>
      <c r="D109" s="332" t="str">
        <f>Gia_Tbi!$C$4</f>
        <v>Cái</v>
      </c>
      <c r="E109" s="332">
        <f>Gia_Tbi!$D$4</f>
        <v>0.4</v>
      </c>
      <c r="F109" s="1022">
        <v>0.32</v>
      </c>
      <c r="G109" s="1023">
        <f>Gia_Tbi!$E$4</f>
        <v>5</v>
      </c>
      <c r="H109" s="1024">
        <f>Gia_Tbi!$F$4</f>
        <v>10000000</v>
      </c>
      <c r="I109" s="1024">
        <f>Gia_Tbi!$G$4</f>
        <v>4000</v>
      </c>
      <c r="J109" s="960">
        <f>I109*F109</f>
        <v>1280</v>
      </c>
      <c r="K109" s="1025"/>
    </row>
    <row r="110" spans="1:11" ht="15.75">
      <c r="B110" s="332"/>
      <c r="C110" s="333" t="s">
        <v>25</v>
      </c>
      <c r="D110" s="332" t="str">
        <f>D129</f>
        <v>Cái</v>
      </c>
      <c r="E110" s="332">
        <f>Gia_Tbi!$D$6</f>
        <v>2.2000000000000002</v>
      </c>
      <c r="F110" s="1022">
        <v>2.6700000000000002E-2</v>
      </c>
      <c r="G110" s="1023">
        <f>Gia_Tbi!$E$6</f>
        <v>8</v>
      </c>
      <c r="H110" s="1024">
        <f>Gia_Tbi!$F$6</f>
        <v>12000000</v>
      </c>
      <c r="I110" s="1024">
        <f>Gia_Tbi!$G$6</f>
        <v>3000</v>
      </c>
      <c r="J110" s="960">
        <f>I110*F110</f>
        <v>80.100000000000009</v>
      </c>
      <c r="K110" s="1025"/>
    </row>
    <row r="111" spans="1:11" ht="15.75">
      <c r="B111" s="332"/>
      <c r="C111" s="333" t="s">
        <v>8</v>
      </c>
      <c r="D111" s="332" t="str">
        <f>D130</f>
        <v>KW</v>
      </c>
      <c r="E111" s="332"/>
      <c r="F111" s="1022">
        <v>0.1867</v>
      </c>
      <c r="G111" s="1023"/>
      <c r="H111" s="1024">
        <f>Gia_Tbi!$F$13</f>
        <v>1686</v>
      </c>
      <c r="I111" s="1024">
        <f>Gia_Tbi!$G$13</f>
        <v>13488</v>
      </c>
      <c r="J111" s="960">
        <f>I111*F111</f>
        <v>2518.2096000000001</v>
      </c>
      <c r="K111" s="1025"/>
    </row>
    <row r="112" spans="1:11" ht="15.75">
      <c r="A112" s="357" t="str">
        <f>NhanCong_Xa!A35</f>
        <v>7.2</v>
      </c>
      <c r="B112" s="332" t="str">
        <f>NhanCong_Xa!B35</f>
        <v>5.2</v>
      </c>
      <c r="C112" s="495" t="str">
        <f>NhanCong_Xa!C35</f>
        <v>Đối soát, hoàn thiện dữ liệu kiểm kê đất đai</v>
      </c>
      <c r="D112" s="332"/>
      <c r="E112" s="332"/>
      <c r="F112" s="1022"/>
      <c r="G112" s="1023"/>
      <c r="H112" s="1024"/>
      <c r="I112" s="1024"/>
      <c r="J112" s="1019">
        <f>SUM(J113:J114)</f>
        <v>1699.9</v>
      </c>
      <c r="K112" s="1020">
        <f>J115</f>
        <v>3146.7503999999999</v>
      </c>
    </row>
    <row r="113" spans="1:11" ht="15.75">
      <c r="B113" s="332"/>
      <c r="C113" s="1021" t="str">
        <f>Gia_Tbi!$B$4</f>
        <v>Máy tính để bàn</v>
      </c>
      <c r="D113" s="332" t="str">
        <f>Gia_Tbi!C4</f>
        <v>Cái</v>
      </c>
      <c r="E113" s="332">
        <f>Gia_Tbi!$D$4</f>
        <v>0.4</v>
      </c>
      <c r="F113" s="1022">
        <v>0.4</v>
      </c>
      <c r="G113" s="1023">
        <f>Gia_Tbi!$E$4</f>
        <v>5</v>
      </c>
      <c r="H113" s="1024">
        <f>Gia_Tbi!$F$4</f>
        <v>10000000</v>
      </c>
      <c r="I113" s="1024">
        <f>Gia_Tbi!$G$4</f>
        <v>4000</v>
      </c>
      <c r="J113" s="960">
        <f>I113*F113</f>
        <v>1600</v>
      </c>
      <c r="K113" s="1025"/>
    </row>
    <row r="114" spans="1:11" ht="15.75">
      <c r="B114" s="332"/>
      <c r="C114" s="333" t="s">
        <v>25</v>
      </c>
      <c r="D114" s="332" t="str">
        <f>D132</f>
        <v>Cái</v>
      </c>
      <c r="E114" s="332">
        <f>Gia_Tbi!$D$6</f>
        <v>2.2000000000000002</v>
      </c>
      <c r="F114" s="1022">
        <v>3.3300000000000003E-2</v>
      </c>
      <c r="G114" s="1023">
        <f>Gia_Tbi!$E$6</f>
        <v>8</v>
      </c>
      <c r="H114" s="1024">
        <f>Gia_Tbi!$F$6</f>
        <v>12000000</v>
      </c>
      <c r="I114" s="1024">
        <f>Gia_Tbi!$G$6</f>
        <v>3000</v>
      </c>
      <c r="J114" s="960">
        <f>I114*F114</f>
        <v>99.9</v>
      </c>
      <c r="K114" s="1025"/>
    </row>
    <row r="115" spans="1:11" ht="15.75">
      <c r="B115" s="332"/>
      <c r="C115" s="333" t="s">
        <v>8</v>
      </c>
      <c r="D115" s="332" t="str">
        <f>D111</f>
        <v>KW</v>
      </c>
      <c r="E115" s="332"/>
      <c r="F115" s="1022">
        <v>0.23330000000000001</v>
      </c>
      <c r="G115" s="1023"/>
      <c r="H115" s="1024">
        <f>Gia_Tbi!$F$13</f>
        <v>1686</v>
      </c>
      <c r="I115" s="1024">
        <f>Gia_Tbi!$G$13</f>
        <v>13488</v>
      </c>
      <c r="J115" s="960">
        <f>I115*F115</f>
        <v>3146.7503999999999</v>
      </c>
      <c r="K115" s="1025"/>
    </row>
    <row r="116" spans="1:11" ht="15.75">
      <c r="B116" s="715"/>
      <c r="C116" s="716"/>
      <c r="D116" s="715"/>
      <c r="E116" s="715"/>
      <c r="F116" s="717"/>
      <c r="G116" s="854"/>
      <c r="H116" s="860"/>
      <c r="I116" s="860"/>
      <c r="J116" s="855"/>
      <c r="K116" s="863"/>
    </row>
    <row r="117" spans="1:11" ht="9" customHeight="1">
      <c r="B117" s="720"/>
      <c r="C117" s="721"/>
      <c r="D117" s="720"/>
      <c r="E117" s="720"/>
      <c r="F117" s="722"/>
      <c r="G117" s="856"/>
      <c r="H117" s="861"/>
      <c r="I117" s="861"/>
      <c r="J117" s="857"/>
      <c r="K117" s="864"/>
    </row>
    <row r="118" spans="1:11" ht="15.75">
      <c r="C118" s="725"/>
      <c r="D118" s="725"/>
      <c r="E118" s="725"/>
      <c r="F118" s="726"/>
      <c r="G118" s="858"/>
      <c r="H118" s="862"/>
      <c r="I118" s="862"/>
      <c r="J118" s="859"/>
      <c r="K118" s="865"/>
    </row>
    <row r="119" spans="1:11" ht="72" customHeight="1">
      <c r="B119" s="326" t="s">
        <v>14</v>
      </c>
      <c r="C119" s="326" t="str">
        <f>C3</f>
        <v>Danh mục thiết bị</v>
      </c>
      <c r="D119" s="326" t="s">
        <v>21</v>
      </c>
      <c r="E119" s="326" t="s">
        <v>4</v>
      </c>
      <c r="F119" s="636" t="s">
        <v>895</v>
      </c>
      <c r="G119" s="1035" t="s">
        <v>5</v>
      </c>
      <c r="H119" s="1036" t="s">
        <v>19</v>
      </c>
      <c r="I119" s="1036" t="s">
        <v>1</v>
      </c>
      <c r="J119" s="1035" t="s">
        <v>780</v>
      </c>
      <c r="K119" s="1035" t="s">
        <v>781</v>
      </c>
    </row>
    <row r="120" spans="1:11" s="511" customFormat="1" ht="31.5">
      <c r="A120" s="511" t="str">
        <f>NhanCong_Xa!A39</f>
        <v>4.1</v>
      </c>
      <c r="B120" s="326">
        <f>NhanCong_Xa!B39</f>
        <v>1</v>
      </c>
      <c r="C120" s="327" t="str">
        <f>NhanCong_Xa!C39</f>
        <v>Chuẩn hóa các lớp đối tượng không gian kiểm kê đất đai</v>
      </c>
      <c r="D120" s="326"/>
      <c r="E120" s="487"/>
      <c r="F120" s="1017"/>
      <c r="G120" s="959"/>
      <c r="H120" s="488"/>
      <c r="I120" s="488"/>
      <c r="J120" s="1019"/>
      <c r="K120" s="1019"/>
    </row>
    <row r="121" spans="1:11" ht="63">
      <c r="A121" s="357" t="str">
        <f>NhanCong_Xa!A40</f>
        <v>4.1.1</v>
      </c>
      <c r="B121" s="332" t="str">
        <f>NhanCong_Xa!B40</f>
        <v>1.1</v>
      </c>
      <c r="C121" s="333"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121" s="326"/>
      <c r="E121" s="487"/>
      <c r="F121" s="1017"/>
      <c r="G121" s="959"/>
      <c r="H121" s="488"/>
      <c r="I121" s="488"/>
      <c r="J121" s="1019">
        <f>SUM(J122:J124)</f>
        <v>50440.1</v>
      </c>
      <c r="K121" s="1019">
        <f>J125</f>
        <v>6294.8496000000005</v>
      </c>
    </row>
    <row r="122" spans="1:11" ht="15.75">
      <c r="B122" s="332"/>
      <c r="C122" s="1021" t="str">
        <f>Gia_Tbi!$B$4</f>
        <v>Máy tính để bàn</v>
      </c>
      <c r="D122" s="332" t="str">
        <f>Gia_Tbi!$C$4</f>
        <v>Cái</v>
      </c>
      <c r="E122" s="332">
        <f>Gia_Tbi!$D$4</f>
        <v>0.4</v>
      </c>
      <c r="F122" s="1022">
        <v>0.8</v>
      </c>
      <c r="G122" s="1023">
        <f>Gia_Tbi!$E$4</f>
        <v>5</v>
      </c>
      <c r="H122" s="1024">
        <f>Gia_Tbi!$F$4</f>
        <v>10000000</v>
      </c>
      <c r="I122" s="1024">
        <f>Gia_Tbi!$G$4</f>
        <v>4000</v>
      </c>
      <c r="J122" s="960">
        <f>$I122*F122</f>
        <v>3200</v>
      </c>
      <c r="K122" s="1025"/>
    </row>
    <row r="123" spans="1:11" ht="15.75">
      <c r="B123" s="332"/>
      <c r="C123" s="333" t="str">
        <f>Gia_Tbi!$B$16</f>
        <v xml:space="preserve">Phần mềm biên tập bản đồ </v>
      </c>
      <c r="D123" s="332" t="str">
        <f>Gia_Tbi!$C$16</f>
        <v>Bộ</v>
      </c>
      <c r="E123" s="332">
        <f>Gia_Tbi!$D$16</f>
        <v>0.4</v>
      </c>
      <c r="F123" s="1022">
        <v>0.8</v>
      </c>
      <c r="G123" s="1023">
        <f>Gia_Tbi!$E$16</f>
        <v>5</v>
      </c>
      <c r="H123" s="621">
        <f>Gia_Tbi!$F$16</f>
        <v>147000000</v>
      </c>
      <c r="I123" s="621">
        <f>Gia_Tbi!$G$16</f>
        <v>58800</v>
      </c>
      <c r="J123" s="960">
        <f>$I123*F123</f>
        <v>47040</v>
      </c>
      <c r="K123" s="1025"/>
    </row>
    <row r="124" spans="1:11" ht="15.75">
      <c r="B124" s="332"/>
      <c r="C124" s="333" t="s">
        <v>25</v>
      </c>
      <c r="D124" s="332" t="str">
        <f>Gia_Tbi!$C$6</f>
        <v>Cái</v>
      </c>
      <c r="E124" s="332">
        <f>Gia_Tbi!$D$6</f>
        <v>2.2000000000000002</v>
      </c>
      <c r="F124" s="1022">
        <v>6.6699999999999995E-2</v>
      </c>
      <c r="G124" s="1023">
        <f>Gia_Tbi!$E$6</f>
        <v>8</v>
      </c>
      <c r="H124" s="1024">
        <f>Gia_Tbi!$F$6</f>
        <v>12000000</v>
      </c>
      <c r="I124" s="1024">
        <f>Gia_Tbi!$G$6</f>
        <v>3000</v>
      </c>
      <c r="J124" s="960">
        <f>$I124*F124</f>
        <v>200.1</v>
      </c>
      <c r="K124" s="1025"/>
    </row>
    <row r="125" spans="1:11" ht="15.75">
      <c r="B125" s="332"/>
      <c r="C125" s="333" t="s">
        <v>8</v>
      </c>
      <c r="D125" s="332" t="str">
        <f>Gia_Tbi!$C$13</f>
        <v>KW</v>
      </c>
      <c r="E125" s="332"/>
      <c r="F125" s="1022">
        <v>0.4667</v>
      </c>
      <c r="G125" s="1023"/>
      <c r="H125" s="1024">
        <f>Gia_Tbi!$F$13</f>
        <v>1686</v>
      </c>
      <c r="I125" s="1024">
        <f>Gia_Tbi!$G$13</f>
        <v>13488</v>
      </c>
      <c r="J125" s="960">
        <f>$I125*F125</f>
        <v>6294.8496000000005</v>
      </c>
      <c r="K125" s="1025"/>
    </row>
    <row r="126" spans="1:11" s="331" customFormat="1" ht="31.5">
      <c r="A126" s="331" t="str">
        <f>NhanCong_Xa!A41</f>
        <v>4.1.2</v>
      </c>
      <c r="B126" s="332" t="str">
        <f>NhanCong_Xa!B41</f>
        <v>1.2</v>
      </c>
      <c r="C126" s="333" t="str">
        <f>NhanCong_Xa!C41:C41</f>
        <v>Chuẩn hóa các lớp đối tượng không gian kiểm kê đất đai chưa phù hợp</v>
      </c>
      <c r="D126" s="326"/>
      <c r="E126" s="487"/>
      <c r="F126" s="1017"/>
      <c r="G126" s="959"/>
      <c r="H126" s="488"/>
      <c r="I126" s="488"/>
      <c r="J126" s="1019">
        <f>SUM(J127:J129)</f>
        <v>75660</v>
      </c>
      <c r="K126" s="1019">
        <f>J130</f>
        <v>9441.5999999999985</v>
      </c>
    </row>
    <row r="127" spans="1:11" s="331" customFormat="1" ht="15.75">
      <c r="B127" s="332"/>
      <c r="C127" s="1021" t="str">
        <f>Gia_Tbi!$B$4</f>
        <v>Máy tính để bàn</v>
      </c>
      <c r="D127" s="332" t="str">
        <f>Gia_Tbi!$C$4</f>
        <v>Cái</v>
      </c>
      <c r="E127" s="332">
        <f>Gia_Tbi!$D$4</f>
        <v>0.4</v>
      </c>
      <c r="F127" s="1022">
        <v>1.2</v>
      </c>
      <c r="G127" s="1023">
        <f>Gia_Tbi!$E$4</f>
        <v>5</v>
      </c>
      <c r="H127" s="1024">
        <f>Gia_Tbi!$F$4</f>
        <v>10000000</v>
      </c>
      <c r="I127" s="1024">
        <f>Gia_Tbi!$G$4</f>
        <v>4000</v>
      </c>
      <c r="J127" s="960">
        <f>$I127*F127</f>
        <v>4800</v>
      </c>
      <c r="K127" s="1025"/>
    </row>
    <row r="128" spans="1:11" ht="15.75">
      <c r="B128" s="332"/>
      <c r="C128" s="333" t="str">
        <f>Gia_Tbi!$B$16</f>
        <v xml:space="preserve">Phần mềm biên tập bản đồ </v>
      </c>
      <c r="D128" s="332" t="str">
        <f>Gia_Tbi!$C$16</f>
        <v>Bộ</v>
      </c>
      <c r="E128" s="332">
        <f>Gia_Tbi!$D$16</f>
        <v>0.4</v>
      </c>
      <c r="F128" s="1022">
        <v>1.2</v>
      </c>
      <c r="G128" s="1023">
        <f>Gia_Tbi!$E$16</f>
        <v>5</v>
      </c>
      <c r="H128" s="621">
        <f>Gia_Tbi!$F$16</f>
        <v>147000000</v>
      </c>
      <c r="I128" s="621">
        <f>Gia_Tbi!$G$16</f>
        <v>58800</v>
      </c>
      <c r="J128" s="960">
        <f>$I128*F128</f>
        <v>70560</v>
      </c>
      <c r="K128" s="1025"/>
    </row>
    <row r="129" spans="1:11" s="331" customFormat="1" ht="15.75">
      <c r="B129" s="332"/>
      <c r="C129" s="333" t="s">
        <v>25</v>
      </c>
      <c r="D129" s="332" t="str">
        <f>Gia_Tbi!$C$6</f>
        <v>Cái</v>
      </c>
      <c r="E129" s="332">
        <f>Gia_Tbi!$D$6</f>
        <v>2.2000000000000002</v>
      </c>
      <c r="F129" s="1022">
        <v>0.1</v>
      </c>
      <c r="G129" s="1023">
        <f>Gia_Tbi!$E$6</f>
        <v>8</v>
      </c>
      <c r="H129" s="1024">
        <f>Gia_Tbi!$F$6</f>
        <v>12000000</v>
      </c>
      <c r="I129" s="1024">
        <f>Gia_Tbi!$G$6</f>
        <v>3000</v>
      </c>
      <c r="J129" s="960">
        <f>$I129*F129</f>
        <v>300</v>
      </c>
      <c r="K129" s="1025"/>
    </row>
    <row r="130" spans="1:11" s="331" customFormat="1" ht="15.75">
      <c r="B130" s="332"/>
      <c r="C130" s="333" t="s">
        <v>8</v>
      </c>
      <c r="D130" s="332" t="str">
        <f>Gia_Tbi!$C$13</f>
        <v>KW</v>
      </c>
      <c r="E130" s="332"/>
      <c r="F130" s="1022">
        <v>0.7</v>
      </c>
      <c r="G130" s="1023"/>
      <c r="H130" s="1024">
        <f>Gia_Tbi!$F$13</f>
        <v>1686</v>
      </c>
      <c r="I130" s="1024">
        <f>Gia_Tbi!$G$13</f>
        <v>13488</v>
      </c>
      <c r="J130" s="960">
        <f>$I130*F130</f>
        <v>9441.5999999999985</v>
      </c>
      <c r="K130" s="1025"/>
    </row>
    <row r="131" spans="1:11" s="331" customFormat="1" ht="31.5">
      <c r="A131" s="331" t="str">
        <f>NhanCong_Xa!A42</f>
        <v>4.1.3</v>
      </c>
      <c r="B131" s="332" t="str">
        <f>NhanCong_Xa!B42</f>
        <v>1.3</v>
      </c>
      <c r="C131" s="333" t="str">
        <f>NhanCong_Xa!C42:C42</f>
        <v>Nhập bổ sung các thông tin thuộc tính cho đối tượng không gian kiểm kê đất đai còn thiếu (nếu có)</v>
      </c>
      <c r="D131" s="332"/>
      <c r="E131" s="332"/>
      <c r="F131" s="1022"/>
      <c r="G131" s="1023"/>
      <c r="H131" s="1024"/>
      <c r="I131" s="1024"/>
      <c r="J131" s="1019">
        <f>SUM(J132:J134)</f>
        <v>15132</v>
      </c>
      <c r="K131" s="1020">
        <f>J135</f>
        <v>1888.3200000000002</v>
      </c>
    </row>
    <row r="132" spans="1:11" s="331" customFormat="1" ht="15.75">
      <c r="B132" s="332"/>
      <c r="C132" s="1021" t="str">
        <f>Gia_Tbi!$B$4</f>
        <v>Máy tính để bàn</v>
      </c>
      <c r="D132" s="332" t="str">
        <f>Gia_Tbi!C4</f>
        <v>Cái</v>
      </c>
      <c r="E132" s="332">
        <f>Gia_Tbi!$D$4</f>
        <v>0.4</v>
      </c>
      <c r="F132" s="1022">
        <v>0.24</v>
      </c>
      <c r="G132" s="1023">
        <f>Gia_Tbi!$E$4</f>
        <v>5</v>
      </c>
      <c r="H132" s="1024">
        <f>Gia_Tbi!$F$4</f>
        <v>10000000</v>
      </c>
      <c r="I132" s="1024">
        <f>Gia_Tbi!$G$4</f>
        <v>4000</v>
      </c>
      <c r="J132" s="960">
        <f>$I132*F132</f>
        <v>960</v>
      </c>
      <c r="K132" s="1025"/>
    </row>
    <row r="133" spans="1:11" s="331" customFormat="1" ht="15.75">
      <c r="B133" s="332"/>
      <c r="C133" s="333" t="str">
        <f>Gia_Tbi!$B$16</f>
        <v xml:space="preserve">Phần mềm biên tập bản đồ </v>
      </c>
      <c r="D133" s="332" t="str">
        <f>Gia_Tbi!$C$16</f>
        <v>Bộ</v>
      </c>
      <c r="E133" s="332">
        <f>Gia_Tbi!$D$16</f>
        <v>0.4</v>
      </c>
      <c r="F133" s="1022">
        <v>0.24</v>
      </c>
      <c r="G133" s="1023">
        <f>Gia_Tbi!$E$16</f>
        <v>5</v>
      </c>
      <c r="H133" s="621">
        <f>Gia_Tbi!$F$16</f>
        <v>147000000</v>
      </c>
      <c r="I133" s="621">
        <f>Gia_Tbi!$G$16</f>
        <v>58800</v>
      </c>
      <c r="J133" s="960">
        <f>$I133*F133</f>
        <v>14112</v>
      </c>
      <c r="K133" s="1025"/>
    </row>
    <row r="134" spans="1:11" ht="15.75">
      <c r="B134" s="332"/>
      <c r="C134" s="333" t="s">
        <v>25</v>
      </c>
      <c r="D134" s="332" t="str">
        <f>D127</f>
        <v>Cái</v>
      </c>
      <c r="E134" s="332">
        <f>Gia_Tbi!$D$6</f>
        <v>2.2000000000000002</v>
      </c>
      <c r="F134" s="1022">
        <v>0.02</v>
      </c>
      <c r="G134" s="1023">
        <f>Gia_Tbi!$E$6</f>
        <v>8</v>
      </c>
      <c r="H134" s="1024">
        <f>Gia_Tbi!$F$6</f>
        <v>12000000</v>
      </c>
      <c r="I134" s="1024">
        <f>Gia_Tbi!$G$6</f>
        <v>3000</v>
      </c>
      <c r="J134" s="960">
        <f>$I134*F134</f>
        <v>60</v>
      </c>
      <c r="K134" s="1034"/>
    </row>
    <row r="135" spans="1:11" ht="15.75">
      <c r="B135" s="332"/>
      <c r="C135" s="333" t="s">
        <v>8</v>
      </c>
      <c r="D135" s="332" t="s">
        <v>563</v>
      </c>
      <c r="E135" s="332"/>
      <c r="F135" s="1022">
        <v>0.14000000000000001</v>
      </c>
      <c r="G135" s="1023"/>
      <c r="H135" s="1024">
        <f>Gia_Tbi!$F$13</f>
        <v>1686</v>
      </c>
      <c r="I135" s="1024">
        <f>Gia_Tbi!$G$13</f>
        <v>13488</v>
      </c>
      <c r="J135" s="960">
        <f>$I135*F135</f>
        <v>1888.3200000000002</v>
      </c>
      <c r="K135" s="1034"/>
    </row>
    <row r="136" spans="1:11" s="331" customFormat="1" ht="31.5">
      <c r="A136" s="331" t="str">
        <f>NhanCong_Xa!A43</f>
        <v>4.1.4</v>
      </c>
      <c r="B136" s="332" t="str">
        <f>NhanCong_Xa!B43</f>
        <v>1.4</v>
      </c>
      <c r="C136" s="333" t="str">
        <f>NhanCong_Xa!C43</f>
        <v>Rà soát chuẩn hóa thông tin thuộc tính cho từng đối tượng không gian kiểm kê đất đai</v>
      </c>
      <c r="D136" s="332"/>
      <c r="E136" s="332"/>
      <c r="F136" s="1022"/>
      <c r="G136" s="1023"/>
      <c r="H136" s="1024"/>
      <c r="I136" s="1024"/>
      <c r="J136" s="1019">
        <f>SUM(J137:J139)</f>
        <v>50440.1</v>
      </c>
      <c r="K136" s="1020">
        <f>J140</f>
        <v>6294.8496000000005</v>
      </c>
    </row>
    <row r="137" spans="1:11" ht="15.75">
      <c r="B137" s="332"/>
      <c r="C137" s="1021" t="str">
        <f>Gia_Tbi!$B$4</f>
        <v>Máy tính để bàn</v>
      </c>
      <c r="D137" s="332" t="str">
        <f>Gia_Tbi!C8</f>
        <v>Cái</v>
      </c>
      <c r="E137" s="332">
        <f>Gia_Tbi!$D$4</f>
        <v>0.4</v>
      </c>
      <c r="F137" s="1022">
        <v>0.8</v>
      </c>
      <c r="G137" s="1023">
        <f>Gia_Tbi!$E$4</f>
        <v>5</v>
      </c>
      <c r="H137" s="1024">
        <f>Gia_Tbi!$F$4</f>
        <v>10000000</v>
      </c>
      <c r="I137" s="1024">
        <f>Gia_Tbi!$G$4</f>
        <v>4000</v>
      </c>
      <c r="J137" s="960">
        <f>$I137*F137</f>
        <v>3200</v>
      </c>
      <c r="K137" s="1025"/>
    </row>
    <row r="138" spans="1:11" ht="15.75">
      <c r="B138" s="332"/>
      <c r="C138" s="333" t="str">
        <f>Gia_Tbi!$B$16</f>
        <v xml:space="preserve">Phần mềm biên tập bản đồ </v>
      </c>
      <c r="D138" s="332" t="str">
        <f>Gia_Tbi!$C$16</f>
        <v>Bộ</v>
      </c>
      <c r="E138" s="332">
        <f>Gia_Tbi!$D$16</f>
        <v>0.4</v>
      </c>
      <c r="F138" s="1022">
        <v>0.8</v>
      </c>
      <c r="G138" s="1023">
        <f>Gia_Tbi!$E$16</f>
        <v>5</v>
      </c>
      <c r="H138" s="621">
        <f>Gia_Tbi!$F$16</f>
        <v>147000000</v>
      </c>
      <c r="I138" s="621">
        <f>Gia_Tbi!$G$16</f>
        <v>58800</v>
      </c>
      <c r="J138" s="960">
        <f>$I138*F138</f>
        <v>47040</v>
      </c>
      <c r="K138" s="1025"/>
    </row>
    <row r="139" spans="1:11" ht="15.75">
      <c r="B139" s="332"/>
      <c r="C139" s="333" t="s">
        <v>25</v>
      </c>
      <c r="D139" s="332" t="str">
        <f>D132</f>
        <v>Cái</v>
      </c>
      <c r="E139" s="332">
        <f>Gia_Tbi!$D$6</f>
        <v>2.2000000000000002</v>
      </c>
      <c r="F139" s="1022">
        <v>6.6699999999999995E-2</v>
      </c>
      <c r="G139" s="1023">
        <f>Gia_Tbi!$E$6</f>
        <v>8</v>
      </c>
      <c r="H139" s="1024">
        <f>Gia_Tbi!$F$6</f>
        <v>12000000</v>
      </c>
      <c r="I139" s="1024">
        <f>Gia_Tbi!$G$6</f>
        <v>3000</v>
      </c>
      <c r="J139" s="960">
        <f>$I139*F139</f>
        <v>200.1</v>
      </c>
      <c r="K139" s="1034"/>
    </row>
    <row r="140" spans="1:11" ht="15.75">
      <c r="B140" s="332"/>
      <c r="C140" s="333" t="s">
        <v>8</v>
      </c>
      <c r="D140" s="332" t="s">
        <v>563</v>
      </c>
      <c r="E140" s="332"/>
      <c r="F140" s="1022">
        <v>0.4667</v>
      </c>
      <c r="G140" s="1023"/>
      <c r="H140" s="1024">
        <f>Gia_Tbi!$F$13</f>
        <v>1686</v>
      </c>
      <c r="I140" s="1024">
        <f>Gia_Tbi!$G$13</f>
        <v>13488</v>
      </c>
      <c r="J140" s="960">
        <f>$I140*F140</f>
        <v>6294.8496000000005</v>
      </c>
      <c r="K140" s="1034"/>
    </row>
    <row r="141" spans="1:11" s="736" customFormat="1" ht="15.75">
      <c r="B141" s="326">
        <f>NhanCong_Xa!B44</f>
        <v>2</v>
      </c>
      <c r="C141" s="496" t="str">
        <f>NhanCong_Xa!C44</f>
        <v>Chuyển đổi và tích hợp không gian kiểm kê đất đai</v>
      </c>
      <c r="D141" s="326"/>
      <c r="E141" s="326"/>
      <c r="F141" s="487"/>
      <c r="G141" s="1035"/>
      <c r="H141" s="1042"/>
      <c r="I141" s="1042"/>
      <c r="J141" s="1019"/>
      <c r="K141" s="1034"/>
    </row>
    <row r="142" spans="1:11" ht="47.25">
      <c r="A142" s="357" t="str">
        <f>NhanCong_Xa!A45</f>
        <v>4.2.1</v>
      </c>
      <c r="B142" s="332" t="str">
        <f>NhanCong_Xa!B45</f>
        <v>2.1</v>
      </c>
      <c r="C142" s="333" t="str">
        <f>NhanCong_Xa!C45:C45</f>
        <v>Chuyển đổi các lớp đối tượng không gian kiểm kê đất đai từ tệp (File) bản đồ số vào cơ sở dữ liệu theo đơn vị hành chính</v>
      </c>
      <c r="D142" s="332"/>
      <c r="E142" s="332"/>
      <c r="F142" s="1022"/>
      <c r="G142" s="1023"/>
      <c r="H142" s="1024"/>
      <c r="I142" s="1024"/>
      <c r="J142" s="1019">
        <f>SUM(J143:J148)</f>
        <v>17403</v>
      </c>
      <c r="K142" s="1019">
        <f>J149</f>
        <v>1888.3200000000002</v>
      </c>
    </row>
    <row r="143" spans="1:11" ht="15.75">
      <c r="B143" s="332"/>
      <c r="C143" s="1021" t="str">
        <f>Gia_Tbi!$B$4</f>
        <v>Máy tính để bàn</v>
      </c>
      <c r="D143" s="332" t="str">
        <f>Gia_Tbi!$C$4</f>
        <v>Cái</v>
      </c>
      <c r="E143" s="332">
        <f>Gia_Tbi!$D$4</f>
        <v>0.4</v>
      </c>
      <c r="F143" s="1022">
        <v>0.24</v>
      </c>
      <c r="G143" s="1023">
        <f>Gia_Tbi!$E$4</f>
        <v>5</v>
      </c>
      <c r="H143" s="1024">
        <f>Gia_Tbi!F4</f>
        <v>10000000</v>
      </c>
      <c r="I143" s="1024">
        <f>Gia_Tbi!G4</f>
        <v>4000</v>
      </c>
      <c r="J143" s="960">
        <f t="shared" ref="J143:J149" si="8">$I143*F143</f>
        <v>960</v>
      </c>
      <c r="K143" s="1034"/>
    </row>
    <row r="144" spans="1:11" ht="15.75">
      <c r="B144" s="332"/>
      <c r="C144" s="333" t="str">
        <f>Gia_Tbi!$B$16</f>
        <v xml:space="preserve">Phần mềm biên tập bản đồ </v>
      </c>
      <c r="D144" s="332" t="str">
        <f>Gia_Tbi!$C$16</f>
        <v>Bộ</v>
      </c>
      <c r="E144" s="332">
        <f>Gia_Tbi!$D$16</f>
        <v>0.4</v>
      </c>
      <c r="F144" s="1022">
        <v>0.24</v>
      </c>
      <c r="G144" s="1023">
        <f>Gia_Tbi!$E$16</f>
        <v>5</v>
      </c>
      <c r="H144" s="621">
        <f>Gia_Tbi!$F$16</f>
        <v>147000000</v>
      </c>
      <c r="I144" s="621">
        <f>Gia_Tbi!$G$16</f>
        <v>58800</v>
      </c>
      <c r="J144" s="960">
        <f t="shared" si="8"/>
        <v>14112</v>
      </c>
      <c r="K144" s="1025"/>
    </row>
    <row r="145" spans="1:11" ht="15.75">
      <c r="B145" s="332"/>
      <c r="C145" s="333" t="str">
        <f>Gia_Tbi!B10</f>
        <v>Máy chủ</v>
      </c>
      <c r="D145" s="332" t="str">
        <f>Gia_Tbi!$C$10</f>
        <v>Cái</v>
      </c>
      <c r="E145" s="332">
        <f>Gia_Tbi!$D$10</f>
        <v>1</v>
      </c>
      <c r="F145" s="1022">
        <v>0.06</v>
      </c>
      <c r="G145" s="353">
        <f>Gia_Tbi!$E$10</f>
        <v>10</v>
      </c>
      <c r="H145" s="1024">
        <f>Gia_Tbi!$F$10</f>
        <v>80000000</v>
      </c>
      <c r="I145" s="1024">
        <f>Gia_Tbi!$G$10</f>
        <v>16000</v>
      </c>
      <c r="J145" s="960">
        <f t="shared" si="8"/>
        <v>960</v>
      </c>
      <c r="K145" s="1034"/>
    </row>
    <row r="146" spans="1:11" ht="15.75">
      <c r="B146" s="332"/>
      <c r="C146" s="333" t="str">
        <f>Gia_Tbi!$B$15</f>
        <v>Hệ quản trị dữ liệu không gian</v>
      </c>
      <c r="D146" s="332" t="str">
        <f>Gia_Tbi!$C$15</f>
        <v>Bộ</v>
      </c>
      <c r="E146" s="332" t="str">
        <f>Gia_Tbi!$D$15</f>
        <v/>
      </c>
      <c r="F146" s="1022">
        <v>1.4999999999999999E-2</v>
      </c>
      <c r="G146" s="1023">
        <f>Gia_Tbi!$E$15</f>
        <v>10</v>
      </c>
      <c r="H146" s="621">
        <f>Gia_Tbi!$F$15</f>
        <v>357000000</v>
      </c>
      <c r="I146" s="621">
        <f>Gia_Tbi!$G$15</f>
        <v>71400</v>
      </c>
      <c r="J146" s="960">
        <f t="shared" si="8"/>
        <v>1071</v>
      </c>
      <c r="K146" s="1034"/>
    </row>
    <row r="147" spans="1:11" ht="15.75">
      <c r="B147" s="332"/>
      <c r="C147" s="333" t="s">
        <v>557</v>
      </c>
      <c r="D147" s="332" t="str">
        <f>Gia_Tbi!$C$12</f>
        <v>Bộ</v>
      </c>
      <c r="E147" s="332">
        <f>Gia_Tbi!$D$12</f>
        <v>0.1</v>
      </c>
      <c r="F147" s="1022">
        <v>0.24</v>
      </c>
      <c r="G147" s="353">
        <f>Gia_Tbi!$E$12</f>
        <v>5</v>
      </c>
      <c r="H147" s="1024">
        <f>Gia_Tbi!$F$12</f>
        <v>2500000</v>
      </c>
      <c r="I147" s="1024">
        <f>Gia_Tbi!$G$12</f>
        <v>1000</v>
      </c>
      <c r="J147" s="960">
        <f t="shared" si="8"/>
        <v>240</v>
      </c>
      <c r="K147" s="1034"/>
    </row>
    <row r="148" spans="1:11" ht="15.75">
      <c r="B148" s="332"/>
      <c r="C148" s="333" t="s">
        <v>25</v>
      </c>
      <c r="D148" s="332" t="str">
        <f>Gia_Tbi!$C$6</f>
        <v>Cái</v>
      </c>
      <c r="E148" s="332">
        <f>Gia_Tbi!$D$6</f>
        <v>2.2000000000000002</v>
      </c>
      <c r="F148" s="1022">
        <v>0.02</v>
      </c>
      <c r="G148" s="1023">
        <f>Gia_Tbi!$E$6</f>
        <v>8</v>
      </c>
      <c r="H148" s="1024">
        <f>Gia_Tbi!$F$6</f>
        <v>12000000</v>
      </c>
      <c r="I148" s="1024">
        <f>Gia_Tbi!$G$6</f>
        <v>3000</v>
      </c>
      <c r="J148" s="960">
        <f t="shared" si="8"/>
        <v>60</v>
      </c>
      <c r="K148" s="1025"/>
    </row>
    <row r="149" spans="1:11" ht="15.75">
      <c r="B149" s="332"/>
      <c r="C149" s="333" t="s">
        <v>8</v>
      </c>
      <c r="D149" s="332" t="str">
        <f>Gia_Tbi!$C$13</f>
        <v>KW</v>
      </c>
      <c r="E149" s="332"/>
      <c r="F149" s="1022">
        <v>0.14000000000000001</v>
      </c>
      <c r="G149" s="1023"/>
      <c r="H149" s="1024">
        <f>Gia_Tbi!$F$13</f>
        <v>1686</v>
      </c>
      <c r="I149" s="1024">
        <f>Gia_Tbi!$G$13</f>
        <v>13488</v>
      </c>
      <c r="J149" s="960">
        <f t="shared" si="8"/>
        <v>1888.3200000000002</v>
      </c>
      <c r="K149" s="1025"/>
    </row>
    <row r="150" spans="1:11" ht="31.5">
      <c r="A150" s="357" t="str">
        <f>NhanCong_Xa!A46</f>
        <v>4.2.2</v>
      </c>
      <c r="B150" s="332" t="str">
        <f>NhanCong_Xa!B46</f>
        <v>2.2</v>
      </c>
      <c r="C150" s="333" t="str">
        <f>NhanCong_Xa!C46:C46</f>
        <v>Rà soát dữ liệu không gian để xử lý các lỗi dọc biên giữa các đơn vị hành chính tiếp giáp nhau</v>
      </c>
      <c r="D150" s="332"/>
      <c r="E150" s="332"/>
      <c r="F150" s="1022"/>
      <c r="G150" s="1023"/>
      <c r="H150" s="1024"/>
      <c r="I150" s="1024"/>
      <c r="J150" s="1019">
        <f>SUM(J151:J156)</f>
        <v>29004.9</v>
      </c>
      <c r="K150" s="1019">
        <f>J157</f>
        <v>3146.7503999999999</v>
      </c>
    </row>
    <row r="151" spans="1:11" ht="15.75">
      <c r="B151" s="332"/>
      <c r="C151" s="1021" t="str">
        <f>Gia_Tbi!$B$4</f>
        <v>Máy tính để bàn</v>
      </c>
      <c r="D151" s="332" t="str">
        <f>Gia_Tbi!$C$4</f>
        <v>Cái</v>
      </c>
      <c r="E151" s="332">
        <f>Gia_Tbi!$D$4</f>
        <v>0.4</v>
      </c>
      <c r="F151" s="1022">
        <v>0.4</v>
      </c>
      <c r="G151" s="1023">
        <f>Gia_Tbi!$E$4</f>
        <v>5</v>
      </c>
      <c r="H151" s="1024">
        <f>Gia_Tbi!$F$4</f>
        <v>10000000</v>
      </c>
      <c r="I151" s="1024">
        <f>Gia_Tbi!$G$4</f>
        <v>4000</v>
      </c>
      <c r="J151" s="960">
        <f t="shared" ref="J151:J157" si="9">$I151*F151</f>
        <v>1600</v>
      </c>
      <c r="K151" s="1025"/>
    </row>
    <row r="152" spans="1:11" ht="15.75">
      <c r="B152" s="332"/>
      <c r="C152" s="333" t="str">
        <f>Gia_Tbi!$B$16</f>
        <v xml:space="preserve">Phần mềm biên tập bản đồ </v>
      </c>
      <c r="D152" s="332" t="str">
        <f>Gia_Tbi!$C$16</f>
        <v>Bộ</v>
      </c>
      <c r="E152" s="332">
        <f>Gia_Tbi!$D$16</f>
        <v>0.4</v>
      </c>
      <c r="F152" s="1022">
        <v>0.4</v>
      </c>
      <c r="G152" s="1023">
        <f>Gia_Tbi!$E$16</f>
        <v>5</v>
      </c>
      <c r="H152" s="621">
        <f>Gia_Tbi!$F$16</f>
        <v>147000000</v>
      </c>
      <c r="I152" s="621">
        <f>Gia_Tbi!$G$16</f>
        <v>58800</v>
      </c>
      <c r="J152" s="960">
        <f t="shared" si="9"/>
        <v>23520</v>
      </c>
      <c r="K152" s="1025"/>
    </row>
    <row r="153" spans="1:11" ht="15.75">
      <c r="B153" s="332"/>
      <c r="C153" s="333" t="s">
        <v>887</v>
      </c>
      <c r="D153" s="332" t="str">
        <f>Gia_Tbi!$C$10</f>
        <v>Cái</v>
      </c>
      <c r="E153" s="332">
        <f>Gia_Tbi!$D$10</f>
        <v>1</v>
      </c>
      <c r="F153" s="1022">
        <v>0.1</v>
      </c>
      <c r="G153" s="353">
        <f>Gia_Tbi!$E$10</f>
        <v>10</v>
      </c>
      <c r="H153" s="1024">
        <f>Gia_Tbi!$F$10</f>
        <v>80000000</v>
      </c>
      <c r="I153" s="1024">
        <f>Gia_Tbi!$G$10</f>
        <v>16000</v>
      </c>
      <c r="J153" s="960">
        <f t="shared" si="9"/>
        <v>1600</v>
      </c>
      <c r="K153" s="1025"/>
    </row>
    <row r="154" spans="1:11" ht="15.75">
      <c r="B154" s="332"/>
      <c r="C154" s="333" t="str">
        <f>Gia_Tbi!$B$15</f>
        <v>Hệ quản trị dữ liệu không gian</v>
      </c>
      <c r="D154" s="332" t="str">
        <f>Gia_Tbi!$C$15</f>
        <v>Bộ</v>
      </c>
      <c r="E154" s="332" t="str">
        <f>Gia_Tbi!$D$15</f>
        <v/>
      </c>
      <c r="F154" s="1022">
        <v>2.5000000000000001E-2</v>
      </c>
      <c r="G154" s="1023">
        <f>Gia_Tbi!$E$15</f>
        <v>10</v>
      </c>
      <c r="H154" s="621">
        <f>Gia_Tbi!$F$15</f>
        <v>357000000</v>
      </c>
      <c r="I154" s="621">
        <f>Gia_Tbi!$G$15</f>
        <v>71400</v>
      </c>
      <c r="J154" s="960">
        <f t="shared" si="9"/>
        <v>1785</v>
      </c>
      <c r="K154" s="1034"/>
    </row>
    <row r="155" spans="1:11" ht="15.75">
      <c r="B155" s="332"/>
      <c r="C155" s="333" t="s">
        <v>557</v>
      </c>
      <c r="D155" s="332" t="str">
        <f>Gia_Tbi!$C$12</f>
        <v>Bộ</v>
      </c>
      <c r="E155" s="332">
        <f>Gia_Tbi!$D$12</f>
        <v>0.1</v>
      </c>
      <c r="F155" s="1022">
        <v>0.4</v>
      </c>
      <c r="G155" s="353">
        <f>Gia_Tbi!$E$12</f>
        <v>5</v>
      </c>
      <c r="H155" s="1024">
        <f>Gia_Tbi!$F$12</f>
        <v>2500000</v>
      </c>
      <c r="I155" s="1024">
        <f>Gia_Tbi!$G$12</f>
        <v>1000</v>
      </c>
      <c r="J155" s="960">
        <f t="shared" si="9"/>
        <v>400</v>
      </c>
      <c r="K155" s="1025"/>
    </row>
    <row r="156" spans="1:11" ht="15.75">
      <c r="B156" s="332"/>
      <c r="C156" s="333" t="s">
        <v>25</v>
      </c>
      <c r="D156" s="332" t="str">
        <f>Gia_Tbi!$C$6</f>
        <v>Cái</v>
      </c>
      <c r="E156" s="332">
        <f>Gia_Tbi!$D$6</f>
        <v>2.2000000000000002</v>
      </c>
      <c r="F156" s="1022">
        <v>3.3300000000000003E-2</v>
      </c>
      <c r="G156" s="1023">
        <f>Gia_Tbi!$E$6</f>
        <v>8</v>
      </c>
      <c r="H156" s="1024">
        <f>Gia_Tbi!$F$6</f>
        <v>12000000</v>
      </c>
      <c r="I156" s="1024">
        <f>Gia_Tbi!$G$6</f>
        <v>3000</v>
      </c>
      <c r="J156" s="960">
        <f t="shared" si="9"/>
        <v>99.9</v>
      </c>
      <c r="K156" s="1025"/>
    </row>
    <row r="157" spans="1:11" ht="15.75">
      <c r="B157" s="332"/>
      <c r="C157" s="333" t="s">
        <v>8</v>
      </c>
      <c r="D157" s="332" t="str">
        <f>Gia_Tbi!$C$13</f>
        <v>KW</v>
      </c>
      <c r="E157" s="332"/>
      <c r="F157" s="1022">
        <v>0.23330000000000001</v>
      </c>
      <c r="G157" s="1023"/>
      <c r="H157" s="1024">
        <f>Gia_Tbi!$F$13</f>
        <v>1686</v>
      </c>
      <c r="I157" s="1024">
        <f>Gia_Tbi!$G$13</f>
        <v>13488</v>
      </c>
      <c r="J157" s="960">
        <f t="shared" si="9"/>
        <v>3146.7503999999999</v>
      </c>
      <c r="K157" s="1025"/>
    </row>
    <row r="158" spans="1:11" hidden="1">
      <c r="J158" s="356">
        <f>+J5+J9+J14+J18+J23+J28+J37+J45+J49+J58+J54+J80+J89+J93+J100+J108+J112+J121+J126+J131+J136+J142+J150</f>
        <v>263406.83</v>
      </c>
      <c r="K158" s="356">
        <f>+K5+K9+K14+K18+K23+K28+K37+K45+K49+K58+K54+K80+K89+K93+K100+K108+K112+K121+K126+K131+K136+K142+K150</f>
        <v>58863.430399999997</v>
      </c>
    </row>
    <row r="159" spans="1:11" hidden="1"/>
    <row r="160" spans="1:11" hidden="1"/>
  </sheetData>
  <mergeCells count="1">
    <mergeCell ref="B1:K1"/>
  </mergeCells>
  <phoneticPr fontId="0" type="noConversion"/>
  <pageMargins left="0.81496062999999996" right="0.31496062992126" top="0.5" bottom="0.40748031499999998" header="0.31496062992126" footer="0.31496062992126"/>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K83"/>
  <sheetViews>
    <sheetView topLeftCell="B1" zoomScale="85" zoomScaleNormal="85" workbookViewId="0">
      <selection activeCell="N9" sqref="N9"/>
    </sheetView>
  </sheetViews>
  <sheetFormatPr defaultColWidth="9" defaultRowHeight="15.75"/>
  <cols>
    <col min="1" max="1" width="0" style="517" hidden="1" customWidth="1"/>
    <col min="2" max="2" width="5.75" style="518" customWidth="1"/>
    <col min="3" max="3" width="37.625" style="517" customWidth="1"/>
    <col min="4" max="4" width="9" style="518" customWidth="1"/>
    <col min="5" max="5" width="7.25" style="517" customWidth="1"/>
    <col min="6" max="6" width="12" style="980" customWidth="1"/>
    <col min="7" max="7" width="8.25" style="925" customWidth="1"/>
    <col min="8" max="8" width="8.5" style="935" customWidth="1"/>
    <col min="9" max="9" width="9.375" style="517" bestFit="1" customWidth="1"/>
    <col min="10" max="16384" width="9" style="517"/>
  </cols>
  <sheetData>
    <row r="1" spans="1:11" ht="21.75" customHeight="1">
      <c r="B1" s="1197" t="s">
        <v>1004</v>
      </c>
      <c r="C1" s="1197"/>
      <c r="D1" s="1197"/>
      <c r="E1" s="1197"/>
      <c r="F1" s="1197"/>
      <c r="G1" s="1197"/>
      <c r="H1" s="1197"/>
    </row>
    <row r="2" spans="1:11">
      <c r="F2" s="1155" t="s">
        <v>79</v>
      </c>
      <c r="G2" s="925" t="s">
        <v>78</v>
      </c>
    </row>
    <row r="3" spans="1:11" s="521" customFormat="1" ht="47.25">
      <c r="B3" s="614" t="s">
        <v>14</v>
      </c>
      <c r="C3" s="614" t="s">
        <v>2</v>
      </c>
      <c r="D3" s="614" t="s">
        <v>21</v>
      </c>
      <c r="E3" s="614" t="s">
        <v>909</v>
      </c>
      <c r="F3" s="337" t="s">
        <v>896</v>
      </c>
      <c r="G3" s="589" t="s">
        <v>103</v>
      </c>
      <c r="H3" s="337" t="s">
        <v>81</v>
      </c>
    </row>
    <row r="4" spans="1:11" ht="18" customHeight="1">
      <c r="B4" s="909">
        <v>1</v>
      </c>
      <c r="C4" s="560" t="s">
        <v>52</v>
      </c>
      <c r="D4" s="358" t="str">
        <f>Gia_Dcu!$C$6</f>
        <v>Cái</v>
      </c>
      <c r="E4" s="358">
        <f>Gia_Dcu!$D$6</f>
        <v>24</v>
      </c>
      <c r="F4" s="927">
        <v>0.39</v>
      </c>
      <c r="G4" s="926">
        <f>Gia_Dcu!$F$6</f>
        <v>21.634615384615383</v>
      </c>
      <c r="H4" s="384">
        <f t="shared" ref="H4:H9" si="0">$G4*F4</f>
        <v>8.4375</v>
      </c>
    </row>
    <row r="5" spans="1:11" ht="18" customHeight="1">
      <c r="B5" s="909">
        <v>2</v>
      </c>
      <c r="C5" s="560" t="s">
        <v>53</v>
      </c>
      <c r="D5" s="358" t="str">
        <f>Gia_Dcu!$C$7</f>
        <v>Cái</v>
      </c>
      <c r="E5" s="358">
        <f>Gia_Dcu!$D$7</f>
        <v>60</v>
      </c>
      <c r="F5" s="927">
        <v>0.65</v>
      </c>
      <c r="G5" s="926">
        <f>Gia_Dcu!$F$7</f>
        <v>961.53846153846155</v>
      </c>
      <c r="H5" s="384">
        <f t="shared" si="0"/>
        <v>625</v>
      </c>
    </row>
    <row r="6" spans="1:11" ht="18" customHeight="1">
      <c r="B6" s="909">
        <v>3</v>
      </c>
      <c r="C6" s="560" t="s">
        <v>54</v>
      </c>
      <c r="D6" s="358" t="str">
        <f>Gia_Dcu!$C$8</f>
        <v>Cái</v>
      </c>
      <c r="E6" s="358">
        <f>Gia_Dcu!$D$8</f>
        <v>60</v>
      </c>
      <c r="F6" s="927">
        <v>1.95</v>
      </c>
      <c r="G6" s="926">
        <f>Gia_Dcu!$F$8</f>
        <v>230.76923076923077</v>
      </c>
      <c r="H6" s="384">
        <f t="shared" si="0"/>
        <v>450</v>
      </c>
    </row>
    <row r="7" spans="1:11" ht="18" customHeight="1">
      <c r="B7" s="909">
        <v>4</v>
      </c>
      <c r="C7" s="560" t="s">
        <v>27</v>
      </c>
      <c r="D7" s="358" t="str">
        <f>Gia_Dcu!$C$9</f>
        <v>Cái</v>
      </c>
      <c r="E7" s="358">
        <f>Gia_Dcu!$D$9</f>
        <v>60</v>
      </c>
      <c r="F7" s="927">
        <v>1.95</v>
      </c>
      <c r="G7" s="926">
        <f>Gia_Dcu!$F$9</f>
        <v>483.33333333333331</v>
      </c>
      <c r="H7" s="384">
        <f t="shared" si="0"/>
        <v>942.49999999999989</v>
      </c>
    </row>
    <row r="8" spans="1:11" ht="18" customHeight="1">
      <c r="B8" s="909">
        <v>5</v>
      </c>
      <c r="C8" s="560" t="s">
        <v>55</v>
      </c>
      <c r="D8" s="358" t="str">
        <f>Gia_Dcu!$C$10</f>
        <v>Cái</v>
      </c>
      <c r="E8" s="358">
        <f>Gia_Dcu!$D$10</f>
        <v>60</v>
      </c>
      <c r="F8" s="927">
        <v>0.48749999999999999</v>
      </c>
      <c r="G8" s="926">
        <f>Gia_Dcu!$F$10</f>
        <v>557.69230769230774</v>
      </c>
      <c r="H8" s="384">
        <f t="shared" si="0"/>
        <v>271.875</v>
      </c>
    </row>
    <row r="9" spans="1:11" ht="18" customHeight="1">
      <c r="B9" s="909">
        <v>6</v>
      </c>
      <c r="C9" s="560" t="s">
        <v>56</v>
      </c>
      <c r="D9" s="358" t="str">
        <f>Gia_Dcu!$C$11</f>
        <v>Cái</v>
      </c>
      <c r="E9" s="358">
        <f>Gia_Dcu!$D$11</f>
        <v>12</v>
      </c>
      <c r="F9" s="927">
        <v>1.95</v>
      </c>
      <c r="G9" s="926">
        <f>Gia_Dcu!$F$11</f>
        <v>208.33333333333334</v>
      </c>
      <c r="H9" s="384">
        <f t="shared" si="0"/>
        <v>406.25</v>
      </c>
    </row>
    <row r="10" spans="1:11" ht="18" customHeight="1">
      <c r="B10" s="909">
        <v>7</v>
      </c>
      <c r="C10" s="560" t="s">
        <v>59</v>
      </c>
      <c r="D10" s="358" t="s">
        <v>907</v>
      </c>
      <c r="E10" s="1011"/>
      <c r="F10" s="927">
        <v>0.2535</v>
      </c>
      <c r="G10" s="926">
        <f>Gia_Dcu!$F$14</f>
        <v>13488</v>
      </c>
      <c r="H10" s="384">
        <f>$G10*F10*100%</f>
        <v>3419.2080000000001</v>
      </c>
    </row>
    <row r="11" spans="1:11" ht="18" customHeight="1">
      <c r="B11" s="870"/>
      <c r="C11" s="525" t="s">
        <v>156</v>
      </c>
      <c r="D11" s="870"/>
      <c r="E11" s="981"/>
      <c r="F11" s="525"/>
      <c r="G11" s="937"/>
      <c r="H11" s="361">
        <f>SUM(H4:H10)*1.05</f>
        <v>6429.4340250000005</v>
      </c>
    </row>
    <row r="12" spans="1:11" ht="10.5" customHeight="1">
      <c r="G12" s="517"/>
    </row>
    <row r="13" spans="1:11" hidden="1">
      <c r="G13" s="517"/>
    </row>
    <row r="14" spans="1:11" ht="38.25" customHeight="1">
      <c r="B14" s="614" t="s">
        <v>14</v>
      </c>
      <c r="C14" s="614" t="s">
        <v>162</v>
      </c>
      <c r="D14" s="614" t="s">
        <v>21</v>
      </c>
      <c r="E14" s="343" t="s">
        <v>28</v>
      </c>
      <c r="F14" s="614" t="s">
        <v>779</v>
      </c>
    </row>
    <row r="15" spans="1:11">
      <c r="A15" s="517">
        <f>NhanCong_Xa!A4</f>
        <v>1</v>
      </c>
      <c r="B15" s="343">
        <f>NhanCong_Xa!B4</f>
        <v>1</v>
      </c>
      <c r="C15" s="523" t="str">
        <f>NhanCong_Xa!C4:C4</f>
        <v>Công tác chuẩn bị</v>
      </c>
      <c r="D15" s="870"/>
      <c r="E15" s="361"/>
      <c r="F15" s="525"/>
    </row>
    <row r="16" spans="1:11" ht="94.5">
      <c r="A16" s="517" t="str">
        <f>NhanCong_Xa!A5</f>
        <v>1.1</v>
      </c>
      <c r="B16" s="870" t="str">
        <f>NhanCong_Xa!B5</f>
        <v>1.1</v>
      </c>
      <c r="C16" s="406" t="str">
        <f>NhanCong_Xa!C5:C5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16" s="358" t="str">
        <f>NhanCong_Xa!D5</f>
        <v>Bộ dữ liệu theo xã</v>
      </c>
      <c r="E16" s="938">
        <v>0.12820000000000001</v>
      </c>
      <c r="F16" s="361">
        <f>E16*$H$11</f>
        <v>824.25344200500012</v>
      </c>
      <c r="K16" s="936"/>
    </row>
    <row r="17" spans="1:11" ht="63">
      <c r="A17" s="517" t="str">
        <f>NhanCong_Xa!A6</f>
        <v>1.2</v>
      </c>
      <c r="B17" s="870" t="str">
        <f>NhanCong_Xa!B6</f>
        <v>1.2</v>
      </c>
      <c r="C17" s="406" t="str">
        <f>NhanCong_Xa!C6:C6</f>
        <v>Chuẩn bị nhân lực, địa điểm làm việc; Chuẩn bị vật tư, thiết bị, dụng cụ, phần mềm phục vụ cho công tác xây dựng cơ sở dữ liệu thống kê, kiểm kê đất đai</v>
      </c>
      <c r="D17" s="358" t="str">
        <f>NhanCong_Xa!D6</f>
        <v>Bộ dữ liệu theo xã</v>
      </c>
      <c r="E17" s="938">
        <v>0.1026</v>
      </c>
      <c r="F17" s="361">
        <f>E17*$H$11</f>
        <v>659.65993096500006</v>
      </c>
      <c r="K17" s="936"/>
    </row>
    <row r="18" spans="1:11">
      <c r="A18" s="517">
        <f>NhanCong_Xa!A7</f>
        <v>8</v>
      </c>
      <c r="B18" s="343">
        <f>NhanCong_Xa!B7</f>
        <v>2</v>
      </c>
      <c r="C18" s="523" t="str">
        <f>NhanCong_Xa!C7:C7</f>
        <v>Xây dựng siêu dữ liệu thống kê, kiểm kê đất đai</v>
      </c>
      <c r="D18" s="870"/>
      <c r="E18" s="525"/>
      <c r="F18" s="361"/>
    </row>
    <row r="19" spans="1:11" ht="47.25">
      <c r="A19" s="517" t="str">
        <f>NhanCong_Xa!A8</f>
        <v>8.1</v>
      </c>
      <c r="B19" s="870" t="str">
        <f>NhanCong_Xa!B8</f>
        <v>2.1</v>
      </c>
      <c r="C19" s="406" t="str">
        <f>NhanCong_Xa!C8:C8</f>
        <v>Thu nhận các thông tin cần thiết để xây dựng siêu dữ liệu (thông tin mô tả dữ liệu) thống kê, kiểm kê đất đai</v>
      </c>
      <c r="D19" s="358" t="str">
        <f>NhanCong_Xa!D8</f>
        <v>Bộ dữ liệu theo xã</v>
      </c>
      <c r="E19" s="938">
        <v>0.25640000000000002</v>
      </c>
      <c r="F19" s="361">
        <f>E19*$H$11</f>
        <v>1648.5068840100002</v>
      </c>
    </row>
    <row r="20" spans="1:11" ht="47.25">
      <c r="A20" s="517" t="str">
        <f>NhanCong_Xa!A9</f>
        <v>8.2</v>
      </c>
      <c r="B20" s="870" t="str">
        <f>NhanCong_Xa!B9</f>
        <v>2.2</v>
      </c>
      <c r="C20" s="406" t="str">
        <f>NhanCong_Xa!C9:C9</f>
        <v>Nhập thông tin siêu dữ liệu kiểm kê đất đai</v>
      </c>
      <c r="D20" s="358" t="str">
        <f>NhanCong_Xa!D9</f>
        <v>Bộ dữ liệu theo xã</v>
      </c>
      <c r="E20" s="938">
        <v>0.12820000000000001</v>
      </c>
      <c r="F20" s="361">
        <f>E20*$H$11</f>
        <v>824.25344200500012</v>
      </c>
    </row>
    <row r="21" spans="1:11" ht="31.5">
      <c r="A21" s="517">
        <f>NhanCong_Xa!A10</f>
        <v>9</v>
      </c>
      <c r="B21" s="343">
        <f>NhanCong_Xa!B10</f>
        <v>3</v>
      </c>
      <c r="C21" s="407" t="str">
        <f>NhanCong_Xa!C10:C10</f>
        <v>Phục vụ kiểm tra, nghiệm thu cơ sở dữ liệu thống kê, kiểm kê đất đai</v>
      </c>
      <c r="D21" s="870"/>
      <c r="E21" s="938"/>
      <c r="F21" s="361"/>
    </row>
    <row r="22" spans="1:11" ht="47.25">
      <c r="A22" s="517" t="str">
        <f>NhanCong_Xa!A11</f>
        <v>9.1</v>
      </c>
      <c r="B22" s="870" t="str">
        <f>NhanCong_Xa!B11</f>
        <v>3.1</v>
      </c>
      <c r="C22" s="406" t="str">
        <f>NhanCong_Xa!C11:C11</f>
        <v>Đơn vị thi công chuẩn bị tài liệu và phục vụ giám sát kiểm tra, nghiệm thu.</v>
      </c>
      <c r="D22" s="358" t="str">
        <f>NhanCong_Xa!D11</f>
        <v>Bộ dữ liệu theo xã</v>
      </c>
      <c r="E22" s="938">
        <v>7.6899999999999996E-2</v>
      </c>
      <c r="F22" s="361">
        <f>E22*$H$11</f>
        <v>494.42347652250004</v>
      </c>
    </row>
    <row r="23" spans="1:11" ht="63">
      <c r="A23" s="517" t="str">
        <f>NhanCong_Xa!A12</f>
        <v>9.2</v>
      </c>
      <c r="B23" s="870" t="str">
        <f>NhanCong_Xa!B12</f>
        <v>3.2</v>
      </c>
      <c r="C23" s="406" t="str">
        <f>NhanCong_Xa!C12:C12</f>
        <v>Thực hiện kiểm tra tổng thể cơ sở dữ liệu thống kê, kiểm kê đất đai và tích hợp vào hệ thống ngay sau khi được nghiệm thu để phục vụ quản lý, vận hành, khai thác sử dụng.</v>
      </c>
      <c r="D23" s="358" t="str">
        <f>NhanCong_Xa!D12</f>
        <v>Bộ dữ liệu theo xã</v>
      </c>
      <c r="E23" s="938">
        <v>0.25640000000000002</v>
      </c>
      <c r="F23" s="361">
        <f>E23*$H$11</f>
        <v>1648.5068840100002</v>
      </c>
    </row>
    <row r="24" spans="1:11" ht="47.25">
      <c r="A24" s="517" t="str">
        <f>NhanCong_Xa!A13</f>
        <v>9.3</v>
      </c>
      <c r="B24" s="1164" t="str">
        <f>NhanCong_Xa!B13</f>
        <v>3.3</v>
      </c>
      <c r="C24" s="406" t="str">
        <f>NhanCong_Xa!C13:C13</f>
        <v>Đóng gói giao nộp cơ sở dữ liệu thống kê, kiểm kê đất đai</v>
      </c>
      <c r="D24" s="358" t="str">
        <f>NhanCong_Xa!D13</f>
        <v>Bộ dữ liệu theo xã</v>
      </c>
      <c r="E24" s="938">
        <v>5.1299999999999998E-2</v>
      </c>
      <c r="F24" s="361">
        <f>E24*$H$11</f>
        <v>329.82996548250003</v>
      </c>
      <c r="I24" s="936">
        <f>SUM(F16:F24)</f>
        <v>6429.4340250000005</v>
      </c>
    </row>
    <row r="25" spans="1:11" s="769" customFormat="1">
      <c r="B25" s="770"/>
      <c r="C25" s="609"/>
      <c r="D25" s="610"/>
      <c r="E25" s="941"/>
      <c r="F25" s="942"/>
      <c r="G25" s="941"/>
      <c r="H25" s="1166"/>
    </row>
    <row r="26" spans="1:11" s="769" customFormat="1" hidden="1">
      <c r="B26" s="609"/>
      <c r="D26" s="610"/>
      <c r="E26" s="941"/>
      <c r="F26" s="942"/>
      <c r="G26" s="941"/>
      <c r="H26" s="1166"/>
    </row>
    <row r="27" spans="1:11">
      <c r="B27" s="762"/>
      <c r="C27" s="763"/>
      <c r="D27" s="1013"/>
      <c r="E27" s="943"/>
      <c r="F27" s="944"/>
    </row>
    <row r="28" spans="1:11" s="521" customFormat="1" ht="85.5" customHeight="1">
      <c r="B28" s="614" t="s">
        <v>14</v>
      </c>
      <c r="C28" s="614" t="s">
        <v>2</v>
      </c>
      <c r="D28" s="614" t="s">
        <v>21</v>
      </c>
      <c r="E28" s="614" t="s">
        <v>909</v>
      </c>
      <c r="F28" s="337" t="s">
        <v>897</v>
      </c>
      <c r="G28" s="589" t="s">
        <v>103</v>
      </c>
      <c r="H28" s="337" t="s">
        <v>81</v>
      </c>
    </row>
    <row r="29" spans="1:11">
      <c r="B29" s="909">
        <v>1</v>
      </c>
      <c r="C29" s="560" t="s">
        <v>52</v>
      </c>
      <c r="D29" s="358" t="str">
        <f>Gia_Dcu!$C$6</f>
        <v>Cái</v>
      </c>
      <c r="E29" s="358">
        <f>Gia_Dcu!$D$6</f>
        <v>24</v>
      </c>
      <c r="F29" s="927">
        <v>0.49</v>
      </c>
      <c r="G29" s="926">
        <f>Gia_Dcu!$F$6</f>
        <v>21.634615384615383</v>
      </c>
      <c r="H29" s="384">
        <f t="shared" ref="H29:H34" si="1">$G29*F29</f>
        <v>10.600961538461538</v>
      </c>
    </row>
    <row r="30" spans="1:11">
      <c r="B30" s="909">
        <v>2</v>
      </c>
      <c r="C30" s="560" t="s">
        <v>53</v>
      </c>
      <c r="D30" s="358" t="str">
        <f>Gia_Dcu!$C$7</f>
        <v>Cái</v>
      </c>
      <c r="E30" s="358">
        <f>Gia_Dcu!$D$7</f>
        <v>60</v>
      </c>
      <c r="F30" s="927">
        <v>0.81669999999999998</v>
      </c>
      <c r="G30" s="926">
        <f>Gia_Dcu!$F$7</f>
        <v>961.53846153846155</v>
      </c>
      <c r="H30" s="384">
        <f t="shared" si="1"/>
        <v>785.28846153846155</v>
      </c>
    </row>
    <row r="31" spans="1:11">
      <c r="B31" s="909">
        <v>3</v>
      </c>
      <c r="C31" s="560" t="s">
        <v>54</v>
      </c>
      <c r="D31" s="358" t="str">
        <f>Gia_Dcu!$C$8</f>
        <v>Cái</v>
      </c>
      <c r="E31" s="358">
        <f>Gia_Dcu!$D$8</f>
        <v>60</v>
      </c>
      <c r="F31" s="927">
        <v>2.4500000000000002</v>
      </c>
      <c r="G31" s="926">
        <f>Gia_Dcu!$F$8</f>
        <v>230.76923076923077</v>
      </c>
      <c r="H31" s="384">
        <f t="shared" si="1"/>
        <v>565.38461538461547</v>
      </c>
    </row>
    <row r="32" spans="1:11">
      <c r="B32" s="909">
        <v>4</v>
      </c>
      <c r="C32" s="560" t="s">
        <v>27</v>
      </c>
      <c r="D32" s="358" t="str">
        <f>Gia_Dcu!$C$9</f>
        <v>Cái</v>
      </c>
      <c r="E32" s="358">
        <f>Gia_Dcu!$D$9</f>
        <v>60</v>
      </c>
      <c r="F32" s="927">
        <v>2.4500000000000002</v>
      </c>
      <c r="G32" s="926">
        <f>Gia_Dcu!$F$9</f>
        <v>483.33333333333331</v>
      </c>
      <c r="H32" s="384">
        <f t="shared" si="1"/>
        <v>1184.1666666666667</v>
      </c>
    </row>
    <row r="33" spans="1:8">
      <c r="B33" s="909">
        <v>5</v>
      </c>
      <c r="C33" s="560" t="s">
        <v>55</v>
      </c>
      <c r="D33" s="358" t="str">
        <f>Gia_Dcu!$C$10</f>
        <v>Cái</v>
      </c>
      <c r="E33" s="358">
        <f>Gia_Dcu!$D$10</f>
        <v>60</v>
      </c>
      <c r="F33" s="927">
        <v>0.61250000000000004</v>
      </c>
      <c r="G33" s="926">
        <f>Gia_Dcu!$F$10</f>
        <v>557.69230769230774</v>
      </c>
      <c r="H33" s="384">
        <f t="shared" si="1"/>
        <v>341.58653846153851</v>
      </c>
    </row>
    <row r="34" spans="1:8">
      <c r="B34" s="909">
        <v>6</v>
      </c>
      <c r="C34" s="560" t="s">
        <v>56</v>
      </c>
      <c r="D34" s="358" t="str">
        <f>Gia_Dcu!$C$11</f>
        <v>Cái</v>
      </c>
      <c r="E34" s="358">
        <f>Gia_Dcu!$D$11</f>
        <v>12</v>
      </c>
      <c r="F34" s="927">
        <v>2.4500000000000002</v>
      </c>
      <c r="G34" s="926">
        <f>Gia_Dcu!$F$11</f>
        <v>208.33333333333334</v>
      </c>
      <c r="H34" s="384">
        <f t="shared" si="1"/>
        <v>510.41666666666674</v>
      </c>
    </row>
    <row r="35" spans="1:8">
      <c r="B35" s="909">
        <v>7</v>
      </c>
      <c r="C35" s="560" t="s">
        <v>59</v>
      </c>
      <c r="D35" s="358" t="s">
        <v>907</v>
      </c>
      <c r="E35" s="1011"/>
      <c r="F35" s="927">
        <v>0.31850000000000001</v>
      </c>
      <c r="G35" s="926">
        <f>Gia_Dcu!$F$14</f>
        <v>13488</v>
      </c>
      <c r="H35" s="1014">
        <f>$G35*F35*100%</f>
        <v>4295.9279999999999</v>
      </c>
    </row>
    <row r="36" spans="1:8">
      <c r="B36" s="870"/>
      <c r="C36" s="525" t="s">
        <v>156</v>
      </c>
      <c r="D36" s="870"/>
      <c r="E36" s="981"/>
      <c r="F36" s="525"/>
      <c r="G36" s="937"/>
      <c r="H36" s="361">
        <f>SUM(H29:H35)*1.05</f>
        <v>8078.0405057692305</v>
      </c>
    </row>
    <row r="37" spans="1:8" hidden="1">
      <c r="G37" s="517"/>
    </row>
    <row r="38" spans="1:8">
      <c r="C38" s="763"/>
      <c r="G38" s="517"/>
    </row>
    <row r="39" spans="1:8" ht="36" customHeight="1">
      <c r="B39" s="614" t="s">
        <v>14</v>
      </c>
      <c r="C39" s="614" t="s">
        <v>162</v>
      </c>
      <c r="D39" s="614" t="s">
        <v>21</v>
      </c>
      <c r="E39" s="343" t="s">
        <v>28</v>
      </c>
      <c r="F39" s="614" t="s">
        <v>779</v>
      </c>
    </row>
    <row r="40" spans="1:8">
      <c r="A40" s="517">
        <f>NhanCong_Xa!A16</f>
        <v>2</v>
      </c>
      <c r="B40" s="343">
        <f>NhanCong_Xa!B16</f>
        <v>1</v>
      </c>
      <c r="C40" s="523" t="str">
        <f>NhanCong_Xa!C16:C16</f>
        <v>Thu thập tài liệu, dữ liệu</v>
      </c>
      <c r="D40" s="870"/>
      <c r="E40" s="938"/>
      <c r="F40" s="938"/>
    </row>
    <row r="41" spans="1:8">
      <c r="A41" s="517" t="str">
        <f>NhanCong_Xa!A17</f>
        <v>2.1</v>
      </c>
      <c r="B41" s="870" t="str">
        <f>NhanCong_Xa!B17</f>
        <v>1.1</v>
      </c>
      <c r="C41" s="600" t="str">
        <f>NhanCong_Xa!C17</f>
        <v>Thu thập tài liệu, dữ liệu thống kê</v>
      </c>
      <c r="D41" s="870" t="str">
        <f>NhanCong_Xa!D17</f>
        <v>Năm TK</v>
      </c>
      <c r="E41" s="938">
        <v>4.0800000000000003E-2</v>
      </c>
      <c r="F41" s="361">
        <f>E41*$H$36</f>
        <v>329.58405263538464</v>
      </c>
    </row>
    <row r="42" spans="1:8">
      <c r="A42" s="517" t="str">
        <f>NhanCong_Xa!A18</f>
        <v>2.2</v>
      </c>
      <c r="B42" s="870" t="str">
        <f>NhanCong_Xa!B18</f>
        <v>1.2</v>
      </c>
      <c r="C42" s="600" t="str">
        <f>NhanCong_Xa!C18</f>
        <v>Thu thập tài liệu, dữ liệu kiểm kê</v>
      </c>
      <c r="D42" s="870" t="str">
        <f>NhanCong_Xa!D18</f>
        <v>Kỳ KK</v>
      </c>
      <c r="E42" s="938">
        <v>0.10199999999999999</v>
      </c>
      <c r="F42" s="361">
        <f t="shared" ref="F42:F51" si="2">E42*$H$36</f>
        <v>823.96013158846142</v>
      </c>
    </row>
    <row r="43" spans="1:8" ht="31.5">
      <c r="A43" s="517">
        <f>NhanCong_Xa!A19</f>
        <v>3</v>
      </c>
      <c r="B43" s="343">
        <f>NhanCong_Xa!B19</f>
        <v>2</v>
      </c>
      <c r="C43" s="407" t="str">
        <f>NhanCong_Xa!C19:C19</f>
        <v>Rà soát, đánh giá, phân loại và sắp xếp tài liệu, dữ liệu</v>
      </c>
      <c r="D43" s="870"/>
      <c r="E43" s="938"/>
      <c r="F43" s="361">
        <f t="shared" si="2"/>
        <v>0</v>
      </c>
    </row>
    <row r="44" spans="1:8" ht="47.25">
      <c r="A44" s="517" t="str">
        <f>NhanCong_Xa!A20</f>
        <v>3.1</v>
      </c>
      <c r="B44" s="870" t="str">
        <f>NhanCong_Xa!B20</f>
        <v>2.1</v>
      </c>
      <c r="C44" s="411" t="str">
        <f>NhanCong_Xa!C20</f>
        <v>Rà soát, đánh giá, phân loại và sắp xếp tài liệu, dữ liệu thống kê và lập báo cáo kết quản thực hiện</v>
      </c>
      <c r="D44" s="870" t="str">
        <f>NhanCong_Xa!D20</f>
        <v>Năm TK</v>
      </c>
      <c r="E44" s="938">
        <v>4.0800000000000003E-2</v>
      </c>
      <c r="F44" s="361">
        <f t="shared" si="2"/>
        <v>329.58405263538464</v>
      </c>
    </row>
    <row r="45" spans="1:8" ht="47.25">
      <c r="A45" s="517" t="str">
        <f>NhanCong_Xa!A21</f>
        <v>3.2</v>
      </c>
      <c r="B45" s="870" t="str">
        <f>NhanCong_Xa!B21</f>
        <v>2.2</v>
      </c>
      <c r="C45" s="411" t="str">
        <f>NhanCong_Xa!C21</f>
        <v>Rà soát, đánh giá, phân loại và sắp xếp tài liệu, dữ liệu kiểm kê và lập báo cáo kết quản thực hiện</v>
      </c>
      <c r="D45" s="870" t="str">
        <f>NhanCong_Xa!D21</f>
        <v>Kỳ KK</v>
      </c>
      <c r="E45" s="938">
        <v>8.1600000000000006E-2</v>
      </c>
      <c r="F45" s="361">
        <f t="shared" si="2"/>
        <v>659.16810527076927</v>
      </c>
    </row>
    <row r="46" spans="1:8">
      <c r="A46" s="517">
        <f>NhanCong_Xa!A22</f>
        <v>5</v>
      </c>
      <c r="B46" s="343">
        <f>NhanCong_Xa!B22</f>
        <v>3</v>
      </c>
      <c r="C46" s="523" t="str">
        <f>NhanCong_Xa!C22:C22</f>
        <v>Quét giấy tờ pháp lý và xử lý tệp tin</v>
      </c>
      <c r="D46" s="870"/>
      <c r="E46" s="525"/>
      <c r="F46" s="361">
        <f t="shared" si="2"/>
        <v>0</v>
      </c>
      <c r="G46" s="941"/>
      <c r="H46" s="517"/>
    </row>
    <row r="47" spans="1:8" ht="110.25">
      <c r="B47" s="343" t="s">
        <v>771</v>
      </c>
      <c r="C47" s="406" t="str">
        <f>+DonGia_Xa!C26</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47" s="870"/>
      <c r="E47" s="525"/>
      <c r="F47" s="361"/>
      <c r="G47" s="941"/>
      <c r="H47" s="517"/>
    </row>
    <row r="48" spans="1:8">
      <c r="B48" s="870" t="s">
        <v>62</v>
      </c>
      <c r="C48" s="406" t="str">
        <f>+DonGia_Xa!C27</f>
        <v>Trang A3</v>
      </c>
      <c r="D48" s="870"/>
      <c r="E48" s="525"/>
      <c r="F48" s="361">
        <v>77.430000000000007</v>
      </c>
      <c r="G48" s="941"/>
      <c r="H48" s="517"/>
    </row>
    <row r="49" spans="1:8">
      <c r="B49" s="870" t="s">
        <v>63</v>
      </c>
      <c r="C49" s="406" t="str">
        <f>+DonGia_Xa!C28</f>
        <v>Trang A4</v>
      </c>
      <c r="D49" s="870"/>
      <c r="E49" s="525"/>
      <c r="F49" s="361">
        <v>76.540000000000006</v>
      </c>
      <c r="G49" s="941"/>
      <c r="H49" s="517"/>
    </row>
    <row r="50" spans="1:8" ht="110.25">
      <c r="B50" s="343" t="s">
        <v>774</v>
      </c>
      <c r="C50" s="406" t="str">
        <f>+DonGia_Xa!C29</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D50" s="870"/>
      <c r="E50" s="525"/>
      <c r="F50" s="361">
        <v>56.31</v>
      </c>
      <c r="G50" s="941"/>
      <c r="H50" s="517"/>
    </row>
    <row r="51" spans="1:8" ht="47.25">
      <c r="A51" s="517" t="str">
        <f>NhanCong_Xa!A27</f>
        <v>5.3</v>
      </c>
      <c r="B51" s="1006" t="s">
        <v>886</v>
      </c>
      <c r="C51" s="406" t="str">
        <f>NhanCong_Xa!C27:C27</f>
        <v>Tạo danh mục tra cứu hồ sơ quét trong cơ sở dữ liệu thống kê, kiểm kê đất đai</v>
      </c>
      <c r="D51" s="358" t="str">
        <f>NhanCong_Xa!D27</f>
        <v>Năm TK hoặc Kỳ KK</v>
      </c>
      <c r="E51" s="938">
        <v>4.0800000000000003E-2</v>
      </c>
      <c r="F51" s="361">
        <f t="shared" si="2"/>
        <v>329.58405263538464</v>
      </c>
    </row>
    <row r="52" spans="1:8">
      <c r="A52" s="517">
        <f>NhanCong_Xa!A28</f>
        <v>6</v>
      </c>
      <c r="B52" s="343">
        <f>NhanCong_Xa!B28</f>
        <v>4</v>
      </c>
      <c r="C52" s="523" t="str">
        <f>NhanCong_Xa!C28:C28</f>
        <v>Xây dựng dữ liệu thuộc tính thống kê, kiểm kê đất đai</v>
      </c>
      <c r="D52" s="870"/>
      <c r="E52" s="525"/>
      <c r="F52" s="361"/>
    </row>
    <row r="53" spans="1:8">
      <c r="A53" s="517" t="str">
        <f>NhanCong_Xa!A29</f>
        <v>6.1</v>
      </c>
      <c r="B53" s="870" t="str">
        <f>NhanCong_Xa!B29</f>
        <v>4.1</v>
      </c>
      <c r="C53" s="411" t="str">
        <f>NhanCong_Xa!C29</f>
        <v>Đối với tài liệu, số liệu là bảng, biểu dạng số</v>
      </c>
      <c r="D53" s="870"/>
      <c r="E53" s="525"/>
      <c r="F53" s="361"/>
    </row>
    <row r="54" spans="1:8" ht="47.25">
      <c r="A54" s="517" t="str">
        <f>NhanCong_Xa!A30</f>
        <v>6.1.1</v>
      </c>
      <c r="B54" s="870" t="str">
        <f>NhanCong_Xa!B30</f>
        <v>4.1.1</v>
      </c>
      <c r="C54" s="525" t="str">
        <f>NhanCong_Xa!C30:C30</f>
        <v>Lập mô hình chuyển đổi cơ sở dữ liệu thống kê, kiểm kê đất đai</v>
      </c>
      <c r="D54" s="358" t="str">
        <f>NhanCong_Xa!D30</f>
        <v>Năm TK hoặc Kỳ KK</v>
      </c>
      <c r="E54" s="938">
        <v>8.1600000000000006E-2</v>
      </c>
      <c r="F54" s="361">
        <f t="shared" ref="F54:F59" si="3">E54*$H$36</f>
        <v>659.16810527076927</v>
      </c>
    </row>
    <row r="55" spans="1:8" ht="47.25">
      <c r="A55" s="517" t="str">
        <f>NhanCong_Xa!A31</f>
        <v>6.1.2</v>
      </c>
      <c r="B55" s="870" t="str">
        <f>NhanCong_Xa!B31</f>
        <v>4.1.2</v>
      </c>
      <c r="C55" s="406" t="str">
        <f>NhanCong_Xa!C31:C31</f>
        <v>Chuyển đổi vào cơ sở dữ liệu thống kê, kiểm kê đất đai</v>
      </c>
      <c r="D55" s="358" t="str">
        <f>NhanCong_Xa!D31</f>
        <v>Năm TK hoặc Kỳ KK</v>
      </c>
      <c r="E55" s="938">
        <v>0.1633</v>
      </c>
      <c r="F55" s="361">
        <f t="shared" si="3"/>
        <v>1319.1440145921154</v>
      </c>
    </row>
    <row r="56" spans="1:8" ht="47.25">
      <c r="A56" s="517" t="str">
        <f>NhanCong_Xa!A32</f>
        <v>6.2</v>
      </c>
      <c r="B56" s="870" t="str">
        <f>NhanCong_Xa!B32</f>
        <v>4.2</v>
      </c>
      <c r="C56" s="406" t="str">
        <f>NhanCong_Xa!C32:C32</f>
        <v>Đối với tài liệu, số liệu là báo cáo dạng số thì tạo danh mục tra cứu trong cơ sở dữ liệu thống kê, kiểm kê đất đai</v>
      </c>
      <c r="D56" s="358" t="str">
        <f>NhanCong_Xa!D32</f>
        <v>Năm TK hoặc Kỳ KK</v>
      </c>
      <c r="E56" s="938">
        <v>8.1600000000000006E-2</v>
      </c>
      <c r="F56" s="361">
        <f t="shared" si="3"/>
        <v>659.16810527076927</v>
      </c>
    </row>
    <row r="57" spans="1:8" ht="31.5">
      <c r="A57" s="517">
        <f>NhanCong_Xa!A33</f>
        <v>7</v>
      </c>
      <c r="B57" s="343">
        <f>NhanCong_Xa!B33</f>
        <v>5</v>
      </c>
      <c r="C57" s="407" t="str">
        <f>NhanCong_Xa!C33:C33</f>
        <v>Đối soát, hoàn thiện dữ liệu thống kê, kiểm kê đất đai</v>
      </c>
      <c r="D57" s="870" t="str">
        <f>NhanCong_Xa!D34</f>
        <v>Năm TK</v>
      </c>
      <c r="E57" s="938"/>
      <c r="F57" s="361">
        <f t="shared" si="3"/>
        <v>0</v>
      </c>
    </row>
    <row r="58" spans="1:8">
      <c r="A58" s="517" t="str">
        <f>NhanCong_Xa!A34</f>
        <v>7.1</v>
      </c>
      <c r="B58" s="870" t="str">
        <f>NhanCong_Xa!B34</f>
        <v>5.1</v>
      </c>
      <c r="C58" s="600" t="str">
        <f>NhanCong_Xa!C34</f>
        <v>Đối soát, hoàn thiện dữ liệu thống kê đất đai</v>
      </c>
      <c r="D58" s="870" t="str">
        <f>NhanCong_Xa!D34</f>
        <v>Năm TK</v>
      </c>
      <c r="E58" s="938">
        <v>0.1633</v>
      </c>
      <c r="F58" s="361">
        <f t="shared" si="3"/>
        <v>1319.1440145921154</v>
      </c>
    </row>
    <row r="59" spans="1:8">
      <c r="A59" s="517" t="str">
        <f>NhanCong_Xa!A35</f>
        <v>7.2</v>
      </c>
      <c r="B59" s="870" t="str">
        <f>NhanCong_Xa!B35</f>
        <v>5.2</v>
      </c>
      <c r="C59" s="600" t="str">
        <f>NhanCong_Xa!C35</f>
        <v>Đối soát, hoàn thiện dữ liệu kiểm kê đất đai</v>
      </c>
      <c r="D59" s="870" t="str">
        <f>NhanCong_Xa!D35</f>
        <v>Kỳ KK</v>
      </c>
      <c r="E59" s="938">
        <v>0.20419999999999999</v>
      </c>
      <c r="F59" s="361">
        <f t="shared" si="3"/>
        <v>1649.5358712780769</v>
      </c>
    </row>
    <row r="60" spans="1:8">
      <c r="B60" s="920"/>
      <c r="C60" s="921"/>
      <c r="D60" s="920"/>
      <c r="E60" s="946">
        <f>SUM(E51:E59)+SUM(E41:E45)</f>
        <v>0.99999999999999989</v>
      </c>
      <c r="F60" s="1043">
        <f>SUM(F51:F59)+SUM(F41:F45)</f>
        <v>8078.0405057692305</v>
      </c>
    </row>
    <row r="61" spans="1:8">
      <c r="A61" s="755"/>
      <c r="B61" s="756"/>
      <c r="C61" s="778"/>
      <c r="D61" s="756"/>
      <c r="E61" s="939"/>
      <c r="F61" s="947"/>
    </row>
    <row r="62" spans="1:8" hidden="1">
      <c r="A62" s="761"/>
      <c r="B62" s="762"/>
      <c r="C62" s="763"/>
      <c r="D62" s="762"/>
      <c r="E62" s="943"/>
      <c r="F62" s="1015"/>
    </row>
    <row r="63" spans="1:8" s="521" customFormat="1" ht="65.25" customHeight="1">
      <c r="B63" s="614" t="s">
        <v>14</v>
      </c>
      <c r="C63" s="614" t="s">
        <v>2</v>
      </c>
      <c r="D63" s="614" t="s">
        <v>21</v>
      </c>
      <c r="E63" s="614" t="s">
        <v>909</v>
      </c>
      <c r="F63" s="337" t="s">
        <v>898</v>
      </c>
      <c r="G63" s="589" t="s">
        <v>103</v>
      </c>
      <c r="H63" s="337" t="s">
        <v>81</v>
      </c>
    </row>
    <row r="64" spans="1:8">
      <c r="B64" s="909">
        <v>1</v>
      </c>
      <c r="C64" s="560" t="s">
        <v>52</v>
      </c>
      <c r="D64" s="358" t="str">
        <f>Gia_Dcu!$C$6</f>
        <v>Cái</v>
      </c>
      <c r="E64" s="358">
        <f>Gia_Dcu!$D$6</f>
        <v>24</v>
      </c>
      <c r="F64" s="927">
        <v>0.92</v>
      </c>
      <c r="G64" s="926">
        <f>Gia_Dcu!$F$6</f>
        <v>21.634615384615383</v>
      </c>
      <c r="H64" s="384">
        <f t="shared" ref="H64:H69" si="4">$G64*F64</f>
        <v>19.903846153846153</v>
      </c>
    </row>
    <row r="65" spans="1:8">
      <c r="B65" s="909">
        <v>2</v>
      </c>
      <c r="C65" s="560" t="s">
        <v>53</v>
      </c>
      <c r="D65" s="358" t="str">
        <f>Gia_Dcu!$C$7</f>
        <v>Cái</v>
      </c>
      <c r="E65" s="358">
        <f>Gia_Dcu!$D$7</f>
        <v>60</v>
      </c>
      <c r="F65" s="927">
        <v>1.5333000000000001</v>
      </c>
      <c r="G65" s="926">
        <f>Gia_Dcu!$F$7</f>
        <v>961.53846153846155</v>
      </c>
      <c r="H65" s="384">
        <f t="shared" si="4"/>
        <v>1474.3269230769231</v>
      </c>
    </row>
    <row r="66" spans="1:8">
      <c r="B66" s="909">
        <v>3</v>
      </c>
      <c r="C66" s="560" t="s">
        <v>54</v>
      </c>
      <c r="D66" s="358" t="str">
        <f>Gia_Dcu!$C$8</f>
        <v>Cái</v>
      </c>
      <c r="E66" s="358">
        <f>Gia_Dcu!$D$8</f>
        <v>60</v>
      </c>
      <c r="F66" s="927">
        <v>4.5999999999999996</v>
      </c>
      <c r="G66" s="926">
        <f>Gia_Dcu!$F$8</f>
        <v>230.76923076923077</v>
      </c>
      <c r="H66" s="384">
        <f t="shared" si="4"/>
        <v>1061.5384615384614</v>
      </c>
    </row>
    <row r="67" spans="1:8">
      <c r="B67" s="909">
        <v>4</v>
      </c>
      <c r="C67" s="560" t="s">
        <v>27</v>
      </c>
      <c r="D67" s="358" t="str">
        <f>Gia_Dcu!$C$9</f>
        <v>Cái</v>
      </c>
      <c r="E67" s="358">
        <f>Gia_Dcu!$D$9</f>
        <v>60</v>
      </c>
      <c r="F67" s="927">
        <v>4.5999999999999996</v>
      </c>
      <c r="G67" s="926">
        <f>Gia_Dcu!$F$9</f>
        <v>483.33333333333331</v>
      </c>
      <c r="H67" s="384">
        <f t="shared" si="4"/>
        <v>2223.333333333333</v>
      </c>
    </row>
    <row r="68" spans="1:8">
      <c r="B68" s="909">
        <v>5</v>
      </c>
      <c r="C68" s="560" t="s">
        <v>55</v>
      </c>
      <c r="D68" s="358" t="str">
        <f>Gia_Dcu!$C$10</f>
        <v>Cái</v>
      </c>
      <c r="E68" s="358">
        <f>Gia_Dcu!$D$10</f>
        <v>60</v>
      </c>
      <c r="F68" s="927">
        <v>1.1499999999999999</v>
      </c>
      <c r="G68" s="926">
        <f>Gia_Dcu!$F$10</f>
        <v>557.69230769230774</v>
      </c>
      <c r="H68" s="384">
        <f t="shared" si="4"/>
        <v>641.34615384615381</v>
      </c>
    </row>
    <row r="69" spans="1:8">
      <c r="B69" s="909">
        <v>6</v>
      </c>
      <c r="C69" s="560" t="s">
        <v>56</v>
      </c>
      <c r="D69" s="358" t="str">
        <f>Gia_Dcu!$C$11</f>
        <v>Cái</v>
      </c>
      <c r="E69" s="358">
        <f>Gia_Dcu!$D$11</f>
        <v>12</v>
      </c>
      <c r="F69" s="927">
        <v>4.5999999999999996</v>
      </c>
      <c r="G69" s="926">
        <f>Gia_Dcu!$F$11</f>
        <v>208.33333333333334</v>
      </c>
      <c r="H69" s="384">
        <f t="shared" si="4"/>
        <v>958.33333333333326</v>
      </c>
    </row>
    <row r="70" spans="1:8">
      <c r="B70" s="909">
        <v>7</v>
      </c>
      <c r="C70" s="560" t="s">
        <v>59</v>
      </c>
      <c r="D70" s="358" t="s">
        <v>907</v>
      </c>
      <c r="E70" s="1011"/>
      <c r="F70" s="927">
        <v>0.59799999999999998</v>
      </c>
      <c r="G70" s="926">
        <f>Gia_Dcu!$F$14</f>
        <v>13488</v>
      </c>
      <c r="H70" s="1014">
        <f>$G70*F70*100%</f>
        <v>8065.8239999999996</v>
      </c>
    </row>
    <row r="71" spans="1:8">
      <c r="B71" s="870"/>
      <c r="C71" s="525" t="s">
        <v>156</v>
      </c>
      <c r="D71" s="870"/>
      <c r="E71" s="981"/>
      <c r="F71" s="525"/>
      <c r="G71" s="937"/>
      <c r="H71" s="899">
        <f>SUM(H64:H70)*1.05</f>
        <v>15166.836353846153</v>
      </c>
    </row>
    <row r="72" spans="1:8">
      <c r="G72" s="517"/>
    </row>
    <row r="73" spans="1:8" hidden="1">
      <c r="C73" s="763"/>
      <c r="G73" s="517"/>
    </row>
    <row r="74" spans="1:8" ht="33" customHeight="1">
      <c r="B74" s="614" t="s">
        <v>14</v>
      </c>
      <c r="C74" s="614" t="s">
        <v>162</v>
      </c>
      <c r="D74" s="614" t="s">
        <v>21</v>
      </c>
      <c r="E74" s="343" t="s">
        <v>28</v>
      </c>
      <c r="F74" s="614" t="s">
        <v>779</v>
      </c>
    </row>
    <row r="75" spans="1:8" ht="31.5">
      <c r="A75" s="517" t="str">
        <f>NhanCong_Xa!A39</f>
        <v>4.1</v>
      </c>
      <c r="B75" s="870">
        <v>1</v>
      </c>
      <c r="C75" s="406" t="str">
        <f>NhanCong_Xa!C39:C39</f>
        <v>Chuẩn hóa các lớp đối tượng không gian kiểm kê đất đai</v>
      </c>
      <c r="D75" s="870"/>
      <c r="E75" s="938"/>
      <c r="F75" s="938"/>
    </row>
    <row r="76" spans="1:8" ht="78.75">
      <c r="A76" s="517" t="str">
        <f>NhanCong_Xa!A40</f>
        <v>4.1.1</v>
      </c>
      <c r="B76" s="870" t="s">
        <v>767</v>
      </c>
      <c r="C76" s="406"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76" s="358" t="str">
        <f>NhanCong_Xa!D40</f>
        <v>Lớp dữ liệu</v>
      </c>
      <c r="E76" s="938">
        <v>0.21740000000000001</v>
      </c>
      <c r="F76" s="361">
        <f t="shared" ref="F76:F82" si="5">E76*$H$71</f>
        <v>3297.2702233261539</v>
      </c>
    </row>
    <row r="77" spans="1:8" ht="31.5">
      <c r="A77" s="517" t="str">
        <f>NhanCong_Xa!A41</f>
        <v>4.1.2</v>
      </c>
      <c r="B77" s="870" t="s">
        <v>768</v>
      </c>
      <c r="C77" s="406" t="str">
        <f>NhanCong_Xa!C41:C41</f>
        <v>Chuẩn hóa các lớp đối tượng không gian kiểm kê đất đai chưa phù hợp</v>
      </c>
      <c r="D77" s="358" t="str">
        <f>NhanCong_Xa!D41</f>
        <v>Lớp dữ liệu</v>
      </c>
      <c r="E77" s="938">
        <v>0.3261</v>
      </c>
      <c r="F77" s="361">
        <f t="shared" si="5"/>
        <v>4945.9053349892301</v>
      </c>
    </row>
    <row r="78" spans="1:8" ht="47.25">
      <c r="A78" s="517" t="str">
        <f>NhanCong_Xa!A42</f>
        <v>4.1.3</v>
      </c>
      <c r="B78" s="870" t="s">
        <v>890</v>
      </c>
      <c r="C78" s="406" t="str">
        <f>NhanCong_Xa!C42:C42</f>
        <v>Nhập bổ sung các thông tin thuộc tính cho đối tượng không gian kiểm kê đất đai còn thiếu (nếu có)</v>
      </c>
      <c r="D78" s="358" t="str">
        <f>NhanCong_Xa!D42</f>
        <v>Lớp dữ liệu</v>
      </c>
      <c r="E78" s="938">
        <v>6.5199999999999994E-2</v>
      </c>
      <c r="F78" s="361">
        <f t="shared" si="5"/>
        <v>988.87773027076901</v>
      </c>
    </row>
    <row r="79" spans="1:8" ht="31.5">
      <c r="A79" s="517" t="str">
        <f>NhanCong_Xa!A43</f>
        <v>4.1.4</v>
      </c>
      <c r="B79" s="870" t="s">
        <v>891</v>
      </c>
      <c r="C79" s="406" t="str">
        <f>NhanCong_Xa!C43:C43</f>
        <v>Rà soát chuẩn hóa thông tin thuộc tính cho từng đối tượng không gian kiểm kê đất đai</v>
      </c>
      <c r="D79" s="358" t="str">
        <f>NhanCong_Xa!D43</f>
        <v>Lớp dữ liệu</v>
      </c>
      <c r="E79" s="938">
        <v>0.21740000000000001</v>
      </c>
      <c r="F79" s="361">
        <f t="shared" si="5"/>
        <v>3297.2702233261539</v>
      </c>
    </row>
    <row r="80" spans="1:8">
      <c r="A80" s="517" t="str">
        <f>NhanCong_Xa!A44</f>
        <v>4.2</v>
      </c>
      <c r="B80" s="870">
        <v>2</v>
      </c>
      <c r="C80" s="525" t="str">
        <f>NhanCong_Xa!C44:C44</f>
        <v>Chuyển đổi và tích hợp không gian kiểm kê đất đai</v>
      </c>
      <c r="D80" s="358"/>
      <c r="E80" s="938"/>
      <c r="F80" s="361"/>
    </row>
    <row r="81" spans="1:6" ht="47.25">
      <c r="A81" s="517" t="str">
        <f>NhanCong_Xa!A45</f>
        <v>4.2.1</v>
      </c>
      <c r="B81" s="870" t="s">
        <v>827</v>
      </c>
      <c r="C81" s="406" t="str">
        <f>NhanCong_Xa!C45:C45</f>
        <v>Chuyển đổi các lớp đối tượng không gian kiểm kê đất đai từ tệp (File) bản đồ số vào cơ sở dữ liệu theo đơn vị hành chính</v>
      </c>
      <c r="D81" s="358" t="str">
        <f>NhanCong_Xa!D45</f>
        <v>Lớp dữ liệu</v>
      </c>
      <c r="E81" s="938">
        <v>6.5199999999999994E-2</v>
      </c>
      <c r="F81" s="361">
        <f t="shared" si="5"/>
        <v>988.87773027076901</v>
      </c>
    </row>
    <row r="82" spans="1:6" ht="31.5">
      <c r="A82" s="517" t="str">
        <f>NhanCong_Xa!A46</f>
        <v>4.2.2</v>
      </c>
      <c r="B82" s="870" t="s">
        <v>830</v>
      </c>
      <c r="C82" s="406" t="str">
        <f>NhanCong_Xa!C46:C46</f>
        <v>Rà soát dữ liệu không gian để xử lý các lỗi dọc biên giữa các đơn vị hành chính tiếp giáp nhau</v>
      </c>
      <c r="D82" s="358" t="str">
        <f>NhanCong_Xa!D46</f>
        <v>Lớp dữ liệu</v>
      </c>
      <c r="E82" s="938">
        <v>0.1087</v>
      </c>
      <c r="F82" s="361">
        <f t="shared" si="5"/>
        <v>1648.6351116630769</v>
      </c>
    </row>
    <row r="83" spans="1:6">
      <c r="B83" s="870"/>
      <c r="C83" s="406"/>
      <c r="D83" s="358"/>
      <c r="E83" s="1016">
        <f>SUM(E76:E82)</f>
        <v>1</v>
      </c>
      <c r="F83" s="899">
        <f>SUM(F76:F82)</f>
        <v>15166.836353846154</v>
      </c>
    </row>
  </sheetData>
  <mergeCells count="1">
    <mergeCell ref="B1:H1"/>
  </mergeCells>
  <phoneticPr fontId="4" type="noConversion"/>
  <printOptions horizontalCentered="1"/>
  <pageMargins left="0.655511811" right="0.118110236220472" top="0.36811023599999998" bottom="0.3" header="0.511811023622047" footer="3.9370078740157501E-2"/>
  <pageSetup paperSize="9" orientation="portrait" horizontalDpi="1200" verticalDpi="120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9"/>
  <sheetViews>
    <sheetView topLeftCell="B35" zoomScale="85" zoomScaleNormal="85" workbookViewId="0">
      <selection activeCell="G46" sqref="G46"/>
    </sheetView>
  </sheetViews>
  <sheetFormatPr defaultColWidth="9" defaultRowHeight="15.75"/>
  <cols>
    <col min="1" max="1" width="0" style="517" hidden="1" customWidth="1"/>
    <col min="2" max="2" width="5" style="518" customWidth="1"/>
    <col min="3" max="3" width="34" style="517" customWidth="1"/>
    <col min="4" max="4" width="7" style="518" bestFit="1" customWidth="1"/>
    <col min="5" max="5" width="11.5" style="517" customWidth="1"/>
    <col min="6" max="6" width="11.375" style="530" customWidth="1"/>
    <col min="7" max="7" width="9.875" style="520" customWidth="1"/>
    <col min="8" max="16384" width="9" style="517"/>
  </cols>
  <sheetData>
    <row r="1" spans="1:7">
      <c r="B1" s="1197" t="s">
        <v>999</v>
      </c>
      <c r="C1" s="1197"/>
      <c r="D1" s="1197"/>
      <c r="E1" s="1197"/>
      <c r="F1" s="1197"/>
      <c r="G1" s="1197"/>
    </row>
    <row r="2" spans="1:7">
      <c r="F2" s="529" t="s">
        <v>79</v>
      </c>
      <c r="G2" s="520" t="s">
        <v>78</v>
      </c>
    </row>
    <row r="3" spans="1:7" s="521" customFormat="1" ht="47.25">
      <c r="B3" s="614" t="s">
        <v>14</v>
      </c>
      <c r="C3" s="614" t="s">
        <v>2</v>
      </c>
      <c r="D3" s="614" t="s">
        <v>21</v>
      </c>
      <c r="E3" s="563" t="s">
        <v>19</v>
      </c>
      <c r="F3" s="614" t="str">
        <f>Dcu_Xa!F3</f>
        <v>Định mức
(tính cho 01 xã)</v>
      </c>
      <c r="G3" s="345" t="s">
        <v>81</v>
      </c>
    </row>
    <row r="4" spans="1:7">
      <c r="B4" s="358">
        <v>1</v>
      </c>
      <c r="C4" s="584" t="s">
        <v>85</v>
      </c>
      <c r="D4" s="671" t="str">
        <f>Gia_VLieu!$C$4</f>
        <v>Gram</v>
      </c>
      <c r="E4" s="585">
        <f>Gia_VLieu!$D$4</f>
        <v>45000</v>
      </c>
      <c r="F4" s="1000">
        <v>0.11</v>
      </c>
      <c r="G4" s="588">
        <f t="shared" ref="G4:G11" si="0">F4*E4</f>
        <v>4950</v>
      </c>
    </row>
    <row r="5" spans="1:7">
      <c r="B5" s="358">
        <v>2</v>
      </c>
      <c r="C5" s="584" t="s">
        <v>86</v>
      </c>
      <c r="D5" s="671" t="str">
        <f>Gia_VLieu!$C$5</f>
        <v>Hộp</v>
      </c>
      <c r="E5" s="585">
        <f>Gia_VLieu!$D$5</f>
        <v>1450000</v>
      </c>
      <c r="F5" s="1000">
        <v>1.0999999999999999E-2</v>
      </c>
      <c r="G5" s="588">
        <f t="shared" si="0"/>
        <v>15949.999999999998</v>
      </c>
    </row>
    <row r="6" spans="1:7">
      <c r="B6" s="358">
        <v>3</v>
      </c>
      <c r="C6" s="584" t="s">
        <v>88</v>
      </c>
      <c r="D6" s="671" t="str">
        <f>Gia_VLieu!$C$6</f>
        <v>Quyển</v>
      </c>
      <c r="E6" s="585">
        <f>Gia_VLieu!$D$6</f>
        <v>10000</v>
      </c>
      <c r="F6" s="1000">
        <v>0.219</v>
      </c>
      <c r="G6" s="588">
        <f t="shared" si="0"/>
        <v>2190</v>
      </c>
    </row>
    <row r="7" spans="1:7">
      <c r="B7" s="358">
        <v>4</v>
      </c>
      <c r="C7" s="584" t="s">
        <v>22</v>
      </c>
      <c r="D7" s="671" t="str">
        <f>Gia_VLieu!$C$7</f>
        <v>Cái</v>
      </c>
      <c r="E7" s="585">
        <f>Gia_VLieu!$D$7</f>
        <v>2000</v>
      </c>
      <c r="F7" s="1000">
        <v>0.876</v>
      </c>
      <c r="G7" s="588">
        <f t="shared" si="0"/>
        <v>1752</v>
      </c>
    </row>
    <row r="8" spans="1:7">
      <c r="B8" s="358">
        <v>5</v>
      </c>
      <c r="C8" s="584" t="s">
        <v>90</v>
      </c>
      <c r="D8" s="671" t="str">
        <f>Gia_VLieu!$C$8</f>
        <v>Cái</v>
      </c>
      <c r="E8" s="585">
        <f>Gia_VLieu!$D$9</f>
        <v>10000</v>
      </c>
      <c r="F8" s="1000">
        <v>0.438</v>
      </c>
      <c r="G8" s="588">
        <f t="shared" si="0"/>
        <v>4380</v>
      </c>
    </row>
    <row r="9" spans="1:7">
      <c r="B9" s="358">
        <v>6</v>
      </c>
      <c r="C9" s="584" t="s">
        <v>91</v>
      </c>
      <c r="D9" s="671" t="str">
        <f>Gia_VLieu!$C$10</f>
        <v>Hộp</v>
      </c>
      <c r="E9" s="585">
        <f>Gia_VLieu!$D$10</f>
        <v>2500</v>
      </c>
      <c r="F9" s="1000">
        <v>0.11</v>
      </c>
      <c r="G9" s="588">
        <f t="shared" si="0"/>
        <v>275</v>
      </c>
    </row>
    <row r="10" spans="1:7">
      <c r="B10" s="358">
        <v>7</v>
      </c>
      <c r="C10" s="584" t="s">
        <v>92</v>
      </c>
      <c r="D10" s="671" t="str">
        <f>Gia_VLieu!$C$11</f>
        <v>Hộp</v>
      </c>
      <c r="E10" s="585">
        <f>Gia_VLieu!$D$12</f>
        <v>8000</v>
      </c>
      <c r="F10" s="1000">
        <v>6.6000000000000003E-2</v>
      </c>
      <c r="G10" s="588">
        <f t="shared" si="0"/>
        <v>528</v>
      </c>
    </row>
    <row r="11" spans="1:7">
      <c r="B11" s="358">
        <v>8</v>
      </c>
      <c r="C11" s="584" t="s">
        <v>94</v>
      </c>
      <c r="D11" s="671" t="str">
        <f>Gia_VLieu!$C$13</f>
        <v>Cái</v>
      </c>
      <c r="E11" s="585">
        <f>Gia_VLieu!$D$13</f>
        <v>15000</v>
      </c>
      <c r="F11" s="1000">
        <v>0.438</v>
      </c>
      <c r="G11" s="588">
        <f t="shared" si="0"/>
        <v>6570</v>
      </c>
    </row>
    <row r="12" spans="1:7">
      <c r="B12" s="358"/>
      <c r="C12" s="584" t="s">
        <v>978</v>
      </c>
      <c r="D12" s="671"/>
      <c r="E12" s="585"/>
      <c r="F12" s="1000"/>
      <c r="G12" s="384">
        <f>SUM(G4:G11)*108%</f>
        <v>39522.600000000006</v>
      </c>
    </row>
    <row r="13" spans="1:7" hidden="1">
      <c r="B13" s="610"/>
      <c r="C13" s="750"/>
      <c r="D13" s="751"/>
      <c r="E13" s="752"/>
      <c r="F13" s="753"/>
      <c r="G13" s="754"/>
    </row>
    <row r="15" spans="1:7">
      <c r="B15" s="614" t="s">
        <v>14</v>
      </c>
      <c r="C15" s="614" t="s">
        <v>162</v>
      </c>
      <c r="D15" s="346" t="s">
        <v>28</v>
      </c>
      <c r="E15" s="525"/>
      <c r="F15" s="564" t="s">
        <v>20</v>
      </c>
      <c r="G15" s="777"/>
    </row>
    <row r="16" spans="1:7">
      <c r="A16" s="517">
        <f>NhanCong_Xa!A4</f>
        <v>1</v>
      </c>
      <c r="B16" s="343">
        <f>NhanCong_Xa!B4</f>
        <v>1</v>
      </c>
      <c r="C16" s="523" t="str">
        <f>NhanCong_Xa!C4:C4</f>
        <v>Công tác chuẩn bị</v>
      </c>
      <c r="D16" s="525"/>
      <c r="E16" s="525"/>
      <c r="F16" s="565"/>
      <c r="G16" s="612"/>
    </row>
    <row r="17" spans="1:7" ht="110.25">
      <c r="A17" s="517" t="str">
        <f>NhanCong_Xa!A5</f>
        <v>1.1</v>
      </c>
      <c r="B17" s="870" t="str">
        <f>NhanCong_Xa!B5</f>
        <v>1.1</v>
      </c>
      <c r="C17" s="406" t="str">
        <f>NhanCong_Xa!C5:C5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17" s="1001">
        <v>0.12820512820512822</v>
      </c>
      <c r="E17" s="1002"/>
      <c r="F17" s="1044">
        <f>D17*$G$12</f>
        <v>5067.0000000000018</v>
      </c>
      <c r="G17" s="612"/>
    </row>
    <row r="18" spans="1:7" ht="63">
      <c r="A18" s="517" t="str">
        <f>NhanCong_Xa!A6</f>
        <v>1.2</v>
      </c>
      <c r="B18" s="870" t="str">
        <f>NhanCong_Xa!B6</f>
        <v>1.2</v>
      </c>
      <c r="C18" s="406" t="str">
        <f>NhanCong_Xa!C6:C6</f>
        <v>Chuẩn bị nhân lực, địa điểm làm việc; Chuẩn bị vật tư, thiết bị, dụng cụ, phần mềm phục vụ cho công tác xây dựng cơ sở dữ liệu thống kê, kiểm kê đất đai</v>
      </c>
      <c r="D18" s="1001">
        <v>0.10256410256410257</v>
      </c>
      <c r="E18" s="1002"/>
      <c r="F18" s="1044">
        <f>D18*$G$12</f>
        <v>4053.6000000000008</v>
      </c>
      <c r="G18" s="612"/>
    </row>
    <row r="19" spans="1:7">
      <c r="A19" s="517">
        <f>NhanCong_Xa!A7</f>
        <v>8</v>
      </c>
      <c r="B19" s="343">
        <f>NhanCong_Xa!B7</f>
        <v>2</v>
      </c>
      <c r="C19" s="523" t="str">
        <f>NhanCong_Xa!C7:C7</f>
        <v>Xây dựng siêu dữ liệu thống kê, kiểm kê đất đai</v>
      </c>
      <c r="D19" s="1001"/>
      <c r="E19" s="1002"/>
      <c r="F19" s="1044"/>
      <c r="G19" s="612"/>
    </row>
    <row r="20" spans="1:7" ht="47.25">
      <c r="A20" s="517" t="str">
        <f>NhanCong_Xa!A8</f>
        <v>8.1</v>
      </c>
      <c r="B20" s="870" t="str">
        <f>NhanCong_Xa!B8</f>
        <v>2.1</v>
      </c>
      <c r="C20" s="406" t="str">
        <f>NhanCong_Xa!C8:C8</f>
        <v>Thu nhận các thông tin cần thiết để xây dựng siêu dữ liệu (thông tin mô tả dữ liệu) thống kê, kiểm kê đất đai</v>
      </c>
      <c r="D20" s="1001">
        <v>0.25641025641025644</v>
      </c>
      <c r="E20" s="1002"/>
      <c r="F20" s="1044">
        <f>D20*$G$12</f>
        <v>10134.000000000004</v>
      </c>
      <c r="G20" s="612"/>
    </row>
    <row r="21" spans="1:7">
      <c r="A21" s="517" t="str">
        <f>NhanCong_Xa!A9</f>
        <v>8.2</v>
      </c>
      <c r="B21" s="870" t="str">
        <f>NhanCong_Xa!B9</f>
        <v>2.2</v>
      </c>
      <c r="C21" s="406" t="str">
        <f>NhanCong_Xa!C9:C9</f>
        <v>Nhập thông tin siêu dữ liệu kiểm kê đất đai</v>
      </c>
      <c r="D21" s="1001">
        <v>0.12820512820512822</v>
      </c>
      <c r="E21" s="1002"/>
      <c r="F21" s="1044">
        <f>D21*$G$12</f>
        <v>5067.0000000000018</v>
      </c>
      <c r="G21" s="612"/>
    </row>
    <row r="22" spans="1:7" ht="31.5">
      <c r="A22" s="517">
        <f>NhanCong_Xa!A10</f>
        <v>9</v>
      </c>
      <c r="B22" s="343">
        <f>NhanCong_Xa!B10</f>
        <v>3</v>
      </c>
      <c r="C22" s="407" t="str">
        <f>NhanCong_Xa!C10:C10</f>
        <v>Phục vụ kiểm tra, nghiệm thu cơ sở dữ liệu thống kê, kiểm kê đất đai</v>
      </c>
      <c r="D22" s="1001"/>
      <c r="E22" s="1002"/>
      <c r="F22" s="1044"/>
      <c r="G22" s="612"/>
    </row>
    <row r="23" spans="1:7" ht="31.5">
      <c r="A23" s="517" t="str">
        <f>NhanCong_Xa!A11</f>
        <v>9.1</v>
      </c>
      <c r="B23" s="870" t="str">
        <f>NhanCong_Xa!B11</f>
        <v>3.1</v>
      </c>
      <c r="C23" s="406" t="str">
        <f>NhanCong_Xa!C11:C11</f>
        <v>Đơn vị thi công chuẩn bị tài liệu và phục vụ giám sát kiểm tra, nghiệm thu.</v>
      </c>
      <c r="D23" s="1001">
        <v>7.6923076923076927E-2</v>
      </c>
      <c r="E23" s="1002"/>
      <c r="F23" s="1044">
        <f>D23*$G$12</f>
        <v>3040.2000000000007</v>
      </c>
      <c r="G23" s="612"/>
    </row>
    <row r="24" spans="1:7" ht="78.75">
      <c r="A24" s="517" t="str">
        <f>NhanCong_Xa!A12</f>
        <v>9.2</v>
      </c>
      <c r="B24" s="870" t="str">
        <f>NhanCong_Xa!B12</f>
        <v>3.2</v>
      </c>
      <c r="C24" s="406" t="str">
        <f>NhanCong_Xa!C12:C12</f>
        <v>Thực hiện kiểm tra tổng thể cơ sở dữ liệu thống kê, kiểm kê đất đai và tích hợp vào hệ thống ngay sau khi được nghiệm thu để phục vụ quản lý, vận hành, khai thác sử dụng.</v>
      </c>
      <c r="D24" s="1001">
        <v>0.25641025641025644</v>
      </c>
      <c r="E24" s="1002"/>
      <c r="F24" s="1044">
        <f>D24*$G$12</f>
        <v>10134.000000000004</v>
      </c>
      <c r="G24" s="612"/>
    </row>
    <row r="25" spans="1:7" ht="31.5">
      <c r="A25" s="517" t="str">
        <f>NhanCong_Xa!A13</f>
        <v>9.3</v>
      </c>
      <c r="B25" s="870" t="str">
        <f>NhanCong_Xa!B13</f>
        <v>3.3</v>
      </c>
      <c r="C25" s="406" t="str">
        <f>NhanCong_Xa!C13:C13</f>
        <v>Đóng gói giao nộp cơ sở dữ liệu thống kê, kiểm kê đất đai</v>
      </c>
      <c r="D25" s="1001">
        <v>5.1282051282051287E-2</v>
      </c>
      <c r="E25" s="1002"/>
      <c r="F25" s="1044">
        <f>D25*$G$12</f>
        <v>2026.8000000000004</v>
      </c>
      <c r="G25" s="612"/>
    </row>
    <row r="26" spans="1:7">
      <c r="B26" s="870"/>
      <c r="C26" s="406"/>
      <c r="D26" s="638">
        <f>SUM(D17:D25)</f>
        <v>1</v>
      </c>
      <c r="E26" s="1002"/>
      <c r="F26" s="1045">
        <f>SUM(F17:F25)</f>
        <v>39522.600000000013</v>
      </c>
      <c r="G26" s="612"/>
    </row>
    <row r="27" spans="1:7" hidden="1">
      <c r="A27" s="755"/>
      <c r="B27" s="756"/>
      <c r="C27" s="757"/>
      <c r="D27" s="759"/>
      <c r="E27" s="760"/>
      <c r="F27" s="758"/>
      <c r="G27" s="775"/>
    </row>
    <row r="28" spans="1:7">
      <c r="A28" s="761"/>
      <c r="B28" s="770"/>
      <c r="D28" s="773"/>
      <c r="E28" s="774"/>
      <c r="F28" s="772"/>
      <c r="G28" s="775"/>
    </row>
    <row r="29" spans="1:7" s="521" customFormat="1" ht="78.75">
      <c r="B29" s="614" t="s">
        <v>14</v>
      </c>
      <c r="C29" s="614" t="s">
        <v>2</v>
      </c>
      <c r="D29" s="614" t="s">
        <v>21</v>
      </c>
      <c r="E29" s="563" t="s">
        <v>19</v>
      </c>
      <c r="F29" s="614" t="str">
        <f>Dcu_Xa!F28</f>
        <v>Định mức
(tính cho 01 kỳ kiểm kê hoặc 1 năm thống kê)</v>
      </c>
      <c r="G29" s="345" t="s">
        <v>81</v>
      </c>
    </row>
    <row r="30" spans="1:7">
      <c r="B30" s="358">
        <v>1</v>
      </c>
      <c r="C30" s="584" t="s">
        <v>85</v>
      </c>
      <c r="D30" s="671" t="str">
        <f>Gia_VLieu!$C$4</f>
        <v>Gram</v>
      </c>
      <c r="E30" s="585">
        <f>Gia_VLieu!$D$4</f>
        <v>45000</v>
      </c>
      <c r="F30" s="1000">
        <v>0.13200000000000001</v>
      </c>
      <c r="G30" s="588">
        <f>F30*E30</f>
        <v>5940</v>
      </c>
    </row>
    <row r="31" spans="1:7">
      <c r="B31" s="358">
        <v>2</v>
      </c>
      <c r="C31" s="584" t="s">
        <v>86</v>
      </c>
      <c r="D31" s="671" t="str">
        <f>Gia_VLieu!$C$5</f>
        <v>Hộp</v>
      </c>
      <c r="E31" s="585">
        <f>Gia_VLieu!$D$5</f>
        <v>1450000</v>
      </c>
      <c r="F31" s="1000">
        <v>1.2999999999999999E-2</v>
      </c>
      <c r="G31" s="588">
        <f t="shared" ref="G31:G37" si="1">F31*E31</f>
        <v>18850</v>
      </c>
    </row>
    <row r="32" spans="1:7">
      <c r="B32" s="358">
        <v>3</v>
      </c>
      <c r="C32" s="584" t="s">
        <v>88</v>
      </c>
      <c r="D32" s="671" t="str">
        <f>Gia_VLieu!$C$6</f>
        <v>Quyển</v>
      </c>
      <c r="E32" s="585">
        <f>Gia_VLieu!$D$6</f>
        <v>10000</v>
      </c>
      <c r="F32" s="1000">
        <v>0.26400000000000001</v>
      </c>
      <c r="G32" s="588">
        <f t="shared" si="1"/>
        <v>2640</v>
      </c>
    </row>
    <row r="33" spans="1:7">
      <c r="B33" s="358">
        <v>4</v>
      </c>
      <c r="C33" s="584" t="s">
        <v>22</v>
      </c>
      <c r="D33" s="671" t="str">
        <f>Gia_VLieu!$C$7</f>
        <v>Cái</v>
      </c>
      <c r="E33" s="585">
        <f>Gia_VLieu!$D$7</f>
        <v>2000</v>
      </c>
      <c r="F33" s="1000">
        <v>1.056</v>
      </c>
      <c r="G33" s="588">
        <f t="shared" si="1"/>
        <v>2112</v>
      </c>
    </row>
    <row r="34" spans="1:7">
      <c r="B34" s="358">
        <v>5</v>
      </c>
      <c r="C34" s="584" t="s">
        <v>90</v>
      </c>
      <c r="D34" s="671" t="str">
        <f>Gia_VLieu!$C$8</f>
        <v>Cái</v>
      </c>
      <c r="E34" s="585">
        <f>Gia_VLieu!$D$9</f>
        <v>10000</v>
      </c>
      <c r="F34" s="1000">
        <v>0.52800000000000002</v>
      </c>
      <c r="G34" s="588">
        <f t="shared" si="1"/>
        <v>5280</v>
      </c>
    </row>
    <row r="35" spans="1:7">
      <c r="B35" s="358">
        <v>6</v>
      </c>
      <c r="C35" s="584" t="s">
        <v>91</v>
      </c>
      <c r="D35" s="671" t="str">
        <f>Gia_VLieu!$C$10</f>
        <v>Hộp</v>
      </c>
      <c r="E35" s="585">
        <f>Gia_VLieu!$D$10</f>
        <v>2500</v>
      </c>
      <c r="F35" s="1000">
        <v>0.13200000000000001</v>
      </c>
      <c r="G35" s="588">
        <f t="shared" si="1"/>
        <v>330</v>
      </c>
    </row>
    <row r="36" spans="1:7">
      <c r="B36" s="358">
        <v>7</v>
      </c>
      <c r="C36" s="584" t="s">
        <v>92</v>
      </c>
      <c r="D36" s="671" t="str">
        <f>Gia_VLieu!$C$11</f>
        <v>Hộp</v>
      </c>
      <c r="E36" s="585">
        <f>Gia_VLieu!$D$12</f>
        <v>8000</v>
      </c>
      <c r="F36" s="1000">
        <v>7.9000000000000001E-2</v>
      </c>
      <c r="G36" s="588">
        <f t="shared" si="1"/>
        <v>632</v>
      </c>
    </row>
    <row r="37" spans="1:7">
      <c r="B37" s="358">
        <v>8</v>
      </c>
      <c r="C37" s="584" t="s">
        <v>94</v>
      </c>
      <c r="D37" s="671" t="str">
        <f>Gia_VLieu!$C$13</f>
        <v>Cái</v>
      </c>
      <c r="E37" s="585">
        <f>Gia_VLieu!$D$13</f>
        <v>15000</v>
      </c>
      <c r="F37" s="1000">
        <v>0.52800000000000002</v>
      </c>
      <c r="G37" s="588">
        <f t="shared" si="1"/>
        <v>7920</v>
      </c>
    </row>
    <row r="38" spans="1:7">
      <c r="B38" s="870"/>
      <c r="C38" s="584" t="s">
        <v>978</v>
      </c>
      <c r="D38" s="870"/>
      <c r="E38" s="525"/>
      <c r="F38" s="1003"/>
      <c r="G38" s="360">
        <f>SUM(G30:G37)*108%</f>
        <v>47200.32</v>
      </c>
    </row>
    <row r="40" spans="1:7" hidden="1"/>
    <row r="41" spans="1:7" hidden="1">
      <c r="G41" s="517"/>
    </row>
    <row r="42" spans="1:7">
      <c r="B42" s="614" t="s">
        <v>14</v>
      </c>
      <c r="C42" s="614" t="s">
        <v>162</v>
      </c>
      <c r="D42" s="346" t="s">
        <v>28</v>
      </c>
      <c r="E42" s="581" t="s">
        <v>20</v>
      </c>
      <c r="F42" s="517"/>
      <c r="G42" s="517"/>
    </row>
    <row r="43" spans="1:7">
      <c r="A43" s="517">
        <f>NhanCong_Xa!A16</f>
        <v>2</v>
      </c>
      <c r="B43" s="343">
        <f>NhanCong_Xa!B16</f>
        <v>1</v>
      </c>
      <c r="C43" s="523" t="str">
        <f>NhanCong_Xa!C16:C16</f>
        <v>Thu thập tài liệu, dữ liệu</v>
      </c>
      <c r="D43" s="1001"/>
      <c r="E43" s="587"/>
      <c r="F43" s="517"/>
      <c r="G43" s="517"/>
    </row>
    <row r="44" spans="1:7">
      <c r="A44" s="517" t="str">
        <f>NhanCong_Xa!A17</f>
        <v>2.1</v>
      </c>
      <c r="B44" s="870" t="str">
        <f>NhanCong_Xa!B17</f>
        <v>1.1</v>
      </c>
      <c r="C44" s="600" t="str">
        <f>NhanCong_Xa!C17</f>
        <v>Thu thập tài liệu, dữ liệu thống kê</v>
      </c>
      <c r="D44" s="1001">
        <v>4.0800000000000003E-2</v>
      </c>
      <c r="E44" s="587">
        <f>D44*G$38</f>
        <v>1925.7730560000002</v>
      </c>
      <c r="F44" s="517"/>
      <c r="G44" s="517"/>
    </row>
    <row r="45" spans="1:7">
      <c r="A45" s="517" t="str">
        <f>NhanCong_Xa!A18</f>
        <v>2.2</v>
      </c>
      <c r="B45" s="870" t="str">
        <f>NhanCong_Xa!B18</f>
        <v>1.2</v>
      </c>
      <c r="C45" s="600" t="str">
        <f>NhanCong_Xa!C18</f>
        <v>Thu thập tài liệu, dữ liệu kiểm kê</v>
      </c>
      <c r="D45" s="1001">
        <v>0.10199999999999999</v>
      </c>
      <c r="E45" s="587">
        <f>D45*G$38</f>
        <v>4814.43264</v>
      </c>
      <c r="F45" s="517"/>
      <c r="G45" s="517"/>
    </row>
    <row r="46" spans="1:7">
      <c r="A46" s="517">
        <f>NhanCong_Xa!A19</f>
        <v>3</v>
      </c>
      <c r="B46" s="343">
        <f>NhanCong_Xa!B19</f>
        <v>2</v>
      </c>
      <c r="C46" s="523" t="str">
        <f>NhanCong_Xa!C19:C19</f>
        <v>Rà soát, đánh giá, phân loại và sắp xếp tài liệu, dữ liệu</v>
      </c>
      <c r="D46" s="1001"/>
      <c r="E46" s="587"/>
      <c r="F46" s="517"/>
      <c r="G46" s="517"/>
    </row>
    <row r="47" spans="1:7" ht="47.25">
      <c r="A47" s="517" t="str">
        <f>NhanCong_Xa!A20</f>
        <v>3.1</v>
      </c>
      <c r="B47" s="870" t="str">
        <f>NhanCong_Xa!B20</f>
        <v>2.1</v>
      </c>
      <c r="C47" s="411" t="str">
        <f>NhanCong_Xa!C20</f>
        <v>Rà soát, đánh giá, phân loại và sắp xếp tài liệu, dữ liệu thống kê và lập báo cáo kết quản thực hiện</v>
      </c>
      <c r="D47" s="1001">
        <v>4.0800000000000003E-2</v>
      </c>
      <c r="E47" s="587">
        <f>D47*G$38</f>
        <v>1925.7730560000002</v>
      </c>
      <c r="F47" s="517"/>
      <c r="G47" s="517"/>
    </row>
    <row r="48" spans="1:7" ht="47.25">
      <c r="A48" s="517" t="str">
        <f>NhanCong_Xa!A21</f>
        <v>3.2</v>
      </c>
      <c r="B48" s="870" t="str">
        <f>NhanCong_Xa!B21</f>
        <v>2.2</v>
      </c>
      <c r="C48" s="411" t="str">
        <f>NhanCong_Xa!C21</f>
        <v>Rà soát, đánh giá, phân loại và sắp xếp tài liệu, dữ liệu kiểm kê và lập báo cáo kết quản thực hiện</v>
      </c>
      <c r="D48" s="1001">
        <v>8.1600000000000006E-2</v>
      </c>
      <c r="E48" s="587">
        <f>D48*G$38</f>
        <v>3851.5461120000004</v>
      </c>
      <c r="F48" s="517"/>
      <c r="G48" s="517"/>
    </row>
    <row r="49" spans="1:7">
      <c r="A49" s="517">
        <f>NhanCong_Xa!A22</f>
        <v>5</v>
      </c>
      <c r="B49" s="343">
        <f>NhanCong_Xa!B22</f>
        <v>3</v>
      </c>
      <c r="C49" s="523" t="str">
        <f>NhanCong_Xa!C22:C22</f>
        <v>Quét giấy tờ pháp lý và xử lý tệp tin</v>
      </c>
      <c r="D49" s="1001"/>
      <c r="E49" s="587"/>
      <c r="F49" s="517"/>
      <c r="G49" s="517"/>
    </row>
    <row r="50" spans="1:7" ht="126">
      <c r="A50" s="517" t="str">
        <f>NhanCong_Xa!A23</f>
        <v>5.1</v>
      </c>
      <c r="B50" s="870" t="str">
        <f>NhanCong_Xa!B23</f>
        <v>3.1</v>
      </c>
      <c r="C50" s="406" t="str">
        <f>NhanCong_Xa!C23:C23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50" s="1004"/>
      <c r="E50" s="587"/>
      <c r="F50" s="517"/>
      <c r="G50" s="517"/>
    </row>
    <row r="51" spans="1:7">
      <c r="B51" s="870" t="str">
        <f>NhanCong_Xa!B24</f>
        <v>3.1.1</v>
      </c>
      <c r="C51" s="525" t="str">
        <f>NhanCong_Xa!C24:C24</f>
        <v>Trang A3</v>
      </c>
      <c r="D51" s="1005"/>
      <c r="E51" s="587">
        <f>+'[2]Vật liệu quet'!$F$6</f>
        <v>399.05</v>
      </c>
      <c r="F51" s="517"/>
      <c r="G51" s="517"/>
    </row>
    <row r="52" spans="1:7" s="522" customFormat="1">
      <c r="B52" s="870" t="str">
        <f>NhanCong_Xa!B25</f>
        <v>3.1.2</v>
      </c>
      <c r="C52" s="525" t="str">
        <f>NhanCong_Xa!C25:C25</f>
        <v>Trang A4</v>
      </c>
      <c r="D52" s="1005"/>
      <c r="E52" s="587">
        <f>+'[2]Vật liệu quet'!$F$15</f>
        <v>386.3</v>
      </c>
      <c r="G52" s="517"/>
    </row>
    <row r="53" spans="1:7" ht="110.25">
      <c r="A53" s="517" t="str">
        <f>NhanCong_Xa!A26</f>
        <v>5.2</v>
      </c>
      <c r="B53" s="870" t="str">
        <f>NhanCong_Xa!B26</f>
        <v>3.2</v>
      </c>
      <c r="C53" s="406" t="str">
        <f>NhanCong_Xa!C26:C26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D53" s="1004"/>
      <c r="E53" s="587">
        <f>+'[2]Vật liệu quet'!$F$24</f>
        <v>340.2</v>
      </c>
      <c r="F53" s="517"/>
      <c r="G53" s="517"/>
    </row>
    <row r="54" spans="1:7" ht="31.5">
      <c r="A54" s="517" t="str">
        <f>NhanCong_Xa!A27</f>
        <v>5.3</v>
      </c>
      <c r="B54" s="1006" t="s">
        <v>886</v>
      </c>
      <c r="C54" s="406" t="str">
        <f>NhanCong_Xa!C27:C27</f>
        <v>Tạo danh mục tra cứu hồ sơ quét trong cơ sở dữ liệu thống kê, kiểm kê đất đai</v>
      </c>
      <c r="D54" s="1001">
        <v>4.0800000000000003E-2</v>
      </c>
      <c r="E54" s="587">
        <f>D54*G$38</f>
        <v>1925.7730560000002</v>
      </c>
      <c r="F54" s="517"/>
      <c r="G54" s="517"/>
    </row>
    <row r="55" spans="1:7">
      <c r="A55" s="517">
        <f>NhanCong_Xa!A28</f>
        <v>6</v>
      </c>
      <c r="B55" s="343">
        <f>NhanCong_Xa!B28</f>
        <v>4</v>
      </c>
      <c r="C55" s="523" t="str">
        <f>NhanCong_Xa!C28:C28</f>
        <v>Xây dựng dữ liệu thuộc tính thống kê, kiểm kê đất đai</v>
      </c>
      <c r="D55" s="1001"/>
      <c r="E55" s="587"/>
      <c r="F55" s="517"/>
      <c r="G55" s="517"/>
    </row>
    <row r="56" spans="1:7" ht="31.5">
      <c r="A56" s="517" t="str">
        <f>NhanCong_Xa!A29</f>
        <v>6.1</v>
      </c>
      <c r="B56" s="870" t="str">
        <f>NhanCong_Xa!B29</f>
        <v>4.1</v>
      </c>
      <c r="C56" s="411" t="str">
        <f>NhanCong_Xa!C29</f>
        <v>Đối với tài liệu, số liệu là bảng, biểu dạng số</v>
      </c>
      <c r="D56" s="1001"/>
      <c r="E56" s="587"/>
      <c r="F56" s="517"/>
      <c r="G56" s="517"/>
    </row>
    <row r="57" spans="1:7">
      <c r="A57" s="517" t="str">
        <f>NhanCong_Xa!A30</f>
        <v>6.1.1</v>
      </c>
      <c r="B57" s="870" t="str">
        <f>NhanCong_Xa!B30</f>
        <v>4.1.1</v>
      </c>
      <c r="C57" s="525" t="str">
        <f>NhanCong_Xa!C30:C30</f>
        <v>Lập mô hình chuyển đổi cơ sở dữ liệu thống kê, kiểm kê đất đai</v>
      </c>
      <c r="D57" s="1001">
        <v>8.1600000000000006E-2</v>
      </c>
      <c r="E57" s="587">
        <f>D57*G$38</f>
        <v>3851.5461120000004</v>
      </c>
      <c r="F57" s="517"/>
      <c r="G57" s="517"/>
    </row>
    <row r="58" spans="1:7" ht="31.5">
      <c r="A58" s="517" t="str">
        <f>NhanCong_Xa!A31</f>
        <v>6.1.2</v>
      </c>
      <c r="B58" s="870" t="str">
        <f>NhanCong_Xa!B31</f>
        <v>4.1.2</v>
      </c>
      <c r="C58" s="406" t="str">
        <f>NhanCong_Xa!C31:C31</f>
        <v>Chuyển đổi vào cơ sở dữ liệu thống kê, kiểm kê đất đai</v>
      </c>
      <c r="D58" s="1001">
        <v>0.1633</v>
      </c>
      <c r="E58" s="587">
        <f>D58*G$38</f>
        <v>7707.8122560000002</v>
      </c>
      <c r="F58" s="517"/>
      <c r="G58" s="517"/>
    </row>
    <row r="59" spans="1:7" ht="47.25">
      <c r="A59" s="517" t="str">
        <f>NhanCong_Xa!A32</f>
        <v>6.2</v>
      </c>
      <c r="B59" s="870" t="str">
        <f>NhanCong_Xa!B32</f>
        <v>4.2</v>
      </c>
      <c r="C59" s="406" t="str">
        <f>NhanCong_Xa!C32:C32</f>
        <v>Đối với tài liệu, số liệu là báo cáo dạng số thì tạo danh mục tra cứu trong cơ sở dữ liệu thống kê, kiểm kê đất đai</v>
      </c>
      <c r="D59" s="1001">
        <v>8.1600000000000006E-2</v>
      </c>
      <c r="E59" s="587">
        <f>D59*G$38</f>
        <v>3851.5461120000004</v>
      </c>
      <c r="F59" s="517"/>
      <c r="G59" s="517"/>
    </row>
    <row r="60" spans="1:7" ht="31.5">
      <c r="A60" s="517">
        <f>NhanCong_Xa!A33</f>
        <v>7</v>
      </c>
      <c r="B60" s="343">
        <f>NhanCong_Xa!B33</f>
        <v>5</v>
      </c>
      <c r="C60" s="407" t="str">
        <f>NhanCong_Xa!C33:C33</f>
        <v>Đối soát, hoàn thiện dữ liệu thống kê, kiểm kê đất đai</v>
      </c>
      <c r="D60" s="1001"/>
      <c r="E60" s="587"/>
      <c r="F60" s="517"/>
      <c r="G60" s="517"/>
    </row>
    <row r="61" spans="1:7">
      <c r="A61" s="517" t="str">
        <f>NhanCong_Xa!A34</f>
        <v>7.1</v>
      </c>
      <c r="B61" s="870" t="str">
        <f>NhanCong_Xa!B34</f>
        <v>5.1</v>
      </c>
      <c r="C61" s="600" t="str">
        <f>NhanCong_Xa!C34</f>
        <v>Đối soát, hoàn thiện dữ liệu thống kê đất đai</v>
      </c>
      <c r="D61" s="1001">
        <v>0.1633</v>
      </c>
      <c r="E61" s="587">
        <f>D61*G$38</f>
        <v>7707.8122560000002</v>
      </c>
      <c r="F61" s="517"/>
      <c r="G61" s="517"/>
    </row>
    <row r="62" spans="1:7">
      <c r="A62" s="517" t="str">
        <f>NhanCong_Xa!A35</f>
        <v>7.2</v>
      </c>
      <c r="B62" s="920" t="str">
        <f>NhanCong_Xa!B35</f>
        <v>5.2</v>
      </c>
      <c r="C62" s="921" t="str">
        <f>NhanCong_Xa!C35</f>
        <v>Đối soát, hoàn thiện dữ liệu kiểm kê đất đai</v>
      </c>
      <c r="D62" s="1007">
        <v>0.20419999999999999</v>
      </c>
      <c r="E62" s="587">
        <f>D62*G$38</f>
        <v>9638.3053440000003</v>
      </c>
      <c r="F62" s="517"/>
      <c r="G62" s="517"/>
    </row>
    <row r="63" spans="1:7">
      <c r="A63" s="755"/>
      <c r="B63" s="756"/>
      <c r="C63" s="768"/>
      <c r="D63" s="1008"/>
      <c r="E63" s="1008">
        <f>SUM(E44:E62)</f>
        <v>48325.87</v>
      </c>
      <c r="F63" s="517"/>
      <c r="G63" s="517"/>
    </row>
    <row r="64" spans="1:7">
      <c r="A64" s="769"/>
      <c r="B64" s="770"/>
      <c r="C64" s="771"/>
      <c r="D64" s="773"/>
      <c r="E64" s="774"/>
      <c r="F64" s="772"/>
      <c r="G64" s="775"/>
    </row>
    <row r="65" spans="1:7">
      <c r="A65" s="761"/>
      <c r="B65" s="762"/>
      <c r="C65" s="776"/>
      <c r="D65" s="765"/>
      <c r="E65" s="766"/>
      <c r="F65" s="764"/>
      <c r="G65" s="767"/>
    </row>
    <row r="66" spans="1:7" s="521" customFormat="1" ht="47.25">
      <c r="B66" s="614" t="s">
        <v>14</v>
      </c>
      <c r="C66" s="614" t="s">
        <v>2</v>
      </c>
      <c r="D66" s="614" t="s">
        <v>21</v>
      </c>
      <c r="E66" s="563" t="s">
        <v>19</v>
      </c>
      <c r="F66" s="614" t="str">
        <f>Dcu_Xa!F63</f>
        <v>Định mức
(tính cho 01 lớp dữ liệu)</v>
      </c>
      <c r="G66" s="345" t="s">
        <v>81</v>
      </c>
    </row>
    <row r="67" spans="1:7">
      <c r="B67" s="358">
        <v>1</v>
      </c>
      <c r="C67" s="584" t="s">
        <v>85</v>
      </c>
      <c r="D67" s="671" t="str">
        <f>Gia_VLieu!$C$4</f>
        <v>Gram</v>
      </c>
      <c r="E67" s="585">
        <f>Gia_VLieu!$D$4</f>
        <v>45000</v>
      </c>
      <c r="F67" s="1000">
        <v>0.25800000000000001</v>
      </c>
      <c r="G67" s="588">
        <f>F67*E67</f>
        <v>11610</v>
      </c>
    </row>
    <row r="68" spans="1:7">
      <c r="B68" s="358">
        <v>2</v>
      </c>
      <c r="C68" s="584" t="s">
        <v>86</v>
      </c>
      <c r="D68" s="671" t="str">
        <f>Gia_VLieu!$C$5</f>
        <v>Hộp</v>
      </c>
      <c r="E68" s="1009">
        <f>Gia_VLieu!$D$5</f>
        <v>1450000</v>
      </c>
      <c r="F68" s="950">
        <v>2.5999999999999999E-2</v>
      </c>
      <c r="G68" s="360">
        <f t="shared" ref="G68:G74" si="2">F68*E68</f>
        <v>37700</v>
      </c>
    </row>
    <row r="69" spans="1:7">
      <c r="B69" s="358">
        <v>3</v>
      </c>
      <c r="C69" s="584" t="s">
        <v>88</v>
      </c>
      <c r="D69" s="671" t="str">
        <f>Gia_VLieu!$C$6</f>
        <v>Quyển</v>
      </c>
      <c r="E69" s="1009">
        <f>Gia_VLieu!$D$6</f>
        <v>10000</v>
      </c>
      <c r="F69" s="950">
        <v>0.51700000000000002</v>
      </c>
      <c r="G69" s="360">
        <f t="shared" si="2"/>
        <v>5170</v>
      </c>
    </row>
    <row r="70" spans="1:7">
      <c r="B70" s="358">
        <v>4</v>
      </c>
      <c r="C70" s="584" t="s">
        <v>22</v>
      </c>
      <c r="D70" s="1010" t="str">
        <f>Gia_VLieu!$C$7</f>
        <v>Cái</v>
      </c>
      <c r="E70" s="1009">
        <f>Gia_VLieu!$D$7</f>
        <v>2000</v>
      </c>
      <c r="F70" s="950">
        <v>2.0670000000000002</v>
      </c>
      <c r="G70" s="360">
        <f t="shared" si="2"/>
        <v>4134</v>
      </c>
    </row>
    <row r="71" spans="1:7">
      <c r="B71" s="358">
        <v>5</v>
      </c>
      <c r="C71" s="584" t="s">
        <v>90</v>
      </c>
      <c r="D71" s="671" t="str">
        <f>Gia_VLieu!$C$8</f>
        <v>Cái</v>
      </c>
      <c r="E71" s="1009">
        <f>Gia_VLieu!$D$9</f>
        <v>10000</v>
      </c>
      <c r="F71" s="950">
        <v>1.034</v>
      </c>
      <c r="G71" s="360">
        <f t="shared" si="2"/>
        <v>10340</v>
      </c>
    </row>
    <row r="72" spans="1:7">
      <c r="B72" s="358">
        <v>6</v>
      </c>
      <c r="C72" s="584" t="s">
        <v>91</v>
      </c>
      <c r="D72" s="671" t="str">
        <f>Gia_VLieu!$C$10</f>
        <v>Hộp</v>
      </c>
      <c r="E72" s="1009">
        <f>Gia_VLieu!$D$10</f>
        <v>2500</v>
      </c>
      <c r="F72" s="950">
        <v>0.25800000000000001</v>
      </c>
      <c r="G72" s="360">
        <f t="shared" si="2"/>
        <v>645</v>
      </c>
    </row>
    <row r="73" spans="1:7">
      <c r="B73" s="358">
        <v>7</v>
      </c>
      <c r="C73" s="584" t="s">
        <v>92</v>
      </c>
      <c r="D73" s="358" t="str">
        <f>Gia_VLieu!$C$11</f>
        <v>Hộp</v>
      </c>
      <c r="E73" s="406">
        <f>Gia_VLieu!$D$12</f>
        <v>8000</v>
      </c>
      <c r="F73" s="406">
        <v>0.155</v>
      </c>
      <c r="G73" s="406">
        <f t="shared" si="2"/>
        <v>1240</v>
      </c>
    </row>
    <row r="74" spans="1:7">
      <c r="B74" s="358">
        <v>8</v>
      </c>
      <c r="C74" s="584" t="s">
        <v>94</v>
      </c>
      <c r="D74" s="358" t="str">
        <f>Gia_VLieu!$C$13</f>
        <v>Cái</v>
      </c>
      <c r="E74" s="406">
        <f>Gia_VLieu!$D$13</f>
        <v>15000</v>
      </c>
      <c r="F74" s="406">
        <v>1.034</v>
      </c>
      <c r="G74" s="406">
        <f t="shared" si="2"/>
        <v>15510</v>
      </c>
    </row>
    <row r="75" spans="1:7">
      <c r="B75" s="584"/>
      <c r="C75" s="584" t="s">
        <v>978</v>
      </c>
      <c r="D75" s="584"/>
      <c r="E75" s="406"/>
      <c r="F75" s="406"/>
      <c r="G75" s="406">
        <f>SUM(G67:G74)*108%</f>
        <v>93256.920000000013</v>
      </c>
    </row>
    <row r="78" spans="1:7">
      <c r="C78" s="776"/>
    </row>
    <row r="79" spans="1:7">
      <c r="B79" s="614" t="s">
        <v>14</v>
      </c>
      <c r="C79" s="614" t="s">
        <v>162</v>
      </c>
      <c r="D79" s="346" t="s">
        <v>28</v>
      </c>
      <c r="E79" s="564" t="s">
        <v>20</v>
      </c>
      <c r="F79" s="517"/>
      <c r="G79" s="517"/>
    </row>
    <row r="80" spans="1:7" ht="31.5">
      <c r="A80" s="517" t="str">
        <f>NhanCong_Xa!A39</f>
        <v>4.1</v>
      </c>
      <c r="B80" s="870">
        <v>1</v>
      </c>
      <c r="C80" s="406" t="str">
        <f>NhanCong_Xa!C39:C39</f>
        <v>Chuẩn hóa các lớp đối tượng không gian kiểm kê đất đai</v>
      </c>
      <c r="D80" s="1001"/>
      <c r="E80" s="587"/>
      <c r="F80" s="517"/>
      <c r="G80" s="517"/>
    </row>
    <row r="81" spans="1:7" ht="78.75">
      <c r="A81" s="517" t="str">
        <f>NhanCong_Xa!A40</f>
        <v>4.1.1</v>
      </c>
      <c r="B81" s="339" t="s">
        <v>767</v>
      </c>
      <c r="C81" s="406"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81" s="1001">
        <v>0.21739130434782611</v>
      </c>
      <c r="E81" s="587">
        <f t="shared" ref="E81:E87" si="3">D81*G$75</f>
        <v>20273.243478260876</v>
      </c>
      <c r="F81" s="517"/>
      <c r="G81" s="517"/>
    </row>
    <row r="82" spans="1:7" ht="31.5">
      <c r="A82" s="517" t="str">
        <f>NhanCong_Xa!A41</f>
        <v>4.1.2</v>
      </c>
      <c r="B82" s="870" t="s">
        <v>768</v>
      </c>
      <c r="C82" s="406" t="str">
        <f>NhanCong_Xa!C41:C41</f>
        <v>Chuẩn hóa các lớp đối tượng không gian kiểm kê đất đai chưa phù hợp</v>
      </c>
      <c r="D82" s="1001">
        <v>0.32608695652173914</v>
      </c>
      <c r="E82" s="587">
        <f t="shared" si="3"/>
        <v>30409.865217391311</v>
      </c>
      <c r="F82" s="517"/>
      <c r="G82" s="517"/>
    </row>
    <row r="83" spans="1:7" ht="47.25">
      <c r="A83" s="517" t="str">
        <f>NhanCong_Xa!A42</f>
        <v>4.1.3</v>
      </c>
      <c r="B83" s="870" t="s">
        <v>890</v>
      </c>
      <c r="C83" s="406" t="str">
        <f>NhanCong_Xa!C42:C42</f>
        <v>Nhập bổ sung các thông tin thuộc tính cho đối tượng không gian kiểm kê đất đai còn thiếu (nếu có)</v>
      </c>
      <c r="D83" s="1001">
        <v>6.5217391304347824E-2</v>
      </c>
      <c r="E83" s="587">
        <f t="shared" si="3"/>
        <v>6081.9730434782614</v>
      </c>
      <c r="F83" s="517"/>
      <c r="G83" s="517"/>
    </row>
    <row r="84" spans="1:7" ht="31.5">
      <c r="A84" s="517" t="str">
        <f>NhanCong_Xa!A43</f>
        <v>4.1.4</v>
      </c>
      <c r="B84" s="870" t="s">
        <v>891</v>
      </c>
      <c r="C84" s="406" t="str">
        <f>NhanCong_Xa!C43:C43</f>
        <v>Rà soát chuẩn hóa thông tin thuộc tính cho từng đối tượng không gian kiểm kê đất đai</v>
      </c>
      <c r="D84" s="1001">
        <v>0.21739130434782611</v>
      </c>
      <c r="E84" s="587">
        <f t="shared" si="3"/>
        <v>20273.243478260876</v>
      </c>
      <c r="F84" s="517"/>
      <c r="G84" s="517"/>
    </row>
    <row r="85" spans="1:7">
      <c r="A85" s="517" t="str">
        <f>NhanCong_Xa!A44</f>
        <v>4.2</v>
      </c>
      <c r="B85" s="870">
        <v>2</v>
      </c>
      <c r="C85" s="525" t="str">
        <f>NhanCong_Xa!C44:C44</f>
        <v>Chuyển đổi và tích hợp không gian kiểm kê đất đai</v>
      </c>
      <c r="D85" s="1001"/>
      <c r="E85" s="587">
        <f t="shared" si="3"/>
        <v>0</v>
      </c>
      <c r="F85" s="517"/>
      <c r="G85" s="517"/>
    </row>
    <row r="86" spans="1:7" ht="47.25">
      <c r="A86" s="517" t="str">
        <f>NhanCong_Xa!A45</f>
        <v>4.2.1</v>
      </c>
      <c r="B86" s="870" t="s">
        <v>827</v>
      </c>
      <c r="C86" s="406" t="str">
        <f>NhanCong_Xa!C45:C45</f>
        <v>Chuyển đổi các lớp đối tượng không gian kiểm kê đất đai từ tệp (File) bản đồ số vào cơ sở dữ liệu theo đơn vị hành chính</v>
      </c>
      <c r="D86" s="1001">
        <v>6.5217391304347824E-2</v>
      </c>
      <c r="E86" s="587">
        <f t="shared" si="3"/>
        <v>6081.9730434782614</v>
      </c>
      <c r="F86" s="517"/>
      <c r="G86" s="517"/>
    </row>
    <row r="87" spans="1:7" ht="47.25">
      <c r="A87" s="517" t="str">
        <f>NhanCong_Xa!A46</f>
        <v>4.2.2</v>
      </c>
      <c r="B87" s="870" t="s">
        <v>830</v>
      </c>
      <c r="C87" s="406" t="str">
        <f>NhanCong_Xa!C46:C46</f>
        <v>Rà soát dữ liệu không gian để xử lý các lỗi dọc biên giữa các đơn vị hành chính tiếp giáp nhau</v>
      </c>
      <c r="D87" s="927">
        <v>0.10869565217391305</v>
      </c>
      <c r="E87" s="587">
        <f t="shared" si="3"/>
        <v>10136.621739130438</v>
      </c>
      <c r="F87" s="517"/>
      <c r="G87" s="517"/>
    </row>
    <row r="88" spans="1:7">
      <c r="D88" s="925"/>
      <c r="E88" s="528"/>
    </row>
    <row r="89" spans="1:7">
      <c r="E89" s="528"/>
    </row>
  </sheetData>
  <mergeCells count="1">
    <mergeCell ref="B1:G1"/>
  </mergeCells>
  <phoneticPr fontId="0" type="noConversion"/>
  <pageMargins left="0.90551181102362199" right="0.118110236220472" top="0.40748031499999998" bottom="0.40748031499999998" header="0.118110236220472" footer="0.31496062992126"/>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83"/>
  <sheetViews>
    <sheetView tabSelected="1" zoomScale="85" zoomScaleNormal="85" workbookViewId="0">
      <pane xSplit="3" ySplit="6" topLeftCell="D7" activePane="bottomRight" state="frozen"/>
      <selection activeCell="D24" sqref="D24"/>
      <selection pane="topRight" activeCell="D24" sqref="D24"/>
      <selection pane="bottomLeft" activeCell="D24" sqref="D24"/>
      <selection pane="bottomRight" activeCell="AD9" sqref="AD9"/>
    </sheetView>
  </sheetViews>
  <sheetFormatPr defaultColWidth="8.875" defaultRowHeight="15.75"/>
  <cols>
    <col min="1" max="1" width="6" style="808" bestFit="1" customWidth="1"/>
    <col min="2" max="2" width="6.625" style="808" hidden="1" customWidth="1"/>
    <col min="3" max="3" width="36.75" style="878" customWidth="1"/>
    <col min="4" max="4" width="10.875" style="808" customWidth="1"/>
    <col min="5" max="5" width="15.75" style="808" hidden="1" customWidth="1"/>
    <col min="6" max="6" width="9.125" style="460" hidden="1" customWidth="1"/>
    <col min="7" max="7" width="8.125" style="460" customWidth="1"/>
    <col min="8" max="8" width="8.625" style="460" customWidth="1"/>
    <col min="9" max="9" width="7.375" style="482" customWidth="1"/>
    <col min="10" max="10" width="7.375" style="460" customWidth="1"/>
    <col min="11" max="11" width="7.5" style="460" customWidth="1"/>
    <col min="12" max="12" width="8.125" style="459" customWidth="1"/>
    <col min="13" max="13" width="6.75" style="460" customWidth="1"/>
    <col min="14" max="14" width="8.875" style="459" customWidth="1"/>
    <col min="15" max="15" width="9.25" style="459" hidden="1" customWidth="1"/>
    <col min="16" max="16" width="7.125" style="459" customWidth="1"/>
    <col min="17" max="18" width="12.625" style="459" hidden="1" customWidth="1"/>
    <col min="19" max="19" width="11.25" style="454" hidden="1" customWidth="1"/>
    <col min="20" max="20" width="13.25" style="454" hidden="1" customWidth="1"/>
    <col min="21" max="21" width="15.5" style="454" hidden="1" customWidth="1"/>
    <col min="22" max="24" width="11.5" style="454" hidden="1" customWidth="1"/>
    <col min="25" max="25" width="9.5" style="454" hidden="1" customWidth="1"/>
    <col min="26" max="26" width="11.625" style="802" hidden="1" customWidth="1"/>
    <col min="27" max="27" width="11.625" style="454" bestFit="1" customWidth="1"/>
    <col min="28" max="28" width="11.625" style="454" customWidth="1"/>
    <col min="29" max="16384" width="8.875" style="454"/>
  </cols>
  <sheetData>
    <row r="1" spans="1:26">
      <c r="A1" s="1232" t="s">
        <v>994</v>
      </c>
      <c r="B1" s="1232"/>
      <c r="C1" s="1232"/>
      <c r="D1" s="1232"/>
      <c r="E1" s="1232"/>
      <c r="F1" s="1232"/>
      <c r="G1" s="1232"/>
      <c r="H1" s="1232"/>
      <c r="I1" s="1232"/>
      <c r="J1" s="1232"/>
      <c r="K1" s="1232"/>
      <c r="L1" s="1232"/>
      <c r="M1" s="1232"/>
      <c r="N1" s="1232"/>
      <c r="O1" s="1232"/>
      <c r="P1" s="1232"/>
      <c r="Q1" s="454"/>
      <c r="R1" s="454"/>
      <c r="Z1" s="454"/>
    </row>
    <row r="2" spans="1:26">
      <c r="A2" s="691"/>
      <c r="B2" s="839"/>
      <c r="C2" s="840"/>
      <c r="D2" s="840"/>
      <c r="E2" s="840"/>
      <c r="F2" s="840"/>
      <c r="G2" s="481"/>
      <c r="H2" s="481"/>
      <c r="I2" s="460"/>
      <c r="J2" s="685"/>
      <c r="K2" s="685"/>
      <c r="L2" s="685"/>
      <c r="M2" s="685"/>
      <c r="N2" s="1231" t="s">
        <v>602</v>
      </c>
      <c r="O2" s="1231"/>
      <c r="P2" s="1231"/>
      <c r="Q2" s="454"/>
      <c r="R2" s="454"/>
      <c r="Z2" s="454"/>
    </row>
    <row r="3" spans="1:26" ht="20.25" customHeight="1">
      <c r="A3" s="1221" t="s">
        <v>177</v>
      </c>
      <c r="B3" s="693"/>
      <c r="C3" s="1205" t="s">
        <v>162</v>
      </c>
      <c r="D3" s="1222" t="s">
        <v>251</v>
      </c>
      <c r="E3" s="693"/>
      <c r="F3" s="695"/>
      <c r="G3" s="1221" t="s">
        <v>609</v>
      </c>
      <c r="H3" s="1221"/>
      <c r="I3" s="1221"/>
      <c r="J3" s="1221"/>
      <c r="K3" s="1221"/>
      <c r="L3" s="1221"/>
      <c r="M3" s="1206" t="s">
        <v>610</v>
      </c>
      <c r="N3" s="1206" t="s">
        <v>611</v>
      </c>
      <c r="O3" s="1209" t="s">
        <v>986</v>
      </c>
      <c r="P3" s="1209" t="s">
        <v>987</v>
      </c>
      <c r="Q3" s="1230" t="s">
        <v>988</v>
      </c>
      <c r="R3" s="1209" t="s">
        <v>989</v>
      </c>
      <c r="S3" s="1223"/>
      <c r="T3" s="1224"/>
      <c r="U3" s="1225"/>
      <c r="V3" s="1219" t="s">
        <v>961</v>
      </c>
      <c r="W3" s="1219"/>
      <c r="X3" s="1219"/>
      <c r="Y3" s="1219"/>
      <c r="Z3" s="1220" t="s">
        <v>963</v>
      </c>
    </row>
    <row r="4" spans="1:26" s="455" customFormat="1" ht="18" customHeight="1">
      <c r="A4" s="1221"/>
      <c r="B4" s="1205" t="s">
        <v>177</v>
      </c>
      <c r="C4" s="1205"/>
      <c r="D4" s="1222"/>
      <c r="E4" s="866" t="s">
        <v>7</v>
      </c>
      <c r="F4" s="866" t="s">
        <v>18</v>
      </c>
      <c r="G4" s="1205" t="s">
        <v>605</v>
      </c>
      <c r="H4" s="1205" t="s">
        <v>981</v>
      </c>
      <c r="I4" s="1205"/>
      <c r="J4" s="1206" t="s">
        <v>606</v>
      </c>
      <c r="K4" s="1206" t="s">
        <v>607</v>
      </c>
      <c r="L4" s="1205" t="s">
        <v>156</v>
      </c>
      <c r="M4" s="1206"/>
      <c r="N4" s="1206"/>
      <c r="O4" s="1209"/>
      <c r="P4" s="1209"/>
      <c r="Q4" s="1230"/>
      <c r="R4" s="1209"/>
      <c r="S4" s="1228" t="s">
        <v>837</v>
      </c>
      <c r="T4" s="1226" t="s">
        <v>962</v>
      </c>
      <c r="U4" s="798"/>
      <c r="V4" s="1219"/>
      <c r="W4" s="1219"/>
      <c r="X4" s="1219"/>
      <c r="Y4" s="1219"/>
      <c r="Z4" s="1220"/>
    </row>
    <row r="5" spans="1:26" s="455" customFormat="1" ht="31.5">
      <c r="A5" s="1221"/>
      <c r="B5" s="1205"/>
      <c r="C5" s="1205"/>
      <c r="D5" s="1222"/>
      <c r="E5" s="866"/>
      <c r="F5" s="866"/>
      <c r="G5" s="1205"/>
      <c r="H5" s="867" t="s">
        <v>615</v>
      </c>
      <c r="I5" s="866" t="s">
        <v>616</v>
      </c>
      <c r="J5" s="1206"/>
      <c r="K5" s="1206"/>
      <c r="L5" s="1205"/>
      <c r="M5" s="1206"/>
      <c r="N5" s="1206" t="s">
        <v>613</v>
      </c>
      <c r="O5" s="1209" t="s">
        <v>613</v>
      </c>
      <c r="P5" s="1209"/>
      <c r="Q5" s="1230"/>
      <c r="R5" s="1209"/>
      <c r="S5" s="1229"/>
      <c r="T5" s="1227"/>
      <c r="U5" s="798"/>
      <c r="V5" s="799" t="s">
        <v>797</v>
      </c>
      <c r="W5" s="799" t="s">
        <v>798</v>
      </c>
      <c r="X5" s="799" t="s">
        <v>799</v>
      </c>
      <c r="Y5" s="799" t="s">
        <v>800</v>
      </c>
      <c r="Z5" s="1220"/>
    </row>
    <row r="6" spans="1:26">
      <c r="A6" s="873">
        <v>-1</v>
      </c>
      <c r="B6" s="873">
        <v>2</v>
      </c>
      <c r="C6" s="873">
        <v>-2</v>
      </c>
      <c r="D6" s="873">
        <v>-3</v>
      </c>
      <c r="E6" s="873">
        <v>-1.8333333333333299</v>
      </c>
      <c r="F6" s="873">
        <v>-2.3333333333333299</v>
      </c>
      <c r="G6" s="873">
        <v>-4</v>
      </c>
      <c r="H6" s="873">
        <v>-5</v>
      </c>
      <c r="I6" s="873">
        <v>-6</v>
      </c>
      <c r="J6" s="873">
        <v>-7</v>
      </c>
      <c r="K6" s="873">
        <v>-8</v>
      </c>
      <c r="L6" s="873">
        <v>-9</v>
      </c>
      <c r="M6" s="873">
        <v>-10</v>
      </c>
      <c r="N6" s="873">
        <v>-11</v>
      </c>
      <c r="O6" s="873">
        <v>-12</v>
      </c>
      <c r="P6" s="873">
        <v>-13</v>
      </c>
      <c r="Q6" s="693"/>
      <c r="R6" s="693"/>
      <c r="S6" s="747">
        <v>14</v>
      </c>
      <c r="T6" s="687"/>
      <c r="U6" s="687"/>
      <c r="V6" s="800"/>
      <c r="W6" s="801"/>
      <c r="X6" s="801"/>
      <c r="Y6" s="801"/>
      <c r="Z6" s="803"/>
    </row>
    <row r="7" spans="1:26">
      <c r="A7" s="874">
        <f>NhanCong_Xa!A4</f>
        <v>1</v>
      </c>
      <c r="B7" s="463">
        <f>NhanCong_Xa!B4</f>
        <v>1</v>
      </c>
      <c r="C7" s="466" t="str">
        <f>NhanCong_Xa!C4</f>
        <v>Công tác chuẩn bị</v>
      </c>
      <c r="D7" s="463"/>
      <c r="E7" s="463"/>
      <c r="F7" s="463"/>
      <c r="G7" s="464"/>
      <c r="H7" s="465"/>
      <c r="I7" s="465"/>
      <c r="J7" s="465"/>
      <c r="K7" s="465"/>
      <c r="L7" s="467"/>
      <c r="M7" s="464"/>
      <c r="N7" s="472"/>
      <c r="O7" s="472"/>
      <c r="P7" s="472"/>
      <c r="Q7" s="472"/>
      <c r="R7" s="472"/>
      <c r="S7" s="464"/>
      <c r="T7" s="687"/>
      <c r="U7" s="687"/>
      <c r="V7" s="801"/>
      <c r="W7" s="801"/>
      <c r="X7" s="801"/>
      <c r="Y7" s="801"/>
      <c r="Z7" s="803"/>
    </row>
    <row r="8" spans="1:26" ht="94.5">
      <c r="A8" s="693" t="str">
        <f>NhanCong_Xa!A5</f>
        <v>1.1</v>
      </c>
      <c r="B8" s="468" t="str">
        <f>NhanCong_Xa!B5</f>
        <v>1.1</v>
      </c>
      <c r="C8" s="598"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8" s="468" t="str">
        <f>NhanCong_Xa!D5</f>
        <v>Bộ dữ liệu theo xã</v>
      </c>
      <c r="E8" s="468" t="str">
        <f>NhanCong_Xa!E5</f>
        <v>Nhóm 2 
(1 KTV2 + 1KS4)</v>
      </c>
      <c r="F8" s="468">
        <f>NhanCong_Xa!F5</f>
        <v>0.25</v>
      </c>
      <c r="G8" s="470">
        <f>NhanCong_Xa!H5</f>
        <v>95942.389423076907</v>
      </c>
      <c r="H8" s="470">
        <f>'Thiet-bi_Xa'!J5</f>
        <v>850.1</v>
      </c>
      <c r="I8" s="470">
        <f>'Thiet-bi_Xa'!K5</f>
        <v>1574.0496000000001</v>
      </c>
      <c r="J8" s="470">
        <f>Dcu_Xa!F16</f>
        <v>824.25344200500012</v>
      </c>
      <c r="K8" s="470">
        <f>'Vat-lieu_Xa'!F17</f>
        <v>5067.0000000000018</v>
      </c>
      <c r="L8" s="470">
        <f>SUM(G8:K8)</f>
        <v>104257.79246508192</v>
      </c>
      <c r="M8" s="470">
        <f>L8*0.15</f>
        <v>15638.668869762287</v>
      </c>
      <c r="N8" s="470">
        <f>L8+M8</f>
        <v>119896.46133484421</v>
      </c>
      <c r="O8" s="470">
        <f>N8-H8</f>
        <v>119046.3613348442</v>
      </c>
      <c r="P8" s="470">
        <f>+Q8+R8</f>
        <v>1647.5961538461538</v>
      </c>
      <c r="Q8" s="472">
        <f>NhanCong_Xa!F5*L_CBan!$K$60</f>
        <v>1432.6923076923076</v>
      </c>
      <c r="R8" s="472">
        <f>+Q8*0.15</f>
        <v>214.90384615384613</v>
      </c>
      <c r="S8" s="607">
        <v>1</v>
      </c>
      <c r="T8" s="688">
        <f>((L8+M8)*10%+(L8+M8))*S8</f>
        <v>131886.10746832861</v>
      </c>
      <c r="U8" s="688">
        <f>+N8*S8</f>
        <v>119896.46133484421</v>
      </c>
      <c r="V8" s="801"/>
      <c r="W8" s="801"/>
      <c r="X8" s="801"/>
      <c r="Y8" s="801"/>
      <c r="Z8" s="803"/>
    </row>
    <row r="9" spans="1:26" ht="69.75" customHeight="1">
      <c r="A9" s="693" t="str">
        <f>NhanCong_Xa!A6</f>
        <v>1.2</v>
      </c>
      <c r="B9" s="468" t="str">
        <f>NhanCong_Xa!B6</f>
        <v>1.2</v>
      </c>
      <c r="C9" s="598" t="str">
        <f>NhanCong_Xa!C6</f>
        <v>Chuẩn bị nhân lực, địa điểm làm việc; Chuẩn bị vật tư, thiết bị, dụng cụ, phần mềm phục vụ cho công tác xây dựng cơ sở dữ liệu thống kê, kiểm kê đất đai</v>
      </c>
      <c r="D9" s="468" t="str">
        <f>NhanCong_Xa!D6</f>
        <v>Bộ dữ liệu theo xã</v>
      </c>
      <c r="E9" s="468" t="str">
        <f>NhanCong_Xa!E6</f>
        <v>Nhóm 2 
(1 KTV4 + 1KS2)</v>
      </c>
      <c r="F9" s="468">
        <f>NhanCong_Xa!F6</f>
        <v>0.2</v>
      </c>
      <c r="G9" s="470">
        <f>NhanCong_Xa!H6</f>
        <v>73073.61153846154</v>
      </c>
      <c r="H9" s="470">
        <f>'Thiet-bi_Xa'!J9</f>
        <v>680.00000000000011</v>
      </c>
      <c r="I9" s="470">
        <f>'Thiet-bi_Xa'!K9</f>
        <v>1258.8800000000003</v>
      </c>
      <c r="J9" s="470">
        <f>Dcu_Xa!F17</f>
        <v>659.65993096500006</v>
      </c>
      <c r="K9" s="470">
        <f>'Vat-lieu_Xa'!F18</f>
        <v>4053.6000000000008</v>
      </c>
      <c r="L9" s="470">
        <f t="shared" ref="L9:L45" si="0">SUM(G9:K9)</f>
        <v>79725.751469426556</v>
      </c>
      <c r="M9" s="470">
        <f t="shared" ref="M9" si="1">L9*0.15</f>
        <v>11958.862720413983</v>
      </c>
      <c r="N9" s="470">
        <f t="shared" ref="N9" si="2">L9+M9</f>
        <v>91684.614189840533</v>
      </c>
      <c r="O9" s="470">
        <f t="shared" ref="O9:O45" si="3">N9-H9</f>
        <v>91004.614189840533</v>
      </c>
      <c r="P9" s="470">
        <f>+Q9+R9</f>
        <v>1318.0769230769231</v>
      </c>
      <c r="Q9" s="472">
        <f>NhanCong_Xa!F6*L_CBan!$K$60</f>
        <v>1146.1538461538462</v>
      </c>
      <c r="R9" s="472">
        <f t="shared" ref="R9:R44" si="4">+Q9*0.15</f>
        <v>171.92307692307693</v>
      </c>
      <c r="S9" s="607">
        <v>1</v>
      </c>
      <c r="T9" s="688">
        <f>((L9+M9)*10%+(L9+M9))*S9</f>
        <v>100853.07560882458</v>
      </c>
      <c r="U9" s="688">
        <f t="shared" ref="U9:U45" si="5">+N9*S9</f>
        <v>91684.614189840533</v>
      </c>
      <c r="V9" s="801"/>
      <c r="W9" s="801"/>
      <c r="X9" s="801"/>
      <c r="Y9" s="801"/>
      <c r="Z9" s="803"/>
    </row>
    <row r="10" spans="1:26">
      <c r="A10" s="874">
        <f>NhanCong_Xa!A16</f>
        <v>2</v>
      </c>
      <c r="B10" s="463">
        <f>NhanCong_Xa!B16</f>
        <v>1</v>
      </c>
      <c r="C10" s="466" t="str">
        <f>NhanCong_Xa!C16</f>
        <v>Thu thập tài liệu, dữ liệu</v>
      </c>
      <c r="D10" s="463"/>
      <c r="E10" s="468"/>
      <c r="F10" s="468"/>
      <c r="G10" s="470"/>
      <c r="H10" s="470"/>
      <c r="I10" s="470"/>
      <c r="J10" s="470"/>
      <c r="K10" s="470"/>
      <c r="L10" s="470"/>
      <c r="M10" s="470"/>
      <c r="N10" s="470"/>
      <c r="O10" s="470"/>
      <c r="P10" s="470"/>
      <c r="Q10" s="472"/>
      <c r="R10" s="472"/>
      <c r="S10" s="607"/>
      <c r="T10" s="687"/>
      <c r="U10" s="688"/>
      <c r="V10" s="801"/>
      <c r="W10" s="801"/>
      <c r="X10" s="801"/>
      <c r="Y10" s="801"/>
      <c r="Z10" s="803"/>
    </row>
    <row r="11" spans="1:26">
      <c r="A11" s="693" t="str">
        <f>NhanCong_Xa!A17</f>
        <v>2.1</v>
      </c>
      <c r="B11" s="468" t="str">
        <f>NhanCong_Xa!B17</f>
        <v>1.1</v>
      </c>
      <c r="C11" s="598" t="str">
        <f>NhanCong_Xa!C17</f>
        <v>Thu thập tài liệu, dữ liệu thống kê</v>
      </c>
      <c r="D11" s="468" t="str">
        <f>NhanCong_Xa!D17</f>
        <v>Năm TK</v>
      </c>
      <c r="E11" s="468" t="str">
        <f>NhanCong_Xa!E17</f>
        <v>1KS3</v>
      </c>
      <c r="F11" s="468">
        <f>NhanCong_Xa!F17</f>
        <v>0.1</v>
      </c>
      <c r="G11" s="470">
        <f>NhanCong_Xa!H17</f>
        <v>21347.115384615387</v>
      </c>
      <c r="H11" s="470">
        <f>+'Thiet-bi_Xa'!J45</f>
        <v>340.1</v>
      </c>
      <c r="I11" s="470">
        <f>+'Thiet-bi_Xa'!K45</f>
        <v>629.88959999999997</v>
      </c>
      <c r="J11" s="470">
        <f>Dcu_Xa!F41</f>
        <v>329.58405263538464</v>
      </c>
      <c r="K11" s="470">
        <f>'Vat-lieu_Xa'!E44</f>
        <v>1925.7730560000002</v>
      </c>
      <c r="L11" s="470">
        <f t="shared" si="0"/>
        <v>24572.462093250771</v>
      </c>
      <c r="M11" s="470">
        <f>L11*0.15</f>
        <v>3685.8693139876154</v>
      </c>
      <c r="N11" s="470">
        <f>L11+M11</f>
        <v>28258.331407238387</v>
      </c>
      <c r="O11" s="470">
        <f t="shared" si="3"/>
        <v>27918.231407238389</v>
      </c>
      <c r="P11" s="470">
        <f>+Q11+R11</f>
        <v>659.03846153846155</v>
      </c>
      <c r="Q11" s="472">
        <f>+L_CBan!$K$60*NhanCong_Xa!F17</f>
        <v>573.07692307692309</v>
      </c>
      <c r="R11" s="472">
        <f t="shared" si="4"/>
        <v>85.961538461538467</v>
      </c>
      <c r="S11" s="607">
        <f>Chitietbangbieu!Y31</f>
        <v>14</v>
      </c>
      <c r="T11" s="688">
        <f>((L11+M11)*10%+(L11+M11))*S11</f>
        <v>435178.30367147119</v>
      </c>
      <c r="U11" s="688">
        <f t="shared" si="5"/>
        <v>395616.63970133744</v>
      </c>
      <c r="V11" s="801"/>
      <c r="W11" s="801"/>
      <c r="X11" s="801"/>
      <c r="Y11" s="801"/>
      <c r="Z11" s="803" t="s">
        <v>722</v>
      </c>
    </row>
    <row r="12" spans="1:26" ht="31.5">
      <c r="A12" s="693" t="str">
        <f>NhanCong_Xa!A18</f>
        <v>2.2</v>
      </c>
      <c r="B12" s="468" t="str">
        <f>NhanCong_Xa!B18</f>
        <v>1.2</v>
      </c>
      <c r="C12" s="598" t="str">
        <f>NhanCong_Xa!C18</f>
        <v>Thu thập tài liệu, dữ liệu kiểm kê</v>
      </c>
      <c r="D12" s="468" t="str">
        <f>NhanCong_Xa!D18</f>
        <v>Kỳ KK</v>
      </c>
      <c r="E12" s="468" t="str">
        <f>NhanCong_Xa!E18</f>
        <v>Nhóm 2 
(1KTV4 + 1KS3)</v>
      </c>
      <c r="F12" s="468">
        <f>NhanCong_Xa!F18</f>
        <v>0.25</v>
      </c>
      <c r="G12" s="470">
        <f>NhanCong_Xa!H18</f>
        <v>97180.951923076922</v>
      </c>
      <c r="H12" s="470">
        <f>+'Thiet-bi_Xa'!J49</f>
        <v>850.1</v>
      </c>
      <c r="I12" s="470">
        <f>+'Thiet-bi_Xa'!K49</f>
        <v>1574.0496000000001</v>
      </c>
      <c r="J12" s="470">
        <f>Dcu_Xa!F42</f>
        <v>823.96013158846142</v>
      </c>
      <c r="K12" s="470">
        <f>'Vat-lieu_Xa'!E45</f>
        <v>4814.43264</v>
      </c>
      <c r="L12" s="470">
        <f t="shared" si="0"/>
        <v>105243.49429466539</v>
      </c>
      <c r="M12" s="470">
        <f>L12*0.15</f>
        <v>15786.524144199808</v>
      </c>
      <c r="N12" s="470">
        <f>L12+M12</f>
        <v>121030.0184388652</v>
      </c>
      <c r="O12" s="470">
        <f t="shared" si="3"/>
        <v>120179.91843886519</v>
      </c>
      <c r="P12" s="470">
        <f t="shared" ref="P12:P45" si="6">+Q12+R12</f>
        <v>1647.5961538461538</v>
      </c>
      <c r="Q12" s="472">
        <f>+L_CBan!$K$60*NhanCong_Xa!F18</f>
        <v>1432.6923076923076</v>
      </c>
      <c r="R12" s="472">
        <f t="shared" si="4"/>
        <v>214.90384615384613</v>
      </c>
      <c r="S12" s="607">
        <f>Chitietbangbieu!Z31</f>
        <v>4</v>
      </c>
      <c r="T12" s="688">
        <f>((L12+M12)*10%+(L12+M12))*S12</f>
        <v>532532.08113100682</v>
      </c>
      <c r="U12" s="688">
        <f t="shared" si="5"/>
        <v>484120.07375546079</v>
      </c>
      <c r="V12" s="801"/>
      <c r="W12" s="801"/>
      <c r="X12" s="801"/>
      <c r="Y12" s="801"/>
      <c r="Z12" s="803" t="s">
        <v>722</v>
      </c>
    </row>
    <row r="13" spans="1:26" ht="31.5">
      <c r="A13" s="874">
        <f>NhanCong_Xa!A19</f>
        <v>3</v>
      </c>
      <c r="B13" s="463">
        <f>NhanCong_Xa!B19</f>
        <v>2</v>
      </c>
      <c r="C13" s="466" t="str">
        <f>NhanCong_Xa!C19</f>
        <v>Rà soát, đánh giá, phân loại và sắp xếp tài liệu, dữ liệu</v>
      </c>
      <c r="D13" s="463"/>
      <c r="E13" s="468"/>
      <c r="F13" s="468"/>
      <c r="G13" s="470"/>
      <c r="H13" s="470"/>
      <c r="I13" s="470"/>
      <c r="J13" s="470"/>
      <c r="K13" s="470"/>
      <c r="L13" s="470"/>
      <c r="M13" s="470"/>
      <c r="N13" s="470"/>
      <c r="O13" s="470"/>
      <c r="P13" s="470"/>
      <c r="Q13" s="472"/>
      <c r="R13" s="472"/>
      <c r="S13" s="607"/>
      <c r="T13" s="687"/>
      <c r="U13" s="688">
        <f t="shared" si="5"/>
        <v>0</v>
      </c>
      <c r="V13" s="801"/>
      <c r="W13" s="801"/>
      <c r="X13" s="801"/>
      <c r="Y13" s="801"/>
      <c r="Z13" s="803"/>
    </row>
    <row r="14" spans="1:26" ht="47.25">
      <c r="A14" s="693" t="str">
        <f>NhanCong_Xa!A20</f>
        <v>3.1</v>
      </c>
      <c r="B14" s="468" t="str">
        <f>NhanCong_Xa!B20</f>
        <v>2.1</v>
      </c>
      <c r="C14" s="598" t="str">
        <f>NhanCong_Xa!C20</f>
        <v>Rà soát, đánh giá, phân loại và sắp xếp tài liệu, dữ liệu thống kê và lập báo cáo kết quản thực hiện</v>
      </c>
      <c r="D14" s="468" t="str">
        <f>NhanCong_Xa!D20</f>
        <v>Năm TK</v>
      </c>
      <c r="E14" s="468" t="str">
        <f>NhanCong_Xa!E20</f>
        <v>1KS3</v>
      </c>
      <c r="F14" s="468">
        <f>NhanCong_Xa!F20</f>
        <v>0.1</v>
      </c>
      <c r="G14" s="470">
        <f>NhanCong_Xa!H20</f>
        <v>21347.115384615387</v>
      </c>
      <c r="H14" s="470">
        <f>'Thiet-bi_Xa'!J54</f>
        <v>20.100000000000001</v>
      </c>
      <c r="I14" s="470">
        <f>'Thiet-bi_Xa'!K54</f>
        <v>629.88959999999997</v>
      </c>
      <c r="J14" s="470">
        <f>Dcu_Xa!F44</f>
        <v>329.58405263538464</v>
      </c>
      <c r="K14" s="470">
        <f>'Vat-lieu_Xa'!E47</f>
        <v>1925.7730560000002</v>
      </c>
      <c r="L14" s="470">
        <f t="shared" si="0"/>
        <v>24252.462093250771</v>
      </c>
      <c r="M14" s="470">
        <f t="shared" ref="M14:M15" si="7">L14*0.15</f>
        <v>3637.8693139876154</v>
      </c>
      <c r="N14" s="470">
        <f t="shared" ref="N14:N15" si="8">L14+M14</f>
        <v>27890.331407238387</v>
      </c>
      <c r="O14" s="470">
        <f t="shared" si="3"/>
        <v>27870.231407238389</v>
      </c>
      <c r="P14" s="470">
        <f t="shared" si="6"/>
        <v>659.03846153846155</v>
      </c>
      <c r="Q14" s="472">
        <f>+L_CBan!$K$60*NhanCong_Xa!F20</f>
        <v>573.07692307692309</v>
      </c>
      <c r="R14" s="472">
        <f t="shared" si="4"/>
        <v>85.961538461538467</v>
      </c>
      <c r="S14" s="607">
        <f>S11</f>
        <v>14</v>
      </c>
      <c r="T14" s="688">
        <f>((L14+M14)*10%+(L14+M14))*S14</f>
        <v>429511.10367147118</v>
      </c>
      <c r="U14" s="688">
        <f t="shared" si="5"/>
        <v>390464.63970133744</v>
      </c>
      <c r="V14" s="801"/>
      <c r="W14" s="801"/>
      <c r="X14" s="801"/>
      <c r="Y14" s="801"/>
      <c r="Z14" s="803" t="s">
        <v>722</v>
      </c>
    </row>
    <row r="15" spans="1:26" ht="47.25">
      <c r="A15" s="693" t="str">
        <f>NhanCong_Xa!A21</f>
        <v>3.2</v>
      </c>
      <c r="B15" s="468" t="str">
        <f>NhanCong_Xa!B21</f>
        <v>2.2</v>
      </c>
      <c r="C15" s="598" t="str">
        <f>NhanCong_Xa!C21</f>
        <v>Rà soát, đánh giá, phân loại và sắp xếp tài liệu, dữ liệu kiểm kê và lập báo cáo kết quản thực hiện</v>
      </c>
      <c r="D15" s="468" t="str">
        <f>NhanCong_Xa!D21</f>
        <v>Kỳ KK</v>
      </c>
      <c r="E15" s="468" t="str">
        <f>NhanCong_Xa!E21</f>
        <v>Nhóm 2 
(1KTV4 + 1KS3)</v>
      </c>
      <c r="F15" s="468">
        <f>NhanCong_Xa!F21</f>
        <v>0.2</v>
      </c>
      <c r="G15" s="470">
        <f>NhanCong_Xa!H21</f>
        <v>77744.761538461535</v>
      </c>
      <c r="H15" s="470">
        <f>'Thiet-bi_Xa'!J58</f>
        <v>39.9</v>
      </c>
      <c r="I15" s="470">
        <f>'Thiet-bi_Xa'!K58</f>
        <v>1258.4304</v>
      </c>
      <c r="J15" s="470">
        <f>Dcu_Xa!F45</f>
        <v>659.16810527076927</v>
      </c>
      <c r="K15" s="470">
        <f>'Vat-lieu_Xa'!E48</f>
        <v>3851.5461120000004</v>
      </c>
      <c r="L15" s="470">
        <f t="shared" si="0"/>
        <v>83553.806155732294</v>
      </c>
      <c r="M15" s="470">
        <f t="shared" si="7"/>
        <v>12533.070923359845</v>
      </c>
      <c r="N15" s="470">
        <f t="shared" si="8"/>
        <v>96086.877079092141</v>
      </c>
      <c r="O15" s="470">
        <f t="shared" si="3"/>
        <v>96046.977079092147</v>
      </c>
      <c r="P15" s="470">
        <f t="shared" si="6"/>
        <v>1318.0769230769231</v>
      </c>
      <c r="Q15" s="472">
        <f>+L_CBan!$K$60*NhanCong_Xa!F21</f>
        <v>1146.1538461538462</v>
      </c>
      <c r="R15" s="472">
        <f t="shared" si="4"/>
        <v>171.92307692307693</v>
      </c>
      <c r="S15" s="607">
        <f>S12</f>
        <v>4</v>
      </c>
      <c r="T15" s="688">
        <f>((L15+M15)*10%+(L15+M15))*S15</f>
        <v>422782.2591480054</v>
      </c>
      <c r="U15" s="688">
        <f t="shared" si="5"/>
        <v>384347.50831636856</v>
      </c>
      <c r="V15" s="801"/>
      <c r="W15" s="801"/>
      <c r="X15" s="801"/>
      <c r="Y15" s="801"/>
      <c r="Z15" s="803" t="s">
        <v>722</v>
      </c>
    </row>
    <row r="16" spans="1:26" ht="31.5">
      <c r="A16" s="874">
        <v>4</v>
      </c>
      <c r="B16" s="463" t="e">
        <f>NhanCong_Xa!#REF!</f>
        <v>#REF!</v>
      </c>
      <c r="C16" s="466" t="str">
        <f>NhanCong_Xa!C38</f>
        <v>Chuẩn hóa các lớp đối tượng không gian kiểm kê đất đai</v>
      </c>
      <c r="D16" s="463"/>
      <c r="E16" s="463"/>
      <c r="F16" s="463"/>
      <c r="G16" s="470"/>
      <c r="H16" s="470"/>
      <c r="I16" s="470"/>
      <c r="J16" s="470"/>
      <c r="K16" s="470"/>
      <c r="L16" s="470"/>
      <c r="M16" s="470"/>
      <c r="N16" s="470"/>
      <c r="O16" s="470"/>
      <c r="P16" s="470"/>
      <c r="Q16" s="472"/>
      <c r="R16" s="472"/>
      <c r="S16" s="607"/>
      <c r="T16" s="687"/>
      <c r="U16" s="688"/>
      <c r="V16" s="801"/>
      <c r="W16" s="801"/>
      <c r="X16" s="801"/>
      <c r="Y16" s="801"/>
      <c r="Z16" s="803"/>
    </row>
    <row r="17" spans="1:26" ht="31.5">
      <c r="A17" s="693" t="str">
        <f>NhanCong_Xa!A39</f>
        <v>4.1</v>
      </c>
      <c r="B17" s="468">
        <f>NhanCong_Xa!B39</f>
        <v>1</v>
      </c>
      <c r="C17" s="469" t="str">
        <f>NhanCong_Xa!C39</f>
        <v>Chuẩn hóa các lớp đối tượng không gian kiểm kê đất đai</v>
      </c>
      <c r="D17" s="468"/>
      <c r="E17" s="468"/>
      <c r="F17" s="468"/>
      <c r="G17" s="470"/>
      <c r="H17" s="470"/>
      <c r="I17" s="470"/>
      <c r="J17" s="470"/>
      <c r="K17" s="470"/>
      <c r="L17" s="470"/>
      <c r="M17" s="470"/>
      <c r="N17" s="470"/>
      <c r="O17" s="470"/>
      <c r="P17" s="470"/>
      <c r="Q17" s="472"/>
      <c r="R17" s="472"/>
      <c r="S17" s="607"/>
      <c r="T17" s="687"/>
      <c r="U17" s="688"/>
      <c r="V17" s="801"/>
      <c r="W17" s="801"/>
      <c r="X17" s="801"/>
      <c r="Y17" s="801"/>
      <c r="Z17" s="803"/>
    </row>
    <row r="18" spans="1:26" s="815" customFormat="1" ht="78.75">
      <c r="A18" s="875" t="str">
        <f>NhanCong_Xa!A40</f>
        <v>4.1.1</v>
      </c>
      <c r="B18" s="468" t="str">
        <f>NhanCong_Xa!B40</f>
        <v>1.1</v>
      </c>
      <c r="C18" s="876" t="str">
        <f>NhanCong_Xa!C40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18" s="468" t="str">
        <f>NhanCong_Xa!D40</f>
        <v>Lớp dữ liệu</v>
      </c>
      <c r="E18" s="468" t="str">
        <f>NhanCong_Xa!E40</f>
        <v>1KS3</v>
      </c>
      <c r="F18" s="468">
        <f>NhanCong_Xa!F40</f>
        <v>1</v>
      </c>
      <c r="G18" s="470">
        <f>NhanCong_Xa!H40</f>
        <v>213471.15384615384</v>
      </c>
      <c r="H18" s="470">
        <f>'Thiet-bi_Xa'!J121</f>
        <v>50440.1</v>
      </c>
      <c r="I18" s="470">
        <f>'Thiet-bi_Xa'!K121</f>
        <v>6294.8496000000005</v>
      </c>
      <c r="J18" s="470">
        <f>Dcu_Xa!F76</f>
        <v>3297.2702233261539</v>
      </c>
      <c r="K18" s="470">
        <f>'Vat-lieu_Xa'!E81</f>
        <v>20273.243478260876</v>
      </c>
      <c r="L18" s="470">
        <f t="shared" si="0"/>
        <v>293776.61714774091</v>
      </c>
      <c r="M18" s="470">
        <f>L18*0.15</f>
        <v>44066.492572161136</v>
      </c>
      <c r="N18" s="470">
        <f>L18+M18</f>
        <v>337843.10971990204</v>
      </c>
      <c r="O18" s="470">
        <f t="shared" si="3"/>
        <v>287403.00971990207</v>
      </c>
      <c r="P18" s="470">
        <f t="shared" si="6"/>
        <v>6590.3846153846152</v>
      </c>
      <c r="Q18" s="811">
        <f>+L_CBan!$K$60*NhanCong_Xa!F40</f>
        <v>5730.7692307692305</v>
      </c>
      <c r="R18" s="811">
        <f t="shared" si="4"/>
        <v>859.61538461538453</v>
      </c>
      <c r="S18" s="812">
        <f>3+2*1</f>
        <v>5</v>
      </c>
      <c r="T18" s="810"/>
      <c r="U18" s="810">
        <f t="shared" si="5"/>
        <v>1689215.5485995102</v>
      </c>
      <c r="V18" s="813">
        <f>((L18+M18)*10%+(L18+M18))*S18*$G$54</f>
        <v>1486509.6827675691</v>
      </c>
      <c r="W18" s="813">
        <f>((L18+M18)*10%+(L18+M18))*S18*$H$54</f>
        <v>1672323.3931135153</v>
      </c>
      <c r="X18" s="813">
        <f>((L18+M18)*10%+(L18+M18))*S18*$I$54</f>
        <v>1858137.1034594614</v>
      </c>
      <c r="Y18" s="813">
        <f>((L18+M18)*10%+(L18+M18))*S18*$J$54</f>
        <v>2136857.6689783805</v>
      </c>
      <c r="Z18" s="814"/>
    </row>
    <row r="19" spans="1:26" s="815" customFormat="1" ht="31.5">
      <c r="A19" s="875" t="str">
        <f>NhanCong_Xa!A41</f>
        <v>4.1.2</v>
      </c>
      <c r="B19" s="468" t="str">
        <f>NhanCong_Xa!B41</f>
        <v>1.2</v>
      </c>
      <c r="C19" s="469" t="str">
        <f>NhanCong_Xa!C41</f>
        <v>Chuẩn hóa các lớp đối tượng không gian kiểm kê đất đai chưa phù hợp</v>
      </c>
      <c r="D19" s="468" t="str">
        <f>NhanCong_Xa!D41</f>
        <v>Lớp dữ liệu</v>
      </c>
      <c r="E19" s="468" t="str">
        <f>NhanCong_Xa!E41</f>
        <v>1KS3</v>
      </c>
      <c r="F19" s="468">
        <f>NhanCong_Xa!F41</f>
        <v>1.5</v>
      </c>
      <c r="G19" s="470">
        <f>NhanCong_Xa!H41</f>
        <v>320206.73076923075</v>
      </c>
      <c r="H19" s="470">
        <f>'Thiet-bi_Xa'!J126</f>
        <v>75660</v>
      </c>
      <c r="I19" s="470">
        <f>'Thiet-bi_Xa'!K126</f>
        <v>9441.5999999999985</v>
      </c>
      <c r="J19" s="470">
        <f>Dcu_Xa!F77</f>
        <v>4945.9053349892301</v>
      </c>
      <c r="K19" s="470">
        <f>'Vat-lieu_Xa'!E82</f>
        <v>30409.865217391311</v>
      </c>
      <c r="L19" s="470">
        <f t="shared" si="0"/>
        <v>440664.10132161126</v>
      </c>
      <c r="M19" s="470">
        <f>L19*0.15</f>
        <v>66099.615198241692</v>
      </c>
      <c r="N19" s="470">
        <f>L19+M19</f>
        <v>506763.71651985298</v>
      </c>
      <c r="O19" s="470">
        <f t="shared" si="3"/>
        <v>431103.71651985298</v>
      </c>
      <c r="P19" s="470">
        <f t="shared" si="6"/>
        <v>9885.576923076922</v>
      </c>
      <c r="Q19" s="811">
        <f>+L_CBan!$K$60*NhanCong_Xa!F41</f>
        <v>8596.1538461538457</v>
      </c>
      <c r="R19" s="811">
        <f t="shared" si="4"/>
        <v>1289.4230769230769</v>
      </c>
      <c r="S19" s="812">
        <f t="shared" ref="S19:S21" si="9">3+2*1</f>
        <v>5</v>
      </c>
      <c r="T19" s="810"/>
      <c r="U19" s="810">
        <f t="shared" si="5"/>
        <v>2533818.582599265</v>
      </c>
      <c r="V19" s="813">
        <f>((L19+M19)*10%+(L19+M19))*S19*$G$54</f>
        <v>2229760.3526873533</v>
      </c>
      <c r="W19" s="813">
        <f>((L19+M19)*10%+(L19+M19))*S19*$H$54</f>
        <v>2508480.3967732727</v>
      </c>
      <c r="X19" s="813">
        <f>((L19+M19)*10%+(L19+M19))*S19*$I$54</f>
        <v>2787200.4408591916</v>
      </c>
      <c r="Y19" s="813">
        <f>((L19+M19)*10%+(L19+M19))*S19*$J$54</f>
        <v>3205280.50698807</v>
      </c>
      <c r="Z19" s="814"/>
    </row>
    <row r="20" spans="1:26" s="816" customFormat="1" ht="47.25">
      <c r="A20" s="875" t="str">
        <f>NhanCong_Xa!A42</f>
        <v>4.1.3</v>
      </c>
      <c r="B20" s="468" t="str">
        <f>NhanCong_Xa!B42</f>
        <v>1.3</v>
      </c>
      <c r="C20" s="469" t="str">
        <f>NhanCong_Xa!C42</f>
        <v>Nhập bổ sung các thông tin thuộc tính cho đối tượng không gian kiểm kê đất đai còn thiếu (nếu có)</v>
      </c>
      <c r="D20" s="468" t="str">
        <f>NhanCong_Xa!D42</f>
        <v>Lớp dữ liệu</v>
      </c>
      <c r="E20" s="468" t="str">
        <f>NhanCong_Xa!E42</f>
        <v>1KS3</v>
      </c>
      <c r="F20" s="468">
        <f>NhanCong_Xa!F42</f>
        <v>0.3</v>
      </c>
      <c r="G20" s="470">
        <f>NhanCong_Xa!H42</f>
        <v>64041.346153846149</v>
      </c>
      <c r="H20" s="470">
        <f>'Thiet-bi_Xa'!J131</f>
        <v>15132</v>
      </c>
      <c r="I20" s="470">
        <f>'Thiet-bi_Xa'!K131</f>
        <v>1888.3200000000002</v>
      </c>
      <c r="J20" s="470">
        <f>Dcu_Xa!F78</f>
        <v>988.87773027076901</v>
      </c>
      <c r="K20" s="470">
        <f>'Vat-lieu_Xa'!E83</f>
        <v>6081.9730434782614</v>
      </c>
      <c r="L20" s="470">
        <f t="shared" si="0"/>
        <v>88132.516927595192</v>
      </c>
      <c r="M20" s="470">
        <f>L20*0.15</f>
        <v>13219.877539139279</v>
      </c>
      <c r="N20" s="470">
        <f>L20+M20</f>
        <v>101352.39446673448</v>
      </c>
      <c r="O20" s="470">
        <f t="shared" si="3"/>
        <v>86220.394466734477</v>
      </c>
      <c r="P20" s="470">
        <f t="shared" si="6"/>
        <v>1977.1153846153843</v>
      </c>
      <c r="Q20" s="811">
        <f>+L_CBan!$K$60*NhanCong_Xa!F42</f>
        <v>1719.2307692307691</v>
      </c>
      <c r="R20" s="811">
        <f t="shared" si="4"/>
        <v>257.88461538461536</v>
      </c>
      <c r="S20" s="812">
        <f t="shared" si="9"/>
        <v>5</v>
      </c>
      <c r="T20" s="810"/>
      <c r="U20" s="810">
        <f t="shared" si="5"/>
        <v>506761.9723336724</v>
      </c>
      <c r="V20" s="813">
        <f>((L20+M20)*10%+(L20+M20))*S20*$G$54</f>
        <v>445950.53565363167</v>
      </c>
      <c r="W20" s="813">
        <f>((L20+M20)*10%+(L20+M20))*S20*$H$54</f>
        <v>501694.35261033563</v>
      </c>
      <c r="X20" s="813">
        <f>((L20+M20)*10%+(L20+M20))*S20*$I$54</f>
        <v>557438.16956703959</v>
      </c>
      <c r="Y20" s="813">
        <f>((L20+M20)*10%+(L20+M20))*S20*$J$54</f>
        <v>641053.89500209549</v>
      </c>
      <c r="Z20" s="814"/>
    </row>
    <row r="21" spans="1:26" s="807" customFormat="1" ht="31.5">
      <c r="A21" s="693" t="str">
        <f>NhanCong_Xa!A43</f>
        <v>4.1.4</v>
      </c>
      <c r="B21" s="468" t="str">
        <f>NhanCong_Xa!B43</f>
        <v>1.4</v>
      </c>
      <c r="C21" s="469" t="str">
        <f>NhanCong_Xa!C43</f>
        <v>Rà soát chuẩn hóa thông tin thuộc tính cho từng đối tượng không gian kiểm kê đất đai</v>
      </c>
      <c r="D21" s="468" t="str">
        <f>NhanCong_Xa!D43</f>
        <v>Lớp dữ liệu</v>
      </c>
      <c r="E21" s="468" t="str">
        <f>NhanCong_Xa!E43</f>
        <v>1KS3</v>
      </c>
      <c r="F21" s="468">
        <f>NhanCong_Xa!F43</f>
        <v>1</v>
      </c>
      <c r="G21" s="470">
        <f>NhanCong_Xa!H43</f>
        <v>213471.15384615384</v>
      </c>
      <c r="H21" s="470">
        <f>'Thiet-bi_Xa'!J136</f>
        <v>50440.1</v>
      </c>
      <c r="I21" s="470">
        <f>'Thiet-bi_Xa'!K136</f>
        <v>6294.8496000000005</v>
      </c>
      <c r="J21" s="470">
        <f>Dcu_Xa!F79</f>
        <v>3297.2702233261539</v>
      </c>
      <c r="K21" s="470">
        <f>'Vat-lieu_Xa'!E84</f>
        <v>20273.243478260876</v>
      </c>
      <c r="L21" s="470">
        <f t="shared" si="0"/>
        <v>293776.61714774091</v>
      </c>
      <c r="M21" s="470">
        <f>L21*0.15</f>
        <v>44066.492572161136</v>
      </c>
      <c r="N21" s="470">
        <f>L21+M21</f>
        <v>337843.10971990204</v>
      </c>
      <c r="O21" s="470">
        <f t="shared" si="3"/>
        <v>287403.00971990207</v>
      </c>
      <c r="P21" s="470">
        <f t="shared" si="6"/>
        <v>6590.3846153846152</v>
      </c>
      <c r="Q21" s="811">
        <f>+L_CBan!$K$60*NhanCong_Xa!F43</f>
        <v>5730.7692307692305</v>
      </c>
      <c r="R21" s="811">
        <f t="shared" si="4"/>
        <v>859.61538461538453</v>
      </c>
      <c r="S21" s="812">
        <f t="shared" si="9"/>
        <v>5</v>
      </c>
      <c r="T21" s="810"/>
      <c r="U21" s="810">
        <f>+N21*S21</f>
        <v>1689215.5485995102</v>
      </c>
      <c r="V21" s="813">
        <f>((L21+M21)*10%+(L21+M21))*S21*$G$54</f>
        <v>1486509.6827675691</v>
      </c>
      <c r="W21" s="813">
        <f>((L21+M21)*10%+(L21+M21))*S21*$H$54</f>
        <v>1672323.3931135153</v>
      </c>
      <c r="X21" s="813">
        <f>((L21+M21)*10%+(L21+M21))*S21*$I$54</f>
        <v>1858137.1034594614</v>
      </c>
      <c r="Y21" s="813">
        <f>((L21+M21)*10%+(L21+M21))*S21*$J$54</f>
        <v>2136857.6689783805</v>
      </c>
      <c r="Z21" s="814"/>
    </row>
    <row r="22" spans="1:26" ht="31.5">
      <c r="A22" s="693" t="str">
        <f>NhanCong_Xa!A44</f>
        <v>4.2</v>
      </c>
      <c r="B22" s="468">
        <f>NhanCong_Xa!B44</f>
        <v>2</v>
      </c>
      <c r="C22" s="469" t="str">
        <f>NhanCong_Xa!C44</f>
        <v>Chuyển đổi và tích hợp không gian kiểm kê đất đai</v>
      </c>
      <c r="D22" s="468"/>
      <c r="E22" s="468"/>
      <c r="F22" s="468"/>
      <c r="G22" s="470"/>
      <c r="H22" s="470"/>
      <c r="I22" s="470"/>
      <c r="J22" s="470"/>
      <c r="K22" s="470"/>
      <c r="L22" s="470"/>
      <c r="M22" s="470"/>
      <c r="N22" s="470"/>
      <c r="O22" s="470"/>
      <c r="P22" s="470"/>
      <c r="Q22" s="472"/>
      <c r="R22" s="472"/>
      <c r="S22" s="797"/>
      <c r="T22" s="687"/>
      <c r="U22" s="688"/>
      <c r="V22" s="687"/>
      <c r="W22" s="687"/>
      <c r="X22" s="687"/>
      <c r="Y22" s="687"/>
      <c r="Z22" s="803"/>
    </row>
    <row r="23" spans="1:26" ht="47.25">
      <c r="A23" s="693" t="str">
        <f>NhanCong_Xa!A45</f>
        <v>4.2.1</v>
      </c>
      <c r="B23" s="468" t="str">
        <f>NhanCong_Xa!B45</f>
        <v>2.1</v>
      </c>
      <c r="C23" s="469" t="str">
        <f>NhanCong_Xa!C45</f>
        <v>Chuyển đổi các lớp đối tượng không gian kiểm kê đất đai từ tệp (File) bản đồ số vào cơ sở dữ liệu theo đơn vị hành chính</v>
      </c>
      <c r="D23" s="468" t="str">
        <f>NhanCong_Xa!D45</f>
        <v>Lớp dữ liệu</v>
      </c>
      <c r="E23" s="468" t="str">
        <f>NhanCong_Xa!E45</f>
        <v>1KS3</v>
      </c>
      <c r="F23" s="468">
        <f>NhanCong_Xa!F45</f>
        <v>0.3</v>
      </c>
      <c r="G23" s="470">
        <f>NhanCong_Xa!H45</f>
        <v>64041.346153846149</v>
      </c>
      <c r="H23" s="470">
        <f>'Thiet-bi_Xa'!J142</f>
        <v>17403</v>
      </c>
      <c r="I23" s="470">
        <f>'Thiet-bi_Xa'!K142</f>
        <v>1888.3200000000002</v>
      </c>
      <c r="J23" s="470">
        <f>Dcu_Xa!F81</f>
        <v>988.87773027076901</v>
      </c>
      <c r="K23" s="470">
        <f>'Vat-lieu_Xa'!E86</f>
        <v>6081.9730434782614</v>
      </c>
      <c r="L23" s="470">
        <f t="shared" si="0"/>
        <v>90403.516927595192</v>
      </c>
      <c r="M23" s="470">
        <f t="shared" ref="M23" si="10">L23*0.15</f>
        <v>13560.527539139279</v>
      </c>
      <c r="N23" s="470">
        <f t="shared" ref="N23" si="11">L23+M23</f>
        <v>103964.04446673447</v>
      </c>
      <c r="O23" s="470">
        <f t="shared" si="3"/>
        <v>86561.044466734471</v>
      </c>
      <c r="P23" s="470">
        <f t="shared" si="6"/>
        <v>1977.1153846153843</v>
      </c>
      <c r="Q23" s="472">
        <f>+L_CBan!$K$60*NhanCong_Xa!F45</f>
        <v>1719.2307692307691</v>
      </c>
      <c r="R23" s="472">
        <f t="shared" si="4"/>
        <v>257.88461538461536</v>
      </c>
      <c r="S23" s="797">
        <f t="shared" ref="S23:S24" si="12">$S$19</f>
        <v>5</v>
      </c>
      <c r="T23" s="688">
        <f>((L23+M23)*10%+(L23+M23))*S23</f>
        <v>571802.24456703966</v>
      </c>
      <c r="U23" s="688">
        <f t="shared" si="5"/>
        <v>519820.22233367234</v>
      </c>
      <c r="V23" s="687"/>
      <c r="W23" s="687"/>
      <c r="X23" s="687"/>
      <c r="Y23" s="687"/>
      <c r="Z23" s="803"/>
    </row>
    <row r="24" spans="1:26" ht="51" customHeight="1">
      <c r="A24" s="693" t="str">
        <f>NhanCong_Xa!A46</f>
        <v>4.2.2</v>
      </c>
      <c r="B24" s="468" t="str">
        <f>NhanCong_Xa!B46</f>
        <v>2.2</v>
      </c>
      <c r="C24" s="469" t="str">
        <f>NhanCong_Xa!C46</f>
        <v>Rà soát dữ liệu không gian để xử lý các lỗi dọc biên giữa các đơn vị hành chính tiếp giáp nhau</v>
      </c>
      <c r="D24" s="468" t="str">
        <f>NhanCong_Xa!D46</f>
        <v>Lớp dữ liệu</v>
      </c>
      <c r="E24" s="468" t="str">
        <f>NhanCong_Xa!E46</f>
        <v>1KS3</v>
      </c>
      <c r="F24" s="468">
        <f>NhanCong_Xa!F46</f>
        <v>0.5</v>
      </c>
      <c r="G24" s="470">
        <f>NhanCong_Xa!H46</f>
        <v>106735.57692307692</v>
      </c>
      <c r="H24" s="470">
        <f>'Thiet-bi_Xa'!J150</f>
        <v>29004.9</v>
      </c>
      <c r="I24" s="470">
        <f>'Thiet-bi_Xa'!K150</f>
        <v>3146.7503999999999</v>
      </c>
      <c r="J24" s="470">
        <f>Dcu_Xa!F82</f>
        <v>1648.6351116630769</v>
      </c>
      <c r="K24" s="470">
        <f>'Vat-lieu_Xa'!E87</f>
        <v>10136.621739130438</v>
      </c>
      <c r="L24" s="470">
        <f t="shared" si="0"/>
        <v>150672.48417387044</v>
      </c>
      <c r="M24" s="470">
        <f t="shared" ref="M24" si="13">L24*0.15</f>
        <v>22600.872626080567</v>
      </c>
      <c r="N24" s="470">
        <f t="shared" ref="N24" si="14">L24+M24</f>
        <v>173273.356799951</v>
      </c>
      <c r="O24" s="470">
        <f t="shared" si="3"/>
        <v>144268.456799951</v>
      </c>
      <c r="P24" s="470">
        <f t="shared" si="6"/>
        <v>3295.1923076923076</v>
      </c>
      <c r="Q24" s="472">
        <f>+L_CBan!$K$60*NhanCong_Xa!F46</f>
        <v>2865.3846153846152</v>
      </c>
      <c r="R24" s="472">
        <f t="shared" si="4"/>
        <v>429.80769230769226</v>
      </c>
      <c r="S24" s="797">
        <f t="shared" si="12"/>
        <v>5</v>
      </c>
      <c r="T24" s="688">
        <f>((L24+M24)*10%+(L24+M24))*S24</f>
        <v>953003.46239973046</v>
      </c>
      <c r="U24" s="688">
        <f t="shared" si="5"/>
        <v>866366.78399975505</v>
      </c>
      <c r="V24" s="687"/>
      <c r="W24" s="687"/>
      <c r="X24" s="687"/>
      <c r="Y24" s="687"/>
      <c r="Z24" s="803"/>
    </row>
    <row r="25" spans="1:26">
      <c r="A25" s="874">
        <f>NhanCong_Xa!A22</f>
        <v>5</v>
      </c>
      <c r="B25" s="463">
        <f>NhanCong_Xa!B22</f>
        <v>3</v>
      </c>
      <c r="C25" s="466" t="str">
        <f>NhanCong_Xa!C22</f>
        <v>Quét giấy tờ pháp lý và xử lý tệp tin</v>
      </c>
      <c r="D25" s="468"/>
      <c r="E25" s="468"/>
      <c r="F25" s="468"/>
      <c r="G25" s="470"/>
      <c r="H25" s="470"/>
      <c r="I25" s="470"/>
      <c r="J25" s="470"/>
      <c r="K25" s="470"/>
      <c r="L25" s="470"/>
      <c r="M25" s="470"/>
      <c r="N25" s="470"/>
      <c r="O25" s="470"/>
      <c r="P25" s="470"/>
      <c r="Q25" s="472"/>
      <c r="R25" s="472"/>
      <c r="S25" s="607"/>
      <c r="T25" s="687"/>
      <c r="U25" s="688"/>
      <c r="V25" s="687"/>
      <c r="W25" s="687"/>
      <c r="X25" s="687"/>
      <c r="Y25" s="687"/>
      <c r="Z25" s="803"/>
    </row>
    <row r="26" spans="1:26" s="460" customFormat="1" ht="110.25">
      <c r="A26" s="693" t="str">
        <f>NhanCong_Xa!A23</f>
        <v>5.1</v>
      </c>
      <c r="B26" s="468" t="str">
        <f>NhanCong_Xa!B23</f>
        <v>3.1</v>
      </c>
      <c r="C26" s="469" t="str">
        <f>NhanCong_Xa!C23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26" s="468"/>
      <c r="E26" s="468"/>
      <c r="F26" s="468"/>
      <c r="G26" s="470"/>
      <c r="H26" s="470"/>
      <c r="I26" s="470"/>
      <c r="J26" s="470"/>
      <c r="K26" s="470"/>
      <c r="L26" s="470"/>
      <c r="M26" s="470"/>
      <c r="N26" s="470"/>
      <c r="O26" s="470"/>
      <c r="P26" s="470"/>
      <c r="Q26" s="472"/>
      <c r="R26" s="472"/>
      <c r="S26" s="607"/>
      <c r="T26" s="695"/>
      <c r="U26" s="688"/>
      <c r="V26" s="795"/>
      <c r="W26" s="795"/>
      <c r="X26" s="795"/>
      <c r="Y26" s="795"/>
      <c r="Z26" s="795"/>
    </row>
    <row r="27" spans="1:26" s="460" customFormat="1">
      <c r="A27" s="693" t="s">
        <v>693</v>
      </c>
      <c r="B27" s="468" t="str">
        <f>NhanCong_Xa!B24</f>
        <v>3.1.1</v>
      </c>
      <c r="C27" s="469" t="str">
        <f>NhanCong_Xa!C24</f>
        <v>Trang A3</v>
      </c>
      <c r="D27" s="468" t="str">
        <f>NhanCong_Xa!D24</f>
        <v>Trang A3</v>
      </c>
      <c r="E27" s="468" t="s">
        <v>785</v>
      </c>
      <c r="F27" s="468">
        <v>1.2E-2</v>
      </c>
      <c r="G27" s="470">
        <f>NhanCong_Xa!H24</f>
        <v>2001.1158461538462</v>
      </c>
      <c r="H27" s="470">
        <f>+'Thiet-bi_Xa'!J64</f>
        <v>168.48</v>
      </c>
      <c r="I27" s="470">
        <f>+'Thiet-bi_Xa'!K64</f>
        <v>230.6448</v>
      </c>
      <c r="J27" s="470">
        <f>+Dcu_Xa!F48</f>
        <v>77.430000000000007</v>
      </c>
      <c r="K27" s="470">
        <f>+'Vat-lieu_Xa'!E51</f>
        <v>399.05</v>
      </c>
      <c r="L27" s="470">
        <f t="shared" si="0"/>
        <v>2876.7206461538462</v>
      </c>
      <c r="M27" s="470">
        <f t="shared" ref="M27:M29" si="15">L27*0.15</f>
        <v>431.50809692307695</v>
      </c>
      <c r="N27" s="470">
        <f t="shared" ref="N27:N29" si="16">L27+M27</f>
        <v>3308.2287430769234</v>
      </c>
      <c r="O27" s="470">
        <f t="shared" si="3"/>
        <v>3139.7487430769233</v>
      </c>
      <c r="P27" s="470">
        <f t="shared" si="6"/>
        <v>79.08461538461539</v>
      </c>
      <c r="Q27" s="472">
        <f>+L_CBan!$K$60*NhanCong_Xa!F24</f>
        <v>68.769230769230774</v>
      </c>
      <c r="R27" s="472">
        <f t="shared" si="4"/>
        <v>10.315384615384616</v>
      </c>
      <c r="S27" s="607">
        <f>Chitietbangbieu!Q36</f>
        <v>72</v>
      </c>
      <c r="T27" s="470">
        <f>((L27+M27)*10%+(L27+M27))*S27</f>
        <v>262011.71645169234</v>
      </c>
      <c r="U27" s="688">
        <f t="shared" si="5"/>
        <v>238192.46950153849</v>
      </c>
      <c r="V27" s="795"/>
      <c r="W27" s="795"/>
      <c r="X27" s="795"/>
      <c r="Y27" s="795"/>
      <c r="Z27" s="795"/>
    </row>
    <row r="28" spans="1:26" s="460" customFormat="1">
      <c r="A28" s="693" t="s">
        <v>571</v>
      </c>
      <c r="B28" s="468" t="str">
        <f>NhanCong_Xa!B25</f>
        <v>3.1.2</v>
      </c>
      <c r="C28" s="469" t="str">
        <f>NhanCong_Xa!C25</f>
        <v>Trang A4</v>
      </c>
      <c r="D28" s="468" t="str">
        <f>NhanCong_Xa!D25</f>
        <v>Trang A4</v>
      </c>
      <c r="E28" s="468" t="s">
        <v>785</v>
      </c>
      <c r="F28" s="468">
        <v>8.0000000000000002E-3</v>
      </c>
      <c r="G28" s="470">
        <f>NhanCong_Xa!H25</f>
        <v>1334.0772307692307</v>
      </c>
      <c r="H28" s="470">
        <f>+'Thiet-bi_Xa'!J70</f>
        <v>55.900000000000006</v>
      </c>
      <c r="I28" s="470">
        <f>+'Thiet-bi_Xa'!K70</f>
        <v>136.22880000000001</v>
      </c>
      <c r="J28" s="470">
        <f>+Dcu_Xa!F49</f>
        <v>76.540000000000006</v>
      </c>
      <c r="K28" s="470">
        <f>+'Vat-lieu_Xa'!E52</f>
        <v>386.3</v>
      </c>
      <c r="L28" s="470">
        <f t="shared" si="0"/>
        <v>1989.0460307692308</v>
      </c>
      <c r="M28" s="470">
        <f t="shared" si="15"/>
        <v>298.35690461538462</v>
      </c>
      <c r="N28" s="470">
        <f t="shared" si="16"/>
        <v>2287.4029353846154</v>
      </c>
      <c r="O28" s="470">
        <f t="shared" si="3"/>
        <v>2231.5029353846153</v>
      </c>
      <c r="P28" s="470">
        <f t="shared" si="6"/>
        <v>52.723076923076924</v>
      </c>
      <c r="Q28" s="472">
        <f>+L_CBan!$K$60*NhanCong_Xa!F25</f>
        <v>45.846153846153847</v>
      </c>
      <c r="R28" s="472">
        <f t="shared" si="4"/>
        <v>6.8769230769230765</v>
      </c>
      <c r="S28" s="607">
        <f>Chitietbangbieu!Q35</f>
        <v>300</v>
      </c>
      <c r="T28" s="470">
        <f>((L28+M28)*10%+(L28+M28))*S28</f>
        <v>754842.96867692308</v>
      </c>
      <c r="U28" s="688">
        <f t="shared" si="5"/>
        <v>686220.88061538467</v>
      </c>
      <c r="V28" s="795"/>
      <c r="W28" s="795"/>
      <c r="X28" s="795"/>
      <c r="Y28" s="795"/>
      <c r="Z28" s="795"/>
    </row>
    <row r="29" spans="1:26" s="460" customFormat="1" ht="115.5" customHeight="1">
      <c r="A29" s="693" t="str">
        <f>NhanCong_Xa!A26</f>
        <v>5.2</v>
      </c>
      <c r="B29" s="468" t="str">
        <f>NhanCong_Xa!B26</f>
        <v>3.2</v>
      </c>
      <c r="C29" s="469" t="str">
        <f>NhanCong_Xa!C26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D29" s="468" t="s">
        <v>838</v>
      </c>
      <c r="E29" s="468" t="s">
        <v>785</v>
      </c>
      <c r="F29" s="468">
        <v>4.0000000000000001E-3</v>
      </c>
      <c r="G29" s="470">
        <f>NhanCong_Xa!H26</f>
        <v>667.03861538461535</v>
      </c>
      <c r="H29" s="470">
        <f>+'Thiet-bi_Xa'!J76</f>
        <v>13.700000000000001</v>
      </c>
      <c r="I29" s="470">
        <f>+'Thiet-bi_Xa'!K76</f>
        <v>25.627199999999998</v>
      </c>
      <c r="J29" s="470">
        <f>+Dcu_Xa!F50</f>
        <v>56.31</v>
      </c>
      <c r="K29" s="470">
        <f>+'Vat-lieu_Xa'!E53</f>
        <v>340.2</v>
      </c>
      <c r="L29" s="470">
        <f t="shared" si="0"/>
        <v>1102.8758153846154</v>
      </c>
      <c r="M29" s="470">
        <f t="shared" si="15"/>
        <v>165.4313723076923</v>
      </c>
      <c r="N29" s="470">
        <f t="shared" si="16"/>
        <v>1268.3071876923077</v>
      </c>
      <c r="O29" s="470">
        <f t="shared" si="3"/>
        <v>1254.6071876923077</v>
      </c>
      <c r="P29" s="470">
        <f t="shared" si="6"/>
        <v>26.361538461538462</v>
      </c>
      <c r="Q29" s="472">
        <f>+L_CBan!$K$60*NhanCong_Xa!F26</f>
        <v>22.923076923076923</v>
      </c>
      <c r="R29" s="472">
        <f t="shared" si="4"/>
        <v>3.4384615384615382</v>
      </c>
      <c r="S29" s="607">
        <f>S27+S28</f>
        <v>372</v>
      </c>
      <c r="T29" s="470">
        <f>((L29+M29)*10%+(L29+M29))*S29</f>
        <v>518991.30120369233</v>
      </c>
      <c r="U29" s="688">
        <f t="shared" si="5"/>
        <v>471810.27382153849</v>
      </c>
      <c r="V29" s="795"/>
      <c r="W29" s="795"/>
      <c r="X29" s="795"/>
      <c r="Y29" s="795"/>
      <c r="Z29" s="795"/>
    </row>
    <row r="30" spans="1:26" ht="31.5">
      <c r="A30" s="693" t="str">
        <f>NhanCong_Xa!A27</f>
        <v>5.3</v>
      </c>
      <c r="B30" s="468" t="str">
        <f>NhanCong_Xa!B27</f>
        <v>3.3</v>
      </c>
      <c r="C30" s="469" t="str">
        <f>NhanCong_Xa!C27</f>
        <v>Tạo danh mục tra cứu hồ sơ quét trong cơ sở dữ liệu thống kê, kiểm kê đất đai</v>
      </c>
      <c r="D30" s="468" t="str">
        <f>NhanCong_Xa!D27</f>
        <v>Năm TK hoặc Kỳ KK</v>
      </c>
      <c r="E30" s="468" t="str">
        <f>NhanCong_Xa!E27</f>
        <v>1KS1</v>
      </c>
      <c r="F30" s="468">
        <f>NhanCong_Xa!F27</f>
        <v>0.1</v>
      </c>
      <c r="G30" s="470">
        <f>NhanCong_Xa!H27</f>
        <v>16675.965384615385</v>
      </c>
      <c r="H30" s="470">
        <f>'Thiet-bi_Xa'!J80</f>
        <v>823.62400000000002</v>
      </c>
      <c r="I30" s="470">
        <f>'Thiet-bi_Xa'!K80</f>
        <v>629.88959999999997</v>
      </c>
      <c r="J30" s="470">
        <f>Dcu_Xa!F51</f>
        <v>329.58405263538464</v>
      </c>
      <c r="K30" s="470">
        <f>'Vat-lieu_Xa'!E54</f>
        <v>1925.7730560000002</v>
      </c>
      <c r="L30" s="470">
        <f t="shared" si="0"/>
        <v>20384.836093250771</v>
      </c>
      <c r="M30" s="470">
        <f t="shared" ref="M30:M44" si="17">L30*0.15</f>
        <v>3057.7254139876154</v>
      </c>
      <c r="N30" s="470">
        <f t="shared" ref="N30:N44" si="18">L30+M30</f>
        <v>23442.561507238388</v>
      </c>
      <c r="O30" s="470">
        <f t="shared" si="3"/>
        <v>22618.937507238388</v>
      </c>
      <c r="P30" s="470">
        <f t="shared" si="6"/>
        <v>659.03846153846155</v>
      </c>
      <c r="Q30" s="472">
        <f>+L_CBan!$K$60*NhanCong_Xa!F27</f>
        <v>573.07692307692309</v>
      </c>
      <c r="R30" s="472">
        <f t="shared" si="4"/>
        <v>85.961538461538467</v>
      </c>
      <c r="S30" s="607">
        <f>Chitietbangbieu!Y31+Chitietbangbieu!Z31</f>
        <v>18</v>
      </c>
      <c r="T30" s="688">
        <f>((L30+M30)*10%+(L30+M30))*S30</f>
        <v>464162.7178433201</v>
      </c>
      <c r="U30" s="688">
        <f t="shared" si="5"/>
        <v>421966.107130291</v>
      </c>
      <c r="V30" s="687"/>
      <c r="W30" s="687"/>
      <c r="X30" s="687"/>
      <c r="Y30" s="687"/>
      <c r="Z30" s="803"/>
    </row>
    <row r="31" spans="1:26" s="791" customFormat="1" ht="31.5">
      <c r="A31" s="874">
        <f>NhanCong_Xa!A28</f>
        <v>6</v>
      </c>
      <c r="B31" s="463">
        <f>NhanCong_Xa!B28</f>
        <v>4</v>
      </c>
      <c r="C31" s="466" t="str">
        <f>NhanCong_Xa!C28</f>
        <v>Xây dựng dữ liệu thuộc tính thống kê, kiểm kê đất đai</v>
      </c>
      <c r="D31" s="463"/>
      <c r="E31" s="463"/>
      <c r="F31" s="463"/>
      <c r="G31" s="470"/>
      <c r="H31" s="470"/>
      <c r="I31" s="470"/>
      <c r="J31" s="470"/>
      <c r="K31" s="470"/>
      <c r="L31" s="470"/>
      <c r="M31" s="470"/>
      <c r="N31" s="470"/>
      <c r="O31" s="470"/>
      <c r="P31" s="470"/>
      <c r="Q31" s="472"/>
      <c r="R31" s="472"/>
      <c r="S31" s="686"/>
      <c r="T31" s="696"/>
      <c r="U31" s="688"/>
      <c r="V31" s="696"/>
      <c r="W31" s="696"/>
      <c r="X31" s="696"/>
      <c r="Y31" s="696"/>
      <c r="Z31" s="804"/>
    </row>
    <row r="32" spans="1:26">
      <c r="A32" s="693" t="str">
        <f>NhanCong_Xa!A29</f>
        <v>6.1</v>
      </c>
      <c r="B32" s="468" t="str">
        <f>NhanCong_Xa!B29</f>
        <v>4.1</v>
      </c>
      <c r="C32" s="469" t="str">
        <f>NhanCong_Xa!C29</f>
        <v>Đối với tài liệu, số liệu là bảng, biểu dạng số</v>
      </c>
      <c r="D32" s="468"/>
      <c r="E32" s="468"/>
      <c r="F32" s="468"/>
      <c r="G32" s="470"/>
      <c r="H32" s="470"/>
      <c r="I32" s="470"/>
      <c r="J32" s="470"/>
      <c r="K32" s="470"/>
      <c r="L32" s="470"/>
      <c r="M32" s="470"/>
      <c r="N32" s="470"/>
      <c r="O32" s="470"/>
      <c r="P32" s="470"/>
      <c r="Q32" s="472"/>
      <c r="R32" s="472"/>
      <c r="S32" s="607"/>
      <c r="T32" s="687"/>
      <c r="U32" s="688"/>
      <c r="V32" s="687"/>
      <c r="W32" s="687"/>
      <c r="X32" s="687"/>
      <c r="Y32" s="687"/>
      <c r="Z32" s="803"/>
    </row>
    <row r="33" spans="1:30" ht="31.5">
      <c r="A33" s="693" t="str">
        <f>NhanCong_Xa!A30</f>
        <v>6.1.1</v>
      </c>
      <c r="B33" s="468" t="str">
        <f>NhanCong_Xa!B30</f>
        <v>4.1.1</v>
      </c>
      <c r="C33" s="469" t="str">
        <f>NhanCong_Xa!C30</f>
        <v>Lập mô hình chuyển đổi cơ sở dữ liệu thống kê, kiểm kê đất đai</v>
      </c>
      <c r="D33" s="468" t="str">
        <f>NhanCong_Xa!D30</f>
        <v>Năm TK hoặc Kỳ KK</v>
      </c>
      <c r="E33" s="468" t="str">
        <f>NhanCong_Xa!E30</f>
        <v>1KS3</v>
      </c>
      <c r="F33" s="468">
        <f>NhanCong_Xa!F30</f>
        <v>0.2</v>
      </c>
      <c r="G33" s="470">
        <f>NhanCong_Xa!H30</f>
        <v>42694.230769230773</v>
      </c>
      <c r="H33" s="470">
        <f>'Thiet-bi_Xa'!J89</f>
        <v>679.9</v>
      </c>
      <c r="I33" s="470">
        <f>'Thiet-bi_Xa'!K89</f>
        <v>1258.4304</v>
      </c>
      <c r="J33" s="470">
        <f>Dcu_Xa!F54</f>
        <v>659.16810527076927</v>
      </c>
      <c r="K33" s="470">
        <f>'Vat-lieu_Xa'!E57</f>
        <v>3851.5461120000004</v>
      </c>
      <c r="L33" s="470">
        <f t="shared" si="0"/>
        <v>49143.275386501547</v>
      </c>
      <c r="M33" s="470">
        <f t="shared" ref="M33" si="19">L33*0.15</f>
        <v>7371.4913079752314</v>
      </c>
      <c r="N33" s="470">
        <f t="shared" ref="N33" si="20">L33+M33</f>
        <v>56514.766694476777</v>
      </c>
      <c r="O33" s="470">
        <f t="shared" si="3"/>
        <v>55834.866694476776</v>
      </c>
      <c r="P33" s="470">
        <f t="shared" si="6"/>
        <v>1318.0769230769231</v>
      </c>
      <c r="Q33" s="472">
        <f>+L_CBan!$K$60*NhanCong_Xa!F30</f>
        <v>1146.1538461538462</v>
      </c>
      <c r="R33" s="472">
        <f t="shared" si="4"/>
        <v>171.92307692307693</v>
      </c>
      <c r="S33" s="607">
        <f>S30</f>
        <v>18</v>
      </c>
      <c r="T33" s="688">
        <f>((L33+M33)*10%+(L33+M33))*S33</f>
        <v>1118992.3805506402</v>
      </c>
      <c r="U33" s="688">
        <f t="shared" si="5"/>
        <v>1017265.800500582</v>
      </c>
      <c r="V33" s="687"/>
      <c r="W33" s="687"/>
      <c r="X33" s="687"/>
      <c r="Y33" s="687"/>
      <c r="Z33" s="803"/>
    </row>
    <row r="34" spans="1:30" ht="31.5">
      <c r="A34" s="693" t="str">
        <f>NhanCong_Xa!A31</f>
        <v>6.1.2</v>
      </c>
      <c r="B34" s="468" t="str">
        <f>NhanCong_Xa!B31</f>
        <v>4.1.2</v>
      </c>
      <c r="C34" s="469" t="str">
        <f>NhanCong_Xa!C31</f>
        <v>Chuyển đổi vào cơ sở dữ liệu thống kê, kiểm kê đất đai</v>
      </c>
      <c r="D34" s="468" t="str">
        <f>NhanCong_Xa!D31</f>
        <v>Năm TK hoặc Kỳ KK</v>
      </c>
      <c r="E34" s="468" t="str">
        <f>NhanCong_Xa!E31</f>
        <v>1KS2</v>
      </c>
      <c r="F34" s="468">
        <f>NhanCong_Xa!F31</f>
        <v>0.4</v>
      </c>
      <c r="G34" s="470">
        <f>NhanCong_Xa!H31</f>
        <v>76046.161538461543</v>
      </c>
      <c r="H34" s="470">
        <f>'Thiet-bi_Xa'!J93</f>
        <v>3043.6239999999998</v>
      </c>
      <c r="I34" s="470">
        <f>'Thiet-bi_Xa'!K93</f>
        <v>2518.2096000000001</v>
      </c>
      <c r="J34" s="470">
        <f>Dcu_Xa!F55</f>
        <v>1319.1440145921154</v>
      </c>
      <c r="K34" s="470">
        <f>'Vat-lieu_Xa'!E58</f>
        <v>7707.8122560000002</v>
      </c>
      <c r="L34" s="470">
        <f t="shared" si="0"/>
        <v>90634.951409053669</v>
      </c>
      <c r="M34" s="470">
        <f t="shared" ref="M34:M35" si="21">L34*0.15</f>
        <v>13595.242711358051</v>
      </c>
      <c r="N34" s="470">
        <f t="shared" ref="N34:N35" si="22">L34+M34</f>
        <v>104230.19412041172</v>
      </c>
      <c r="O34" s="470">
        <f t="shared" si="3"/>
        <v>101186.57012041172</v>
      </c>
      <c r="P34" s="470">
        <f t="shared" si="6"/>
        <v>2636.1538461538462</v>
      </c>
      <c r="Q34" s="472">
        <f>+L_CBan!$K$60*NhanCong_Xa!F31</f>
        <v>2292.3076923076924</v>
      </c>
      <c r="R34" s="472">
        <f t="shared" si="4"/>
        <v>343.84615384615387</v>
      </c>
      <c r="S34" s="607">
        <f>S30</f>
        <v>18</v>
      </c>
      <c r="T34" s="688">
        <f>((L34+M34)*10%+(L34+M34))*S34</f>
        <v>2063757.8435841522</v>
      </c>
      <c r="U34" s="688">
        <f t="shared" si="5"/>
        <v>1876143.494167411</v>
      </c>
      <c r="V34" s="687"/>
      <c r="W34" s="687"/>
      <c r="X34" s="687"/>
      <c r="Y34" s="687"/>
      <c r="Z34" s="803"/>
    </row>
    <row r="35" spans="1:30" ht="47.25">
      <c r="A35" s="693" t="str">
        <f>NhanCong_Xa!A32</f>
        <v>6.2</v>
      </c>
      <c r="B35" s="468" t="str">
        <f>NhanCong_Xa!B32</f>
        <v>4.2</v>
      </c>
      <c r="C35" s="469" t="str">
        <f>NhanCong_Xa!C32</f>
        <v>Đối với tài liệu, số liệu là báo cáo dạng số thì tạo danh mục tra cứu trong cơ sở dữ liệu thống kê, kiểm kê đất đai</v>
      </c>
      <c r="D35" s="468" t="str">
        <f>NhanCong_Xa!D32</f>
        <v>Năm TK hoặc Kỳ KK</v>
      </c>
      <c r="E35" s="468" t="str">
        <f>NhanCong_Xa!E32</f>
        <v>1KS2</v>
      </c>
      <c r="F35" s="468">
        <f>NhanCong_Xa!F32</f>
        <v>0.2</v>
      </c>
      <c r="G35" s="470">
        <f>NhanCong_Xa!H32</f>
        <v>38023.080769230772</v>
      </c>
      <c r="H35" s="470">
        <f>'Thiet-bi_Xa'!J100</f>
        <v>1521.662</v>
      </c>
      <c r="I35" s="470">
        <f>'Thiet-bi_Xa'!K100</f>
        <v>1258.4304</v>
      </c>
      <c r="J35" s="470">
        <f>Dcu_Xa!F56</f>
        <v>659.16810527076927</v>
      </c>
      <c r="K35" s="470">
        <f>'Vat-lieu_Xa'!E59</f>
        <v>3851.5461120000004</v>
      </c>
      <c r="L35" s="470">
        <f t="shared" si="0"/>
        <v>45313.887386501541</v>
      </c>
      <c r="M35" s="470">
        <f t="shared" si="21"/>
        <v>6797.0831079752306</v>
      </c>
      <c r="N35" s="470">
        <f t="shared" si="22"/>
        <v>52110.970494476773</v>
      </c>
      <c r="O35" s="470">
        <f t="shared" si="3"/>
        <v>50589.308494476776</v>
      </c>
      <c r="P35" s="470">
        <f t="shared" si="6"/>
        <v>1318.0769230769231</v>
      </c>
      <c r="Q35" s="472">
        <f>+L_CBan!$K$60*NhanCong_Xa!F32</f>
        <v>1146.1538461538462</v>
      </c>
      <c r="R35" s="472">
        <f t="shared" si="4"/>
        <v>171.92307692307693</v>
      </c>
      <c r="S35" s="607">
        <f>S30</f>
        <v>18</v>
      </c>
      <c r="T35" s="688">
        <f>((L35+M35)*10%+(L35+M35))*S35</f>
        <v>1031797.2157906401</v>
      </c>
      <c r="U35" s="688">
        <f t="shared" si="5"/>
        <v>937997.46890058194</v>
      </c>
      <c r="V35" s="687"/>
      <c r="W35" s="687"/>
      <c r="X35" s="687"/>
      <c r="Y35" s="687"/>
      <c r="Z35" s="803"/>
    </row>
    <row r="36" spans="1:30" ht="31.5">
      <c r="A36" s="874">
        <f>NhanCong_Xa!A33</f>
        <v>7</v>
      </c>
      <c r="B36" s="463">
        <f>NhanCong_Xa!B33</f>
        <v>5</v>
      </c>
      <c r="C36" s="466" t="str">
        <f>NhanCong_Xa!C33</f>
        <v>Đối soát, hoàn thiện dữ liệu thống kê, kiểm kê đất đai</v>
      </c>
      <c r="D36" s="463"/>
      <c r="E36" s="463"/>
      <c r="F36" s="463"/>
      <c r="G36" s="470"/>
      <c r="H36" s="470"/>
      <c r="I36" s="470"/>
      <c r="J36" s="470"/>
      <c r="K36" s="470"/>
      <c r="L36" s="470"/>
      <c r="M36" s="470"/>
      <c r="N36" s="470"/>
      <c r="O36" s="470"/>
      <c r="P36" s="470"/>
      <c r="Q36" s="472"/>
      <c r="R36" s="472"/>
      <c r="S36" s="607"/>
      <c r="T36" s="687"/>
      <c r="U36" s="688"/>
      <c r="V36" s="687"/>
      <c r="W36" s="687"/>
      <c r="X36" s="687"/>
      <c r="Y36" s="687"/>
      <c r="Z36" s="803"/>
    </row>
    <row r="37" spans="1:30">
      <c r="A37" s="693" t="str">
        <f>NhanCong_Xa!A34</f>
        <v>7.1</v>
      </c>
      <c r="B37" s="468" t="str">
        <f>NhanCong_Xa!B34</f>
        <v>5.1</v>
      </c>
      <c r="C37" s="598" t="str">
        <f>NhanCong_Xa!C34</f>
        <v>Đối soát, hoàn thiện dữ liệu thống kê đất đai</v>
      </c>
      <c r="D37" s="468" t="str">
        <f>NhanCong_Xa!D34</f>
        <v>Năm TK</v>
      </c>
      <c r="E37" s="468" t="str">
        <f>NhanCong_Xa!E34</f>
        <v>1KS3</v>
      </c>
      <c r="F37" s="463">
        <f>NhanCong_Xa!F34</f>
        <v>0.4</v>
      </c>
      <c r="G37" s="470">
        <f>NhanCong_Xa!H34</f>
        <v>85388.461538461546</v>
      </c>
      <c r="H37" s="470">
        <f>'Thiet-bi_Xa'!J108</f>
        <v>80.100000000000009</v>
      </c>
      <c r="I37" s="470">
        <f>'Thiet-bi_Xa'!K108</f>
        <v>2518.2096000000001</v>
      </c>
      <c r="J37" s="470">
        <f>Dcu_Xa!F58</f>
        <v>1319.1440145921154</v>
      </c>
      <c r="K37" s="470">
        <f>'Vat-lieu_Xa'!E61</f>
        <v>7707.8122560000002</v>
      </c>
      <c r="L37" s="470">
        <f t="shared" si="0"/>
        <v>97013.727409053681</v>
      </c>
      <c r="M37" s="470">
        <f t="shared" ref="M37:M38" si="23">L37*0.15</f>
        <v>14552.059111358052</v>
      </c>
      <c r="N37" s="470">
        <f t="shared" ref="N37:N38" si="24">L37+M37</f>
        <v>111565.78652041173</v>
      </c>
      <c r="O37" s="470">
        <f t="shared" si="3"/>
        <v>111485.68652041172</v>
      </c>
      <c r="P37" s="470">
        <f t="shared" si="6"/>
        <v>2636.1538461538462</v>
      </c>
      <c r="Q37" s="472">
        <f>+L_CBan!$K$60*NhanCong_Xa!F34</f>
        <v>2292.3076923076924</v>
      </c>
      <c r="R37" s="472">
        <f t="shared" si="4"/>
        <v>343.84615384615387</v>
      </c>
      <c r="S37" s="607">
        <f>S11</f>
        <v>14</v>
      </c>
      <c r="T37" s="688">
        <f>((L37+M37)*10%+(L37+M37))*S37</f>
        <v>1718113.1124143407</v>
      </c>
      <c r="U37" s="688">
        <f t="shared" si="5"/>
        <v>1561921.0112857642</v>
      </c>
      <c r="V37" s="687"/>
      <c r="W37" s="687"/>
      <c r="X37" s="687"/>
      <c r="Y37" s="687"/>
      <c r="Z37" s="803"/>
    </row>
    <row r="38" spans="1:30" ht="23.25" customHeight="1">
      <c r="A38" s="693" t="str">
        <f>NhanCong_Xa!A35</f>
        <v>7.2</v>
      </c>
      <c r="B38" s="468" t="str">
        <f>NhanCong_Xa!B35</f>
        <v>5.2</v>
      </c>
      <c r="C38" s="598" t="str">
        <f>NhanCong_Xa!C35</f>
        <v>Đối soát, hoàn thiện dữ liệu kiểm kê đất đai</v>
      </c>
      <c r="D38" s="468" t="str">
        <f>NhanCong_Xa!D35</f>
        <v>Kỳ KK</v>
      </c>
      <c r="E38" s="468" t="str">
        <f>NhanCong_Xa!E35</f>
        <v>Nhóm 2 (1KTV4+1KS3)</v>
      </c>
      <c r="F38" s="463">
        <f>NhanCong_Xa!F35</f>
        <v>0.5</v>
      </c>
      <c r="G38" s="470">
        <f>NhanCong_Xa!H35</f>
        <v>194361.90384615384</v>
      </c>
      <c r="H38" s="470">
        <f>'Thiet-bi_Xa'!J112</f>
        <v>1699.9</v>
      </c>
      <c r="I38" s="470">
        <f>'Thiet-bi_Xa'!K112</f>
        <v>3146.7503999999999</v>
      </c>
      <c r="J38" s="470">
        <f>Dcu_Xa!F59</f>
        <v>1649.5358712780769</v>
      </c>
      <c r="K38" s="470">
        <f>'Vat-lieu_Xa'!E62</f>
        <v>9638.3053440000003</v>
      </c>
      <c r="L38" s="470">
        <f t="shared" si="0"/>
        <v>210496.39546143191</v>
      </c>
      <c r="M38" s="470">
        <f t="shared" si="23"/>
        <v>31574.459319214784</v>
      </c>
      <c r="N38" s="470">
        <f t="shared" si="24"/>
        <v>242070.85478064668</v>
      </c>
      <c r="O38" s="470">
        <f t="shared" si="3"/>
        <v>240370.95478064669</v>
      </c>
      <c r="P38" s="470">
        <f t="shared" si="6"/>
        <v>3295.1923076923076</v>
      </c>
      <c r="Q38" s="472">
        <f>+L_CBan!$K$60*NhanCong_Xa!F35</f>
        <v>2865.3846153846152</v>
      </c>
      <c r="R38" s="472">
        <f t="shared" si="4"/>
        <v>429.80769230769226</v>
      </c>
      <c r="S38" s="607">
        <f>S12</f>
        <v>4</v>
      </c>
      <c r="T38" s="688">
        <f>((L38+M38)*10%+(L38+M38))*S38</f>
        <v>1065111.7610348454</v>
      </c>
      <c r="U38" s="688">
        <f t="shared" si="5"/>
        <v>968283.41912258673</v>
      </c>
      <c r="V38" s="687"/>
      <c r="W38" s="687"/>
      <c r="X38" s="687"/>
      <c r="Y38" s="687"/>
      <c r="Z38" s="803"/>
    </row>
    <row r="39" spans="1:30" s="791" customFormat="1" ht="31.5">
      <c r="A39" s="874">
        <f>NhanCong_Xa!A7</f>
        <v>8</v>
      </c>
      <c r="B39" s="463">
        <f>NhanCong_Xa!B7</f>
        <v>2</v>
      </c>
      <c r="C39" s="466" t="str">
        <f>NhanCong_Xa!C7</f>
        <v>Xây dựng siêu dữ liệu thống kê, kiểm kê đất đai</v>
      </c>
      <c r="D39" s="463"/>
      <c r="E39" s="463"/>
      <c r="F39" s="463"/>
      <c r="G39" s="470"/>
      <c r="H39" s="470"/>
      <c r="I39" s="470"/>
      <c r="J39" s="470"/>
      <c r="K39" s="470"/>
      <c r="L39" s="470"/>
      <c r="M39" s="470"/>
      <c r="N39" s="470"/>
      <c r="O39" s="470"/>
      <c r="P39" s="470"/>
      <c r="Q39" s="472"/>
      <c r="R39" s="472"/>
      <c r="S39" s="686"/>
      <c r="T39" s="696"/>
      <c r="U39" s="688"/>
      <c r="V39" s="696"/>
      <c r="W39" s="696"/>
      <c r="X39" s="696"/>
      <c r="Y39" s="696"/>
      <c r="Z39" s="804"/>
    </row>
    <row r="40" spans="1:30" ht="47.25">
      <c r="A40" s="693" t="str">
        <f>NhanCong_Xa!A8</f>
        <v>8.1</v>
      </c>
      <c r="B40" s="468" t="str">
        <f>NhanCong_Xa!B8</f>
        <v>2.1</v>
      </c>
      <c r="C40" s="469" t="str">
        <f>NhanCong_Xa!C8</f>
        <v>Thu nhận các thông tin cần thiết để xây dựng siêu dữ liệu (thông tin mô tả dữ liệu) thống kê, kiểm kê đất đai</v>
      </c>
      <c r="D40" s="468" t="str">
        <f>NhanCong_Xa!D8</f>
        <v>Bộ dữ liệu theo xã</v>
      </c>
      <c r="E40" s="468" t="str">
        <f>NhanCong_Xa!E8</f>
        <v>1KS1</v>
      </c>
      <c r="F40" s="468">
        <f>NhanCong_Xa!F8</f>
        <v>0.5</v>
      </c>
      <c r="G40" s="470">
        <f>NhanCong_Xa!H8</f>
        <v>83379.826923076922</v>
      </c>
      <c r="H40" s="470">
        <f>'Thiet-bi_Xa'!J14</f>
        <v>1699.9</v>
      </c>
      <c r="I40" s="470">
        <f>'Thiet-bi_Xa'!K14</f>
        <v>3146.7503999999999</v>
      </c>
      <c r="J40" s="470">
        <f>Dcu_Xa!F19</f>
        <v>1648.5068840100002</v>
      </c>
      <c r="K40" s="470">
        <f>'Vat-lieu_Xa'!F20</f>
        <v>10134.000000000004</v>
      </c>
      <c r="L40" s="470">
        <f t="shared" si="0"/>
        <v>100008.98420708692</v>
      </c>
      <c r="M40" s="470">
        <f t="shared" si="17"/>
        <v>15001.347631063038</v>
      </c>
      <c r="N40" s="470">
        <f t="shared" si="18"/>
        <v>115010.33183814996</v>
      </c>
      <c r="O40" s="470">
        <f t="shared" si="3"/>
        <v>113310.43183814996</v>
      </c>
      <c r="P40" s="470">
        <f t="shared" si="6"/>
        <v>3295.1923076923076</v>
      </c>
      <c r="Q40" s="472">
        <f>+L_CBan!$K$60*NhanCong_Xa!F8</f>
        <v>2865.3846153846152</v>
      </c>
      <c r="R40" s="472">
        <f t="shared" si="4"/>
        <v>429.80769230769226</v>
      </c>
      <c r="S40" s="607">
        <f>1</f>
        <v>1</v>
      </c>
      <c r="T40" s="688">
        <f>((L40+M40)*10%+(L40+M40))*S40</f>
        <v>126511.36502196496</v>
      </c>
      <c r="U40" s="688">
        <f t="shared" si="5"/>
        <v>115010.33183814996</v>
      </c>
      <c r="V40" s="687"/>
      <c r="W40" s="687"/>
      <c r="X40" s="687"/>
      <c r="Y40" s="687"/>
      <c r="Z40" s="803"/>
    </row>
    <row r="41" spans="1:30" ht="31.5">
      <c r="A41" s="693" t="str">
        <f>NhanCong_Xa!A9</f>
        <v>8.2</v>
      </c>
      <c r="B41" s="468" t="str">
        <f>NhanCong_Xa!B9</f>
        <v>2.2</v>
      </c>
      <c r="C41" s="469" t="str">
        <f>NhanCong_Xa!C9</f>
        <v>Nhập thông tin siêu dữ liệu kiểm kê đất đai</v>
      </c>
      <c r="D41" s="468" t="str">
        <f>NhanCong_Xa!D9</f>
        <v>Bộ dữ liệu theo xã</v>
      </c>
      <c r="E41" s="468" t="str">
        <f>NhanCong_Xa!E9</f>
        <v>1KS1</v>
      </c>
      <c r="F41" s="468">
        <f>NhanCong_Xa!F9</f>
        <v>0.25</v>
      </c>
      <c r="G41" s="470">
        <f>NhanCong_Xa!H9</f>
        <v>41689.913461538461</v>
      </c>
      <c r="H41" s="470">
        <f>'Thiet-bi_Xa'!J18</f>
        <v>850.1</v>
      </c>
      <c r="I41" s="470">
        <f>'Thiet-bi_Xa'!K18</f>
        <v>1574.0496000000001</v>
      </c>
      <c r="J41" s="470">
        <f>Dcu_Xa!F20</f>
        <v>824.25344200500012</v>
      </c>
      <c r="K41" s="470">
        <f>'Vat-lieu_Xa'!F21</f>
        <v>5067.0000000000018</v>
      </c>
      <c r="L41" s="470">
        <f t="shared" si="0"/>
        <v>50005.316503543458</v>
      </c>
      <c r="M41" s="470">
        <f>L41*0.15</f>
        <v>7500.7974755315181</v>
      </c>
      <c r="N41" s="470">
        <f>L41+M41</f>
        <v>57506.113979074973</v>
      </c>
      <c r="O41" s="470">
        <f t="shared" si="3"/>
        <v>56656.013979074974</v>
      </c>
      <c r="P41" s="470">
        <f t="shared" si="6"/>
        <v>1647.5961538461538</v>
      </c>
      <c r="Q41" s="472">
        <f>+L_CBan!$K$60*NhanCong_Xa!F9</f>
        <v>1432.6923076923076</v>
      </c>
      <c r="R41" s="472">
        <f t="shared" si="4"/>
        <v>214.90384615384613</v>
      </c>
      <c r="S41" s="607">
        <v>1</v>
      </c>
      <c r="T41" s="688">
        <f>((L41+M41)*10%+(L41+M41))*S41</f>
        <v>63256.725376982475</v>
      </c>
      <c r="U41" s="688">
        <f t="shared" si="5"/>
        <v>57506.113979074973</v>
      </c>
      <c r="V41" s="687"/>
      <c r="W41" s="687"/>
      <c r="X41" s="687"/>
      <c r="Y41" s="687"/>
      <c r="Z41" s="803"/>
    </row>
    <row r="42" spans="1:30" s="791" customFormat="1" ht="31.5">
      <c r="A42" s="874">
        <f>NhanCong_Xa!A10</f>
        <v>9</v>
      </c>
      <c r="B42" s="463">
        <f>NhanCong_Xa!B10</f>
        <v>3</v>
      </c>
      <c r="C42" s="466" t="str">
        <f>NhanCong_Xa!C10</f>
        <v>Phục vụ kiểm tra, nghiệm thu cơ sở dữ liệu thống kê, kiểm kê đất đai</v>
      </c>
      <c r="D42" s="463"/>
      <c r="E42" s="463"/>
      <c r="F42" s="463"/>
      <c r="G42" s="470"/>
      <c r="H42" s="470"/>
      <c r="I42" s="470"/>
      <c r="J42" s="470"/>
      <c r="K42" s="470"/>
      <c r="L42" s="470"/>
      <c r="M42" s="470"/>
      <c r="N42" s="470"/>
      <c r="O42" s="470"/>
      <c r="P42" s="470"/>
      <c r="Q42" s="472"/>
      <c r="R42" s="472"/>
      <c r="S42" s="686"/>
      <c r="T42" s="696"/>
      <c r="U42" s="688">
        <f t="shared" si="5"/>
        <v>0</v>
      </c>
      <c r="V42" s="696"/>
      <c r="W42" s="696"/>
      <c r="X42" s="696"/>
      <c r="Y42" s="696"/>
      <c r="Z42" s="804"/>
    </row>
    <row r="43" spans="1:30" ht="31.5">
      <c r="A43" s="693" t="str">
        <f>NhanCong_Xa!A11</f>
        <v>9.1</v>
      </c>
      <c r="B43" s="468" t="str">
        <f>NhanCong_Xa!B11</f>
        <v>3.1</v>
      </c>
      <c r="C43" s="469" t="str">
        <f>NhanCong_Xa!C11</f>
        <v>Đơn vị thi công chuẩn bị tài liệu và phục vụ giám sát kiểm tra, nghiệm thu.</v>
      </c>
      <c r="D43" s="468" t="str">
        <f>NhanCong_Xa!D11</f>
        <v>Bộ dữ liệu theo xã</v>
      </c>
      <c r="E43" s="468" t="str">
        <f>NhanCong_Xa!E11</f>
        <v>1KTV4</v>
      </c>
      <c r="F43" s="468">
        <f>NhanCong_Xa!F11</f>
        <v>0.15</v>
      </c>
      <c r="G43" s="470">
        <f>NhanCong_Xa!H11</f>
        <v>26287.898076923077</v>
      </c>
      <c r="H43" s="470">
        <f>'Thiet-bi_Xa'!J23</f>
        <v>518</v>
      </c>
      <c r="I43" s="470">
        <f>'Thiet-bi_Xa'!K23</f>
        <v>1008.9024000000001</v>
      </c>
      <c r="J43" s="470">
        <f>Dcu_Xa!F22</f>
        <v>494.42347652250004</v>
      </c>
      <c r="K43" s="470">
        <f>'Vat-lieu_Xa'!F23</f>
        <v>3040.2000000000007</v>
      </c>
      <c r="L43" s="470">
        <f t="shared" si="0"/>
        <v>31349.423953445577</v>
      </c>
      <c r="M43" s="470">
        <f t="shared" si="17"/>
        <v>4702.4135930168368</v>
      </c>
      <c r="N43" s="470">
        <f t="shared" si="18"/>
        <v>36051.837546462411</v>
      </c>
      <c r="O43" s="470">
        <f t="shared" si="3"/>
        <v>35533.837546462411</v>
      </c>
      <c r="P43" s="470">
        <f t="shared" si="6"/>
        <v>988.55769230769215</v>
      </c>
      <c r="Q43" s="472">
        <f>+L_CBan!$K$60*NhanCong_Xa!F11</f>
        <v>859.61538461538453</v>
      </c>
      <c r="R43" s="472">
        <f t="shared" si="4"/>
        <v>128.94230769230768</v>
      </c>
      <c r="S43" s="607">
        <v>1</v>
      </c>
      <c r="T43" s="688">
        <f>((L43+M43)*10%+(L43+M43))*S43</f>
        <v>39657.021301108653</v>
      </c>
      <c r="U43" s="688">
        <f t="shared" si="5"/>
        <v>36051.837546462411</v>
      </c>
      <c r="V43" s="687"/>
      <c r="W43" s="687"/>
      <c r="X43" s="687"/>
      <c r="Y43" s="687"/>
      <c r="Z43" s="803"/>
    </row>
    <row r="44" spans="1:30" ht="63">
      <c r="A44" s="693" t="str">
        <f>NhanCong_Xa!A12</f>
        <v>9.2</v>
      </c>
      <c r="B44" s="468" t="str">
        <f>NhanCong_Xa!B12</f>
        <v>3.2</v>
      </c>
      <c r="C44" s="469" t="str">
        <f>NhanCong_Xa!C12</f>
        <v>Thực hiện kiểm tra tổng thể cơ sở dữ liệu thống kê, kiểm kê đất đai và tích hợp vào hệ thống ngay sau khi được nghiệm thu để phục vụ quản lý, vận hành, khai thác sử dụng.</v>
      </c>
      <c r="D44" s="468" t="str">
        <f>NhanCong_Xa!D12</f>
        <v>Bộ dữ liệu theo xã</v>
      </c>
      <c r="E44" s="468" t="str">
        <f>NhanCong_Xa!E12</f>
        <v>1KS3</v>
      </c>
      <c r="F44" s="468">
        <f>NhanCong_Xa!F12</f>
        <v>0.5</v>
      </c>
      <c r="G44" s="470">
        <f>NhanCong_Xa!H12</f>
        <v>106735.57692307692</v>
      </c>
      <c r="H44" s="470">
        <f>'Thiet-bi_Xa'!J28</f>
        <v>11284.220000000001</v>
      </c>
      <c r="I44" s="470">
        <f>'Thiet-bi_Xa'!K28</f>
        <v>5250.8783999999996</v>
      </c>
      <c r="J44" s="470">
        <f>Dcu_Xa!F23</f>
        <v>1648.5068840100002</v>
      </c>
      <c r="K44" s="470">
        <f>'Vat-lieu_Xa'!F24</f>
        <v>10134.000000000004</v>
      </c>
      <c r="L44" s="470">
        <f t="shared" si="0"/>
        <v>135053.18220708694</v>
      </c>
      <c r="M44" s="470">
        <f t="shared" si="17"/>
        <v>20257.977331063041</v>
      </c>
      <c r="N44" s="470">
        <f t="shared" si="18"/>
        <v>155311.15953814998</v>
      </c>
      <c r="O44" s="470">
        <f t="shared" si="3"/>
        <v>144026.93953814998</v>
      </c>
      <c r="P44" s="470">
        <f t="shared" si="6"/>
        <v>3295.1923076923076</v>
      </c>
      <c r="Q44" s="472">
        <f>+L_CBan!$K$60*NhanCong_Xa!F12</f>
        <v>2865.3846153846152</v>
      </c>
      <c r="R44" s="472">
        <f t="shared" si="4"/>
        <v>429.80769230769226</v>
      </c>
      <c r="S44" s="607">
        <v>1</v>
      </c>
      <c r="T44" s="688">
        <f>((L44+M44)*10%+(L44+M44))*S44</f>
        <v>170842.27549196497</v>
      </c>
      <c r="U44" s="688">
        <f t="shared" si="5"/>
        <v>155311.15953814998</v>
      </c>
      <c r="V44" s="687"/>
      <c r="W44" s="687"/>
      <c r="X44" s="687"/>
      <c r="Y44" s="687"/>
      <c r="Z44" s="803" t="s">
        <v>722</v>
      </c>
    </row>
    <row r="45" spans="1:30" ht="31.5">
      <c r="A45" s="693" t="str">
        <f>NhanCong_Xa!A13</f>
        <v>9.3</v>
      </c>
      <c r="B45" s="468" t="str">
        <f>NhanCong_Xa!B13</f>
        <v>3.3</v>
      </c>
      <c r="C45" s="469" t="str">
        <f>NhanCong_Xa!C13</f>
        <v>Đóng gói giao nộp cơ sở dữ liệu thống kê, kiểm kê đất đai</v>
      </c>
      <c r="D45" s="468" t="str">
        <f>NhanCong_Xa!D13</f>
        <v>Bộ dữ liệu theo xã</v>
      </c>
      <c r="E45" s="468" t="str">
        <f>NhanCong_Xa!E13</f>
        <v>1KTV4</v>
      </c>
      <c r="F45" s="468">
        <f>NhanCong_Xa!F13</f>
        <v>0.1</v>
      </c>
      <c r="G45" s="470">
        <f>NhanCong_Xa!H13</f>
        <v>17525.265384615384</v>
      </c>
      <c r="H45" s="470">
        <f>'Thiet-bi_Xa'!J37</f>
        <v>345.40000000000003</v>
      </c>
      <c r="I45" s="470">
        <f>'Thiet-bi_Xa'!K37</f>
        <v>673.05119999999999</v>
      </c>
      <c r="J45" s="470">
        <f>Dcu_Xa!F24</f>
        <v>329.82996548250003</v>
      </c>
      <c r="K45" s="470">
        <f>'Vat-lieu_Xa'!F25</f>
        <v>2026.8000000000004</v>
      </c>
      <c r="L45" s="470">
        <f t="shared" si="0"/>
        <v>20900.346550097885</v>
      </c>
      <c r="M45" s="470">
        <f>L45*0.15</f>
        <v>3135.0519825146825</v>
      </c>
      <c r="N45" s="470">
        <f t="shared" ref="N45" si="25">L45+M45</f>
        <v>24035.398532612569</v>
      </c>
      <c r="O45" s="470">
        <f t="shared" si="3"/>
        <v>23689.998532612568</v>
      </c>
      <c r="P45" s="470">
        <f t="shared" si="6"/>
        <v>659.03846153846155</v>
      </c>
      <c r="Q45" s="472">
        <f>+L_CBan!$K$60*NhanCong_Xa!F13</f>
        <v>573.07692307692309</v>
      </c>
      <c r="R45" s="472">
        <f>+Q45*0.15</f>
        <v>85.961538461538467</v>
      </c>
      <c r="S45" s="607">
        <v>1</v>
      </c>
      <c r="T45" s="688">
        <f>((L45+M45)*10%+(L45+M45))*S45</f>
        <v>26438.938385873826</v>
      </c>
      <c r="U45" s="688">
        <f t="shared" si="5"/>
        <v>24035.398532612569</v>
      </c>
      <c r="V45" s="687"/>
      <c r="W45" s="687"/>
      <c r="X45" s="687"/>
      <c r="Y45" s="687"/>
      <c r="Z45" s="803"/>
    </row>
    <row r="46" spans="1:30">
      <c r="A46" s="693"/>
      <c r="B46" s="468"/>
      <c r="C46" s="467" t="s">
        <v>37</v>
      </c>
      <c r="D46" s="877"/>
      <c r="E46" s="877"/>
      <c r="F46" s="467"/>
      <c r="G46" s="467">
        <f t="shared" ref="G46" si="26">SUM(G8:G45)</f>
        <v>2101413.7691923077</v>
      </c>
      <c r="H46" s="467">
        <f t="shared" ref="H46:U46" si="27">SUM(H8:H45)</f>
        <v>263644.91000000003</v>
      </c>
      <c r="I46" s="467">
        <f t="shared" si="27"/>
        <v>59255.931199999999</v>
      </c>
      <c r="J46" s="467">
        <f>SUM(J8:J45)</f>
        <v>29884.59088461538</v>
      </c>
      <c r="K46" s="467">
        <f t="shared" si="27"/>
        <v>181105.39000000004</v>
      </c>
      <c r="L46" s="467">
        <f t="shared" si="27"/>
        <v>2635304.5912769227</v>
      </c>
      <c r="M46" s="467">
        <f t="shared" si="27"/>
        <v>395295.68869153853</v>
      </c>
      <c r="N46" s="467">
        <f t="shared" si="27"/>
        <v>3030600.279968461</v>
      </c>
      <c r="O46" s="467">
        <f t="shared" si="27"/>
        <v>2766955.3699684613</v>
      </c>
      <c r="P46" s="467">
        <f t="shared" si="27"/>
        <v>59471.630769230745</v>
      </c>
      <c r="Q46" s="467">
        <f t="shared" si="27"/>
        <v>51714.461538461539</v>
      </c>
      <c r="R46" s="467">
        <f t="shared" si="27"/>
        <v>7757.169230769231</v>
      </c>
      <c r="S46" s="467"/>
      <c r="T46" s="467">
        <f t="shared" si="27"/>
        <v>13002035.980794018</v>
      </c>
      <c r="U46" s="467">
        <f t="shared" si="27"/>
        <v>18239044.361944705</v>
      </c>
      <c r="V46" s="687"/>
      <c r="W46" s="687"/>
      <c r="X46" s="687"/>
      <c r="Y46" s="687"/>
      <c r="Z46" s="803"/>
    </row>
    <row r="47" spans="1:30" hidden="1">
      <c r="G47" s="793">
        <f>+G46-NhanCong_Xa!H48</f>
        <v>444634.48173076939</v>
      </c>
      <c r="H47" s="793">
        <f>+H46-'Thiet-bi_Xa'!J158</f>
        <v>238.0800000000163</v>
      </c>
      <c r="I47" s="793">
        <f>+I46-'Thiet-bi_Xa'!K158</f>
        <v>392.50080000000162</v>
      </c>
      <c r="J47" s="879">
        <f>+J46-Dcu_Xa!F84</f>
        <v>29884.59088461538</v>
      </c>
      <c r="K47" s="879">
        <f>+K46-'Vat-lieu_Xa'!E89</f>
        <v>181105.39000000004</v>
      </c>
      <c r="L47" s="794"/>
      <c r="O47" s="460"/>
      <c r="P47" s="460"/>
      <c r="Q47" s="454"/>
      <c r="R47" s="454"/>
      <c r="U47" s="454">
        <f>+U46*0.1</f>
        <v>1823904.4361944706</v>
      </c>
    </row>
    <row r="48" spans="1:30" ht="267.75" hidden="1" customHeight="1">
      <c r="C48" s="878" t="s">
        <v>945</v>
      </c>
      <c r="D48" s="460"/>
      <c r="E48" s="460"/>
      <c r="I48" s="460"/>
      <c r="J48" s="459"/>
      <c r="K48" s="459"/>
      <c r="M48" s="459"/>
      <c r="S48" s="459"/>
      <c r="T48" s="459"/>
      <c r="U48" s="794"/>
      <c r="V48" s="459"/>
      <c r="W48" s="459">
        <f>262*20</f>
        <v>5240</v>
      </c>
      <c r="X48" s="459"/>
      <c r="Y48" s="459"/>
      <c r="Z48" s="459"/>
      <c r="AA48" s="706"/>
      <c r="AB48" s="706"/>
      <c r="AC48" s="690"/>
      <c r="AD48" s="690"/>
    </row>
    <row r="49" spans="1:30" ht="31.5" hidden="1" customHeight="1">
      <c r="C49" s="809" t="s">
        <v>985</v>
      </c>
      <c r="D49" s="809"/>
      <c r="E49" s="809"/>
      <c r="F49" s="809"/>
      <c r="G49" s="809"/>
      <c r="H49" s="809"/>
      <c r="I49" s="809"/>
      <c r="J49" s="459"/>
      <c r="K49" s="459"/>
      <c r="M49" s="459"/>
      <c r="S49" s="459"/>
      <c r="T49" s="459"/>
      <c r="U49" s="459"/>
      <c r="V49" s="459"/>
      <c r="W49" s="459"/>
      <c r="X49" s="459"/>
      <c r="Y49" s="459"/>
      <c r="Z49" s="459"/>
      <c r="AA49" s="691"/>
      <c r="AB49" s="690"/>
      <c r="AC49" s="690"/>
      <c r="AD49" s="690"/>
    </row>
    <row r="50" spans="1:30" hidden="1">
      <c r="A50" s="460"/>
      <c r="B50" s="460"/>
      <c r="C50" s="460"/>
      <c r="I50" s="460"/>
      <c r="J50" s="459"/>
      <c r="K50" s="459"/>
      <c r="M50" s="459"/>
      <c r="S50" s="459"/>
      <c r="T50" s="459"/>
      <c r="U50" s="459"/>
      <c r="V50" s="459"/>
      <c r="W50" s="459"/>
      <c r="X50" s="459"/>
      <c r="Y50" s="459"/>
      <c r="Z50" s="459"/>
      <c r="AA50" s="690"/>
      <c r="AB50" s="690"/>
      <c r="AC50" s="690"/>
      <c r="AD50" s="690"/>
    </row>
    <row r="51" spans="1:30" ht="29.25" hidden="1" customHeight="1">
      <c r="A51" s="460"/>
      <c r="B51" s="460"/>
      <c r="C51" s="817" t="s">
        <v>14</v>
      </c>
      <c r="D51" s="817" t="s">
        <v>162</v>
      </c>
      <c r="E51" s="693"/>
      <c r="F51" s="695"/>
      <c r="G51" s="1233" t="s">
        <v>844</v>
      </c>
      <c r="H51" s="1234"/>
      <c r="I51" s="1234"/>
      <c r="J51" s="1235"/>
      <c r="K51" s="459"/>
      <c r="M51" s="459"/>
      <c r="S51" s="459"/>
      <c r="T51" s="459"/>
      <c r="U51" s="459"/>
      <c r="V51" s="459"/>
      <c r="W51" s="459"/>
      <c r="X51" s="459"/>
      <c r="Y51" s="459"/>
      <c r="Z51" s="459"/>
      <c r="AA51" s="700"/>
      <c r="AB51" s="700"/>
      <c r="AC51" s="690"/>
      <c r="AD51" s="690"/>
    </row>
    <row r="52" spans="1:30" ht="47.25" hidden="1">
      <c r="A52" s="460"/>
      <c r="B52" s="460"/>
      <c r="C52" s="817"/>
      <c r="D52" s="817"/>
      <c r="E52" s="693"/>
      <c r="F52" s="695"/>
      <c r="G52" s="614" t="s">
        <v>946</v>
      </c>
      <c r="H52" s="614" t="s">
        <v>947</v>
      </c>
      <c r="I52" s="614" t="s">
        <v>948</v>
      </c>
      <c r="J52" s="614" t="s">
        <v>800</v>
      </c>
      <c r="K52" s="459"/>
      <c r="M52" s="459"/>
      <c r="S52" s="459"/>
      <c r="T52" s="459"/>
      <c r="U52" s="459"/>
      <c r="V52" s="459"/>
      <c r="W52" s="459"/>
      <c r="X52" s="459"/>
      <c r="Y52" s="459"/>
      <c r="Z52" s="459"/>
      <c r="AA52" s="700"/>
      <c r="AB52" s="700"/>
      <c r="AC52" s="690"/>
      <c r="AD52" s="690"/>
    </row>
    <row r="53" spans="1:30" ht="37.5" hidden="1" customHeight="1">
      <c r="A53" s="460"/>
      <c r="B53" s="460"/>
      <c r="C53" s="880"/>
      <c r="D53" s="818" t="s">
        <v>700</v>
      </c>
      <c r="E53" s="693"/>
      <c r="F53" s="695"/>
      <c r="G53" s="881"/>
      <c r="H53" s="881"/>
      <c r="I53" s="881"/>
      <c r="J53" s="881"/>
      <c r="T53" s="701"/>
      <c r="U53" s="701"/>
      <c r="V53" s="690"/>
      <c r="W53" s="690"/>
      <c r="X53" s="690"/>
      <c r="Y53" s="690"/>
      <c r="Z53" s="805"/>
      <c r="AA53" s="702"/>
      <c r="AB53" s="702"/>
      <c r="AC53" s="690"/>
      <c r="AD53" s="690"/>
    </row>
    <row r="54" spans="1:30" ht="39.950000000000003" hidden="1" customHeight="1">
      <c r="A54" s="460"/>
      <c r="B54" s="460"/>
      <c r="C54" s="882">
        <v>1</v>
      </c>
      <c r="D54" s="818" t="s">
        <v>701</v>
      </c>
      <c r="E54" s="693"/>
      <c r="F54" s="695"/>
      <c r="G54" s="881" t="s">
        <v>949</v>
      </c>
      <c r="H54" s="881" t="s">
        <v>950</v>
      </c>
      <c r="I54" s="881">
        <v>1</v>
      </c>
      <c r="J54" s="881" t="s">
        <v>951</v>
      </c>
      <c r="T54" s="690"/>
      <c r="U54" s="690"/>
      <c r="V54" s="690"/>
      <c r="W54" s="690"/>
      <c r="X54" s="690"/>
      <c r="Y54" s="690"/>
      <c r="Z54" s="806"/>
      <c r="AA54" s="690"/>
      <c r="AB54" s="690"/>
      <c r="AC54" s="690"/>
      <c r="AD54" s="690"/>
    </row>
    <row r="55" spans="1:30" ht="48.95" hidden="1" customHeight="1">
      <c r="A55" s="460"/>
      <c r="B55" s="460"/>
      <c r="C55" s="882">
        <v>2</v>
      </c>
      <c r="D55" s="818" t="s">
        <v>703</v>
      </c>
      <c r="E55" s="693"/>
      <c r="F55" s="695"/>
      <c r="G55" s="881" t="s">
        <v>949</v>
      </c>
      <c r="H55" s="881" t="s">
        <v>950</v>
      </c>
      <c r="I55" s="881">
        <v>1</v>
      </c>
      <c r="J55" s="881" t="s">
        <v>951</v>
      </c>
    </row>
    <row r="56" spans="1:30" ht="43.5" hidden="1" customHeight="1">
      <c r="A56" s="460"/>
      <c r="B56" s="460"/>
      <c r="C56" s="882">
        <v>3</v>
      </c>
      <c r="D56" s="818" t="s">
        <v>795</v>
      </c>
      <c r="E56" s="693"/>
      <c r="F56" s="695"/>
      <c r="G56" s="881" t="s">
        <v>949</v>
      </c>
      <c r="H56" s="881" t="s">
        <v>950</v>
      </c>
      <c r="I56" s="881">
        <v>1</v>
      </c>
      <c r="J56" s="881" t="s">
        <v>951</v>
      </c>
      <c r="L56" s="460"/>
      <c r="N56" s="460"/>
      <c r="O56" s="460"/>
      <c r="P56" s="460"/>
      <c r="Q56" s="460"/>
      <c r="R56" s="460"/>
    </row>
    <row r="57" spans="1:30" ht="37.5" hidden="1" customHeight="1">
      <c r="A57" s="460"/>
      <c r="B57" s="460"/>
      <c r="C57" s="882">
        <v>4</v>
      </c>
      <c r="D57" s="818" t="s">
        <v>704</v>
      </c>
      <c r="E57" s="693"/>
      <c r="F57" s="695"/>
      <c r="G57" s="881" t="s">
        <v>949</v>
      </c>
      <c r="H57" s="881" t="s">
        <v>950</v>
      </c>
      <c r="I57" s="881">
        <v>1</v>
      </c>
      <c r="J57" s="881" t="s">
        <v>951</v>
      </c>
      <c r="L57" s="460"/>
      <c r="N57" s="460"/>
      <c r="O57" s="460"/>
      <c r="P57" s="460"/>
      <c r="Q57" s="460"/>
      <c r="R57" s="460"/>
    </row>
    <row r="58" spans="1:30" hidden="1">
      <c r="A58" s="460"/>
      <c r="B58" s="460"/>
      <c r="C58" s="460"/>
      <c r="I58" s="460"/>
      <c r="L58" s="460"/>
      <c r="N58" s="460"/>
      <c r="O58" s="460"/>
      <c r="P58" s="460"/>
      <c r="Q58" s="460"/>
      <c r="R58" s="460"/>
    </row>
    <row r="59" spans="1:30">
      <c r="A59" s="460"/>
      <c r="B59" s="460"/>
      <c r="C59" s="460"/>
      <c r="I59" s="460"/>
      <c r="L59" s="460"/>
      <c r="N59" s="460"/>
      <c r="O59" s="460"/>
      <c r="P59" s="460"/>
      <c r="Q59" s="460"/>
      <c r="R59" s="460"/>
    </row>
    <row r="60" spans="1:30">
      <c r="A60" s="460"/>
      <c r="B60" s="460"/>
      <c r="C60" s="460"/>
      <c r="I60" s="460"/>
      <c r="L60" s="460"/>
      <c r="N60" s="460"/>
      <c r="O60" s="460"/>
      <c r="P60" s="460"/>
      <c r="Q60" s="460"/>
      <c r="R60" s="460"/>
    </row>
    <row r="61" spans="1:30">
      <c r="A61" s="460"/>
      <c r="B61" s="460"/>
      <c r="C61" s="460"/>
      <c r="I61" s="460"/>
      <c r="L61" s="460"/>
      <c r="N61" s="460"/>
      <c r="O61" s="460"/>
      <c r="P61" s="460"/>
      <c r="Q61" s="460"/>
      <c r="R61" s="460"/>
    </row>
    <row r="62" spans="1:30">
      <c r="A62" s="460"/>
      <c r="B62" s="460"/>
      <c r="C62" s="460"/>
      <c r="I62" s="460"/>
      <c r="L62" s="460"/>
      <c r="N62" s="460"/>
      <c r="O62" s="460"/>
      <c r="P62" s="460"/>
      <c r="Q62" s="460"/>
      <c r="R62" s="460"/>
    </row>
    <row r="63" spans="1:30">
      <c r="A63" s="460"/>
      <c r="B63" s="460"/>
      <c r="C63" s="460"/>
      <c r="I63" s="460"/>
      <c r="L63" s="460"/>
      <c r="N63" s="460"/>
      <c r="O63" s="460"/>
      <c r="P63" s="460"/>
      <c r="Q63" s="460"/>
      <c r="R63" s="460"/>
    </row>
    <row r="64" spans="1:30">
      <c r="A64" s="460"/>
      <c r="B64" s="460"/>
      <c r="C64" s="460"/>
      <c r="I64" s="460"/>
      <c r="L64" s="460"/>
      <c r="N64" s="460"/>
      <c r="O64" s="460"/>
      <c r="P64" s="460"/>
      <c r="Q64" s="460"/>
      <c r="R64" s="460"/>
    </row>
    <row r="65" spans="1:18">
      <c r="A65" s="460"/>
      <c r="B65" s="460"/>
      <c r="C65" s="460"/>
      <c r="I65" s="460"/>
      <c r="L65" s="460"/>
      <c r="N65" s="460"/>
      <c r="O65" s="460"/>
      <c r="P65" s="460"/>
      <c r="Q65" s="460"/>
      <c r="R65" s="460"/>
    </row>
    <row r="66" spans="1:18">
      <c r="A66" s="460"/>
      <c r="B66" s="460"/>
      <c r="C66" s="460"/>
      <c r="I66" s="460"/>
      <c r="L66" s="460"/>
      <c r="N66" s="460"/>
      <c r="O66" s="460"/>
      <c r="P66" s="460"/>
      <c r="Q66" s="460"/>
      <c r="R66" s="460"/>
    </row>
    <row r="67" spans="1:18">
      <c r="A67" s="460"/>
      <c r="B67" s="460"/>
      <c r="C67" s="460"/>
      <c r="I67" s="460"/>
      <c r="L67" s="460"/>
      <c r="N67" s="460"/>
      <c r="O67" s="460"/>
      <c r="P67" s="460"/>
      <c r="Q67" s="460"/>
      <c r="R67" s="460"/>
    </row>
    <row r="68" spans="1:18">
      <c r="A68" s="460"/>
      <c r="B68" s="460"/>
      <c r="C68" s="460"/>
      <c r="I68" s="460"/>
      <c r="L68" s="460"/>
      <c r="N68" s="460"/>
      <c r="O68" s="460"/>
      <c r="P68" s="460"/>
      <c r="Q68" s="460"/>
      <c r="R68" s="460"/>
    </row>
    <row r="69" spans="1:18">
      <c r="A69" s="460"/>
      <c r="B69" s="460"/>
      <c r="C69" s="460"/>
      <c r="I69" s="460"/>
      <c r="L69" s="460"/>
      <c r="N69" s="460"/>
      <c r="O69" s="460"/>
      <c r="P69" s="460"/>
      <c r="Q69" s="460"/>
      <c r="R69" s="460"/>
    </row>
    <row r="70" spans="1:18">
      <c r="A70" s="460"/>
      <c r="B70" s="460"/>
      <c r="C70" s="460"/>
      <c r="I70" s="460"/>
      <c r="L70" s="460"/>
      <c r="N70" s="460"/>
      <c r="O70" s="460"/>
      <c r="P70" s="460"/>
      <c r="Q70" s="460"/>
      <c r="R70" s="460"/>
    </row>
    <row r="71" spans="1:18">
      <c r="A71" s="460"/>
      <c r="B71" s="460"/>
      <c r="C71" s="460"/>
      <c r="I71" s="460"/>
      <c r="L71" s="460"/>
      <c r="N71" s="460"/>
      <c r="O71" s="460"/>
      <c r="P71" s="460"/>
      <c r="Q71" s="460"/>
      <c r="R71" s="460"/>
    </row>
    <row r="72" spans="1:18">
      <c r="A72" s="460"/>
      <c r="B72" s="460"/>
      <c r="C72" s="460"/>
      <c r="I72" s="460"/>
      <c r="L72" s="460"/>
      <c r="N72" s="460"/>
      <c r="O72" s="460"/>
      <c r="P72" s="460"/>
      <c r="Q72" s="460"/>
      <c r="R72" s="460"/>
    </row>
    <row r="73" spans="1:18">
      <c r="A73" s="460"/>
      <c r="B73" s="460"/>
      <c r="C73" s="460"/>
      <c r="I73" s="460"/>
      <c r="L73" s="460"/>
      <c r="N73" s="460"/>
      <c r="O73" s="460"/>
      <c r="P73" s="460"/>
      <c r="Q73" s="460"/>
      <c r="R73" s="460"/>
    </row>
    <row r="74" spans="1:18">
      <c r="A74" s="460"/>
      <c r="B74" s="460"/>
      <c r="C74" s="460"/>
      <c r="I74" s="460"/>
      <c r="L74" s="460"/>
      <c r="N74" s="460"/>
      <c r="O74" s="460"/>
      <c r="P74" s="460"/>
      <c r="Q74" s="460"/>
      <c r="R74" s="460"/>
    </row>
    <row r="75" spans="1:18">
      <c r="A75" s="460"/>
      <c r="B75" s="460"/>
      <c r="C75" s="460"/>
      <c r="I75" s="460"/>
      <c r="L75" s="460"/>
      <c r="N75" s="460"/>
      <c r="O75" s="460"/>
      <c r="P75" s="460"/>
      <c r="Q75" s="460"/>
      <c r="R75" s="460"/>
    </row>
    <row r="76" spans="1:18">
      <c r="A76" s="460"/>
      <c r="B76" s="460"/>
      <c r="C76" s="460"/>
      <c r="I76" s="460"/>
      <c r="L76" s="460"/>
      <c r="N76" s="460"/>
      <c r="O76" s="460"/>
      <c r="P76" s="460"/>
      <c r="Q76" s="460"/>
      <c r="R76" s="460"/>
    </row>
    <row r="77" spans="1:18">
      <c r="A77" s="460"/>
      <c r="B77" s="460"/>
      <c r="C77" s="460"/>
      <c r="I77" s="460"/>
      <c r="L77" s="460"/>
      <c r="N77" s="460"/>
      <c r="O77" s="460"/>
      <c r="P77" s="460"/>
      <c r="Q77" s="460"/>
      <c r="R77" s="460"/>
    </row>
    <row r="78" spans="1:18">
      <c r="A78" s="460"/>
      <c r="B78" s="460"/>
      <c r="C78" s="460"/>
      <c r="I78" s="460"/>
      <c r="L78" s="460"/>
      <c r="N78" s="460"/>
      <c r="O78" s="460"/>
      <c r="P78" s="460"/>
      <c r="Q78" s="460"/>
      <c r="R78" s="460"/>
    </row>
    <row r="79" spans="1:18">
      <c r="A79" s="460"/>
      <c r="B79" s="460"/>
      <c r="C79" s="460"/>
      <c r="I79" s="460"/>
      <c r="L79" s="460"/>
      <c r="N79" s="460"/>
      <c r="O79" s="460"/>
      <c r="P79" s="460"/>
      <c r="Q79" s="460"/>
      <c r="R79" s="460"/>
    </row>
    <row r="80" spans="1:18">
      <c r="A80" s="460"/>
      <c r="B80" s="460"/>
      <c r="C80" s="460"/>
      <c r="I80" s="460"/>
      <c r="L80" s="460"/>
      <c r="N80" s="460"/>
      <c r="O80" s="460"/>
      <c r="P80" s="460"/>
      <c r="Q80" s="460"/>
      <c r="R80" s="460"/>
    </row>
    <row r="81" spans="1:18">
      <c r="A81" s="460"/>
      <c r="B81" s="460"/>
      <c r="C81" s="460"/>
      <c r="I81" s="460"/>
      <c r="L81" s="460"/>
      <c r="N81" s="460"/>
      <c r="O81" s="460"/>
      <c r="P81" s="460"/>
      <c r="Q81" s="460"/>
      <c r="R81" s="460"/>
    </row>
    <row r="82" spans="1:18">
      <c r="A82" s="460"/>
      <c r="B82" s="460"/>
      <c r="C82" s="460"/>
      <c r="I82" s="460"/>
      <c r="L82" s="460"/>
      <c r="N82" s="460"/>
      <c r="O82" s="460"/>
      <c r="P82" s="460"/>
      <c r="Q82" s="460"/>
      <c r="R82" s="460"/>
    </row>
    <row r="83" spans="1:18">
      <c r="A83" s="460"/>
      <c r="B83" s="460"/>
      <c r="C83" s="460"/>
      <c r="I83" s="460"/>
      <c r="L83" s="460"/>
      <c r="N83" s="460"/>
      <c r="O83" s="460"/>
      <c r="P83" s="460"/>
      <c r="Q83" s="460"/>
      <c r="R83" s="460"/>
    </row>
  </sheetData>
  <mergeCells count="24">
    <mergeCell ref="N2:P2"/>
    <mergeCell ref="A1:P1"/>
    <mergeCell ref="G51:J51"/>
    <mergeCell ref="C3:C5"/>
    <mergeCell ref="A3:A5"/>
    <mergeCell ref="M3:M5"/>
    <mergeCell ref="B4:B5"/>
    <mergeCell ref="G4:G5"/>
    <mergeCell ref="H4:I4"/>
    <mergeCell ref="K4:K5"/>
    <mergeCell ref="J4:J5"/>
    <mergeCell ref="V3:Y4"/>
    <mergeCell ref="Z3:Z5"/>
    <mergeCell ref="G3:L3"/>
    <mergeCell ref="D3:D5"/>
    <mergeCell ref="S3:U3"/>
    <mergeCell ref="T4:T5"/>
    <mergeCell ref="S4:S5"/>
    <mergeCell ref="L4:L5"/>
    <mergeCell ref="N3:N5"/>
    <mergeCell ref="P3:P5"/>
    <mergeCell ref="Q3:Q5"/>
    <mergeCell ref="R3:R5"/>
    <mergeCell ref="O3:O5"/>
  </mergeCells>
  <pageMargins left="0.82874015700000003" right="7.8740157480315001E-2" top="0.78740157480314998" bottom="0.39" header="0.31496062992126" footer="0.15"/>
  <pageSetup paperSize="9" firstPageNumber="18"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58"/>
  <sheetViews>
    <sheetView topLeftCell="B1" zoomScale="86" zoomScaleNormal="86" workbookViewId="0">
      <selection activeCell="J6" sqref="J6"/>
    </sheetView>
  </sheetViews>
  <sheetFormatPr defaultColWidth="9" defaultRowHeight="15.75"/>
  <cols>
    <col min="1" max="1" width="7.75" style="518" hidden="1" customWidth="1"/>
    <col min="2" max="2" width="4.375" style="321" bestFit="1" customWidth="1"/>
    <col min="3" max="3" width="30.5" style="321" customWidth="1"/>
    <col min="4" max="4" width="9" style="597" customWidth="1"/>
    <col min="5" max="5" width="8.75" style="711" customWidth="1"/>
    <col min="6" max="6" width="9.25" style="714" customWidth="1"/>
    <col min="7" max="7" width="8.75" style="377" customWidth="1"/>
    <col min="8" max="8" width="10.25" style="322" customWidth="1"/>
    <col min="9" max="16384" width="9" style="321"/>
  </cols>
  <sheetData>
    <row r="1" spans="1:8" ht="29.25" customHeight="1">
      <c r="B1" s="1217" t="s">
        <v>1005</v>
      </c>
      <c r="C1" s="1217"/>
      <c r="D1" s="1217"/>
      <c r="E1" s="1217"/>
      <c r="F1" s="1217"/>
      <c r="G1" s="1217"/>
      <c r="H1" s="1217"/>
    </row>
    <row r="2" spans="1:8">
      <c r="B2" s="868"/>
      <c r="C2" s="737"/>
      <c r="D2" s="868"/>
      <c r="E2" s="868"/>
      <c r="F2" s="868"/>
      <c r="G2" s="868"/>
      <c r="H2" s="868"/>
    </row>
    <row r="3" spans="1:8" ht="78.75">
      <c r="B3" s="335" t="s">
        <v>14</v>
      </c>
      <c r="C3" s="614" t="s">
        <v>162</v>
      </c>
      <c r="D3" s="962" t="s">
        <v>21</v>
      </c>
      <c r="E3" s="337" t="s">
        <v>7</v>
      </c>
      <c r="F3" s="337" t="s">
        <v>1014</v>
      </c>
      <c r="G3" s="345" t="s">
        <v>787</v>
      </c>
      <c r="H3" s="346" t="s">
        <v>788</v>
      </c>
    </row>
    <row r="4" spans="1:8" ht="15.6" customHeight="1">
      <c r="A4" s="518">
        <v>1</v>
      </c>
      <c r="B4" s="335">
        <f>NhanCong_Xa!B4</f>
        <v>1</v>
      </c>
      <c r="C4" s="407" t="str">
        <f>NhanCong_Xa!C4</f>
        <v>Công tác chuẩn bị</v>
      </c>
      <c r="D4" s="535"/>
      <c r="E4" s="359"/>
      <c r="F4" s="533"/>
      <c r="G4" s="360"/>
      <c r="H4" s="378"/>
    </row>
    <row r="5" spans="1:8" ht="105">
      <c r="A5" s="518" t="s">
        <v>767</v>
      </c>
      <c r="B5" s="359" t="str">
        <f>NhanCong_Xa!B5</f>
        <v>1.1</v>
      </c>
      <c r="C5" s="566"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5" s="536" t="s">
        <v>854</v>
      </c>
      <c r="E5" s="359" t="str">
        <f>NhanCong_Xa!E5</f>
        <v>Nhóm 2 
(1 KTV2 + 1KS4)</v>
      </c>
      <c r="F5" s="534">
        <v>1.5</v>
      </c>
      <c r="G5" s="360">
        <f>(L_CBan!$K$47+L_CBan!$K$40)</f>
        <v>383769.55769230763</v>
      </c>
      <c r="H5" s="392">
        <f t="shared" ref="H5:H13" si="0">+G5*F5</f>
        <v>575654.3365384615</v>
      </c>
    </row>
    <row r="6" spans="1:8" ht="60">
      <c r="A6" s="518" t="s">
        <v>768</v>
      </c>
      <c r="B6" s="359" t="str">
        <f>NhanCong_Xa!B6</f>
        <v>1.2</v>
      </c>
      <c r="C6" s="566" t="str">
        <f>NhanCong_Xa!C6</f>
        <v>Chuẩn bị nhân lực, địa điểm làm việc; Chuẩn bị vật tư, thiết bị, dụng cụ, phần mềm phục vụ cho công tác xây dựng cơ sở dữ liệu thống kê, kiểm kê đất đai</v>
      </c>
      <c r="D6" s="536" t="str">
        <f>D5</f>
        <v>Bộ cơ sở dữ liệu theo huyện</v>
      </c>
      <c r="E6" s="359" t="str">
        <f>NhanCong_Xa!E6</f>
        <v>Nhóm 2 
(1 KTV4 + 1KS2)</v>
      </c>
      <c r="F6" s="534">
        <v>1.5</v>
      </c>
      <c r="G6" s="360">
        <f>(L_CBan!$K$49+L_CBan!$K$38)</f>
        <v>365368.05769230769</v>
      </c>
      <c r="H6" s="392">
        <f t="shared" si="0"/>
        <v>548052.0865384615</v>
      </c>
    </row>
    <row r="7" spans="1:8" ht="31.5">
      <c r="A7" s="518">
        <v>8</v>
      </c>
      <c r="B7" s="335">
        <f>NhanCong_Xa!B7</f>
        <v>2</v>
      </c>
      <c r="C7" s="407" t="str">
        <f>NhanCong_Xa!C7</f>
        <v>Xây dựng siêu dữ liệu thống kê, kiểm kê đất đai</v>
      </c>
      <c r="D7" s="963"/>
      <c r="E7" s="335"/>
      <c r="F7" s="533"/>
      <c r="G7" s="383"/>
      <c r="H7" s="392">
        <f t="shared" si="0"/>
        <v>0</v>
      </c>
    </row>
    <row r="8" spans="1:8" ht="47.25">
      <c r="A8" s="518" t="s">
        <v>876</v>
      </c>
      <c r="B8" s="359" t="str">
        <f>NhanCong_Xa!B8</f>
        <v>2.1</v>
      </c>
      <c r="C8" s="406" t="str">
        <f>NhanCong_Xa!C8</f>
        <v>Thu nhận các thông tin cần thiết để xây dựng siêu dữ liệu (thông tin mô tả dữ liệu) thống kê, kiểm kê đất đai</v>
      </c>
      <c r="D8" s="536" t="str">
        <f>D5</f>
        <v>Bộ cơ sở dữ liệu theo huyện</v>
      </c>
      <c r="E8" s="359" t="str">
        <f>NhanCong_Xa!E8</f>
        <v>1KS1</v>
      </c>
      <c r="F8" s="534">
        <v>1</v>
      </c>
      <c r="G8" s="360">
        <f>L_CBan!K37</f>
        <v>166759.65384615384</v>
      </c>
      <c r="H8" s="392">
        <f t="shared" si="0"/>
        <v>166759.65384615384</v>
      </c>
    </row>
    <row r="9" spans="1:8" ht="45">
      <c r="A9" s="518" t="s">
        <v>877</v>
      </c>
      <c r="B9" s="359" t="str">
        <f>NhanCong_Xa!B9</f>
        <v>2.2</v>
      </c>
      <c r="C9" s="406" t="str">
        <f>NhanCong_Xa!C9</f>
        <v>Nhập thông tin siêu dữ liệu kiểm kê đất đai</v>
      </c>
      <c r="D9" s="536" t="str">
        <f>D8</f>
        <v>Bộ cơ sở dữ liệu theo huyện</v>
      </c>
      <c r="E9" s="359" t="str">
        <f>NhanCong_Xa!E9</f>
        <v>1KS1</v>
      </c>
      <c r="F9" s="534">
        <v>0.5</v>
      </c>
      <c r="G9" s="360">
        <f>L_CBan!K37</f>
        <v>166759.65384615384</v>
      </c>
      <c r="H9" s="392">
        <f t="shared" si="0"/>
        <v>83379.826923076922</v>
      </c>
    </row>
    <row r="10" spans="1:8" ht="47.25">
      <c r="A10" s="518">
        <v>9</v>
      </c>
      <c r="B10" s="335">
        <f>NhanCong_Xa!B10</f>
        <v>3</v>
      </c>
      <c r="C10" s="407" t="str">
        <f>NhanCong_Xa!C10</f>
        <v>Phục vụ kiểm tra, nghiệm thu cơ sở dữ liệu thống kê, kiểm kê đất đai</v>
      </c>
      <c r="D10" s="535"/>
      <c r="E10" s="359"/>
      <c r="F10" s="533"/>
      <c r="G10" s="360"/>
      <c r="H10" s="392">
        <f t="shared" si="0"/>
        <v>0</v>
      </c>
    </row>
    <row r="11" spans="1:8" ht="45">
      <c r="A11" s="518" t="s">
        <v>878</v>
      </c>
      <c r="B11" s="359" t="str">
        <f>NhanCong_Xa!B11</f>
        <v>3.1</v>
      </c>
      <c r="C11" s="406" t="str">
        <f>NhanCong_Xa!C11</f>
        <v>Đơn vị thi công chuẩn bị tài liệu và phục vụ giám sát kiểm tra, nghiệm thu.</v>
      </c>
      <c r="D11" s="536" t="str">
        <f>D9</f>
        <v>Bộ cơ sở dữ liệu theo huyện</v>
      </c>
      <c r="E11" s="359" t="str">
        <f>NhanCong_Xa!E11</f>
        <v>1KTV4</v>
      </c>
      <c r="F11" s="534">
        <v>1</v>
      </c>
      <c r="G11" s="360">
        <f>L_CBan!K49</f>
        <v>175252.65384615384</v>
      </c>
      <c r="H11" s="392">
        <f t="shared" si="0"/>
        <v>175252.65384615384</v>
      </c>
    </row>
    <row r="12" spans="1:8" ht="78.75">
      <c r="A12" s="518" t="s">
        <v>879</v>
      </c>
      <c r="B12" s="359" t="str">
        <f>NhanCong_Xa!B12</f>
        <v>3.2</v>
      </c>
      <c r="C12" s="406" t="str">
        <f>NhanCong_Xa!C12</f>
        <v>Thực hiện kiểm tra tổng thể cơ sở dữ liệu thống kê, kiểm kê đất đai và tích hợp vào hệ thống ngay sau khi được nghiệm thu để phục vụ quản lý, vận hành, khai thác sử dụng.</v>
      </c>
      <c r="D12" s="536" t="str">
        <f>D9</f>
        <v>Bộ cơ sở dữ liệu theo huyện</v>
      </c>
      <c r="E12" s="359" t="str">
        <f>NhanCong_Xa!E12</f>
        <v>1KS3</v>
      </c>
      <c r="F12" s="534">
        <v>2</v>
      </c>
      <c r="G12" s="360">
        <f>L_CBan!K39</f>
        <v>213471.15384615384</v>
      </c>
      <c r="H12" s="392">
        <f t="shared" si="0"/>
        <v>426942.30769230769</v>
      </c>
    </row>
    <row r="13" spans="1:8" ht="45">
      <c r="A13" s="518" t="s">
        <v>880</v>
      </c>
      <c r="B13" s="359" t="str">
        <f>NhanCong_Xa!B13</f>
        <v>3.3</v>
      </c>
      <c r="C13" s="406" t="str">
        <f>NhanCong_Xa!C13</f>
        <v>Đóng gói giao nộp cơ sở dữ liệu thống kê, kiểm kê đất đai</v>
      </c>
      <c r="D13" s="536" t="str">
        <f>D9</f>
        <v>Bộ cơ sở dữ liệu theo huyện</v>
      </c>
      <c r="E13" s="359" t="str">
        <f>NhanCong_Xa!E13</f>
        <v>1KTV4</v>
      </c>
      <c r="F13" s="534">
        <v>1</v>
      </c>
      <c r="G13" s="360">
        <f>L_CBan!K49</f>
        <v>175252.65384615384</v>
      </c>
      <c r="H13" s="392">
        <f t="shared" si="0"/>
        <v>175252.65384615384</v>
      </c>
    </row>
    <row r="14" spans="1:8">
      <c r="A14" s="321"/>
      <c r="B14" s="656"/>
      <c r="C14" s="657"/>
      <c r="D14" s="658"/>
      <c r="E14" s="659"/>
      <c r="F14" s="712"/>
      <c r="G14" s="970"/>
      <c r="H14" s="998"/>
    </row>
    <row r="15" spans="1:8" ht="141.75">
      <c r="B15" s="335" t="s">
        <v>14</v>
      </c>
      <c r="C15" s="614" t="s">
        <v>162</v>
      </c>
      <c r="D15" s="962" t="s">
        <v>21</v>
      </c>
      <c r="E15" s="337" t="s">
        <v>7</v>
      </c>
      <c r="F15" s="337" t="s">
        <v>1011</v>
      </c>
      <c r="G15" s="345" t="s">
        <v>787</v>
      </c>
      <c r="H15" s="346" t="s">
        <v>788</v>
      </c>
    </row>
    <row r="16" spans="1:8">
      <c r="A16" s="518">
        <v>2</v>
      </c>
      <c r="B16" s="335">
        <f>NhanCong_Xa!B16</f>
        <v>1</v>
      </c>
      <c r="C16" s="407" t="str">
        <f>NhanCong_Xa!C16</f>
        <v>Thu thập tài liệu, dữ liệu</v>
      </c>
      <c r="D16" s="994"/>
      <c r="E16" s="359"/>
      <c r="F16" s="534"/>
      <c r="G16" s="360"/>
      <c r="H16" s="361"/>
    </row>
    <row r="17" spans="1:8">
      <c r="A17" s="518" t="s">
        <v>827</v>
      </c>
      <c r="B17" s="359" t="str">
        <f>NhanCong_Xa!B17</f>
        <v>1.1</v>
      </c>
      <c r="C17" s="566" t="str">
        <f>NhanCong_Xa!C17</f>
        <v>Thu thập tài liệu, dữ liệu thống kê</v>
      </c>
      <c r="D17" s="536" t="str">
        <f>NhanCong_Xa!D17</f>
        <v>Năm TK</v>
      </c>
      <c r="E17" s="359" t="str">
        <f>NhanCong_Xa!E17</f>
        <v>1KS3</v>
      </c>
      <c r="F17" s="534">
        <v>0.1</v>
      </c>
      <c r="G17" s="360">
        <f>L_CBan!$K$39</f>
        <v>213471.15384615384</v>
      </c>
      <c r="H17" s="643">
        <f>G17*F17</f>
        <v>21347.115384615387</v>
      </c>
    </row>
    <row r="18" spans="1:8" ht="45">
      <c r="A18" s="518" t="s">
        <v>830</v>
      </c>
      <c r="B18" s="359" t="str">
        <f>NhanCong_Xa!B18</f>
        <v>1.2</v>
      </c>
      <c r="C18" s="566" t="str">
        <f>NhanCong_Xa!C18</f>
        <v>Thu thập tài liệu, dữ liệu kiểm kê</v>
      </c>
      <c r="D18" s="536" t="str">
        <f>NhanCong_Xa!D18</f>
        <v>Kỳ KK</v>
      </c>
      <c r="E18" s="359" t="str">
        <f>NhanCong_Xa!E18</f>
        <v>Nhóm 2 
(1KTV4 + 1KS3)</v>
      </c>
      <c r="F18" s="534">
        <v>0.5</v>
      </c>
      <c r="G18" s="360">
        <f>(L_CBan!$K$49+L_CBan!$K$39)</f>
        <v>388723.80769230769</v>
      </c>
      <c r="H18" s="643">
        <f t="shared" ref="H18:H35" si="1">G18*F18</f>
        <v>194361.90384615384</v>
      </c>
    </row>
    <row r="19" spans="1:8" ht="31.5">
      <c r="A19" s="518">
        <v>3</v>
      </c>
      <c r="B19" s="335">
        <f>NhanCong_Xa!B19</f>
        <v>2</v>
      </c>
      <c r="C19" s="407" t="str">
        <f>NhanCong_Xa!C19</f>
        <v>Rà soát, đánh giá, phân loại và sắp xếp tài liệu, dữ liệu</v>
      </c>
      <c r="D19" s="994"/>
      <c r="E19" s="359"/>
      <c r="F19" s="534"/>
      <c r="G19" s="360"/>
      <c r="H19" s="643"/>
    </row>
    <row r="20" spans="1:8" ht="45">
      <c r="A20" s="518" t="s">
        <v>771</v>
      </c>
      <c r="B20" s="359" t="str">
        <f>NhanCong_Xa!B20</f>
        <v>2.1</v>
      </c>
      <c r="C20" s="359" t="str">
        <f>NhanCong_Xa!C20</f>
        <v>Rà soát, đánh giá, phân loại và sắp xếp tài liệu, dữ liệu thống kê và lập báo cáo kết quản thực hiện</v>
      </c>
      <c r="D20" s="536" t="str">
        <f>NhanCong_Xa!D20</f>
        <v>Năm TK</v>
      </c>
      <c r="E20" s="359" t="str">
        <f>NhanCong_Xa!E20</f>
        <v>1KS3</v>
      </c>
      <c r="F20" s="534">
        <v>0.5</v>
      </c>
      <c r="G20" s="381">
        <f>L_CBan!K39</f>
        <v>213471.15384615384</v>
      </c>
      <c r="H20" s="643">
        <f t="shared" si="1"/>
        <v>106735.57692307692</v>
      </c>
    </row>
    <row r="21" spans="1:8" ht="45">
      <c r="A21" s="518" t="s">
        <v>774</v>
      </c>
      <c r="B21" s="359" t="str">
        <f>NhanCong_Xa!B21</f>
        <v>2.2</v>
      </c>
      <c r="C21" s="359" t="str">
        <f>NhanCong_Xa!C21</f>
        <v>Rà soát, đánh giá, phân loại và sắp xếp tài liệu, dữ liệu kiểm kê và lập báo cáo kết quản thực hiện</v>
      </c>
      <c r="D21" s="536" t="str">
        <f>NhanCong_Xa!D21</f>
        <v>Kỳ KK</v>
      </c>
      <c r="E21" s="359" t="str">
        <f>NhanCong_Xa!E21</f>
        <v>Nhóm 2 
(1KTV4 + 1KS3)</v>
      </c>
      <c r="F21" s="534">
        <v>1.5</v>
      </c>
      <c r="G21" s="360">
        <f>(L_CBan!$K$49+L_CBan!$K$39)</f>
        <v>388723.80769230769</v>
      </c>
      <c r="H21" s="643">
        <f t="shared" si="1"/>
        <v>583085.7115384615</v>
      </c>
    </row>
    <row r="22" spans="1:8" ht="31.5">
      <c r="A22" s="518">
        <v>5</v>
      </c>
      <c r="B22" s="335">
        <f>NhanCong_Xa!B22</f>
        <v>3</v>
      </c>
      <c r="C22" s="407" t="str">
        <f>NhanCong_Xa!C22</f>
        <v>Quét giấy tờ pháp lý và xử lý tệp tin</v>
      </c>
      <c r="D22" s="963"/>
      <c r="E22" s="335"/>
      <c r="F22" s="337"/>
      <c r="G22" s="383"/>
      <c r="H22" s="643"/>
    </row>
    <row r="23" spans="1:8" ht="141.75">
      <c r="A23" s="518" t="s">
        <v>867</v>
      </c>
      <c r="B23" s="359" t="str">
        <f>NhanCong_Xa!B23</f>
        <v>3.1</v>
      </c>
      <c r="C23" s="406" t="str">
        <f>NhanCong_Xa!C23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23" s="872"/>
      <c r="E23" s="995"/>
      <c r="F23" s="996"/>
      <c r="G23" s="360"/>
      <c r="H23" s="643"/>
    </row>
    <row r="24" spans="1:8" ht="30">
      <c r="B24" s="359" t="str">
        <f>NhanCong_Xa!B24</f>
        <v>3.1.1</v>
      </c>
      <c r="C24" s="406" t="str">
        <f>NhanCong_Xa!C24</f>
        <v>Trang A3</v>
      </c>
      <c r="D24" s="536" t="str">
        <f>NhanCong_Xa!D24</f>
        <v>Trang A3</v>
      </c>
      <c r="E24" s="995" t="str">
        <f>NhanCong_Xa!E24</f>
        <v>1KS1</v>
      </c>
      <c r="F24" s="996">
        <f>NhanCong_Xa!F24</f>
        <v>1.2E-2</v>
      </c>
      <c r="G24" s="360">
        <f>L_CBan!K37</f>
        <v>166759.65384615384</v>
      </c>
      <c r="H24" s="643">
        <f t="shared" si="1"/>
        <v>2001.1158461538462</v>
      </c>
    </row>
    <row r="25" spans="1:8" ht="30">
      <c r="B25" s="359" t="str">
        <f>NhanCong_Xa!B25</f>
        <v>3.1.2</v>
      </c>
      <c r="C25" s="406" t="str">
        <f>NhanCong_Xa!C25</f>
        <v>Trang A4</v>
      </c>
      <c r="D25" s="536" t="str">
        <f>NhanCong_Xa!D25</f>
        <v>Trang A4</v>
      </c>
      <c r="E25" s="995" t="str">
        <f>NhanCong_Xa!E25</f>
        <v>1KS1</v>
      </c>
      <c r="F25" s="996">
        <f>NhanCong_Xa!F25</f>
        <v>8.0000000000000002E-3</v>
      </c>
      <c r="G25" s="360">
        <f>L_CBan!K37</f>
        <v>166759.65384615384</v>
      </c>
      <c r="H25" s="643">
        <f t="shared" si="1"/>
        <v>1334.0772307692307</v>
      </c>
    </row>
    <row r="26" spans="1:8" ht="126">
      <c r="A26" s="518" t="s">
        <v>868</v>
      </c>
      <c r="B26" s="359" t="str">
        <f>NhanCong_Xa!B26</f>
        <v>3.2</v>
      </c>
      <c r="C26" s="406" t="str">
        <f>NhanCong_Xa!C26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D26" s="536"/>
      <c r="E26" s="995" t="str">
        <f>NhanCong_Xa!E26</f>
        <v>1KS1</v>
      </c>
      <c r="F26" s="996">
        <f>NhanCong_Xa!F26</f>
        <v>4.0000000000000001E-3</v>
      </c>
      <c r="G26" s="360">
        <f>L_CBan!K37</f>
        <v>166759.65384615384</v>
      </c>
      <c r="H26" s="643">
        <f t="shared" si="1"/>
        <v>667.03861538461535</v>
      </c>
    </row>
    <row r="27" spans="1:8" ht="47.25">
      <c r="A27" s="518" t="s">
        <v>869</v>
      </c>
      <c r="B27" s="359" t="str">
        <f>NhanCong_Xa!B27</f>
        <v>3.3</v>
      </c>
      <c r="C27" s="406" t="str">
        <f>NhanCong_Xa!C27</f>
        <v>Tạo danh mục tra cứu hồ sơ quét trong cơ sở dữ liệu thống kê, kiểm kê đất đai</v>
      </c>
      <c r="D27" s="536" t="str">
        <f>NhanCong_Xa!D27</f>
        <v>Năm TK hoặc Kỳ KK</v>
      </c>
      <c r="E27" s="359" t="str">
        <f>NhanCong_Xa!E27</f>
        <v>1KS1</v>
      </c>
      <c r="F27" s="534">
        <v>0.5</v>
      </c>
      <c r="G27" s="360">
        <f>L_CBan!K37</f>
        <v>166759.65384615384</v>
      </c>
      <c r="H27" s="643">
        <f t="shared" si="1"/>
        <v>83379.826923076922</v>
      </c>
    </row>
    <row r="28" spans="1:8" ht="31.5">
      <c r="A28" s="518">
        <v>6</v>
      </c>
      <c r="B28" s="335">
        <f>NhanCong_Xa!B28</f>
        <v>4</v>
      </c>
      <c r="C28" s="407" t="str">
        <f>NhanCong_Xa!C28</f>
        <v>Xây dựng dữ liệu thuộc tính thống kê, kiểm kê đất đai</v>
      </c>
      <c r="D28" s="962"/>
      <c r="E28" s="359"/>
      <c r="F28" s="337"/>
      <c r="G28" s="383"/>
      <c r="H28" s="643"/>
    </row>
    <row r="29" spans="1:8" ht="31.5">
      <c r="A29" s="518" t="s">
        <v>870</v>
      </c>
      <c r="B29" s="359" t="str">
        <f>NhanCong_Xa!B29</f>
        <v>4.1</v>
      </c>
      <c r="C29" s="406" t="str">
        <f>NhanCong_Xa!C29</f>
        <v>Đối với tài liệu, số liệu là bảng, biểu dạng số</v>
      </c>
      <c r="D29" s="962"/>
      <c r="E29" s="359"/>
      <c r="F29" s="337"/>
      <c r="G29" s="383"/>
      <c r="H29" s="643"/>
    </row>
    <row r="30" spans="1:8" s="385" customFormat="1" ht="45">
      <c r="A30" s="623" t="s">
        <v>871</v>
      </c>
      <c r="B30" s="359" t="str">
        <f>NhanCong_Xa!B30</f>
        <v>4.1.1</v>
      </c>
      <c r="C30" s="406" t="str">
        <f>NhanCong_Xa!C30</f>
        <v>Lập mô hình chuyển đổi cơ sở dữ liệu thống kê, kiểm kê đất đai</v>
      </c>
      <c r="D30" s="536" t="str">
        <f>NhanCong_Xa!D30</f>
        <v>Năm TK hoặc Kỳ KK</v>
      </c>
      <c r="E30" s="359" t="str">
        <f>NhanCong_Xa!E30</f>
        <v>1KS3</v>
      </c>
      <c r="F30" s="534">
        <v>0.2</v>
      </c>
      <c r="G30" s="381">
        <f>L_CBan!K39</f>
        <v>213471.15384615384</v>
      </c>
      <c r="H30" s="643">
        <f t="shared" si="1"/>
        <v>42694.230769230773</v>
      </c>
    </row>
    <row r="31" spans="1:8" ht="45">
      <c r="A31" s="518" t="s">
        <v>872</v>
      </c>
      <c r="B31" s="359" t="str">
        <f>NhanCong_Xa!B31</f>
        <v>4.1.2</v>
      </c>
      <c r="C31" s="406" t="str">
        <f>NhanCong_Xa!C31</f>
        <v>Chuyển đổi vào cơ sở dữ liệu thống kê, kiểm kê đất đai</v>
      </c>
      <c r="D31" s="536" t="str">
        <f>NhanCong_Xa!D31</f>
        <v>Năm TK hoặc Kỳ KK</v>
      </c>
      <c r="E31" s="359" t="str">
        <f>NhanCong_Xa!E31</f>
        <v>1KS2</v>
      </c>
      <c r="F31" s="534">
        <v>0.4</v>
      </c>
      <c r="G31" s="997">
        <f>L_CBan!K38</f>
        <v>190115.40384615384</v>
      </c>
      <c r="H31" s="643">
        <f t="shared" si="1"/>
        <v>76046.161538461543</v>
      </c>
    </row>
    <row r="32" spans="1:8" ht="63">
      <c r="A32" s="518" t="s">
        <v>873</v>
      </c>
      <c r="B32" s="359" t="str">
        <f>NhanCong_Xa!B32</f>
        <v>4.2</v>
      </c>
      <c r="C32" s="406" t="str">
        <f>NhanCong_Xa!C32</f>
        <v>Đối với tài liệu, số liệu là báo cáo dạng số thì tạo danh mục tra cứu trong cơ sở dữ liệu thống kê, kiểm kê đất đai</v>
      </c>
      <c r="D32" s="536" t="str">
        <f>NhanCong_Xa!D32</f>
        <v>Năm TK hoặc Kỳ KK</v>
      </c>
      <c r="E32" s="359" t="str">
        <f>NhanCong_Xa!E32</f>
        <v>1KS2</v>
      </c>
      <c r="F32" s="534">
        <v>0.2</v>
      </c>
      <c r="G32" s="966">
        <f>L_CBan!K38</f>
        <v>190115.40384615384</v>
      </c>
      <c r="H32" s="643">
        <f t="shared" si="1"/>
        <v>38023.080769230772</v>
      </c>
    </row>
    <row r="33" spans="1:8" ht="31.5">
      <c r="A33" s="518">
        <v>7</v>
      </c>
      <c r="B33" s="359">
        <f>NhanCong_Xa!B33</f>
        <v>5</v>
      </c>
      <c r="C33" s="407" t="str">
        <f>NhanCong_Xa!C33</f>
        <v>Đối soát, hoàn thiện dữ liệu thống kê, kiểm kê đất đai</v>
      </c>
      <c r="D33" s="536"/>
      <c r="E33" s="359"/>
      <c r="F33" s="392"/>
      <c r="G33" s="360"/>
      <c r="H33" s="643"/>
    </row>
    <row r="34" spans="1:8" ht="30">
      <c r="A34" s="518" t="s">
        <v>874</v>
      </c>
      <c r="B34" s="359" t="str">
        <f>NhanCong_Xa!B34</f>
        <v>5.1</v>
      </c>
      <c r="C34" s="566" t="str">
        <f>NhanCong_Xa!C34</f>
        <v>Đối soát, hoàn thiện dữ liệu thống kê đất đai</v>
      </c>
      <c r="D34" s="536" t="str">
        <f>NhanCong_Xa!D34</f>
        <v>Năm TK</v>
      </c>
      <c r="E34" s="359" t="str">
        <f>NhanCong_Xa!E34</f>
        <v>1KS3</v>
      </c>
      <c r="F34" s="534">
        <v>0.5</v>
      </c>
      <c r="G34" s="381">
        <f>L_CBan!K39</f>
        <v>213471.15384615384</v>
      </c>
      <c r="H34" s="643">
        <f t="shared" si="1"/>
        <v>106735.57692307692</v>
      </c>
    </row>
    <row r="35" spans="1:8" ht="45">
      <c r="A35" s="518" t="s">
        <v>875</v>
      </c>
      <c r="B35" s="359" t="str">
        <f>NhanCong_Xa!B35</f>
        <v>5.2</v>
      </c>
      <c r="C35" s="566" t="str">
        <f>NhanCong_Xa!C35</f>
        <v>Đối soát, hoàn thiện dữ liệu kiểm kê đất đai</v>
      </c>
      <c r="D35" s="536" t="str">
        <f>NhanCong_Xa!D35</f>
        <v>Kỳ KK</v>
      </c>
      <c r="E35" s="359" t="str">
        <f>NhanCong_Xa!E35</f>
        <v>Nhóm 2 (1KTV4+1KS3)</v>
      </c>
      <c r="F35" s="534">
        <v>1</v>
      </c>
      <c r="G35" s="360">
        <f>(L_CBan!$K$49+L_CBan!$K$39)</f>
        <v>388723.80769230769</v>
      </c>
      <c r="H35" s="643">
        <f t="shared" si="1"/>
        <v>388723.80769230769</v>
      </c>
    </row>
    <row r="36" spans="1:8">
      <c r="A36" s="321"/>
      <c r="B36" s="651"/>
      <c r="C36" s="737"/>
      <c r="D36" s="660"/>
      <c r="E36" s="653"/>
      <c r="F36" s="713"/>
      <c r="G36" s="973"/>
      <c r="H36" s="999"/>
    </row>
    <row r="37" spans="1:8" ht="63">
      <c r="B37" s="335" t="s">
        <v>14</v>
      </c>
      <c r="C37" s="614" t="s">
        <v>162</v>
      </c>
      <c r="D37" s="962" t="s">
        <v>21</v>
      </c>
      <c r="E37" s="337" t="s">
        <v>7</v>
      </c>
      <c r="F37" s="337" t="str">
        <f>NhanCong_Xa!F37</f>
        <v>Định mức (Công/Lớp dữ liệu)</v>
      </c>
      <c r="G37" s="345" t="s">
        <v>787</v>
      </c>
      <c r="H37" s="346" t="s">
        <v>788</v>
      </c>
    </row>
    <row r="38" spans="1:8" s="710" customFormat="1" ht="31.5">
      <c r="A38" s="871" t="s">
        <v>553</v>
      </c>
      <c r="B38" s="335">
        <f>NhanCong_Xa!B39</f>
        <v>1</v>
      </c>
      <c r="C38" s="407" t="str">
        <f>NhanCong_Xa!C39</f>
        <v>Chuẩn hóa các lớp đối tượng không gian kiểm kê đất đai</v>
      </c>
      <c r="D38" s="962"/>
      <c r="E38" s="335"/>
      <c r="F38" s="337"/>
      <c r="G38" s="967"/>
      <c r="H38" s="968"/>
    </row>
    <row r="39" spans="1:8" ht="78.75">
      <c r="A39" s="518" t="s">
        <v>69</v>
      </c>
      <c r="B39" s="359" t="str">
        <f>NhanCong_Xa!B40</f>
        <v>1.1</v>
      </c>
      <c r="C39" s="406" t="s">
        <v>863</v>
      </c>
      <c r="D39" s="536" t="str">
        <f>NhanCong_Xa!D40</f>
        <v>Lớp dữ liệu</v>
      </c>
      <c r="E39" s="359" t="str">
        <f>NhanCong_Xa!E40</f>
        <v>1KS3</v>
      </c>
      <c r="F39" s="534">
        <f>2</f>
        <v>2</v>
      </c>
      <c r="G39" s="360">
        <f>L_CBan!K39</f>
        <v>213471.15384615384</v>
      </c>
      <c r="H39" s="361">
        <f t="shared" ref="H39:H45" si="2">+G39*F39</f>
        <v>426942.30769230769</v>
      </c>
    </row>
    <row r="40" spans="1:8" ht="31.5">
      <c r="A40" s="518" t="s">
        <v>70</v>
      </c>
      <c r="B40" s="359" t="str">
        <f>NhanCong_Xa!B41</f>
        <v>1.2</v>
      </c>
      <c r="C40" s="406" t="str">
        <f>NhanCong_Xa!C41</f>
        <v>Chuẩn hóa các lớp đối tượng không gian kiểm kê đất đai chưa phù hợp</v>
      </c>
      <c r="D40" s="536" t="str">
        <f>NhanCong_Xa!D41</f>
        <v>Lớp dữ liệu</v>
      </c>
      <c r="E40" s="359" t="str">
        <f>NhanCong_Xa!E41</f>
        <v>1KS3</v>
      </c>
      <c r="F40" s="534">
        <v>2.5</v>
      </c>
      <c r="G40" s="360">
        <f>L_CBan!K39</f>
        <v>213471.15384615384</v>
      </c>
      <c r="H40" s="361">
        <f t="shared" si="2"/>
        <v>533677.88461538462</v>
      </c>
    </row>
    <row r="41" spans="1:8" ht="47.25">
      <c r="A41" s="518" t="s">
        <v>691</v>
      </c>
      <c r="B41" s="359" t="str">
        <f>NhanCong_Xa!B42</f>
        <v>1.3</v>
      </c>
      <c r="C41" s="406" t="str">
        <f>NhanCong_Xa!C42</f>
        <v>Nhập bổ sung các thông tin thuộc tính cho đối tượng không gian kiểm kê đất đai còn thiếu (nếu có)</v>
      </c>
      <c r="D41" s="536" t="str">
        <f>NhanCong_Xa!D42</f>
        <v>Lớp dữ liệu</v>
      </c>
      <c r="E41" s="359" t="str">
        <f>NhanCong_Xa!E42</f>
        <v>1KS3</v>
      </c>
      <c r="F41" s="534">
        <v>0.5</v>
      </c>
      <c r="G41" s="360">
        <f>L_CBan!K39</f>
        <v>213471.15384615384</v>
      </c>
      <c r="H41" s="361">
        <f t="shared" si="2"/>
        <v>106735.57692307692</v>
      </c>
    </row>
    <row r="42" spans="1:8" ht="47.25">
      <c r="A42" s="518" t="s">
        <v>694</v>
      </c>
      <c r="B42" s="359" t="str">
        <f>NhanCong_Xa!B43</f>
        <v>1.4</v>
      </c>
      <c r="C42" s="406" t="str">
        <f>NhanCong_Xa!C43</f>
        <v>Rà soát chuẩn hóa thông tin thuộc tính cho từng đối tượng không gian kiểm kê đất đai</v>
      </c>
      <c r="D42" s="536" t="str">
        <f>NhanCong_Xa!D43</f>
        <v>Lớp dữ liệu</v>
      </c>
      <c r="E42" s="359" t="str">
        <f>NhanCong_Xa!E43</f>
        <v>1KS3</v>
      </c>
      <c r="F42" s="534">
        <v>2</v>
      </c>
      <c r="G42" s="360">
        <f>L_CBan!K39</f>
        <v>213471.15384615384</v>
      </c>
      <c r="H42" s="361">
        <f t="shared" si="2"/>
        <v>426942.30769230769</v>
      </c>
    </row>
    <row r="43" spans="1:8" s="710" customFormat="1" ht="31.5">
      <c r="A43" s="871" t="s">
        <v>864</v>
      </c>
      <c r="B43" s="335">
        <f>NhanCong_Xa!B44</f>
        <v>2</v>
      </c>
      <c r="C43" s="407" t="str">
        <f>NhanCong_Xa!C44</f>
        <v>Chuyển đổi và tích hợp không gian kiểm kê đất đai</v>
      </c>
      <c r="D43" s="962"/>
      <c r="E43" s="335"/>
      <c r="F43" s="337"/>
      <c r="G43" s="899"/>
      <c r="H43" s="361"/>
    </row>
    <row r="44" spans="1:8" ht="63">
      <c r="A44" s="518" t="s">
        <v>865</v>
      </c>
      <c r="B44" s="359" t="str">
        <f>NhanCong_Xa!B45</f>
        <v>2.1</v>
      </c>
      <c r="C44" s="406" t="str">
        <f>NhanCong_Xa!C45</f>
        <v>Chuyển đổi các lớp đối tượng không gian kiểm kê đất đai từ tệp (File) bản đồ số vào cơ sở dữ liệu theo đơn vị hành chính</v>
      </c>
      <c r="D44" s="536" t="str">
        <f>NhanCong_Xa!D45</f>
        <v>Lớp dữ liệu</v>
      </c>
      <c r="E44" s="359" t="str">
        <f>NhanCong_Xa!E45</f>
        <v>1KS3</v>
      </c>
      <c r="F44" s="534">
        <v>0.5</v>
      </c>
      <c r="G44" s="360">
        <f>L_CBan!K39</f>
        <v>213471.15384615384</v>
      </c>
      <c r="H44" s="361">
        <f t="shared" si="2"/>
        <v>106735.57692307692</v>
      </c>
    </row>
    <row r="45" spans="1:8" ht="47.25">
      <c r="A45" s="518" t="s">
        <v>866</v>
      </c>
      <c r="B45" s="359" t="str">
        <f>NhanCong_Xa!B46</f>
        <v>2.2</v>
      </c>
      <c r="C45" s="406" t="str">
        <f>NhanCong_Xa!C46</f>
        <v>Rà soát dữ liệu không gian để xử lý các lỗi dọc biên giữa các đơn vị hành chính tiếp giáp nhau</v>
      </c>
      <c r="D45" s="536" t="str">
        <f>NhanCong_Xa!D46</f>
        <v>Lớp dữ liệu</v>
      </c>
      <c r="E45" s="359" t="str">
        <f>NhanCong_Xa!E46</f>
        <v>1KS3</v>
      </c>
      <c r="F45" s="534">
        <v>1</v>
      </c>
      <c r="G45" s="360">
        <f>L_CBan!K39</f>
        <v>213471.15384615384</v>
      </c>
      <c r="H45" s="361">
        <f t="shared" si="2"/>
        <v>213471.15384615384</v>
      </c>
    </row>
    <row r="46" spans="1:8" hidden="1">
      <c r="C46" s="321" t="s">
        <v>802</v>
      </c>
    </row>
    <row r="47" spans="1:8" hidden="1"/>
    <row r="48" spans="1:8" hidden="1">
      <c r="C48" s="321" t="s">
        <v>796</v>
      </c>
    </row>
    <row r="49" spans="2:7" hidden="1"/>
    <row r="50" spans="2:7" ht="15.6" hidden="1" customHeight="1">
      <c r="B50" s="1189" t="s">
        <v>14</v>
      </c>
      <c r="C50" s="1189" t="s">
        <v>162</v>
      </c>
      <c r="D50" s="1186" t="s">
        <v>801</v>
      </c>
      <c r="E50" s="1187"/>
      <c r="F50" s="1187"/>
      <c r="G50" s="609"/>
    </row>
    <row r="51" spans="2:7" ht="31.5" hidden="1">
      <c r="B51" s="1189"/>
      <c r="C51" s="1189"/>
      <c r="D51" s="535" t="s">
        <v>799</v>
      </c>
      <c r="E51" s="358" t="s">
        <v>800</v>
      </c>
      <c r="F51" s="869" t="s">
        <v>803</v>
      </c>
      <c r="G51" s="610"/>
    </row>
    <row r="52" spans="2:7" ht="31.5" hidden="1">
      <c r="B52" s="558">
        <f>B38</f>
        <v>1</v>
      </c>
      <c r="C52" s="557" t="str">
        <f>C38</f>
        <v>Chuẩn hóa các lớp đối tượng không gian kiểm kê đất đai</v>
      </c>
      <c r="D52" s="535"/>
      <c r="E52" s="358"/>
      <c r="F52" s="869"/>
      <c r="G52" s="610"/>
    </row>
    <row r="53" spans="2:7" ht="78.75" hidden="1">
      <c r="B53" s="558" t="str">
        <f t="shared" ref="B53:C53" si="3">B39</f>
        <v>1.1</v>
      </c>
      <c r="C53" s="557" t="str">
        <f t="shared" si="3"/>
        <v>Lập bảng đối chiếu giữa lớp đối tượng không gian kiểm kê đất đai với nội dung tương ứng trong bản đồ hiện trạng sử dụng đất để tách, lọc các đối tượng từ nội dung bản đồ</v>
      </c>
      <c r="D53" s="535">
        <v>0.9</v>
      </c>
      <c r="E53" s="358">
        <v>1</v>
      </c>
      <c r="F53" s="869">
        <v>1.1000000000000001</v>
      </c>
      <c r="G53" s="610"/>
    </row>
    <row r="54" spans="2:7" ht="31.5" hidden="1">
      <c r="B54" s="558" t="str">
        <f t="shared" ref="B54:C54" si="4">B40</f>
        <v>1.2</v>
      </c>
      <c r="C54" s="557" t="str">
        <f t="shared" si="4"/>
        <v>Chuẩn hóa các lớp đối tượng không gian kiểm kê đất đai chưa phù hợp</v>
      </c>
      <c r="D54" s="535">
        <v>0.9</v>
      </c>
      <c r="E54" s="358">
        <v>1</v>
      </c>
      <c r="F54" s="869">
        <v>1.1000000000000001</v>
      </c>
      <c r="G54" s="610"/>
    </row>
    <row r="55" spans="2:7" ht="47.25" hidden="1">
      <c r="B55" s="558" t="str">
        <f t="shared" ref="B55:C55" si="5">B41</f>
        <v>1.3</v>
      </c>
      <c r="C55" s="557" t="str">
        <f t="shared" si="5"/>
        <v>Nhập bổ sung các thông tin thuộc tính cho đối tượng không gian kiểm kê đất đai còn thiếu (nếu có)</v>
      </c>
      <c r="D55" s="535">
        <v>0.9</v>
      </c>
      <c r="E55" s="358">
        <v>1</v>
      </c>
      <c r="F55" s="869">
        <v>1.1000000000000001</v>
      </c>
      <c r="G55" s="610"/>
    </row>
    <row r="56" spans="2:7" ht="47.25" hidden="1">
      <c r="B56" s="558" t="str">
        <f t="shared" ref="B56:C56" si="6">B42</f>
        <v>1.4</v>
      </c>
      <c r="C56" s="557" t="str">
        <f t="shared" si="6"/>
        <v>Rà soát chuẩn hóa thông tin thuộc tính cho từng đối tượng không gian kiểm kê đất đai</v>
      </c>
      <c r="D56" s="535">
        <v>0.9</v>
      </c>
      <c r="E56" s="358">
        <v>1</v>
      </c>
      <c r="F56" s="869">
        <v>1.1000000000000001</v>
      </c>
      <c r="G56" s="610"/>
    </row>
    <row r="57" spans="2:7" hidden="1"/>
    <row r="58" spans="2:7" hidden="1"/>
  </sheetData>
  <mergeCells count="4">
    <mergeCell ref="B50:B51"/>
    <mergeCell ref="C50:C51"/>
    <mergeCell ref="B1:H1"/>
    <mergeCell ref="D50:F50"/>
  </mergeCells>
  <pageMargins left="0.78740157480314965" right="0.11811023622047245" top="0.35433070866141736" bottom="0.15748031496062992"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7"/>
  <sheetViews>
    <sheetView topLeftCell="B1" zoomScale="85" zoomScaleNormal="85" workbookViewId="0">
      <pane xSplit="2" ySplit="3" topLeftCell="D163" activePane="bottomRight" state="frozen"/>
      <selection activeCell="B1" sqref="B1"/>
      <selection pane="topRight" activeCell="D1" sqref="D1"/>
      <selection pane="bottomLeft" activeCell="B4" sqref="B4"/>
      <selection pane="bottomRight" activeCell="M144" sqref="M144"/>
    </sheetView>
  </sheetViews>
  <sheetFormatPr defaultColWidth="9" defaultRowHeight="15.75"/>
  <cols>
    <col min="1" max="1" width="0" style="504" hidden="1" customWidth="1"/>
    <col min="2" max="2" width="5.375" style="504" bestFit="1" customWidth="1"/>
    <col min="3" max="3" width="50.375" style="505" customWidth="1"/>
    <col min="4" max="4" width="7.625" style="504" customWidth="1"/>
    <col min="5" max="5" width="6.5" style="505" customWidth="1"/>
    <col min="6" max="6" width="9.5" style="508" customWidth="1"/>
    <col min="7" max="7" width="7.125" style="505" customWidth="1"/>
    <col min="8" max="8" width="11.25" style="506" customWidth="1"/>
    <col min="9" max="9" width="7.625" style="506" customWidth="1"/>
    <col min="10" max="10" width="10.5" style="389" customWidth="1"/>
    <col min="11" max="11" width="9.5" style="505" customWidth="1"/>
    <col min="12" max="16384" width="9" style="505"/>
  </cols>
  <sheetData>
    <row r="1" spans="1:11" ht="24" customHeight="1">
      <c r="B1" s="1190" t="s">
        <v>1000</v>
      </c>
      <c r="C1" s="1190"/>
      <c r="D1" s="1190"/>
      <c r="E1" s="1190"/>
      <c r="F1" s="1190"/>
      <c r="G1" s="1190"/>
      <c r="H1" s="1190"/>
      <c r="I1" s="1190"/>
      <c r="J1" s="1190"/>
      <c r="K1" s="1190"/>
    </row>
    <row r="2" spans="1:11">
      <c r="I2" s="508" t="s">
        <v>79</v>
      </c>
      <c r="J2" s="389" t="s">
        <v>746</v>
      </c>
    </row>
    <row r="3" spans="1:11" s="1156" customFormat="1" ht="78.75">
      <c r="B3" s="326" t="s">
        <v>14</v>
      </c>
      <c r="C3" s="326" t="s">
        <v>17</v>
      </c>
      <c r="D3" s="326" t="s">
        <v>21</v>
      </c>
      <c r="E3" s="326" t="s">
        <v>893</v>
      </c>
      <c r="F3" s="636" t="s">
        <v>913</v>
      </c>
      <c r="G3" s="326" t="s">
        <v>5</v>
      </c>
      <c r="H3" s="483" t="s">
        <v>19</v>
      </c>
      <c r="I3" s="483" t="s">
        <v>1</v>
      </c>
      <c r="J3" s="484" t="s">
        <v>782</v>
      </c>
      <c r="K3" s="484" t="s">
        <v>616</v>
      </c>
    </row>
    <row r="4" spans="1:11" s="331" customFormat="1" ht="19.5" customHeight="1">
      <c r="A4" s="625">
        <v>1</v>
      </c>
      <c r="B4" s="485">
        <v>1</v>
      </c>
      <c r="C4" s="486" t="str">
        <f>NhanCong_Xa!C4:C4</f>
        <v>Công tác chuẩn bị</v>
      </c>
      <c r="D4" s="326"/>
      <c r="E4" s="487"/>
      <c r="F4" s="489"/>
      <c r="G4" s="488"/>
      <c r="H4" s="330"/>
      <c r="I4" s="330"/>
      <c r="J4" s="498"/>
      <c r="K4" s="573"/>
    </row>
    <row r="5" spans="1:11" s="331" customFormat="1" ht="63">
      <c r="A5" s="625" t="s">
        <v>767</v>
      </c>
      <c r="B5" s="490" t="str">
        <f>NhanCong_Huyen!B5</f>
        <v>1.1</v>
      </c>
      <c r="C5" s="491"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5" s="326"/>
      <c r="E5" s="487"/>
      <c r="F5" s="489"/>
      <c r="G5" s="488"/>
      <c r="H5" s="330"/>
      <c r="I5" s="330"/>
      <c r="J5" s="498">
        <f>SUM(J6:J7)</f>
        <v>5100</v>
      </c>
      <c r="K5" s="571">
        <f>J8</f>
        <v>9441.5999999999985</v>
      </c>
    </row>
    <row r="6" spans="1:11">
      <c r="B6" s="332"/>
      <c r="C6" s="333" t="s">
        <v>82</v>
      </c>
      <c r="D6" s="332" t="str">
        <f>Gia_Tbi!$C$4</f>
        <v>Cái</v>
      </c>
      <c r="E6" s="332">
        <f>Gia_Tbi!$D$4</f>
        <v>0.4</v>
      </c>
      <c r="F6" s="409">
        <v>1.2</v>
      </c>
      <c r="G6" s="332">
        <f>Gia_Tbi!$E$4</f>
        <v>5</v>
      </c>
      <c r="H6" s="492">
        <f>Gia_Tbi!$F$4</f>
        <v>10000000</v>
      </c>
      <c r="I6" s="493">
        <f>Gia_Tbi!$G$4</f>
        <v>4000</v>
      </c>
      <c r="J6" s="499">
        <f>$I6*F6</f>
        <v>4800</v>
      </c>
      <c r="K6" s="1157"/>
    </row>
    <row r="7" spans="1:11">
      <c r="B7" s="332"/>
      <c r="C7" s="333" t="s">
        <v>25</v>
      </c>
      <c r="D7" s="332" t="s">
        <v>556</v>
      </c>
      <c r="E7" s="332">
        <f>Gia_Tbi!$D$6</f>
        <v>2.2000000000000002</v>
      </c>
      <c r="F7" s="409">
        <v>0.1</v>
      </c>
      <c r="G7" s="332">
        <f>Gia_Tbi!$E$6</f>
        <v>8</v>
      </c>
      <c r="H7" s="492">
        <f>Gia_Tbi!$F$6</f>
        <v>12000000</v>
      </c>
      <c r="I7" s="493">
        <f>Gia_Tbi!$G$6</f>
        <v>3000</v>
      </c>
      <c r="J7" s="499">
        <f>$I7*F7</f>
        <v>300</v>
      </c>
      <c r="K7" s="1157"/>
    </row>
    <row r="8" spans="1:11">
      <c r="B8" s="332"/>
      <c r="C8" s="333" t="s">
        <v>8</v>
      </c>
      <c r="D8" s="332" t="s">
        <v>563</v>
      </c>
      <c r="E8" s="332"/>
      <c r="F8" s="409">
        <v>0.7</v>
      </c>
      <c r="G8" s="494"/>
      <c r="H8" s="492">
        <f>Gia_Tbi!$F$13</f>
        <v>1686</v>
      </c>
      <c r="I8" s="493">
        <f>Gia_Tbi!$G$13</f>
        <v>13488</v>
      </c>
      <c r="J8" s="499">
        <f>$I8*F8</f>
        <v>9441.5999999999985</v>
      </c>
      <c r="K8" s="1157"/>
    </row>
    <row r="9" spans="1:11" ht="47.25">
      <c r="A9" s="504" t="s">
        <v>768</v>
      </c>
      <c r="B9" s="332" t="str">
        <f>NhanCong_Xa!B6</f>
        <v>1.2</v>
      </c>
      <c r="C9" s="495" t="str">
        <f>NhanCong_Xa!C6</f>
        <v>Chuẩn bị nhân lực, địa điểm làm việc; Chuẩn bị vật tư, thiết bị, dụng cụ, phần mềm phục vụ cho công tác xây dựng cơ sở dữ liệu thống kê, kiểm kê đất đai</v>
      </c>
      <c r="D9" s="332"/>
      <c r="E9" s="332"/>
      <c r="F9" s="409"/>
      <c r="G9" s="494"/>
      <c r="H9" s="492"/>
      <c r="I9" s="493"/>
      <c r="J9" s="498">
        <f>SUM(J10:J11)</f>
        <v>5100</v>
      </c>
      <c r="K9" s="571">
        <f>J12</f>
        <v>9441.5999999999985</v>
      </c>
    </row>
    <row r="10" spans="1:11">
      <c r="B10" s="332"/>
      <c r="C10" s="333" t="s">
        <v>82</v>
      </c>
      <c r="D10" s="332" t="str">
        <f>Gia_Tbi!$C$4</f>
        <v>Cái</v>
      </c>
      <c r="E10" s="332">
        <f>Gia_Tbi!$D$4</f>
        <v>0.4</v>
      </c>
      <c r="F10" s="409">
        <v>1.2</v>
      </c>
      <c r="G10" s="332">
        <f>Gia_Tbi!$E$4</f>
        <v>5</v>
      </c>
      <c r="H10" s="492">
        <f>Gia_Tbi!$F$4</f>
        <v>10000000</v>
      </c>
      <c r="I10" s="493">
        <f>Gia_Tbi!$G$4</f>
        <v>4000</v>
      </c>
      <c r="J10" s="499">
        <f>$I10*F10</f>
        <v>4800</v>
      </c>
      <c r="K10" s="1157"/>
    </row>
    <row r="11" spans="1:11">
      <c r="B11" s="332"/>
      <c r="C11" s="333" t="s">
        <v>25</v>
      </c>
      <c r="D11" s="332" t="s">
        <v>556</v>
      </c>
      <c r="E11" s="332">
        <f>Gia_Tbi!$D$6</f>
        <v>2.2000000000000002</v>
      </c>
      <c r="F11" s="409">
        <v>0.1</v>
      </c>
      <c r="G11" s="332">
        <f>Gia_Tbi!$E$6</f>
        <v>8</v>
      </c>
      <c r="H11" s="492">
        <f>Gia_Tbi!$F$6</f>
        <v>12000000</v>
      </c>
      <c r="I11" s="493">
        <f>Gia_Tbi!$G$6</f>
        <v>3000</v>
      </c>
      <c r="J11" s="499">
        <f>$I11*F11</f>
        <v>300</v>
      </c>
      <c r="K11" s="1157"/>
    </row>
    <row r="12" spans="1:11">
      <c r="B12" s="332"/>
      <c r="C12" s="333" t="s">
        <v>8</v>
      </c>
      <c r="D12" s="332" t="s">
        <v>563</v>
      </c>
      <c r="E12" s="332"/>
      <c r="F12" s="409">
        <v>0.7</v>
      </c>
      <c r="G12" s="494"/>
      <c r="H12" s="492">
        <f>Gia_Tbi!$F$13</f>
        <v>1686</v>
      </c>
      <c r="I12" s="493">
        <f>Gia_Tbi!$G$13</f>
        <v>13488</v>
      </c>
      <c r="J12" s="499">
        <f>$I12*F12</f>
        <v>9441.5999999999985</v>
      </c>
      <c r="K12" s="1157"/>
    </row>
    <row r="13" spans="1:11">
      <c r="A13" s="504">
        <v>8</v>
      </c>
      <c r="B13" s="326">
        <f>NhanCong_Xa!B7</f>
        <v>2</v>
      </c>
      <c r="C13" s="327" t="str">
        <f>NhanCong_Xa!C7:C7</f>
        <v>Xây dựng siêu dữ liệu thống kê, kiểm kê đất đai</v>
      </c>
      <c r="D13" s="326"/>
      <c r="E13" s="332"/>
      <c r="F13" s="489"/>
      <c r="G13" s="494"/>
      <c r="H13" s="330"/>
      <c r="I13" s="330"/>
      <c r="J13" s="498"/>
      <c r="K13" s="1157"/>
    </row>
    <row r="14" spans="1:11" ht="31.5">
      <c r="A14" s="504" t="s">
        <v>876</v>
      </c>
      <c r="B14" s="332" t="str">
        <f>NhanCong_Xa!B8</f>
        <v>2.1</v>
      </c>
      <c r="C14" s="333" t="str">
        <f>NhanCong_Xa!C8:C8</f>
        <v>Thu nhận các thông tin cần thiết để xây dựng siêu dữ liệu (thông tin mô tả dữ liệu) thống kê, kiểm kê đất đai</v>
      </c>
      <c r="D14" s="326"/>
      <c r="E14" s="487"/>
      <c r="F14" s="489"/>
      <c r="G14" s="503"/>
      <c r="H14" s="330"/>
      <c r="I14" s="330"/>
      <c r="J14" s="498">
        <f>SUM(J15:J16)</f>
        <v>3400.1</v>
      </c>
      <c r="K14" s="571">
        <f>J17</f>
        <v>6294.8496000000005</v>
      </c>
    </row>
    <row r="15" spans="1:11">
      <c r="B15" s="332"/>
      <c r="C15" s="333" t="s">
        <v>82</v>
      </c>
      <c r="D15" s="332" t="str">
        <f>Gia_Tbi!$C$4</f>
        <v>Cái</v>
      </c>
      <c r="E15" s="332">
        <f>Gia_Tbi!$D$4</f>
        <v>0.4</v>
      </c>
      <c r="F15" s="409">
        <v>0.8</v>
      </c>
      <c r="G15" s="332">
        <f>Gia_Tbi!$E$4</f>
        <v>5</v>
      </c>
      <c r="H15" s="492">
        <f>Gia_Tbi!$F$4</f>
        <v>10000000</v>
      </c>
      <c r="I15" s="493">
        <f>Gia_Tbi!$G$4</f>
        <v>4000</v>
      </c>
      <c r="J15" s="499">
        <f>I15*F15</f>
        <v>3200</v>
      </c>
      <c r="K15" s="1157"/>
    </row>
    <row r="16" spans="1:11">
      <c r="B16" s="332"/>
      <c r="C16" s="333" t="s">
        <v>25</v>
      </c>
      <c r="D16" s="332" t="str">
        <f>Gia_Tbi!$C$6</f>
        <v>Cái</v>
      </c>
      <c r="E16" s="332">
        <f>Gia_Tbi!$D$6</f>
        <v>2.2000000000000002</v>
      </c>
      <c r="F16" s="409">
        <v>6.6699999999999995E-2</v>
      </c>
      <c r="G16" s="332">
        <f>Gia_Tbi!$E$6</f>
        <v>8</v>
      </c>
      <c r="H16" s="492">
        <f>Gia_Tbi!$F$6</f>
        <v>12000000</v>
      </c>
      <c r="I16" s="493">
        <f>Gia_Tbi!$G$6</f>
        <v>3000</v>
      </c>
      <c r="J16" s="499">
        <f>I16*F16</f>
        <v>200.1</v>
      </c>
      <c r="K16" s="1157"/>
    </row>
    <row r="17" spans="1:11">
      <c r="B17" s="332"/>
      <c r="C17" s="333" t="s">
        <v>8</v>
      </c>
      <c r="D17" s="332" t="str">
        <f>Gia_Tbi!$C$13</f>
        <v>KW</v>
      </c>
      <c r="E17" s="332"/>
      <c r="F17" s="409">
        <v>0.4667</v>
      </c>
      <c r="G17" s="494"/>
      <c r="H17" s="492">
        <f>Gia_Tbi!$F$13</f>
        <v>1686</v>
      </c>
      <c r="I17" s="493">
        <f>Gia_Tbi!$G$13</f>
        <v>13488</v>
      </c>
      <c r="J17" s="499">
        <f>I17*F17</f>
        <v>6294.8496000000005</v>
      </c>
      <c r="K17" s="1157"/>
    </row>
    <row r="18" spans="1:11">
      <c r="A18" s="504" t="s">
        <v>877</v>
      </c>
      <c r="B18" s="332" t="str">
        <f>NhanCong_Xa!B9</f>
        <v>2.2</v>
      </c>
      <c r="C18" s="333" t="str">
        <f>NhanCong_Xa!C9:C9</f>
        <v>Nhập thông tin siêu dữ liệu kiểm kê đất đai</v>
      </c>
      <c r="D18" s="332"/>
      <c r="E18" s="332"/>
      <c r="F18" s="409"/>
      <c r="G18" s="332"/>
      <c r="H18" s="497"/>
      <c r="I18" s="497"/>
      <c r="J18" s="498">
        <f>SUM(J19:J20)</f>
        <v>1699.9</v>
      </c>
      <c r="K18" s="571">
        <f>J21</f>
        <v>3146.7503999999999</v>
      </c>
    </row>
    <row r="19" spans="1:11">
      <c r="B19" s="332"/>
      <c r="C19" s="333" t="s">
        <v>82</v>
      </c>
      <c r="D19" s="332" t="str">
        <f>Gia_Tbi!$C$4</f>
        <v>Cái</v>
      </c>
      <c r="E19" s="332">
        <f>Gia_Tbi!$D$4</f>
        <v>0.4</v>
      </c>
      <c r="F19" s="409">
        <v>0.4</v>
      </c>
      <c r="G19" s="332">
        <f>Gia_Tbi!$E$4</f>
        <v>5</v>
      </c>
      <c r="H19" s="492">
        <f>Gia_Tbi!$F$4</f>
        <v>10000000</v>
      </c>
      <c r="I19" s="493">
        <f>Gia_Tbi!$G$4</f>
        <v>4000</v>
      </c>
      <c r="J19" s="499">
        <f>I19*F19</f>
        <v>1600</v>
      </c>
      <c r="K19" s="1157"/>
    </row>
    <row r="20" spans="1:11">
      <c r="B20" s="332"/>
      <c r="C20" s="333" t="s">
        <v>25</v>
      </c>
      <c r="D20" s="332" t="str">
        <f>Gia_Tbi!$C$4</f>
        <v>Cái</v>
      </c>
      <c r="E20" s="332">
        <f>Gia_Tbi!$D$6</f>
        <v>2.2000000000000002</v>
      </c>
      <c r="F20" s="409">
        <v>3.3300000000000003E-2</v>
      </c>
      <c r="G20" s="332">
        <f>Gia_Tbi!$E$6</f>
        <v>8</v>
      </c>
      <c r="H20" s="492">
        <f>Gia_Tbi!$F$6</f>
        <v>12000000</v>
      </c>
      <c r="I20" s="493">
        <f>Gia_Tbi!$G$6</f>
        <v>3000</v>
      </c>
      <c r="J20" s="499">
        <f>I20*F20</f>
        <v>99.9</v>
      </c>
      <c r="K20" s="1157"/>
    </row>
    <row r="21" spans="1:11">
      <c r="B21" s="332"/>
      <c r="C21" s="333" t="s">
        <v>8</v>
      </c>
      <c r="D21" s="332" t="str">
        <f>Gia_Tbi!$C$13</f>
        <v>KW</v>
      </c>
      <c r="E21" s="332"/>
      <c r="F21" s="409">
        <v>0.23330000000000001</v>
      </c>
      <c r="G21" s="494"/>
      <c r="H21" s="492">
        <f>Gia_Tbi!$F$13</f>
        <v>1686</v>
      </c>
      <c r="I21" s="493">
        <f>Gia_Tbi!$G$13</f>
        <v>13488</v>
      </c>
      <c r="J21" s="499">
        <f>I21*F21</f>
        <v>3146.7503999999999</v>
      </c>
      <c r="K21" s="1157"/>
    </row>
    <row r="22" spans="1:11" ht="31.5">
      <c r="A22" s="504">
        <v>9</v>
      </c>
      <c r="B22" s="326">
        <f>NhanCong_Xa!B10</f>
        <v>3</v>
      </c>
      <c r="C22" s="327" t="str">
        <f>NhanCong_Xa!C10:C10</f>
        <v>Phục vụ kiểm tra, nghiệm thu cơ sở dữ liệu thống kê, kiểm kê đất đai</v>
      </c>
      <c r="D22" s="332"/>
      <c r="E22" s="332"/>
      <c r="F22" s="355"/>
      <c r="G22" s="353"/>
      <c r="H22" s="354"/>
      <c r="I22" s="354"/>
      <c r="J22" s="498"/>
      <c r="K22" s="1157"/>
    </row>
    <row r="23" spans="1:11" ht="31.5">
      <c r="A23" s="504" t="s">
        <v>878</v>
      </c>
      <c r="B23" s="332" t="str">
        <f>NhanCong_Xa!B11</f>
        <v>3.1</v>
      </c>
      <c r="C23" s="333" t="str">
        <f>NhanCong_Xa!C11:C11</f>
        <v>Đơn vị thi công chuẩn bị tài liệu và phục vụ giám sát kiểm tra, nghiệm thu.</v>
      </c>
      <c r="D23" s="332"/>
      <c r="E23" s="332"/>
      <c r="F23" s="355"/>
      <c r="G23" s="353"/>
      <c r="H23" s="354"/>
      <c r="I23" s="354"/>
      <c r="J23" s="498">
        <f>SUM(J24:J30)</f>
        <v>22568.639999999999</v>
      </c>
      <c r="K23" s="571">
        <f>J31</f>
        <v>10503.105599999999</v>
      </c>
    </row>
    <row r="24" spans="1:11">
      <c r="B24" s="332"/>
      <c r="C24" s="333" t="s">
        <v>82</v>
      </c>
      <c r="D24" s="332" t="str">
        <f>Gia_Tbi!$C$4</f>
        <v>Cái</v>
      </c>
      <c r="E24" s="332">
        <f>Gia_Tbi!$D$4</f>
        <v>0.4</v>
      </c>
      <c r="F24" s="355">
        <v>0.8</v>
      </c>
      <c r="G24" s="332">
        <f>Gia_Tbi!$E$4</f>
        <v>5</v>
      </c>
      <c r="H24" s="497">
        <f>Gia_Tbi!F$4</f>
        <v>10000000</v>
      </c>
      <c r="I24" s="497">
        <f>Gia_Tbi!$G$4</f>
        <v>4000</v>
      </c>
      <c r="J24" s="499">
        <f>I24*F24</f>
        <v>3200</v>
      </c>
      <c r="K24" s="1157"/>
    </row>
    <row r="25" spans="1:11">
      <c r="B25" s="332"/>
      <c r="C25" s="333" t="s">
        <v>83</v>
      </c>
      <c r="D25" s="332" t="str">
        <f>Gia_Tbi!$C$5</f>
        <v>Cái</v>
      </c>
      <c r="E25" s="332">
        <f>Gia_Tbi!$D$5</f>
        <v>0.6</v>
      </c>
      <c r="F25" s="355">
        <v>5.33E-2</v>
      </c>
      <c r="G25" s="353">
        <f>Gia_Tbi!$E$5</f>
        <v>5</v>
      </c>
      <c r="H25" s="354">
        <f>Gia_Tbi!$F$5</f>
        <v>2500000</v>
      </c>
      <c r="I25" s="354">
        <f>Gia_Tbi!$G$5</f>
        <v>1000</v>
      </c>
      <c r="J25" s="499">
        <f>I25*F25</f>
        <v>53.3</v>
      </c>
      <c r="K25" s="1157"/>
    </row>
    <row r="26" spans="1:11">
      <c r="B26" s="332"/>
      <c r="C26" s="333" t="s">
        <v>25</v>
      </c>
      <c r="D26" s="332" t="str">
        <f>Gia_Tbi!$C$6</f>
        <v>Cái</v>
      </c>
      <c r="E26" s="332">
        <f>Gia_Tbi!$D$6</f>
        <v>2.2000000000000002</v>
      </c>
      <c r="F26" s="355">
        <v>6.6699999999999995E-2</v>
      </c>
      <c r="G26" s="332">
        <f>Gia_Tbi!$E$6</f>
        <v>8</v>
      </c>
      <c r="H26" s="497">
        <f>Gia_Tbi!$F$6</f>
        <v>12000000</v>
      </c>
      <c r="I26" s="497">
        <f>Gia_Tbi!$G$6</f>
        <v>3000</v>
      </c>
      <c r="J26" s="499">
        <f>I26*F26</f>
        <v>200.1</v>
      </c>
      <c r="K26" s="1157"/>
    </row>
    <row r="27" spans="1:11">
      <c r="B27" s="332"/>
      <c r="C27" s="333" t="s">
        <v>928</v>
      </c>
      <c r="D27" s="332" t="str">
        <f>Gia_Tbi!$C$10</f>
        <v>Cái</v>
      </c>
      <c r="E27" s="332">
        <f>Gia_Tbi!$D$10</f>
        <v>1</v>
      </c>
      <c r="F27" s="355">
        <v>0.2</v>
      </c>
      <c r="G27" s="353">
        <f>Gia_Tbi!$E$10</f>
        <v>10</v>
      </c>
      <c r="H27" s="497">
        <f>Gia_Tbi!$F$10</f>
        <v>80000000</v>
      </c>
      <c r="I27" s="497">
        <f>Gia_Tbi!$G$10</f>
        <v>16000</v>
      </c>
      <c r="J27" s="499">
        <f>I27*F27</f>
        <v>3200</v>
      </c>
      <c r="K27" s="1157"/>
    </row>
    <row r="28" spans="1:11">
      <c r="B28" s="332"/>
      <c r="C28" s="333" t="str">
        <f>Gia_Tbi!$B$14</f>
        <v>Hệ quản trị cơ sở dữ liệu thuộc tính</v>
      </c>
      <c r="D28" s="332" t="str">
        <f>Gia_Tbi!$C$14</f>
        <v>Bộ</v>
      </c>
      <c r="E28" s="332" t="str">
        <f>Gia_Tbi!$D$14</f>
        <v/>
      </c>
      <c r="F28" s="409">
        <v>0.2</v>
      </c>
      <c r="G28" s="332">
        <f>Gia_Tbi!$E$14</f>
        <v>10</v>
      </c>
      <c r="H28" s="621">
        <f>Gia_Tbi!$F$14</f>
        <v>20881000</v>
      </c>
      <c r="I28" s="352">
        <f>Gia_Tbi!$G$14</f>
        <v>4176.2</v>
      </c>
      <c r="J28" s="499">
        <f>$I28*F28</f>
        <v>835.24</v>
      </c>
      <c r="K28" s="573"/>
    </row>
    <row r="29" spans="1:11">
      <c r="B29" s="332"/>
      <c r="C29" s="333" t="str">
        <f>Gia_Tbi!$B$15</f>
        <v>Hệ quản trị dữ liệu không gian</v>
      </c>
      <c r="D29" s="332" t="str">
        <f>Gia_Tbi!$C$15</f>
        <v>Bộ</v>
      </c>
      <c r="E29" s="332" t="str">
        <f>Gia_Tbi!$D$15</f>
        <v/>
      </c>
      <c r="F29" s="409">
        <v>0.2</v>
      </c>
      <c r="G29" s="332">
        <f>Gia_Tbi!$E$15</f>
        <v>10</v>
      </c>
      <c r="H29" s="621">
        <f>Gia_Tbi!$F$15</f>
        <v>357000000</v>
      </c>
      <c r="I29" s="352">
        <f>Gia_Tbi!$G$15</f>
        <v>71400</v>
      </c>
      <c r="J29" s="499">
        <f>$I29*F29</f>
        <v>14280</v>
      </c>
      <c r="K29" s="573"/>
    </row>
    <row r="30" spans="1:11">
      <c r="B30" s="332"/>
      <c r="C30" s="333" t="s">
        <v>557</v>
      </c>
      <c r="D30" s="332" t="str">
        <f>Gia_Tbi!$C$12</f>
        <v>Bộ</v>
      </c>
      <c r="E30" s="332">
        <f>Gia_Tbi!$D$12</f>
        <v>0.1</v>
      </c>
      <c r="F30" s="355">
        <v>0.8</v>
      </c>
      <c r="G30" s="353">
        <f>Gia_Tbi!$E$12</f>
        <v>5</v>
      </c>
      <c r="H30" s="497">
        <f>Gia_Tbi!$F$12</f>
        <v>2500000</v>
      </c>
      <c r="I30" s="497">
        <f>Gia_Tbi!$G$12</f>
        <v>1000</v>
      </c>
      <c r="J30" s="499">
        <f>I30*F30</f>
        <v>800</v>
      </c>
      <c r="K30" s="1157"/>
    </row>
    <row r="31" spans="1:11">
      <c r="B31" s="332"/>
      <c r="C31" s="333" t="s">
        <v>8</v>
      </c>
      <c r="D31" s="332" t="str">
        <f>Gia_Tbi!$C$13</f>
        <v>KW</v>
      </c>
      <c r="E31" s="332"/>
      <c r="F31" s="409">
        <v>0.77869999999999995</v>
      </c>
      <c r="G31" s="494"/>
      <c r="H31" s="497">
        <f>Gia_Tbi!$F$13</f>
        <v>1686</v>
      </c>
      <c r="I31" s="497">
        <f>Gia_Tbi!$G$13</f>
        <v>13488</v>
      </c>
      <c r="J31" s="499">
        <f>I31*F31</f>
        <v>10503.105599999999</v>
      </c>
      <c r="K31" s="1157"/>
    </row>
    <row r="32" spans="1:11" ht="47.25">
      <c r="A32" s="504" t="s">
        <v>879</v>
      </c>
      <c r="B32" s="1158" t="str">
        <f>NhanCong_Xa!B12</f>
        <v>3.2</v>
      </c>
      <c r="C32" s="333" t="str">
        <f>NhanCong_Xa!C12:C12</f>
        <v>Thực hiện kiểm tra tổng thể cơ sở dữ liệu thống kê, kiểm kê đất đai và tích hợp vào hệ thống ngay sau khi được nghiệm thu để phục vụ quản lý, vận hành, khai thác sử dụng.</v>
      </c>
      <c r="D32" s="1158"/>
      <c r="E32" s="1157"/>
      <c r="F32" s="355"/>
      <c r="G32" s="1157"/>
      <c r="H32" s="501"/>
      <c r="I32" s="501"/>
      <c r="J32" s="571">
        <f>SUM(J33:J39)</f>
        <v>45137.08</v>
      </c>
      <c r="K32" s="571">
        <f>J40</f>
        <v>21004.862399999998</v>
      </c>
    </row>
    <row r="33" spans="1:11">
      <c r="B33" s="332"/>
      <c r="C33" s="333" t="s">
        <v>82</v>
      </c>
      <c r="D33" s="332" t="str">
        <f>Gia_Tbi!$C$4</f>
        <v>Cái</v>
      </c>
      <c r="E33" s="332">
        <f>Gia_Tbi!$D$4</f>
        <v>0.4</v>
      </c>
      <c r="F33" s="355">
        <v>1.6</v>
      </c>
      <c r="G33" s="332">
        <f>Gia_Tbi!$E$4</f>
        <v>5</v>
      </c>
      <c r="H33" s="497">
        <f>Gia_Tbi!F$4</f>
        <v>10000000</v>
      </c>
      <c r="I33" s="497">
        <f>Gia_Tbi!$G$4</f>
        <v>4000</v>
      </c>
      <c r="J33" s="499">
        <f>I33*F33</f>
        <v>6400</v>
      </c>
      <c r="K33" s="1157"/>
    </row>
    <row r="34" spans="1:11">
      <c r="B34" s="332"/>
      <c r="C34" s="333" t="s">
        <v>83</v>
      </c>
      <c r="D34" s="332" t="str">
        <f>Gia_Tbi!$C$5</f>
        <v>Cái</v>
      </c>
      <c r="E34" s="332">
        <f>Gia_Tbi!$D$5</f>
        <v>0.6</v>
      </c>
      <c r="F34" s="355">
        <v>0.1067</v>
      </c>
      <c r="G34" s="353">
        <f>Gia_Tbi!$E$5</f>
        <v>5</v>
      </c>
      <c r="H34" s="354">
        <f>Gia_Tbi!$F$5</f>
        <v>2500000</v>
      </c>
      <c r="I34" s="354">
        <f>Gia_Tbi!$G$5</f>
        <v>1000</v>
      </c>
      <c r="J34" s="499">
        <f>I34*F34</f>
        <v>106.7</v>
      </c>
      <c r="K34" s="1157"/>
    </row>
    <row r="35" spans="1:11">
      <c r="B35" s="332"/>
      <c r="C35" s="333" t="s">
        <v>25</v>
      </c>
      <c r="D35" s="332" t="str">
        <f>Gia_Tbi!$C$6</f>
        <v>Cái</v>
      </c>
      <c r="E35" s="332">
        <f>Gia_Tbi!$D$6</f>
        <v>2.2000000000000002</v>
      </c>
      <c r="F35" s="355">
        <v>0.1333</v>
      </c>
      <c r="G35" s="332">
        <f>Gia_Tbi!$E$6</f>
        <v>8</v>
      </c>
      <c r="H35" s="497">
        <f>Gia_Tbi!$F$6</f>
        <v>12000000</v>
      </c>
      <c r="I35" s="497">
        <f>Gia_Tbi!$G$6</f>
        <v>3000</v>
      </c>
      <c r="J35" s="499">
        <f>I35*F35</f>
        <v>399.9</v>
      </c>
      <c r="K35" s="1157"/>
    </row>
    <row r="36" spans="1:11">
      <c r="B36" s="332"/>
      <c r="C36" s="333" t="s">
        <v>928</v>
      </c>
      <c r="D36" s="332" t="str">
        <f>Gia_Tbi!$C$10</f>
        <v>Cái</v>
      </c>
      <c r="E36" s="332">
        <f>Gia_Tbi!$D$10</f>
        <v>1</v>
      </c>
      <c r="F36" s="355">
        <v>0.4</v>
      </c>
      <c r="G36" s="353">
        <f>Gia_Tbi!$E$10</f>
        <v>10</v>
      </c>
      <c r="H36" s="497">
        <f>Gia_Tbi!$F$10</f>
        <v>80000000</v>
      </c>
      <c r="I36" s="497">
        <f>Gia_Tbi!$G$10</f>
        <v>16000</v>
      </c>
      <c r="J36" s="499">
        <f>I36*F36</f>
        <v>6400</v>
      </c>
      <c r="K36" s="1157"/>
    </row>
    <row r="37" spans="1:11">
      <c r="B37" s="332"/>
      <c r="C37" s="333" t="str">
        <f>Gia_Tbi!$B$14</f>
        <v>Hệ quản trị cơ sở dữ liệu thuộc tính</v>
      </c>
      <c r="D37" s="332" t="str">
        <f>Gia_Tbi!$C$14</f>
        <v>Bộ</v>
      </c>
      <c r="E37" s="332" t="str">
        <f>Gia_Tbi!$D$14</f>
        <v/>
      </c>
      <c r="F37" s="409">
        <v>0.4</v>
      </c>
      <c r="G37" s="332">
        <f>Gia_Tbi!$E$14</f>
        <v>10</v>
      </c>
      <c r="H37" s="621">
        <f>Gia_Tbi!$F$14</f>
        <v>20881000</v>
      </c>
      <c r="I37" s="352">
        <f>Gia_Tbi!$G$14</f>
        <v>4176.2</v>
      </c>
      <c r="J37" s="499">
        <f>$I37*F37</f>
        <v>1670.48</v>
      </c>
      <c r="K37" s="573"/>
    </row>
    <row r="38" spans="1:11">
      <c r="B38" s="332"/>
      <c r="C38" s="333" t="str">
        <f>Gia_Tbi!$B$15</f>
        <v>Hệ quản trị dữ liệu không gian</v>
      </c>
      <c r="D38" s="332" t="str">
        <f>Gia_Tbi!$C$15</f>
        <v>Bộ</v>
      </c>
      <c r="E38" s="332" t="str">
        <f>Gia_Tbi!$D$15</f>
        <v/>
      </c>
      <c r="F38" s="409">
        <v>0.4</v>
      </c>
      <c r="G38" s="332">
        <f>Gia_Tbi!$E$15</f>
        <v>10</v>
      </c>
      <c r="H38" s="621">
        <f>Gia_Tbi!$F$15</f>
        <v>357000000</v>
      </c>
      <c r="I38" s="352">
        <f>Gia_Tbi!$G$15</f>
        <v>71400</v>
      </c>
      <c r="J38" s="499">
        <f>$I38*F38</f>
        <v>28560</v>
      </c>
      <c r="K38" s="573"/>
    </row>
    <row r="39" spans="1:11">
      <c r="B39" s="332"/>
      <c r="C39" s="333" t="s">
        <v>557</v>
      </c>
      <c r="D39" s="332" t="str">
        <f>Gia_Tbi!$C$12</f>
        <v>Bộ</v>
      </c>
      <c r="E39" s="332">
        <f>Gia_Tbi!$D$12</f>
        <v>0.1</v>
      </c>
      <c r="F39" s="355">
        <v>1.6</v>
      </c>
      <c r="G39" s="353">
        <f>Gia_Tbi!$E$12</f>
        <v>5</v>
      </c>
      <c r="H39" s="497">
        <f>Gia_Tbi!$F$12</f>
        <v>2500000</v>
      </c>
      <c r="I39" s="497">
        <f>Gia_Tbi!$G$12</f>
        <v>1000</v>
      </c>
      <c r="J39" s="499">
        <f>I39*F39</f>
        <v>1600</v>
      </c>
      <c r="K39" s="1157"/>
    </row>
    <row r="40" spans="1:11">
      <c r="B40" s="332"/>
      <c r="C40" s="333" t="s">
        <v>8</v>
      </c>
      <c r="D40" s="332" t="str">
        <f>Gia_Tbi!$C$13</f>
        <v>KW</v>
      </c>
      <c r="E40" s="332"/>
      <c r="F40" s="409">
        <v>1.5572999999999999</v>
      </c>
      <c r="G40" s="494"/>
      <c r="H40" s="497">
        <f>Gia_Tbi!$F$13</f>
        <v>1686</v>
      </c>
      <c r="I40" s="497">
        <f>Gia_Tbi!$G$13</f>
        <v>13488</v>
      </c>
      <c r="J40" s="499">
        <f>I40*F40</f>
        <v>21004.862399999998</v>
      </c>
      <c r="K40" s="1157"/>
    </row>
    <row r="41" spans="1:11">
      <c r="A41" s="504" t="s">
        <v>880</v>
      </c>
      <c r="B41" s="1158" t="str">
        <f>NhanCong_Xa!B13</f>
        <v>3.3</v>
      </c>
      <c r="C41" s="333" t="str">
        <f>NhanCong_Xa!C13</f>
        <v>Đóng gói giao nộp cơ sở dữ liệu thống kê, kiểm kê đất đai</v>
      </c>
      <c r="D41" s="332"/>
      <c r="E41" s="332"/>
      <c r="F41" s="993"/>
      <c r="G41" s="332"/>
      <c r="H41" s="332"/>
      <c r="I41" s="332"/>
      <c r="J41" s="571">
        <f>SUM(J42:J48)</f>
        <v>22568.639999999999</v>
      </c>
      <c r="K41" s="571">
        <f>J49</f>
        <v>10503.105599999999</v>
      </c>
    </row>
    <row r="42" spans="1:11">
      <c r="B42" s="332"/>
      <c r="C42" s="333" t="s">
        <v>82</v>
      </c>
      <c r="D42" s="332" t="str">
        <f>Gia_Tbi!$C$4</f>
        <v>Cái</v>
      </c>
      <c r="E42" s="332">
        <f>Gia_Tbi!$D$4</f>
        <v>0.4</v>
      </c>
      <c r="F42" s="355">
        <v>0.8</v>
      </c>
      <c r="G42" s="332">
        <f>Gia_Tbi!$E$4</f>
        <v>5</v>
      </c>
      <c r="H42" s="497">
        <f>Gia_Tbi!F$4</f>
        <v>10000000</v>
      </c>
      <c r="I42" s="497">
        <f>Gia_Tbi!$G$4</f>
        <v>4000</v>
      </c>
      <c r="J42" s="499">
        <f>I42*F42</f>
        <v>3200</v>
      </c>
      <c r="K42" s="1157"/>
    </row>
    <row r="43" spans="1:11">
      <c r="B43" s="332"/>
      <c r="C43" s="333" t="s">
        <v>83</v>
      </c>
      <c r="D43" s="332" t="str">
        <f>Gia_Tbi!$C$5</f>
        <v>Cái</v>
      </c>
      <c r="E43" s="332">
        <f>Gia_Tbi!$D$5</f>
        <v>0.6</v>
      </c>
      <c r="F43" s="355">
        <v>5.33E-2</v>
      </c>
      <c r="G43" s="353">
        <f>Gia_Tbi!$E$5</f>
        <v>5</v>
      </c>
      <c r="H43" s="354">
        <f>Gia_Tbi!$F$5</f>
        <v>2500000</v>
      </c>
      <c r="I43" s="354">
        <f>Gia_Tbi!$G$5</f>
        <v>1000</v>
      </c>
      <c r="J43" s="499">
        <f>I43*F43</f>
        <v>53.3</v>
      </c>
      <c r="K43" s="1157"/>
    </row>
    <row r="44" spans="1:11">
      <c r="B44" s="332"/>
      <c r="C44" s="333" t="s">
        <v>25</v>
      </c>
      <c r="D44" s="332" t="str">
        <f>Gia_Tbi!$C$6</f>
        <v>Cái</v>
      </c>
      <c r="E44" s="332">
        <f>Gia_Tbi!$D$6</f>
        <v>2.2000000000000002</v>
      </c>
      <c r="F44" s="355">
        <v>6.6699999999999995E-2</v>
      </c>
      <c r="G44" s="332">
        <f>Gia_Tbi!$E$6</f>
        <v>8</v>
      </c>
      <c r="H44" s="497">
        <f>Gia_Tbi!$F$6</f>
        <v>12000000</v>
      </c>
      <c r="I44" s="497">
        <f>Gia_Tbi!$G$6</f>
        <v>3000</v>
      </c>
      <c r="J44" s="499">
        <f>I44*F44</f>
        <v>200.1</v>
      </c>
      <c r="K44" s="1157"/>
    </row>
    <row r="45" spans="1:11">
      <c r="B45" s="332"/>
      <c r="C45" s="333" t="s">
        <v>928</v>
      </c>
      <c r="D45" s="332" t="str">
        <f>Gia_Tbi!$C$10</f>
        <v>Cái</v>
      </c>
      <c r="E45" s="332">
        <f>Gia_Tbi!$D$10</f>
        <v>1</v>
      </c>
      <c r="F45" s="355">
        <v>0.2</v>
      </c>
      <c r="G45" s="353">
        <f>Gia_Tbi!$E$10</f>
        <v>10</v>
      </c>
      <c r="H45" s="497">
        <f>Gia_Tbi!$F$10</f>
        <v>80000000</v>
      </c>
      <c r="I45" s="497">
        <f>Gia_Tbi!$G$10</f>
        <v>16000</v>
      </c>
      <c r="J45" s="499">
        <f>I45*F45</f>
        <v>3200</v>
      </c>
      <c r="K45" s="1157"/>
    </row>
    <row r="46" spans="1:11">
      <c r="B46" s="332"/>
      <c r="C46" s="333" t="str">
        <f>Gia_Tbi!$B$14</f>
        <v>Hệ quản trị cơ sở dữ liệu thuộc tính</v>
      </c>
      <c r="D46" s="332" t="str">
        <f>Gia_Tbi!$C$14</f>
        <v>Bộ</v>
      </c>
      <c r="E46" s="332" t="str">
        <f>Gia_Tbi!$D$14</f>
        <v/>
      </c>
      <c r="F46" s="409">
        <v>0.2</v>
      </c>
      <c r="G46" s="332">
        <f>Gia_Tbi!$E$14</f>
        <v>10</v>
      </c>
      <c r="H46" s="621">
        <f>Gia_Tbi!$F$14</f>
        <v>20881000</v>
      </c>
      <c r="I46" s="352">
        <f>Gia_Tbi!$G$14</f>
        <v>4176.2</v>
      </c>
      <c r="J46" s="499">
        <f>$I46*F46</f>
        <v>835.24</v>
      </c>
      <c r="K46" s="573"/>
    </row>
    <row r="47" spans="1:11">
      <c r="B47" s="332"/>
      <c r="C47" s="333" t="str">
        <f>Gia_Tbi!$B$15</f>
        <v>Hệ quản trị dữ liệu không gian</v>
      </c>
      <c r="D47" s="332" t="str">
        <f>Gia_Tbi!$C$15</f>
        <v>Bộ</v>
      </c>
      <c r="E47" s="332" t="str">
        <f>Gia_Tbi!$D$15</f>
        <v/>
      </c>
      <c r="F47" s="409">
        <v>0.2</v>
      </c>
      <c r="G47" s="332">
        <f>Gia_Tbi!$E$15</f>
        <v>10</v>
      </c>
      <c r="H47" s="621">
        <f>Gia_Tbi!$F$15</f>
        <v>357000000</v>
      </c>
      <c r="I47" s="352">
        <f>Gia_Tbi!$G$15</f>
        <v>71400</v>
      </c>
      <c r="J47" s="499">
        <f>$I47*F47</f>
        <v>14280</v>
      </c>
      <c r="K47" s="573"/>
    </row>
    <row r="48" spans="1:11">
      <c r="B48" s="332"/>
      <c r="C48" s="333" t="s">
        <v>557</v>
      </c>
      <c r="D48" s="332" t="str">
        <f>Gia_Tbi!$C$12</f>
        <v>Bộ</v>
      </c>
      <c r="E48" s="332">
        <f>Gia_Tbi!$D$12</f>
        <v>0.1</v>
      </c>
      <c r="F48" s="355">
        <v>0.8</v>
      </c>
      <c r="G48" s="353">
        <f>Gia_Tbi!$E$12</f>
        <v>5</v>
      </c>
      <c r="H48" s="497">
        <f>Gia_Tbi!$F$12</f>
        <v>2500000</v>
      </c>
      <c r="I48" s="497">
        <f>Gia_Tbi!$G$12</f>
        <v>1000</v>
      </c>
      <c r="J48" s="499">
        <f>I48*F48</f>
        <v>800</v>
      </c>
      <c r="K48" s="1157"/>
    </row>
    <row r="49" spans="1:11">
      <c r="B49" s="332"/>
      <c r="C49" s="333" t="s">
        <v>8</v>
      </c>
      <c r="D49" s="332" t="str">
        <f>Gia_Tbi!$C$13</f>
        <v>KW</v>
      </c>
      <c r="E49" s="332"/>
      <c r="F49" s="409">
        <v>0.77869999999999995</v>
      </c>
      <c r="G49" s="494"/>
      <c r="H49" s="497">
        <f>Gia_Tbi!$F$13</f>
        <v>1686</v>
      </c>
      <c r="I49" s="497">
        <f>Gia_Tbi!$G$13</f>
        <v>13488</v>
      </c>
      <c r="J49" s="499">
        <f>I49*F49</f>
        <v>10503.105599999999</v>
      </c>
      <c r="K49" s="1157"/>
    </row>
    <row r="50" spans="1:11">
      <c r="B50" s="725"/>
      <c r="D50" s="725"/>
      <c r="E50" s="725"/>
      <c r="F50" s="740"/>
      <c r="G50" s="727"/>
      <c r="H50" s="728"/>
      <c r="I50" s="728"/>
      <c r="J50" s="729"/>
      <c r="K50" s="1159"/>
    </row>
    <row r="51" spans="1:11" s="331" customFormat="1" ht="110.25">
      <c r="A51" s="625"/>
      <c r="B51" s="326" t="s">
        <v>14</v>
      </c>
      <c r="C51" s="326" t="str">
        <f>C3</f>
        <v>Danh mục thiết bị</v>
      </c>
      <c r="D51" s="326" t="s">
        <v>21</v>
      </c>
      <c r="E51" s="326" t="s">
        <v>893</v>
      </c>
      <c r="F51" s="636" t="str">
        <f>Dcu_Huyen!G27</f>
        <v>Định mức
(tính cho 01 kỳ kiểm kê hoặc 01 năm thống kê)</v>
      </c>
      <c r="G51" s="326" t="s">
        <v>5</v>
      </c>
      <c r="H51" s="483" t="s">
        <v>19</v>
      </c>
      <c r="I51" s="483" t="s">
        <v>1</v>
      </c>
      <c r="J51" s="484" t="s">
        <v>782</v>
      </c>
      <c r="K51" s="484" t="s">
        <v>616</v>
      </c>
    </row>
    <row r="52" spans="1:11">
      <c r="A52" s="504">
        <v>2</v>
      </c>
      <c r="B52" s="326">
        <f>NhanCong_Huyen!B16</f>
        <v>1</v>
      </c>
      <c r="C52" s="496" t="str">
        <f>NhanCong_Xa!C16:C16</f>
        <v>Thu thập tài liệu, dữ liệu</v>
      </c>
      <c r="D52" s="326"/>
      <c r="E52" s="487"/>
      <c r="F52" s="489"/>
      <c r="G52" s="328"/>
      <c r="H52" s="329"/>
      <c r="I52" s="330"/>
      <c r="J52" s="498"/>
      <c r="K52" s="571"/>
    </row>
    <row r="53" spans="1:11">
      <c r="A53" s="504" t="s">
        <v>827</v>
      </c>
      <c r="B53" s="332" t="str">
        <f>NhanCong_Huyen!B17</f>
        <v>1.1</v>
      </c>
      <c r="C53" s="495" t="str">
        <f>NhanCong_Huyen!C17</f>
        <v>Thu thập tài liệu, dữ liệu thống kê</v>
      </c>
      <c r="D53" s="326"/>
      <c r="E53" s="487"/>
      <c r="F53" s="489"/>
      <c r="G53" s="328"/>
      <c r="H53" s="329"/>
      <c r="I53" s="330"/>
      <c r="J53" s="498">
        <f>SUM(J54:J55)</f>
        <v>340.1</v>
      </c>
      <c r="K53" s="571">
        <f>J56</f>
        <v>629.88959999999997</v>
      </c>
    </row>
    <row r="54" spans="1:11">
      <c r="B54" s="332"/>
      <c r="C54" s="333" t="s">
        <v>82</v>
      </c>
      <c r="D54" s="332" t="str">
        <f>Gia_Tbi!$C$4</f>
        <v>Cái</v>
      </c>
      <c r="E54" s="332">
        <f>Gia_Tbi!$D$4</f>
        <v>0.4</v>
      </c>
      <c r="F54" s="409">
        <v>0.08</v>
      </c>
      <c r="G54" s="332">
        <f>Gia_Tbi!$E$4</f>
        <v>5</v>
      </c>
      <c r="H54" s="492">
        <f>Gia_Tbi!$F$4</f>
        <v>10000000</v>
      </c>
      <c r="I54" s="493">
        <f>Gia_Tbi!$G$4</f>
        <v>4000</v>
      </c>
      <c r="J54" s="499">
        <f>$I54*F54</f>
        <v>320</v>
      </c>
      <c r="K54" s="1157"/>
    </row>
    <row r="55" spans="1:11">
      <c r="B55" s="332"/>
      <c r="C55" s="333" t="s">
        <v>25</v>
      </c>
      <c r="D55" s="332" t="str">
        <f>D7</f>
        <v>Cái</v>
      </c>
      <c r="E55" s="332">
        <f>Gia_Tbi!$D$6</f>
        <v>2.2000000000000002</v>
      </c>
      <c r="F55" s="409">
        <v>6.7000000000000002E-3</v>
      </c>
      <c r="G55" s="332">
        <f>Gia_Tbi!$E$6</f>
        <v>8</v>
      </c>
      <c r="H55" s="492">
        <f>Gia_Tbi!$F$6</f>
        <v>12000000</v>
      </c>
      <c r="I55" s="493">
        <f>Gia_Tbi!$G$6</f>
        <v>3000</v>
      </c>
      <c r="J55" s="499">
        <f>$I55*F55</f>
        <v>20.100000000000001</v>
      </c>
      <c r="K55" s="1157"/>
    </row>
    <row r="56" spans="1:11">
      <c r="B56" s="332"/>
      <c r="C56" s="333" t="s">
        <v>8</v>
      </c>
      <c r="D56" s="332" t="str">
        <f>D8</f>
        <v>kW</v>
      </c>
      <c r="E56" s="332"/>
      <c r="F56" s="409">
        <v>4.6699999999999998E-2</v>
      </c>
      <c r="G56" s="494"/>
      <c r="H56" s="492">
        <f>Gia_Tbi!$F$13</f>
        <v>1686</v>
      </c>
      <c r="I56" s="493">
        <f>Gia_Tbi!$G$13</f>
        <v>13488</v>
      </c>
      <c r="J56" s="499">
        <f>$I56*F56</f>
        <v>629.88959999999997</v>
      </c>
      <c r="K56" s="1157"/>
    </row>
    <row r="57" spans="1:11">
      <c r="A57" s="504" t="s">
        <v>830</v>
      </c>
      <c r="B57" s="332" t="str">
        <f>NhanCong_Huyen!B18</f>
        <v>1.2</v>
      </c>
      <c r="C57" s="495" t="str">
        <f>NhanCong_Huyen!C18</f>
        <v>Thu thập tài liệu, dữ liệu kiểm kê</v>
      </c>
      <c r="D57" s="332"/>
      <c r="E57" s="332"/>
      <c r="F57" s="409"/>
      <c r="G57" s="494"/>
      <c r="H57" s="492"/>
      <c r="I57" s="493"/>
      <c r="J57" s="498">
        <f>SUM(J58:J59)</f>
        <v>1699.9</v>
      </c>
      <c r="K57" s="571">
        <f>J60</f>
        <v>3146.7503999999999</v>
      </c>
    </row>
    <row r="58" spans="1:11" s="511" customFormat="1">
      <c r="A58" s="1149"/>
      <c r="B58" s="332"/>
      <c r="C58" s="333" t="s">
        <v>82</v>
      </c>
      <c r="D58" s="332" t="str">
        <f>Gia_Tbi!$C$4</f>
        <v>Cái</v>
      </c>
      <c r="E58" s="332">
        <f>Gia_Tbi!$D$4</f>
        <v>0.4</v>
      </c>
      <c r="F58" s="409">
        <v>0.4</v>
      </c>
      <c r="G58" s="332">
        <f>Gia_Tbi!$E$4</f>
        <v>5</v>
      </c>
      <c r="H58" s="492">
        <f>Gia_Tbi!$F$4</f>
        <v>10000000</v>
      </c>
      <c r="I58" s="493">
        <f>Gia_Tbi!$G$4</f>
        <v>4000</v>
      </c>
      <c r="J58" s="499">
        <f>$I58*F58</f>
        <v>1600</v>
      </c>
      <c r="K58" s="1157"/>
    </row>
    <row r="59" spans="1:11">
      <c r="B59" s="332"/>
      <c r="C59" s="333" t="s">
        <v>25</v>
      </c>
      <c r="D59" s="332" t="str">
        <f>D10</f>
        <v>Cái</v>
      </c>
      <c r="E59" s="332">
        <f>Gia_Tbi!$D$6</f>
        <v>2.2000000000000002</v>
      </c>
      <c r="F59" s="409">
        <v>3.3300000000000003E-2</v>
      </c>
      <c r="G59" s="332">
        <f>Gia_Tbi!$E$6</f>
        <v>8</v>
      </c>
      <c r="H59" s="492">
        <f>Gia_Tbi!$F$6</f>
        <v>12000000</v>
      </c>
      <c r="I59" s="493">
        <f>Gia_Tbi!$G$6</f>
        <v>3000</v>
      </c>
      <c r="J59" s="499">
        <f>$I59*F59</f>
        <v>99.9</v>
      </c>
      <c r="K59" s="1157"/>
    </row>
    <row r="60" spans="1:11">
      <c r="B60" s="332"/>
      <c r="C60" s="333" t="s">
        <v>8</v>
      </c>
      <c r="D60" s="332" t="str">
        <f>$D$8</f>
        <v>kW</v>
      </c>
      <c r="E60" s="332"/>
      <c r="F60" s="409">
        <v>0.23330000000000001</v>
      </c>
      <c r="G60" s="494"/>
      <c r="H60" s="492">
        <f>Gia_Tbi!$F$13</f>
        <v>1686</v>
      </c>
      <c r="I60" s="493">
        <f>Gia_Tbi!$G$13</f>
        <v>13488</v>
      </c>
      <c r="J60" s="499">
        <f>$I60*F60</f>
        <v>3146.7503999999999</v>
      </c>
      <c r="K60" s="1157"/>
    </row>
    <row r="61" spans="1:11">
      <c r="A61" s="504">
        <v>3</v>
      </c>
      <c r="B61" s="326">
        <f>NhanCong_Huyen!B19</f>
        <v>2</v>
      </c>
      <c r="C61" s="327" t="str">
        <f>NhanCong_Xa!C19:C19</f>
        <v>Rà soát, đánh giá, phân loại và sắp xếp tài liệu, dữ liệu</v>
      </c>
      <c r="D61" s="326"/>
      <c r="E61" s="487"/>
      <c r="F61" s="489"/>
      <c r="G61" s="328"/>
      <c r="H61" s="329"/>
      <c r="I61" s="330"/>
      <c r="J61" s="498"/>
      <c r="K61" s="571"/>
    </row>
    <row r="62" spans="1:11" ht="31.5">
      <c r="A62" s="504" t="s">
        <v>771</v>
      </c>
      <c r="B62" s="332" t="str">
        <f>NhanCong_Huyen!B20</f>
        <v>2.1</v>
      </c>
      <c r="C62" s="495" t="str">
        <f>NhanCong_Huyen!C20</f>
        <v>Rà soát, đánh giá, phân loại và sắp xếp tài liệu, dữ liệu thống kê và lập báo cáo kết quản thực hiện</v>
      </c>
      <c r="D62" s="326"/>
      <c r="E62" s="487"/>
      <c r="F62" s="489"/>
      <c r="G62" s="328"/>
      <c r="H62" s="329"/>
      <c r="I62" s="330"/>
      <c r="J62" s="498">
        <f>SUM(J63:J64)</f>
        <v>1699.9</v>
      </c>
      <c r="K62" s="571">
        <f>J65</f>
        <v>3146.7503999999999</v>
      </c>
    </row>
    <row r="63" spans="1:11">
      <c r="B63" s="332"/>
      <c r="C63" s="333" t="s">
        <v>82</v>
      </c>
      <c r="D63" s="332" t="str">
        <f>Gia_Tbi!$C$4</f>
        <v>Cái</v>
      </c>
      <c r="E63" s="332">
        <f>Gia_Tbi!$D$4</f>
        <v>0.4</v>
      </c>
      <c r="F63" s="409">
        <v>0.4</v>
      </c>
      <c r="G63" s="332">
        <f>Gia_Tbi!$E$4</f>
        <v>5</v>
      </c>
      <c r="H63" s="492">
        <f>Gia_Tbi!$F$4</f>
        <v>10000000</v>
      </c>
      <c r="I63" s="493">
        <f>Gia_Tbi!$G$4</f>
        <v>4000</v>
      </c>
      <c r="J63" s="499">
        <f>$I63*F63</f>
        <v>1600</v>
      </c>
      <c r="K63" s="1157"/>
    </row>
    <row r="64" spans="1:11">
      <c r="B64" s="332"/>
      <c r="C64" s="333" t="s">
        <v>25</v>
      </c>
      <c r="D64" s="332" t="str">
        <f>D55</f>
        <v>Cái</v>
      </c>
      <c r="E64" s="332">
        <f>Gia_Tbi!$D$6</f>
        <v>2.2000000000000002</v>
      </c>
      <c r="F64" s="409">
        <v>3.3300000000000003E-2</v>
      </c>
      <c r="G64" s="332">
        <f>Gia_Tbi!$E$6</f>
        <v>8</v>
      </c>
      <c r="H64" s="492">
        <f>Gia_Tbi!$F$6</f>
        <v>12000000</v>
      </c>
      <c r="I64" s="493">
        <f>Gia_Tbi!$G$6</f>
        <v>3000</v>
      </c>
      <c r="J64" s="499">
        <f>$I64*F64</f>
        <v>99.9</v>
      </c>
      <c r="K64" s="1157"/>
    </row>
    <row r="65" spans="1:11" s="511" customFormat="1">
      <c r="A65" s="1149"/>
      <c r="B65" s="332"/>
      <c r="C65" s="333" t="s">
        <v>8</v>
      </c>
      <c r="D65" s="332" t="str">
        <f>D56</f>
        <v>kW</v>
      </c>
      <c r="E65" s="332"/>
      <c r="F65" s="409">
        <v>0.23330000000000001</v>
      </c>
      <c r="G65" s="494"/>
      <c r="H65" s="492">
        <f>Gia_Tbi!$F$13</f>
        <v>1686</v>
      </c>
      <c r="I65" s="493">
        <f>Gia_Tbi!$G$13</f>
        <v>13488</v>
      </c>
      <c r="J65" s="499">
        <f>$I65*F65</f>
        <v>3146.7503999999999</v>
      </c>
      <c r="K65" s="1157"/>
    </row>
    <row r="66" spans="1:11" s="511" customFormat="1" ht="31.5">
      <c r="A66" s="1149" t="s">
        <v>774</v>
      </c>
      <c r="B66" s="332" t="str">
        <f>NhanCong_Huyen!B21</f>
        <v>2.2</v>
      </c>
      <c r="C66" s="495" t="str">
        <f>NhanCong_Huyen!C21</f>
        <v>Rà soát, đánh giá, phân loại và sắp xếp tài liệu, dữ liệu kiểm kê và lập báo cáo kết quản thực hiện</v>
      </c>
      <c r="D66" s="332"/>
      <c r="E66" s="332"/>
      <c r="F66" s="409"/>
      <c r="G66" s="494"/>
      <c r="H66" s="492"/>
      <c r="I66" s="493"/>
      <c r="J66" s="498">
        <f>SUM(J67:J68)</f>
        <v>5100</v>
      </c>
      <c r="K66" s="571">
        <f>J69</f>
        <v>9441.5999999999985</v>
      </c>
    </row>
    <row r="67" spans="1:11">
      <c r="B67" s="332"/>
      <c r="C67" s="333" t="s">
        <v>82</v>
      </c>
      <c r="D67" s="332" t="str">
        <f>Gia_Tbi!$C$4</f>
        <v>Cái</v>
      </c>
      <c r="E67" s="332">
        <f>Gia_Tbi!$D$4</f>
        <v>0.4</v>
      </c>
      <c r="F67" s="409">
        <v>1.2</v>
      </c>
      <c r="G67" s="332">
        <f>Gia_Tbi!$E$4</f>
        <v>5</v>
      </c>
      <c r="H67" s="492">
        <f>Gia_Tbi!$F$4</f>
        <v>10000000</v>
      </c>
      <c r="I67" s="493">
        <f>Gia_Tbi!$G$4</f>
        <v>4000</v>
      </c>
      <c r="J67" s="499">
        <f>$I67*F67</f>
        <v>4800</v>
      </c>
      <c r="K67" s="1157"/>
    </row>
    <row r="68" spans="1:11">
      <c r="B68" s="332"/>
      <c r="C68" s="333" t="s">
        <v>25</v>
      </c>
      <c r="D68" s="332" t="str">
        <f>D58</f>
        <v>Cái</v>
      </c>
      <c r="E68" s="332">
        <f>Gia_Tbi!$D$6</f>
        <v>2.2000000000000002</v>
      </c>
      <c r="F68" s="409">
        <v>0.1</v>
      </c>
      <c r="G68" s="332">
        <f>Gia_Tbi!$E$6</f>
        <v>8</v>
      </c>
      <c r="H68" s="492">
        <f>Gia_Tbi!$F$6</f>
        <v>12000000</v>
      </c>
      <c r="I68" s="493">
        <f>Gia_Tbi!$G$6</f>
        <v>3000</v>
      </c>
      <c r="J68" s="499">
        <f>$I68*F68</f>
        <v>300</v>
      </c>
      <c r="K68" s="1157"/>
    </row>
    <row r="69" spans="1:11" s="511" customFormat="1">
      <c r="A69" s="1149"/>
      <c r="B69" s="332"/>
      <c r="C69" s="333" t="s">
        <v>8</v>
      </c>
      <c r="D69" s="332" t="s">
        <v>563</v>
      </c>
      <c r="E69" s="332"/>
      <c r="F69" s="409">
        <v>0.7</v>
      </c>
      <c r="G69" s="494"/>
      <c r="H69" s="492">
        <f>Gia_Tbi!$F$13</f>
        <v>1686</v>
      </c>
      <c r="I69" s="493">
        <f>Gia_Tbi!$G$13</f>
        <v>13488</v>
      </c>
      <c r="J69" s="499">
        <f>$I69*F69</f>
        <v>9441.5999999999985</v>
      </c>
      <c r="K69" s="1157"/>
    </row>
    <row r="70" spans="1:11">
      <c r="A70" s="504">
        <v>5</v>
      </c>
      <c r="B70" s="326">
        <f>NhanCong_Huyen!B22</f>
        <v>3</v>
      </c>
      <c r="C70" s="327" t="str">
        <f>NhanCong_Xa!C22:C22</f>
        <v>Quét giấy tờ pháp lý và xử lý tệp tin</v>
      </c>
      <c r="D70" s="326"/>
      <c r="E70" s="326"/>
      <c r="F70" s="952"/>
      <c r="G70" s="328"/>
      <c r="H70" s="329"/>
      <c r="I70" s="330"/>
      <c r="J70" s="498"/>
      <c r="K70" s="1157"/>
    </row>
    <row r="71" spans="1:11" ht="78.75">
      <c r="B71" s="332" t="s">
        <v>771</v>
      </c>
      <c r="C71" s="333" t="s">
        <v>813</v>
      </c>
      <c r="D71" s="332"/>
      <c r="E71" s="332"/>
      <c r="F71" s="952"/>
      <c r="G71" s="328"/>
      <c r="H71" s="329"/>
      <c r="I71" s="330"/>
      <c r="J71" s="498"/>
      <c r="K71" s="1157"/>
    </row>
    <row r="72" spans="1:11">
      <c r="B72" s="332" t="s">
        <v>62</v>
      </c>
      <c r="C72" s="333" t="s">
        <v>569</v>
      </c>
      <c r="D72" s="332"/>
      <c r="E72" s="332"/>
      <c r="F72" s="952"/>
      <c r="G72" s="328"/>
      <c r="H72" s="329"/>
      <c r="I72" s="330"/>
      <c r="J72" s="498">
        <f>+SUM(J73:J76)</f>
        <v>168.48</v>
      </c>
      <c r="K72" s="571">
        <f>J77</f>
        <v>230.6448</v>
      </c>
    </row>
    <row r="73" spans="1:11">
      <c r="B73" s="332"/>
      <c r="C73" s="333" t="s">
        <v>82</v>
      </c>
      <c r="D73" s="332" t="s">
        <v>556</v>
      </c>
      <c r="E73" s="332">
        <v>0.4</v>
      </c>
      <c r="F73" s="355">
        <v>9.5999999999999992E-3</v>
      </c>
      <c r="G73" s="332">
        <f>Gia_Tbi!E4</f>
        <v>5</v>
      </c>
      <c r="H73" s="332">
        <f>Gia_Tbi!F4</f>
        <v>10000000</v>
      </c>
      <c r="I73" s="332">
        <f>Gia_Tbi!G4</f>
        <v>4000</v>
      </c>
      <c r="J73" s="499">
        <f>+I73*F73</f>
        <v>38.4</v>
      </c>
      <c r="K73" s="1157"/>
    </row>
    <row r="74" spans="1:11">
      <c r="B74" s="332"/>
      <c r="C74" s="333" t="s">
        <v>982</v>
      </c>
      <c r="D74" s="332" t="s">
        <v>556</v>
      </c>
      <c r="E74" s="332">
        <v>0.6</v>
      </c>
      <c r="F74" s="355">
        <v>9.5999999999999992E-3</v>
      </c>
      <c r="G74" s="958">
        <f>Gia_Tbi!E9</f>
        <v>8</v>
      </c>
      <c r="H74" s="958">
        <f>Gia_Tbi!F9</f>
        <v>45200000</v>
      </c>
      <c r="I74" s="958">
        <f>Gia_Tbi!G9</f>
        <v>11300</v>
      </c>
      <c r="J74" s="499">
        <f t="shared" ref="J74:J87" si="0">+I74*F74</f>
        <v>108.47999999999999</v>
      </c>
      <c r="K74" s="1157"/>
    </row>
    <row r="75" spans="1:11">
      <c r="B75" s="332"/>
      <c r="C75" s="333" t="s">
        <v>983</v>
      </c>
      <c r="D75" s="332" t="s">
        <v>556</v>
      </c>
      <c r="E75" s="332">
        <v>0.4</v>
      </c>
      <c r="F75" s="355">
        <v>9.5999999999999992E-3</v>
      </c>
      <c r="G75" s="958">
        <f>Gia_Tbi!E11</f>
        <v>5</v>
      </c>
      <c r="H75" s="958">
        <f>Gia_Tbi!F11</f>
        <v>5000000</v>
      </c>
      <c r="I75" s="958">
        <f>Gia_Tbi!G11</f>
        <v>2000</v>
      </c>
      <c r="J75" s="499">
        <f t="shared" si="0"/>
        <v>19.2</v>
      </c>
      <c r="K75" s="1157"/>
    </row>
    <row r="76" spans="1:11">
      <c r="B76" s="332"/>
      <c r="C76" s="333" t="s">
        <v>25</v>
      </c>
      <c r="D76" s="332" t="s">
        <v>556</v>
      </c>
      <c r="E76" s="332">
        <v>2.2000000000000002</v>
      </c>
      <c r="F76" s="355">
        <v>8.0000000000000004E-4</v>
      </c>
      <c r="G76" s="332">
        <f>Gia_Tbi!E6</f>
        <v>8</v>
      </c>
      <c r="H76" s="332">
        <f>Gia_Tbi!F6</f>
        <v>12000000</v>
      </c>
      <c r="I76" s="332">
        <f>Gia_Tbi!G6</f>
        <v>3000</v>
      </c>
      <c r="J76" s="499">
        <f t="shared" si="0"/>
        <v>2.4</v>
      </c>
      <c r="K76" s="1157"/>
    </row>
    <row r="77" spans="1:11">
      <c r="B77" s="332"/>
      <c r="C77" s="333" t="s">
        <v>8</v>
      </c>
      <c r="D77" s="332" t="s">
        <v>563</v>
      </c>
      <c r="E77" s="332"/>
      <c r="F77" s="409">
        <v>1.7100000000000001E-2</v>
      </c>
      <c r="G77" s="958"/>
      <c r="H77" s="958">
        <f>H69</f>
        <v>1686</v>
      </c>
      <c r="I77" s="958">
        <f>+Gia_Tbi!G13</f>
        <v>13488</v>
      </c>
      <c r="J77" s="499">
        <f t="shared" si="0"/>
        <v>230.6448</v>
      </c>
      <c r="K77" s="1157"/>
    </row>
    <row r="78" spans="1:11">
      <c r="B78" s="332" t="s">
        <v>63</v>
      </c>
      <c r="C78" s="333" t="s">
        <v>570</v>
      </c>
      <c r="D78" s="332"/>
      <c r="E78" s="332"/>
      <c r="F78" s="409"/>
      <c r="G78" s="959"/>
      <c r="H78" s="329"/>
      <c r="I78" s="330"/>
      <c r="J78" s="498">
        <f>SUM(J79:J82)</f>
        <v>55.900000000000006</v>
      </c>
      <c r="K78" s="498">
        <f>J83</f>
        <v>136.22880000000001</v>
      </c>
    </row>
    <row r="79" spans="1:11">
      <c r="B79" s="332"/>
      <c r="C79" s="333" t="s">
        <v>82</v>
      </c>
      <c r="D79" s="332" t="s">
        <v>556</v>
      </c>
      <c r="E79" s="332">
        <v>0.4</v>
      </c>
      <c r="F79" s="355">
        <v>6.4000000000000003E-3</v>
      </c>
      <c r="G79" s="958">
        <f>G73</f>
        <v>5</v>
      </c>
      <c r="H79" s="958">
        <f>H73</f>
        <v>10000000</v>
      </c>
      <c r="I79" s="500">
        <f>I73</f>
        <v>4000</v>
      </c>
      <c r="J79" s="499">
        <f t="shared" si="0"/>
        <v>25.6</v>
      </c>
      <c r="K79" s="1157"/>
    </row>
    <row r="80" spans="1:11">
      <c r="B80" s="332"/>
      <c r="C80" s="333" t="s">
        <v>984</v>
      </c>
      <c r="D80" s="332" t="s">
        <v>556</v>
      </c>
      <c r="E80" s="332">
        <v>0.8</v>
      </c>
      <c r="F80" s="355">
        <v>6.4000000000000003E-3</v>
      </c>
      <c r="G80" s="958">
        <f>Gia_Tbi!E8</f>
        <v>8</v>
      </c>
      <c r="H80" s="958">
        <f>Gia_Tbi!F8</f>
        <v>10000000</v>
      </c>
      <c r="I80" s="500">
        <f>Gia_Tbi!G8</f>
        <v>2500</v>
      </c>
      <c r="J80" s="499">
        <f t="shared" si="0"/>
        <v>16</v>
      </c>
      <c r="K80" s="1157"/>
    </row>
    <row r="81" spans="1:11">
      <c r="B81" s="332"/>
      <c r="C81" s="333" t="s">
        <v>983</v>
      </c>
      <c r="D81" s="332" t="s">
        <v>556</v>
      </c>
      <c r="E81" s="332">
        <v>0.4</v>
      </c>
      <c r="F81" s="355">
        <v>6.4000000000000003E-3</v>
      </c>
      <c r="G81" s="958">
        <f t="shared" ref="G81:H83" si="1">G75</f>
        <v>5</v>
      </c>
      <c r="H81" s="958">
        <f t="shared" si="1"/>
        <v>5000000</v>
      </c>
      <c r="I81" s="500">
        <f t="shared" ref="I81" si="2">I75</f>
        <v>2000</v>
      </c>
      <c r="J81" s="499">
        <f t="shared" si="0"/>
        <v>12.8</v>
      </c>
      <c r="K81" s="1157"/>
    </row>
    <row r="82" spans="1:11">
      <c r="B82" s="332"/>
      <c r="C82" s="333" t="s">
        <v>25</v>
      </c>
      <c r="D82" s="332" t="s">
        <v>556</v>
      </c>
      <c r="E82" s="332">
        <v>2.2000000000000002</v>
      </c>
      <c r="F82" s="355">
        <v>5.0000000000000001E-4</v>
      </c>
      <c r="G82" s="958">
        <f t="shared" si="1"/>
        <v>8</v>
      </c>
      <c r="H82" s="958">
        <f t="shared" si="1"/>
        <v>12000000</v>
      </c>
      <c r="I82" s="500">
        <f t="shared" ref="I82" si="3">I76</f>
        <v>3000</v>
      </c>
      <c r="J82" s="499">
        <f t="shared" si="0"/>
        <v>1.5</v>
      </c>
      <c r="K82" s="1157"/>
    </row>
    <row r="83" spans="1:11">
      <c r="B83" s="332"/>
      <c r="C83" s="333" t="s">
        <v>8</v>
      </c>
      <c r="D83" s="332" t="s">
        <v>563</v>
      </c>
      <c r="E83" s="332"/>
      <c r="F83" s="409">
        <v>1.01E-2</v>
      </c>
      <c r="G83" s="958"/>
      <c r="H83" s="958">
        <f t="shared" si="1"/>
        <v>1686</v>
      </c>
      <c r="I83" s="500">
        <f>I77</f>
        <v>13488</v>
      </c>
      <c r="J83" s="499">
        <f t="shared" si="0"/>
        <v>136.22880000000001</v>
      </c>
      <c r="K83" s="1157"/>
    </row>
    <row r="84" spans="1:11" ht="78.75">
      <c r="B84" s="332" t="s">
        <v>774</v>
      </c>
      <c r="C84" s="333" t="s">
        <v>814</v>
      </c>
      <c r="D84" s="332"/>
      <c r="E84" s="332"/>
      <c r="F84" s="961"/>
      <c r="G84" s="959"/>
      <c r="H84" s="329"/>
      <c r="I84" s="330"/>
      <c r="J84" s="498">
        <f>SUM(J85:J86)</f>
        <v>13.700000000000001</v>
      </c>
      <c r="K84" s="571">
        <f>J87</f>
        <v>25.627199999999998</v>
      </c>
    </row>
    <row r="85" spans="1:11">
      <c r="B85" s="332"/>
      <c r="C85" s="333" t="s">
        <v>82</v>
      </c>
      <c r="D85" s="332" t="s">
        <v>556</v>
      </c>
      <c r="E85" s="332">
        <v>0.4</v>
      </c>
      <c r="F85" s="409">
        <v>3.2000000000000002E-3</v>
      </c>
      <c r="G85" s="958">
        <f>G79</f>
        <v>5</v>
      </c>
      <c r="H85" s="958">
        <f t="shared" ref="H85:I85" si="4">H79</f>
        <v>10000000</v>
      </c>
      <c r="I85" s="958">
        <f t="shared" si="4"/>
        <v>4000</v>
      </c>
      <c r="J85" s="499">
        <f t="shared" si="0"/>
        <v>12.8</v>
      </c>
      <c r="K85" s="1157"/>
    </row>
    <row r="86" spans="1:11">
      <c r="B86" s="332"/>
      <c r="C86" s="333" t="s">
        <v>25</v>
      </c>
      <c r="D86" s="332" t="s">
        <v>556</v>
      </c>
      <c r="E86" s="332">
        <v>2.2000000000000002</v>
      </c>
      <c r="F86" s="409">
        <v>2.9999999999999997E-4</v>
      </c>
      <c r="G86" s="958">
        <f>G82</f>
        <v>8</v>
      </c>
      <c r="H86" s="958">
        <f t="shared" ref="H86:I86" si="5">H82</f>
        <v>12000000</v>
      </c>
      <c r="I86" s="958">
        <f t="shared" si="5"/>
        <v>3000</v>
      </c>
      <c r="J86" s="499">
        <f t="shared" si="0"/>
        <v>0.89999999999999991</v>
      </c>
      <c r="K86" s="1157"/>
    </row>
    <row r="87" spans="1:11">
      <c r="B87" s="332"/>
      <c r="C87" s="333" t="s">
        <v>8</v>
      </c>
      <c r="D87" s="332" t="s">
        <v>563</v>
      </c>
      <c r="E87" s="332">
        <v>0</v>
      </c>
      <c r="F87" s="409">
        <v>1.9E-3</v>
      </c>
      <c r="G87" s="958">
        <f>G83</f>
        <v>0</v>
      </c>
      <c r="H87" s="958">
        <f t="shared" ref="H87" si="6">H83</f>
        <v>1686</v>
      </c>
      <c r="I87" s="958">
        <f>I83</f>
        <v>13488</v>
      </c>
      <c r="J87" s="499">
        <f t="shared" si="0"/>
        <v>25.627199999999998</v>
      </c>
      <c r="K87" s="1157"/>
    </row>
    <row r="88" spans="1:11" ht="31.5">
      <c r="A88" s="504" t="s">
        <v>869</v>
      </c>
      <c r="B88" s="332" t="str">
        <f>NhanCong_Xa!B27</f>
        <v>3.3</v>
      </c>
      <c r="C88" s="333" t="str">
        <f>NhanCong_Xa!C27:C27</f>
        <v>Tạo danh mục tra cứu hồ sơ quét trong cơ sở dữ liệu thống kê, kiểm kê đất đai</v>
      </c>
      <c r="D88" s="332"/>
      <c r="E88" s="332"/>
      <c r="F88" s="502"/>
      <c r="G88" s="500"/>
      <c r="H88" s="501"/>
      <c r="I88" s="354"/>
      <c r="J88" s="498">
        <f>SUM(J89:J93)</f>
        <v>4117.5199999999995</v>
      </c>
      <c r="K88" s="571">
        <f>J94</f>
        <v>3146.7503999999999</v>
      </c>
    </row>
    <row r="89" spans="1:11">
      <c r="B89" s="332"/>
      <c r="C89" s="333" t="s">
        <v>82</v>
      </c>
      <c r="D89" s="332" t="str">
        <f>Gia_Tbi!$C$4</f>
        <v>Cái</v>
      </c>
      <c r="E89" s="332">
        <f>Gia_Tbi!$D$4</f>
        <v>0.4</v>
      </c>
      <c r="F89" s="355">
        <v>0.4</v>
      </c>
      <c r="G89" s="332">
        <f>Gia_Tbi!$E$4</f>
        <v>5</v>
      </c>
      <c r="H89" s="492">
        <f>Gia_Tbi!$F$4</f>
        <v>10000000</v>
      </c>
      <c r="I89" s="493">
        <f>Gia_Tbi!$G$4</f>
        <v>4000</v>
      </c>
      <c r="J89" s="499">
        <f t="shared" ref="J89:J94" si="7">$I89*F89</f>
        <v>1600</v>
      </c>
      <c r="K89" s="1157"/>
    </row>
    <row r="90" spans="1:11">
      <c r="B90" s="332"/>
      <c r="C90" s="333" t="s">
        <v>928</v>
      </c>
      <c r="D90" s="332" t="str">
        <f>Gia_Tbi!$C$10</f>
        <v>Cái</v>
      </c>
      <c r="E90" s="332">
        <f>Gia_Tbi!$D$10</f>
        <v>1</v>
      </c>
      <c r="F90" s="409">
        <v>0.1</v>
      </c>
      <c r="G90" s="353">
        <f>Gia_Tbi!$E$10</f>
        <v>10</v>
      </c>
      <c r="H90" s="497">
        <f>Gia_Tbi!$F$10</f>
        <v>80000000</v>
      </c>
      <c r="I90" s="497">
        <f>Gia_Tbi!$G$10</f>
        <v>16000</v>
      </c>
      <c r="J90" s="499">
        <f t="shared" si="7"/>
        <v>1600</v>
      </c>
      <c r="K90" s="1157"/>
    </row>
    <row r="91" spans="1:11">
      <c r="B91" s="332"/>
      <c r="C91" s="333" t="str">
        <f>Gia_Tbi!$B$14</f>
        <v>Hệ quản trị cơ sở dữ liệu thuộc tính</v>
      </c>
      <c r="D91" s="332" t="str">
        <f>Gia_Tbi!$C$14</f>
        <v>Bộ</v>
      </c>
      <c r="E91" s="332" t="str">
        <f>Gia_Tbi!$D$14</f>
        <v/>
      </c>
      <c r="F91" s="409">
        <v>0.1</v>
      </c>
      <c r="G91" s="332">
        <f>Gia_Tbi!$E$14</f>
        <v>10</v>
      </c>
      <c r="H91" s="621">
        <f>Gia_Tbi!$F$14</f>
        <v>20881000</v>
      </c>
      <c r="I91" s="352">
        <f>Gia_Tbi!$G$14</f>
        <v>4176.2</v>
      </c>
      <c r="J91" s="499">
        <f t="shared" si="7"/>
        <v>417.62</v>
      </c>
      <c r="K91" s="573"/>
    </row>
    <row r="92" spans="1:11">
      <c r="B92" s="332"/>
      <c r="C92" s="333" t="s">
        <v>557</v>
      </c>
      <c r="D92" s="332" t="str">
        <f>Gia_Tbi!$C$12</f>
        <v>Bộ</v>
      </c>
      <c r="E92" s="332">
        <f>Gia_Tbi!$D$12</f>
        <v>0.1</v>
      </c>
      <c r="F92" s="409">
        <v>0.4</v>
      </c>
      <c r="G92" s="353">
        <f>Gia_Tbi!$E$12</f>
        <v>5</v>
      </c>
      <c r="H92" s="497">
        <f>Gia_Tbi!$F$12</f>
        <v>2500000</v>
      </c>
      <c r="I92" s="497">
        <f>Gia_Tbi!$G$12</f>
        <v>1000</v>
      </c>
      <c r="J92" s="499">
        <f t="shared" si="7"/>
        <v>400</v>
      </c>
      <c r="K92" s="1157"/>
    </row>
    <row r="93" spans="1:11">
      <c r="B93" s="332"/>
      <c r="C93" s="333" t="s">
        <v>25</v>
      </c>
      <c r="D93" s="332" t="s">
        <v>556</v>
      </c>
      <c r="E93" s="332">
        <f>Gia_Tbi!$D$6</f>
        <v>2.2000000000000002</v>
      </c>
      <c r="F93" s="355">
        <v>3.3300000000000003E-2</v>
      </c>
      <c r="G93" s="332">
        <f>Gia_Tbi!$E$6</f>
        <v>8</v>
      </c>
      <c r="H93" s="492">
        <f>Gia_Tbi!$F$6</f>
        <v>12000000</v>
      </c>
      <c r="I93" s="493">
        <f>Gia_Tbi!$G$6</f>
        <v>3000</v>
      </c>
      <c r="J93" s="499">
        <f t="shared" si="7"/>
        <v>99.9</v>
      </c>
      <c r="K93" s="1157"/>
    </row>
    <row r="94" spans="1:11">
      <c r="B94" s="332"/>
      <c r="C94" s="333" t="s">
        <v>8</v>
      </c>
      <c r="D94" s="332" t="str">
        <f>D8</f>
        <v>kW</v>
      </c>
      <c r="E94" s="332"/>
      <c r="F94" s="409">
        <v>0.23330000000000001</v>
      </c>
      <c r="G94" s="494"/>
      <c r="H94" s="492">
        <f>Gia_Tbi!$F$13</f>
        <v>1686</v>
      </c>
      <c r="I94" s="493">
        <f>Gia_Tbi!$G$13</f>
        <v>13488</v>
      </c>
      <c r="J94" s="499">
        <f t="shared" si="7"/>
        <v>3146.7503999999999</v>
      </c>
      <c r="K94" s="1157"/>
    </row>
    <row r="95" spans="1:11">
      <c r="A95" s="504">
        <v>6</v>
      </c>
      <c r="B95" s="326">
        <f>NhanCong_Huyen!B28</f>
        <v>4</v>
      </c>
      <c r="C95" s="327" t="str">
        <f>NhanCong_Xa!C28:C28</f>
        <v>Xây dựng dữ liệu thuộc tính thống kê, kiểm kê đất đai</v>
      </c>
      <c r="D95" s="326"/>
      <c r="E95" s="487"/>
      <c r="F95" s="489"/>
      <c r="G95" s="328"/>
      <c r="H95" s="329"/>
      <c r="I95" s="330"/>
      <c r="J95" s="498"/>
      <c r="K95" s="1157"/>
    </row>
    <row r="96" spans="1:11">
      <c r="A96" s="504" t="s">
        <v>870</v>
      </c>
      <c r="B96" s="332" t="str">
        <f>NhanCong_Xa!B29</f>
        <v>4.1</v>
      </c>
      <c r="C96" s="495" t="str">
        <f>NhanCong_Xa!C29</f>
        <v>Đối với tài liệu, số liệu là bảng, biểu dạng số</v>
      </c>
      <c r="D96" s="326"/>
      <c r="E96" s="487"/>
      <c r="F96" s="489"/>
      <c r="G96" s="328"/>
      <c r="H96" s="329"/>
      <c r="I96" s="330"/>
      <c r="J96" s="498"/>
      <c r="K96" s="1157"/>
    </row>
    <row r="97" spans="1:11">
      <c r="A97" s="504" t="s">
        <v>871</v>
      </c>
      <c r="B97" s="332" t="str">
        <f>NhanCong_Xa!B30</f>
        <v>4.1.1</v>
      </c>
      <c r="C97" s="333" t="str">
        <f>NhanCong_Xa!C30:C30</f>
        <v>Lập mô hình chuyển đổi cơ sở dữ liệu thống kê, kiểm kê đất đai</v>
      </c>
      <c r="D97" s="326"/>
      <c r="E97" s="487"/>
      <c r="F97" s="489"/>
      <c r="G97" s="328"/>
      <c r="H97" s="329"/>
      <c r="I97" s="330"/>
      <c r="J97" s="498">
        <f>SUM(J98:J99)</f>
        <v>679.9</v>
      </c>
      <c r="K97" s="571">
        <f>J100</f>
        <v>1258.4304</v>
      </c>
    </row>
    <row r="98" spans="1:11">
      <c r="B98" s="332"/>
      <c r="C98" s="333" t="s">
        <v>82</v>
      </c>
      <c r="D98" s="332" t="str">
        <f>Gia_Tbi!$C$4</f>
        <v>Cái</v>
      </c>
      <c r="E98" s="332">
        <f>Gia_Tbi!$D$4</f>
        <v>0.4</v>
      </c>
      <c r="F98" s="355">
        <v>0.16</v>
      </c>
      <c r="G98" s="332">
        <f>Gia_Tbi!$E$4</f>
        <v>5</v>
      </c>
      <c r="H98" s="492">
        <f>Gia_Tbi!$F$4</f>
        <v>10000000</v>
      </c>
      <c r="I98" s="493">
        <f>Gia_Tbi!$G$4</f>
        <v>4000</v>
      </c>
      <c r="J98" s="499">
        <f>$I98*F98</f>
        <v>640</v>
      </c>
      <c r="K98" s="1157"/>
    </row>
    <row r="99" spans="1:11">
      <c r="B99" s="332"/>
      <c r="C99" s="333" t="s">
        <v>25</v>
      </c>
      <c r="D99" s="332" t="s">
        <v>556</v>
      </c>
      <c r="E99" s="332">
        <f>Gia_Tbi!$D$6</f>
        <v>2.2000000000000002</v>
      </c>
      <c r="F99" s="355">
        <v>1.3299999999999999E-2</v>
      </c>
      <c r="G99" s="332">
        <f>Gia_Tbi!$E$6</f>
        <v>8</v>
      </c>
      <c r="H99" s="492">
        <f>Gia_Tbi!$F$6</f>
        <v>12000000</v>
      </c>
      <c r="I99" s="493">
        <f>Gia_Tbi!$G$6</f>
        <v>3000</v>
      </c>
      <c r="J99" s="499">
        <f>$I99*F99</f>
        <v>39.9</v>
      </c>
      <c r="K99" s="1157"/>
    </row>
    <row r="100" spans="1:11">
      <c r="B100" s="332"/>
      <c r="C100" s="333" t="s">
        <v>8</v>
      </c>
      <c r="D100" s="332" t="str">
        <f>D94</f>
        <v>kW</v>
      </c>
      <c r="E100" s="332"/>
      <c r="F100" s="409">
        <v>9.3299999999999994E-2</v>
      </c>
      <c r="G100" s="494"/>
      <c r="H100" s="492">
        <f>Gia_Tbi!$F$13</f>
        <v>1686</v>
      </c>
      <c r="I100" s="493">
        <f>Gia_Tbi!$G$13</f>
        <v>13488</v>
      </c>
      <c r="J100" s="499">
        <f>$I100*F100</f>
        <v>1258.4304</v>
      </c>
      <c r="K100" s="1157"/>
    </row>
    <row r="101" spans="1:11">
      <c r="A101" s="504" t="s">
        <v>872</v>
      </c>
      <c r="B101" s="332" t="str">
        <f>NhanCong_Xa!B31</f>
        <v>4.1.2</v>
      </c>
      <c r="C101" s="333" t="str">
        <f>NhanCong_Xa!C31:C31</f>
        <v>Chuyển đổi vào cơ sở dữ liệu thống kê, kiểm kê đất đai</v>
      </c>
      <c r="D101" s="332"/>
      <c r="E101" s="332"/>
      <c r="F101" s="409"/>
      <c r="G101" s="332"/>
      <c r="H101" s="497"/>
      <c r="I101" s="497"/>
      <c r="J101" s="498">
        <f>SUM(J102:J106)</f>
        <v>3294.1959999999999</v>
      </c>
      <c r="K101" s="571">
        <f>J107</f>
        <v>2518.2096000000001</v>
      </c>
    </row>
    <row r="102" spans="1:11">
      <c r="B102" s="332"/>
      <c r="C102" s="333" t="s">
        <v>82</v>
      </c>
      <c r="D102" s="332" t="str">
        <f>Gia_Tbi!$C$4</f>
        <v>Cái</v>
      </c>
      <c r="E102" s="332">
        <f>Gia_Tbi!$D$4</f>
        <v>0.4</v>
      </c>
      <c r="F102" s="409">
        <v>0.32</v>
      </c>
      <c r="G102" s="332">
        <f>Gia_Tbi!$E$4</f>
        <v>5</v>
      </c>
      <c r="H102" s="497">
        <f>Gia_Tbi!$F$4</f>
        <v>10000000</v>
      </c>
      <c r="I102" s="497">
        <f>Gia_Tbi!$G$4</f>
        <v>4000</v>
      </c>
      <c r="J102" s="499">
        <f>I102*F102</f>
        <v>1280</v>
      </c>
      <c r="K102" s="1157"/>
    </row>
    <row r="103" spans="1:11">
      <c r="B103" s="332"/>
      <c r="C103" s="333" t="s">
        <v>928</v>
      </c>
      <c r="D103" s="332" t="str">
        <f>Gia_Tbi!$C$10</f>
        <v>Cái</v>
      </c>
      <c r="E103" s="332">
        <f>Gia_Tbi!$D$10</f>
        <v>1</v>
      </c>
      <c r="F103" s="409">
        <v>0.08</v>
      </c>
      <c r="G103" s="353">
        <f>Gia_Tbi!$E$10</f>
        <v>10</v>
      </c>
      <c r="H103" s="497">
        <f>Gia_Tbi!$F$10</f>
        <v>80000000</v>
      </c>
      <c r="I103" s="497">
        <f>Gia_Tbi!$G$10</f>
        <v>16000</v>
      </c>
      <c r="J103" s="499">
        <f>$I103*F103</f>
        <v>1280</v>
      </c>
      <c r="K103" s="1157"/>
    </row>
    <row r="104" spans="1:11">
      <c r="B104" s="332"/>
      <c r="C104" s="333" t="str">
        <f>Gia_Tbi!$B$14</f>
        <v>Hệ quản trị cơ sở dữ liệu thuộc tính</v>
      </c>
      <c r="D104" s="332" t="str">
        <f>Gia_Tbi!$C$14</f>
        <v>Bộ</v>
      </c>
      <c r="E104" s="332" t="str">
        <f>Gia_Tbi!$D$14</f>
        <v/>
      </c>
      <c r="F104" s="409">
        <v>0.08</v>
      </c>
      <c r="G104" s="332">
        <f>Gia_Tbi!$E$14</f>
        <v>10</v>
      </c>
      <c r="H104" s="621">
        <f>Gia_Tbi!$F$14</f>
        <v>20881000</v>
      </c>
      <c r="I104" s="352">
        <f>Gia_Tbi!$G$14</f>
        <v>4176.2</v>
      </c>
      <c r="J104" s="499">
        <f>$I104*F104</f>
        <v>334.096</v>
      </c>
      <c r="K104" s="573"/>
    </row>
    <row r="105" spans="1:11">
      <c r="B105" s="332"/>
      <c r="C105" s="333" t="s">
        <v>557</v>
      </c>
      <c r="D105" s="332" t="str">
        <f>Gia_Tbi!$C$12</f>
        <v>Bộ</v>
      </c>
      <c r="E105" s="332">
        <f>Gia_Tbi!$D$12</f>
        <v>0.1</v>
      </c>
      <c r="F105" s="355">
        <v>0.32</v>
      </c>
      <c r="G105" s="353">
        <f>Gia_Tbi!$E$12</f>
        <v>5</v>
      </c>
      <c r="H105" s="497">
        <f>Gia_Tbi!$F$12</f>
        <v>2500000</v>
      </c>
      <c r="I105" s="497">
        <f>Gia_Tbi!$G$12</f>
        <v>1000</v>
      </c>
      <c r="J105" s="499">
        <f>I105*F105</f>
        <v>320</v>
      </c>
      <c r="K105" s="1157"/>
    </row>
    <row r="106" spans="1:11">
      <c r="B106" s="332"/>
      <c r="C106" s="333" t="s">
        <v>25</v>
      </c>
      <c r="D106" s="332" t="str">
        <f>Gia_Tbi!$C$6</f>
        <v>Cái</v>
      </c>
      <c r="E106" s="332">
        <f>Gia_Tbi!$D$6</f>
        <v>2.2000000000000002</v>
      </c>
      <c r="F106" s="409">
        <v>2.6700000000000002E-2</v>
      </c>
      <c r="G106" s="332">
        <f>Gia_Tbi!$E$6</f>
        <v>8</v>
      </c>
      <c r="H106" s="497">
        <f>Gia_Tbi!$F$6</f>
        <v>12000000</v>
      </c>
      <c r="I106" s="497">
        <f>Gia_Tbi!$G$6</f>
        <v>3000</v>
      </c>
      <c r="J106" s="499">
        <f>I106*F106</f>
        <v>80.100000000000009</v>
      </c>
      <c r="K106" s="1157"/>
    </row>
    <row r="107" spans="1:11">
      <c r="B107" s="332"/>
      <c r="C107" s="333" t="s">
        <v>8</v>
      </c>
      <c r="D107" s="332" t="str">
        <f>Gia_Tbi!$C$13</f>
        <v>KW</v>
      </c>
      <c r="E107" s="332"/>
      <c r="F107" s="409">
        <v>0.1867</v>
      </c>
      <c r="G107" s="494"/>
      <c r="H107" s="497">
        <f>Gia_Tbi!$F$13</f>
        <v>1686</v>
      </c>
      <c r="I107" s="497">
        <f>Gia_Tbi!$G$13</f>
        <v>13488</v>
      </c>
      <c r="J107" s="499">
        <f>I107*F107</f>
        <v>2518.2096000000001</v>
      </c>
      <c r="K107" s="1157"/>
    </row>
    <row r="108" spans="1:11" ht="31.5">
      <c r="A108" s="504" t="s">
        <v>873</v>
      </c>
      <c r="B108" s="332" t="str">
        <f>NhanCong_Xa!B32</f>
        <v>4.2</v>
      </c>
      <c r="C108" s="333" t="str">
        <f>NhanCong_Xa!C32:C32</f>
        <v>Đối với tài liệu, số liệu là báo cáo dạng số thì tạo danh mục tra cứu trong cơ sở dữ liệu thống kê, kiểm kê đất đai</v>
      </c>
      <c r="D108" s="332"/>
      <c r="E108" s="332"/>
      <c r="F108" s="409"/>
      <c r="G108" s="332"/>
      <c r="H108" s="497"/>
      <c r="I108" s="497"/>
      <c r="J108" s="498">
        <f>SUM(J109:J113)</f>
        <v>1646.9480000000001</v>
      </c>
      <c r="K108" s="571">
        <f>J114</f>
        <v>1258.4304</v>
      </c>
    </row>
    <row r="109" spans="1:11">
      <c r="B109" s="332"/>
      <c r="C109" s="333" t="s">
        <v>82</v>
      </c>
      <c r="D109" s="332" t="str">
        <f>Gia_Tbi!$C$4</f>
        <v>Cái</v>
      </c>
      <c r="E109" s="332">
        <f>Gia_Tbi!$D$4</f>
        <v>0.4</v>
      </c>
      <c r="F109" s="409">
        <v>0.16</v>
      </c>
      <c r="G109" s="332">
        <f>Gia_Tbi!$E$4</f>
        <v>5</v>
      </c>
      <c r="H109" s="497">
        <f>Gia_Tbi!$F$4</f>
        <v>10000000</v>
      </c>
      <c r="I109" s="497">
        <f>Gia_Tbi!$G$4</f>
        <v>4000</v>
      </c>
      <c r="J109" s="499">
        <f>I109*F109</f>
        <v>640</v>
      </c>
      <c r="K109" s="1157"/>
    </row>
    <row r="110" spans="1:11">
      <c r="B110" s="332"/>
      <c r="C110" s="333" t="s">
        <v>928</v>
      </c>
      <c r="D110" s="332" t="str">
        <f>Gia_Tbi!$C$10</f>
        <v>Cái</v>
      </c>
      <c r="E110" s="332">
        <f>Gia_Tbi!$D$10</f>
        <v>1</v>
      </c>
      <c r="F110" s="409">
        <v>0.04</v>
      </c>
      <c r="G110" s="353">
        <f>Gia_Tbi!$E$10</f>
        <v>10</v>
      </c>
      <c r="H110" s="497">
        <f>Gia_Tbi!$F$10</f>
        <v>80000000</v>
      </c>
      <c r="I110" s="497">
        <f>Gia_Tbi!$G$10</f>
        <v>16000</v>
      </c>
      <c r="J110" s="499">
        <f>$I110*F110</f>
        <v>640</v>
      </c>
      <c r="K110" s="1157"/>
    </row>
    <row r="111" spans="1:11">
      <c r="B111" s="332"/>
      <c r="C111" s="333" t="str">
        <f>Gia_Tbi!$B$14</f>
        <v>Hệ quản trị cơ sở dữ liệu thuộc tính</v>
      </c>
      <c r="D111" s="332" t="str">
        <f>Gia_Tbi!$C$14</f>
        <v>Bộ</v>
      </c>
      <c r="E111" s="332" t="str">
        <f>Gia_Tbi!$D$14</f>
        <v/>
      </c>
      <c r="F111" s="409">
        <v>0.04</v>
      </c>
      <c r="G111" s="332">
        <f>Gia_Tbi!$E$14</f>
        <v>10</v>
      </c>
      <c r="H111" s="621">
        <f>Gia_Tbi!$F$14</f>
        <v>20881000</v>
      </c>
      <c r="I111" s="352">
        <f>Gia_Tbi!$G$14</f>
        <v>4176.2</v>
      </c>
      <c r="J111" s="499">
        <f>$I111*F111</f>
        <v>167.048</v>
      </c>
      <c r="K111" s="573"/>
    </row>
    <row r="112" spans="1:11">
      <c r="B112" s="332"/>
      <c r="C112" s="333" t="s">
        <v>557</v>
      </c>
      <c r="D112" s="332" t="str">
        <f>Gia_Tbi!$C$12</f>
        <v>Bộ</v>
      </c>
      <c r="E112" s="332">
        <f>Gia_Tbi!$D$12</f>
        <v>0.1</v>
      </c>
      <c r="F112" s="355">
        <v>0.16</v>
      </c>
      <c r="G112" s="353">
        <f>Gia_Tbi!$E$12</f>
        <v>5</v>
      </c>
      <c r="H112" s="497">
        <f>Gia_Tbi!$F$12</f>
        <v>2500000</v>
      </c>
      <c r="I112" s="497">
        <f>Gia_Tbi!$G$12</f>
        <v>1000</v>
      </c>
      <c r="J112" s="499">
        <f>I112*F112</f>
        <v>160</v>
      </c>
      <c r="K112" s="1157"/>
    </row>
    <row r="113" spans="1:11">
      <c r="B113" s="332"/>
      <c r="C113" s="333" t="s">
        <v>25</v>
      </c>
      <c r="D113" s="332" t="str">
        <f>Gia_Tbi!$C$6</f>
        <v>Cái</v>
      </c>
      <c r="E113" s="332">
        <f>Gia_Tbi!$D$6</f>
        <v>2.2000000000000002</v>
      </c>
      <c r="F113" s="409">
        <v>1.3299999999999999E-2</v>
      </c>
      <c r="G113" s="332">
        <f>Gia_Tbi!$E$6</f>
        <v>8</v>
      </c>
      <c r="H113" s="497">
        <f>Gia_Tbi!$F$6</f>
        <v>12000000</v>
      </c>
      <c r="I113" s="497">
        <f>Gia_Tbi!$G$6</f>
        <v>3000</v>
      </c>
      <c r="J113" s="499">
        <f>I113*F113</f>
        <v>39.9</v>
      </c>
      <c r="K113" s="1157"/>
    </row>
    <row r="114" spans="1:11">
      <c r="B114" s="332"/>
      <c r="C114" s="333" t="s">
        <v>8</v>
      </c>
      <c r="D114" s="332" t="str">
        <f>Gia_Tbi!$C$13</f>
        <v>KW</v>
      </c>
      <c r="E114" s="332"/>
      <c r="F114" s="409">
        <v>9.3299999999999994E-2</v>
      </c>
      <c r="G114" s="494"/>
      <c r="H114" s="497">
        <f>Gia_Tbi!$F$13</f>
        <v>1686</v>
      </c>
      <c r="I114" s="497">
        <f>Gia_Tbi!$G$13</f>
        <v>13488</v>
      </c>
      <c r="J114" s="499">
        <f>I114*F114</f>
        <v>1258.4304</v>
      </c>
      <c r="K114" s="1157"/>
    </row>
    <row r="115" spans="1:11">
      <c r="A115" s="504">
        <v>7</v>
      </c>
      <c r="B115" s="326">
        <f>NhanCong_Huyen!B33</f>
        <v>5</v>
      </c>
      <c r="C115" s="327" t="str">
        <f>NhanCong_Xa!C33:C33</f>
        <v>Đối soát, hoàn thiện dữ liệu thống kê, kiểm kê đất đai</v>
      </c>
      <c r="D115" s="326"/>
      <c r="E115" s="487"/>
      <c r="F115" s="489"/>
      <c r="G115" s="328"/>
      <c r="H115" s="329"/>
      <c r="I115" s="330"/>
      <c r="J115" s="498"/>
      <c r="K115" s="571"/>
    </row>
    <row r="116" spans="1:11">
      <c r="A116" s="504" t="s">
        <v>874</v>
      </c>
      <c r="B116" s="332" t="str">
        <f>NhanCong_Huyen!B34</f>
        <v>5.1</v>
      </c>
      <c r="C116" s="495" t="str">
        <f>NhanCong_Huyen!C34</f>
        <v>Đối soát, hoàn thiện dữ liệu thống kê đất đai</v>
      </c>
      <c r="D116" s="326"/>
      <c r="E116" s="487"/>
      <c r="F116" s="489"/>
      <c r="G116" s="328"/>
      <c r="H116" s="329"/>
      <c r="I116" s="330"/>
      <c r="J116" s="498">
        <f>SUM(J117:J118)</f>
        <v>1699.9</v>
      </c>
      <c r="K116" s="571">
        <f>J119</f>
        <v>3146.7503999999999</v>
      </c>
    </row>
    <row r="117" spans="1:11">
      <c r="B117" s="332"/>
      <c r="C117" s="333" t="s">
        <v>82</v>
      </c>
      <c r="D117" s="332" t="str">
        <f>Gia_Tbi!$C$4</f>
        <v>Cái</v>
      </c>
      <c r="E117" s="332">
        <f>Gia_Tbi!$D$4</f>
        <v>0.4</v>
      </c>
      <c r="F117" s="409">
        <v>0.4</v>
      </c>
      <c r="G117" s="332">
        <f>Gia_Tbi!$E$4</f>
        <v>5</v>
      </c>
      <c r="H117" s="492">
        <f>Gia_Tbi!$F$4</f>
        <v>10000000</v>
      </c>
      <c r="I117" s="493">
        <f>Gia_Tbi!$G$4</f>
        <v>4000</v>
      </c>
      <c r="J117" s="499">
        <f>I117*F117</f>
        <v>1600</v>
      </c>
      <c r="K117" s="1157"/>
    </row>
    <row r="118" spans="1:11">
      <c r="B118" s="332"/>
      <c r="C118" s="333" t="s">
        <v>25</v>
      </c>
      <c r="D118" s="332" t="str">
        <f>D137</f>
        <v>Cái</v>
      </c>
      <c r="E118" s="332">
        <f>Gia_Tbi!$D$6</f>
        <v>2.2000000000000002</v>
      </c>
      <c r="F118" s="409">
        <v>3.3300000000000003E-2</v>
      </c>
      <c r="G118" s="332">
        <f>Gia_Tbi!$E$6</f>
        <v>8</v>
      </c>
      <c r="H118" s="492">
        <f>Gia_Tbi!$F$6</f>
        <v>12000000</v>
      </c>
      <c r="I118" s="493">
        <f>Gia_Tbi!$G$6</f>
        <v>3000</v>
      </c>
      <c r="J118" s="499">
        <f>I118*F118</f>
        <v>99.9</v>
      </c>
      <c r="K118" s="1157"/>
    </row>
    <row r="119" spans="1:11">
      <c r="B119" s="332"/>
      <c r="C119" s="333" t="s">
        <v>8</v>
      </c>
      <c r="D119" s="332" t="str">
        <f>D138</f>
        <v>KW</v>
      </c>
      <c r="E119" s="332"/>
      <c r="F119" s="409">
        <v>0.23330000000000001</v>
      </c>
      <c r="G119" s="494"/>
      <c r="H119" s="492">
        <f>Gia_Tbi!$F$13</f>
        <v>1686</v>
      </c>
      <c r="I119" s="493">
        <f>Gia_Tbi!$G$13</f>
        <v>13488</v>
      </c>
      <c r="J119" s="499">
        <f>I119*F119</f>
        <v>3146.7503999999999</v>
      </c>
      <c r="K119" s="1157"/>
    </row>
    <row r="120" spans="1:11">
      <c r="A120" s="504" t="s">
        <v>875</v>
      </c>
      <c r="B120" s="332" t="str">
        <f>NhanCong_Huyen!B35</f>
        <v>5.2</v>
      </c>
      <c r="C120" s="495" t="str">
        <f>NhanCong_Huyen!C35</f>
        <v>Đối soát, hoàn thiện dữ liệu kiểm kê đất đai</v>
      </c>
      <c r="D120" s="332"/>
      <c r="E120" s="332"/>
      <c r="F120" s="409"/>
      <c r="G120" s="494"/>
      <c r="H120" s="492"/>
      <c r="I120" s="493"/>
      <c r="J120" s="498">
        <f>SUM(J121:J122)</f>
        <v>3400.1</v>
      </c>
      <c r="K120" s="571">
        <f>J123</f>
        <v>6294.8496000000005</v>
      </c>
    </row>
    <row r="121" spans="1:11">
      <c r="B121" s="332"/>
      <c r="C121" s="333" t="s">
        <v>82</v>
      </c>
      <c r="D121" s="332" t="str">
        <f>Gia_Tbi!$C$4</f>
        <v>Cái</v>
      </c>
      <c r="E121" s="332">
        <f>Gia_Tbi!$D$4</f>
        <v>0.4</v>
      </c>
      <c r="F121" s="409">
        <v>0.8</v>
      </c>
      <c r="G121" s="332">
        <f>Gia_Tbi!$E$4</f>
        <v>5</v>
      </c>
      <c r="H121" s="492">
        <f>Gia_Tbi!$F$4</f>
        <v>10000000</v>
      </c>
      <c r="I121" s="493">
        <f>Gia_Tbi!$G$4</f>
        <v>4000</v>
      </c>
      <c r="J121" s="499">
        <f>I121*F121</f>
        <v>3200</v>
      </c>
      <c r="K121" s="1157"/>
    </row>
    <row r="122" spans="1:11">
      <c r="B122" s="332"/>
      <c r="C122" s="333" t="s">
        <v>25</v>
      </c>
      <c r="D122" s="332" t="str">
        <f>D140</f>
        <v>Cái</v>
      </c>
      <c r="E122" s="332">
        <f>Gia_Tbi!$D$6</f>
        <v>2.2000000000000002</v>
      </c>
      <c r="F122" s="409">
        <v>6.6699999999999995E-2</v>
      </c>
      <c r="G122" s="332">
        <f>Gia_Tbi!$E$6</f>
        <v>8</v>
      </c>
      <c r="H122" s="492">
        <f>Gia_Tbi!$F$6</f>
        <v>12000000</v>
      </c>
      <c r="I122" s="493">
        <f>Gia_Tbi!$G$6</f>
        <v>3000</v>
      </c>
      <c r="J122" s="499">
        <f>I122*F122</f>
        <v>200.1</v>
      </c>
      <c r="K122" s="1157"/>
    </row>
    <row r="123" spans="1:11">
      <c r="B123" s="332"/>
      <c r="C123" s="333" t="s">
        <v>8</v>
      </c>
      <c r="D123" s="332" t="str">
        <f>D119</f>
        <v>KW</v>
      </c>
      <c r="E123" s="332"/>
      <c r="F123" s="409">
        <v>0.4667</v>
      </c>
      <c r="G123" s="494"/>
      <c r="H123" s="492">
        <f>Gia_Tbi!$F$13</f>
        <v>1686</v>
      </c>
      <c r="I123" s="493">
        <f>Gia_Tbi!$G$13</f>
        <v>13488</v>
      </c>
      <c r="J123" s="499">
        <f>I123*F123</f>
        <v>6294.8496000000005</v>
      </c>
      <c r="K123" s="1157"/>
    </row>
    <row r="124" spans="1:11">
      <c r="B124" s="715"/>
      <c r="C124" s="716"/>
      <c r="D124" s="715"/>
      <c r="E124" s="715"/>
      <c r="F124" s="738"/>
      <c r="G124" s="718"/>
      <c r="H124" s="730"/>
      <c r="I124" s="731"/>
      <c r="J124" s="719"/>
      <c r="K124" s="719"/>
    </row>
    <row r="125" spans="1:11">
      <c r="B125" s="720"/>
      <c r="C125" s="721"/>
      <c r="D125" s="720"/>
      <c r="E125" s="720"/>
      <c r="F125" s="739"/>
      <c r="G125" s="723"/>
      <c r="H125" s="732"/>
      <c r="I125" s="733"/>
      <c r="J125" s="724"/>
      <c r="K125" s="1160"/>
    </row>
    <row r="126" spans="1:11">
      <c r="B126" s="725"/>
      <c r="D126" s="725"/>
      <c r="E126" s="725"/>
      <c r="F126" s="740"/>
      <c r="G126" s="727"/>
      <c r="H126" s="734"/>
      <c r="I126" s="735"/>
      <c r="J126" s="729"/>
      <c r="K126" s="1159"/>
    </row>
    <row r="127" spans="1:11" ht="78.75">
      <c r="B127" s="326" t="s">
        <v>14</v>
      </c>
      <c r="C127" s="326" t="str">
        <f>C3</f>
        <v>Danh mục thiết bị</v>
      </c>
      <c r="D127" s="326" t="s">
        <v>21</v>
      </c>
      <c r="E127" s="326" t="s">
        <v>893</v>
      </c>
      <c r="F127" s="636" t="str">
        <f>Dcu_Huyen!G61</f>
        <v>Định mức
(tính cho 01 lớp dữ liệu)</v>
      </c>
      <c r="G127" s="326" t="s">
        <v>5</v>
      </c>
      <c r="H127" s="483" t="s">
        <v>19</v>
      </c>
      <c r="I127" s="483" t="s">
        <v>1</v>
      </c>
      <c r="J127" s="484" t="s">
        <v>782</v>
      </c>
      <c r="K127" s="484" t="s">
        <v>616</v>
      </c>
    </row>
    <row r="128" spans="1:11">
      <c r="A128" s="504" t="s">
        <v>553</v>
      </c>
      <c r="B128" s="332">
        <f>NhanCong_Huyen!B38</f>
        <v>1</v>
      </c>
      <c r="C128" s="333" t="str">
        <f>NhanCong_Xa!C39:C39</f>
        <v>Chuẩn hóa các lớp đối tượng không gian kiểm kê đất đai</v>
      </c>
      <c r="D128" s="326"/>
      <c r="E128" s="487"/>
      <c r="F128" s="489"/>
      <c r="G128" s="328"/>
      <c r="H128" s="329"/>
      <c r="I128" s="330"/>
      <c r="J128" s="498"/>
      <c r="K128" s="572"/>
    </row>
    <row r="129" spans="1:13" ht="63">
      <c r="A129" s="504" t="s">
        <v>69</v>
      </c>
      <c r="B129" s="332" t="str">
        <f>NhanCong_Xa!B40</f>
        <v>1.1</v>
      </c>
      <c r="C129" s="333"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129" s="326"/>
      <c r="E129" s="487"/>
      <c r="F129" s="489"/>
      <c r="G129" s="328"/>
      <c r="H129" s="329"/>
      <c r="I129" s="330"/>
      <c r="J129" s="498">
        <f>SUM(J130:J132)</f>
        <v>100879.9</v>
      </c>
      <c r="K129" s="571">
        <f>J133</f>
        <v>12588.350399999999</v>
      </c>
    </row>
    <row r="130" spans="1:13">
      <c r="B130" s="332"/>
      <c r="C130" s="333" t="s">
        <v>82</v>
      </c>
      <c r="D130" s="332" t="str">
        <f>Gia_Tbi!$C$4</f>
        <v>Cái</v>
      </c>
      <c r="E130" s="332">
        <f>Gia_Tbi!$D$4</f>
        <v>0.4</v>
      </c>
      <c r="F130" s="409">
        <v>1.6</v>
      </c>
      <c r="G130" s="332">
        <f>Gia_Tbi!$E$4</f>
        <v>5</v>
      </c>
      <c r="H130" s="492">
        <f>Gia_Tbi!$F$4</f>
        <v>10000000</v>
      </c>
      <c r="I130" s="493">
        <f>Gia_Tbi!$G$4</f>
        <v>4000</v>
      </c>
      <c r="J130" s="499">
        <f>$I130*F130</f>
        <v>6400</v>
      </c>
      <c r="K130" s="1157"/>
    </row>
    <row r="131" spans="1:13" s="331" customFormat="1">
      <c r="A131" s="625"/>
      <c r="B131" s="332"/>
      <c r="C131" s="333" t="str">
        <f>Gia_Tbi!$B$16</f>
        <v xml:space="preserve">Phần mềm biên tập bản đồ </v>
      </c>
      <c r="D131" s="332" t="str">
        <f>Gia_Tbi!$C$16</f>
        <v>Bộ</v>
      </c>
      <c r="E131" s="332">
        <f>Gia_Tbi!$D$16</f>
        <v>0.4</v>
      </c>
      <c r="F131" s="409">
        <v>1.6</v>
      </c>
      <c r="G131" s="332">
        <f>Gia_Tbi!$E$16</f>
        <v>5</v>
      </c>
      <c r="H131" s="621">
        <f>Gia_Tbi!$F$16</f>
        <v>147000000</v>
      </c>
      <c r="I131" s="352">
        <f>Gia_Tbi!$G$16</f>
        <v>58800</v>
      </c>
      <c r="J131" s="499">
        <f>$I131*F131</f>
        <v>94080</v>
      </c>
      <c r="K131" s="1157"/>
    </row>
    <row r="132" spans="1:13" s="331" customFormat="1">
      <c r="A132" s="625"/>
      <c r="B132" s="332"/>
      <c r="C132" s="333" t="s">
        <v>25</v>
      </c>
      <c r="D132" s="332" t="str">
        <f>Gia_Tbi!$C$6</f>
        <v>Cái</v>
      </c>
      <c r="E132" s="332">
        <f>Gia_Tbi!$D$6</f>
        <v>2.2000000000000002</v>
      </c>
      <c r="F132" s="409">
        <v>0.1333</v>
      </c>
      <c r="G132" s="332">
        <f>Gia_Tbi!$E$6</f>
        <v>8</v>
      </c>
      <c r="H132" s="492">
        <f>Gia_Tbi!$F$6</f>
        <v>12000000</v>
      </c>
      <c r="I132" s="493">
        <f>Gia_Tbi!$G$6</f>
        <v>3000</v>
      </c>
      <c r="J132" s="499">
        <f>$I132*F132</f>
        <v>399.9</v>
      </c>
      <c r="K132" s="1157"/>
    </row>
    <row r="133" spans="1:13">
      <c r="B133" s="332"/>
      <c r="C133" s="333" t="s">
        <v>8</v>
      </c>
      <c r="D133" s="332" t="str">
        <f>Gia_Tbi!$C$13</f>
        <v>KW</v>
      </c>
      <c r="E133" s="332"/>
      <c r="F133" s="409">
        <v>0.93330000000000002</v>
      </c>
      <c r="G133" s="494"/>
      <c r="H133" s="492">
        <f>Gia_Tbi!$F$13</f>
        <v>1686</v>
      </c>
      <c r="I133" s="493">
        <f>Gia_Tbi!$G$13</f>
        <v>13488</v>
      </c>
      <c r="J133" s="499">
        <f>$I133*F133</f>
        <v>12588.350399999999</v>
      </c>
      <c r="K133" s="1157"/>
    </row>
    <row r="134" spans="1:13" ht="31.5">
      <c r="A134" s="504" t="s">
        <v>70</v>
      </c>
      <c r="B134" s="332" t="str">
        <f>NhanCong_Xa!B41</f>
        <v>1.2</v>
      </c>
      <c r="C134" s="333" t="str">
        <f>NhanCong_Xa!C41:C41</f>
        <v>Chuẩn hóa các lớp đối tượng không gian kiểm kê đất đai chưa phù hợp</v>
      </c>
      <c r="D134" s="326"/>
      <c r="E134" s="332"/>
      <c r="F134" s="489"/>
      <c r="G134" s="494"/>
      <c r="H134" s="329"/>
      <c r="I134" s="330"/>
      <c r="J134" s="498">
        <f>SUM(J135:J137)</f>
        <v>126100.1</v>
      </c>
      <c r="K134" s="571">
        <f>J138</f>
        <v>15736.449600000002</v>
      </c>
    </row>
    <row r="135" spans="1:13" s="331" customFormat="1">
      <c r="A135" s="625"/>
      <c r="B135" s="332"/>
      <c r="C135" s="333" t="s">
        <v>82</v>
      </c>
      <c r="D135" s="332" t="str">
        <f>Gia_Tbi!$C$4</f>
        <v>Cái</v>
      </c>
      <c r="E135" s="332">
        <f>Gia_Tbi!$D$4</f>
        <v>0.4</v>
      </c>
      <c r="F135" s="409">
        <v>2</v>
      </c>
      <c r="G135" s="332">
        <f>Gia_Tbi!$E$4</f>
        <v>5</v>
      </c>
      <c r="H135" s="492">
        <f>Gia_Tbi!$F$4</f>
        <v>10000000</v>
      </c>
      <c r="I135" s="493">
        <f>Gia_Tbi!$G$4</f>
        <v>4000</v>
      </c>
      <c r="J135" s="499">
        <f>$I135*F135</f>
        <v>8000</v>
      </c>
      <c r="K135" s="1157"/>
    </row>
    <row r="136" spans="1:13" s="331" customFormat="1">
      <c r="A136" s="625"/>
      <c r="B136" s="332"/>
      <c r="C136" s="333" t="str">
        <f>Gia_Tbi!$B$16</f>
        <v xml:space="preserve">Phần mềm biên tập bản đồ </v>
      </c>
      <c r="D136" s="332" t="str">
        <f>Gia_Tbi!$C$16</f>
        <v>Bộ</v>
      </c>
      <c r="E136" s="332">
        <f>Gia_Tbi!$D$16</f>
        <v>0.4</v>
      </c>
      <c r="F136" s="409">
        <v>2</v>
      </c>
      <c r="G136" s="332">
        <f>Gia_Tbi!$E$16</f>
        <v>5</v>
      </c>
      <c r="H136" s="621">
        <f>Gia_Tbi!$F$16</f>
        <v>147000000</v>
      </c>
      <c r="I136" s="352">
        <f>Gia_Tbi!$G$16</f>
        <v>58800</v>
      </c>
      <c r="J136" s="499">
        <f>$I136*F136</f>
        <v>117600</v>
      </c>
      <c r="K136" s="1157"/>
    </row>
    <row r="137" spans="1:13" s="331" customFormat="1">
      <c r="A137" s="625"/>
      <c r="B137" s="332"/>
      <c r="C137" s="333" t="s">
        <v>25</v>
      </c>
      <c r="D137" s="332" t="str">
        <f>Gia_Tbi!$C$6</f>
        <v>Cái</v>
      </c>
      <c r="E137" s="332">
        <f>Gia_Tbi!$D$6</f>
        <v>2.2000000000000002</v>
      </c>
      <c r="F137" s="409">
        <v>0.16669999999999999</v>
      </c>
      <c r="G137" s="332">
        <f>Gia_Tbi!$E$6</f>
        <v>8</v>
      </c>
      <c r="H137" s="492">
        <f>Gia_Tbi!$F$6</f>
        <v>12000000</v>
      </c>
      <c r="I137" s="493">
        <f>Gia_Tbi!$G$6</f>
        <v>3000</v>
      </c>
      <c r="J137" s="499">
        <f>$I137*F137</f>
        <v>500.09999999999997</v>
      </c>
      <c r="K137" s="1157"/>
    </row>
    <row r="138" spans="1:13" s="331" customFormat="1">
      <c r="A138" s="625"/>
      <c r="B138" s="332"/>
      <c r="C138" s="333" t="s">
        <v>8</v>
      </c>
      <c r="D138" s="332" t="str">
        <f>Gia_Tbi!$C$13</f>
        <v>KW</v>
      </c>
      <c r="E138" s="332"/>
      <c r="F138" s="409">
        <v>1.1667000000000001</v>
      </c>
      <c r="G138" s="494"/>
      <c r="H138" s="492">
        <f>Gia_Tbi!$F$13</f>
        <v>1686</v>
      </c>
      <c r="I138" s="493">
        <f>Gia_Tbi!$G$13</f>
        <v>13488</v>
      </c>
      <c r="J138" s="499">
        <f>$I138*F138</f>
        <v>15736.449600000002</v>
      </c>
      <c r="K138" s="1157"/>
    </row>
    <row r="139" spans="1:13" s="331" customFormat="1" ht="31.5">
      <c r="A139" s="625" t="s">
        <v>691</v>
      </c>
      <c r="B139" s="332" t="str">
        <f>NhanCong_Xa!B42</f>
        <v>1.3</v>
      </c>
      <c r="C139" s="333" t="str">
        <f>NhanCong_Xa!C42:C42</f>
        <v>Nhập bổ sung các thông tin thuộc tính cho đối tượng không gian kiểm kê đất đai còn thiếu (nếu có)</v>
      </c>
      <c r="D139" s="332"/>
      <c r="E139" s="332"/>
      <c r="F139" s="409"/>
      <c r="G139" s="332"/>
      <c r="H139" s="497"/>
      <c r="I139" s="497"/>
      <c r="J139" s="498">
        <f>SUM(J140:J142)</f>
        <v>25219.9</v>
      </c>
      <c r="K139" s="571">
        <f>J143</f>
        <v>3146.7503999999999</v>
      </c>
    </row>
    <row r="140" spans="1:13">
      <c r="B140" s="332"/>
      <c r="C140" s="333" t="s">
        <v>82</v>
      </c>
      <c r="D140" s="332" t="str">
        <f>Gia_Tbi!$C$4</f>
        <v>Cái</v>
      </c>
      <c r="E140" s="332">
        <f>Gia_Tbi!$D$4</f>
        <v>0.4</v>
      </c>
      <c r="F140" s="409">
        <v>0.4</v>
      </c>
      <c r="G140" s="332">
        <f>Gia_Tbi!$E$4</f>
        <v>5</v>
      </c>
      <c r="H140" s="492">
        <f>Gia_Tbi!$F$4</f>
        <v>10000000</v>
      </c>
      <c r="I140" s="493">
        <f>Gia_Tbi!$G$4</f>
        <v>4000</v>
      </c>
      <c r="J140" s="499">
        <f>$I140*F140</f>
        <v>1600</v>
      </c>
      <c r="K140" s="1157"/>
      <c r="M140" s="1171">
        <f>E140*F140+E141*F141+E142*F142</f>
        <v>0.39326000000000005</v>
      </c>
    </row>
    <row r="141" spans="1:13" s="331" customFormat="1">
      <c r="A141" s="625"/>
      <c r="B141" s="332"/>
      <c r="C141" s="333" t="str">
        <f>Gia_Tbi!$B$16</f>
        <v xml:space="preserve">Phần mềm biên tập bản đồ </v>
      </c>
      <c r="D141" s="332" t="str">
        <f>Gia_Tbi!$C$16</f>
        <v>Bộ</v>
      </c>
      <c r="E141" s="332">
        <f>Gia_Tbi!$D$16</f>
        <v>0.4</v>
      </c>
      <c r="F141" s="409">
        <v>0.4</v>
      </c>
      <c r="G141" s="332">
        <f>Gia_Tbi!$E$16</f>
        <v>5</v>
      </c>
      <c r="H141" s="621">
        <f>Gia_Tbi!$F$16</f>
        <v>147000000</v>
      </c>
      <c r="I141" s="352">
        <f>Gia_Tbi!$G$16</f>
        <v>58800</v>
      </c>
      <c r="J141" s="499">
        <f>$I141*F141</f>
        <v>23520</v>
      </c>
      <c r="K141" s="1157"/>
    </row>
    <row r="142" spans="1:13">
      <c r="B142" s="332"/>
      <c r="C142" s="333" t="s">
        <v>25</v>
      </c>
      <c r="D142" s="332" t="str">
        <f>D135</f>
        <v>Cái</v>
      </c>
      <c r="E142" s="332">
        <f>Gia_Tbi!$D$6</f>
        <v>2.2000000000000002</v>
      </c>
      <c r="F142" s="409">
        <v>3.3300000000000003E-2</v>
      </c>
      <c r="G142" s="332">
        <f>Gia_Tbi!$E$6</f>
        <v>8</v>
      </c>
      <c r="H142" s="492">
        <f>Gia_Tbi!$F$6</f>
        <v>12000000</v>
      </c>
      <c r="I142" s="493">
        <f>Gia_Tbi!$G$6</f>
        <v>3000</v>
      </c>
      <c r="J142" s="499">
        <f>$I142*F142</f>
        <v>99.9</v>
      </c>
      <c r="K142" s="573"/>
    </row>
    <row r="143" spans="1:13">
      <c r="B143" s="332"/>
      <c r="C143" s="333" t="s">
        <v>8</v>
      </c>
      <c r="D143" s="332" t="s">
        <v>563</v>
      </c>
      <c r="E143" s="332"/>
      <c r="F143" s="409">
        <v>0.23330000000000001</v>
      </c>
      <c r="G143" s="494"/>
      <c r="H143" s="492">
        <f>Gia_Tbi!$F$13</f>
        <v>1686</v>
      </c>
      <c r="I143" s="493">
        <f>Gia_Tbi!$G$13</f>
        <v>13488</v>
      </c>
      <c r="J143" s="499">
        <f>$I143*F143</f>
        <v>3146.7503999999999</v>
      </c>
      <c r="K143" s="573"/>
    </row>
    <row r="144" spans="1:13" ht="31.5">
      <c r="A144" s="504" t="s">
        <v>694</v>
      </c>
      <c r="B144" s="332" t="str">
        <f>NhanCong_Xa!B43</f>
        <v>1.4</v>
      </c>
      <c r="C144" s="333" t="str">
        <f>NhanCong_Xa!C43</f>
        <v>Rà soát chuẩn hóa thông tin thuộc tính cho từng đối tượng không gian kiểm kê đất đai</v>
      </c>
      <c r="D144" s="332"/>
      <c r="E144" s="332"/>
      <c r="F144" s="409"/>
      <c r="G144" s="332"/>
      <c r="H144" s="497"/>
      <c r="I144" s="497"/>
      <c r="J144" s="498">
        <f>SUM(J145:J147)</f>
        <v>100879.9</v>
      </c>
      <c r="K144" s="571">
        <f>J148</f>
        <v>12588.350399999999</v>
      </c>
    </row>
    <row r="145" spans="1:11">
      <c r="B145" s="332"/>
      <c r="C145" s="333" t="s">
        <v>82</v>
      </c>
      <c r="D145" s="332" t="str">
        <f>Gia_Tbi!$C$4</f>
        <v>Cái</v>
      </c>
      <c r="E145" s="332">
        <f>Gia_Tbi!$D$4</f>
        <v>0.4</v>
      </c>
      <c r="F145" s="409">
        <v>1.6</v>
      </c>
      <c r="G145" s="332">
        <f>Gia_Tbi!$E$4</f>
        <v>5</v>
      </c>
      <c r="H145" s="492">
        <f>Gia_Tbi!$F$4</f>
        <v>10000000</v>
      </c>
      <c r="I145" s="493">
        <f>Gia_Tbi!$G$4</f>
        <v>4000</v>
      </c>
      <c r="J145" s="499">
        <f>$I145*F145</f>
        <v>6400</v>
      </c>
      <c r="K145" s="1157"/>
    </row>
    <row r="146" spans="1:11">
      <c r="B146" s="332"/>
      <c r="C146" s="333" t="str">
        <f>Gia_Tbi!$B$16</f>
        <v xml:space="preserve">Phần mềm biên tập bản đồ </v>
      </c>
      <c r="D146" s="332" t="str">
        <f>Gia_Tbi!$C$16</f>
        <v>Bộ</v>
      </c>
      <c r="E146" s="332">
        <f>Gia_Tbi!$D$16</f>
        <v>0.4</v>
      </c>
      <c r="F146" s="409">
        <v>1.6</v>
      </c>
      <c r="G146" s="332">
        <f>Gia_Tbi!$E$16</f>
        <v>5</v>
      </c>
      <c r="H146" s="621">
        <f>Gia_Tbi!$F$16</f>
        <v>147000000</v>
      </c>
      <c r="I146" s="352">
        <f>Gia_Tbi!$G$16</f>
        <v>58800</v>
      </c>
      <c r="J146" s="499">
        <f>$I146*F146</f>
        <v>94080</v>
      </c>
      <c r="K146" s="1157"/>
    </row>
    <row r="147" spans="1:11">
      <c r="B147" s="332"/>
      <c r="C147" s="333" t="s">
        <v>25</v>
      </c>
      <c r="D147" s="332" t="str">
        <f>D140</f>
        <v>Cái</v>
      </c>
      <c r="E147" s="332">
        <f>Gia_Tbi!$D$6</f>
        <v>2.2000000000000002</v>
      </c>
      <c r="F147" s="409">
        <v>0.1333</v>
      </c>
      <c r="G147" s="332">
        <f>Gia_Tbi!$E$6</f>
        <v>8</v>
      </c>
      <c r="H147" s="492">
        <f>Gia_Tbi!$F$6</f>
        <v>12000000</v>
      </c>
      <c r="I147" s="493">
        <f>Gia_Tbi!$G$6</f>
        <v>3000</v>
      </c>
      <c r="J147" s="499">
        <f>$I147*F147</f>
        <v>399.9</v>
      </c>
      <c r="K147" s="573"/>
    </row>
    <row r="148" spans="1:11">
      <c r="B148" s="332"/>
      <c r="C148" s="333" t="s">
        <v>8</v>
      </c>
      <c r="D148" s="332" t="s">
        <v>563</v>
      </c>
      <c r="E148" s="332"/>
      <c r="F148" s="409">
        <v>0.93330000000000002</v>
      </c>
      <c r="G148" s="494"/>
      <c r="H148" s="492">
        <f>Gia_Tbi!$F$13</f>
        <v>1686</v>
      </c>
      <c r="I148" s="493">
        <f>Gia_Tbi!$G$13</f>
        <v>13488</v>
      </c>
      <c r="J148" s="499">
        <f>$I148*F148</f>
        <v>12588.350399999999</v>
      </c>
      <c r="K148" s="573"/>
    </row>
    <row r="149" spans="1:11">
      <c r="A149" s="504" t="s">
        <v>864</v>
      </c>
      <c r="B149" s="332">
        <f>NhanCong_Huyen!B43</f>
        <v>2</v>
      </c>
      <c r="C149" s="332" t="str">
        <f>NhanCong_Huyen!C43</f>
        <v>Chuyển đổi và tích hợp không gian kiểm kê đất đai</v>
      </c>
      <c r="D149" s="332"/>
      <c r="E149" s="332"/>
      <c r="F149" s="409"/>
      <c r="G149" s="494"/>
      <c r="H149" s="492"/>
      <c r="I149" s="493"/>
      <c r="J149" s="499"/>
      <c r="K149" s="573"/>
    </row>
    <row r="150" spans="1:11" ht="31.5">
      <c r="A150" s="504" t="s">
        <v>865</v>
      </c>
      <c r="B150" s="332" t="str">
        <f>NhanCong_Xa!B45</f>
        <v>2.1</v>
      </c>
      <c r="C150" s="333" t="str">
        <f>NhanCong_Xa!C45:C45</f>
        <v>Chuyển đổi các lớp đối tượng không gian kiểm kê đất đai từ tệp (File) bản đồ số vào cơ sở dữ liệu theo đơn vị hành chính</v>
      </c>
      <c r="D150" s="332"/>
      <c r="E150" s="332"/>
      <c r="F150" s="409"/>
      <c r="G150" s="332"/>
      <c r="H150" s="497"/>
      <c r="I150" s="497"/>
      <c r="J150" s="498">
        <f>SUM(J151:J156)</f>
        <v>29004.9</v>
      </c>
      <c r="K150" s="571">
        <f>J157</f>
        <v>3146.7503999999999</v>
      </c>
    </row>
    <row r="151" spans="1:11">
      <c r="B151" s="332"/>
      <c r="C151" s="333" t="s">
        <v>82</v>
      </c>
      <c r="D151" s="332" t="str">
        <f>Gia_Tbi!$C$4</f>
        <v>Cái</v>
      </c>
      <c r="E151" s="332">
        <f>Gia_Tbi!$D$4</f>
        <v>0.4</v>
      </c>
      <c r="F151" s="409">
        <v>0.4</v>
      </c>
      <c r="G151" s="332">
        <f>Gia_Tbi!$E$4</f>
        <v>5</v>
      </c>
      <c r="H151" s="497">
        <f>Gia_Tbi!F4</f>
        <v>10000000</v>
      </c>
      <c r="I151" s="497">
        <f>Gia_Tbi!G4</f>
        <v>4000</v>
      </c>
      <c r="J151" s="499">
        <f t="shared" ref="J151:J157" si="8">$I151*F151</f>
        <v>1600</v>
      </c>
      <c r="K151" s="572"/>
    </row>
    <row r="152" spans="1:11">
      <c r="B152" s="332"/>
      <c r="C152" s="333" t="str">
        <f>Gia_Tbi!$B$16</f>
        <v xml:space="preserve">Phần mềm biên tập bản đồ </v>
      </c>
      <c r="D152" s="332" t="str">
        <f>Gia_Tbi!$C$16</f>
        <v>Bộ</v>
      </c>
      <c r="E152" s="332">
        <f>Gia_Tbi!$D$16</f>
        <v>0.4</v>
      </c>
      <c r="F152" s="409">
        <v>0.4</v>
      </c>
      <c r="G152" s="332">
        <f>Gia_Tbi!$E$16</f>
        <v>5</v>
      </c>
      <c r="H152" s="621">
        <f>Gia_Tbi!$F$16</f>
        <v>147000000</v>
      </c>
      <c r="I152" s="352">
        <f>Gia_Tbi!$G$16</f>
        <v>58800</v>
      </c>
      <c r="J152" s="499">
        <f t="shared" si="8"/>
        <v>23520</v>
      </c>
      <c r="K152" s="1157"/>
    </row>
    <row r="153" spans="1:11">
      <c r="B153" s="332"/>
      <c r="C153" s="333" t="s">
        <v>928</v>
      </c>
      <c r="D153" s="332" t="str">
        <f>Gia_Tbi!$C$10</f>
        <v>Cái</v>
      </c>
      <c r="E153" s="332">
        <f>Gia_Tbi!$D$10</f>
        <v>1</v>
      </c>
      <c r="F153" s="409">
        <v>0.1</v>
      </c>
      <c r="G153" s="353">
        <f>Gia_Tbi!$E$10</f>
        <v>10</v>
      </c>
      <c r="H153" s="497">
        <f>Gia_Tbi!$F$10</f>
        <v>80000000</v>
      </c>
      <c r="I153" s="497">
        <f>Gia_Tbi!$G$10</f>
        <v>16000</v>
      </c>
      <c r="J153" s="499">
        <f t="shared" si="8"/>
        <v>1600</v>
      </c>
      <c r="K153" s="572"/>
    </row>
    <row r="154" spans="1:11">
      <c r="B154" s="332"/>
      <c r="C154" s="333" t="str">
        <f>Gia_Tbi!$B$15</f>
        <v>Hệ quản trị dữ liệu không gian</v>
      </c>
      <c r="D154" s="332" t="str">
        <f>Gia_Tbi!$C$15</f>
        <v>Bộ</v>
      </c>
      <c r="E154" s="332" t="str">
        <f>Gia_Tbi!$D$15</f>
        <v/>
      </c>
      <c r="F154" s="409">
        <v>2.5000000000000001E-2</v>
      </c>
      <c r="G154" s="332">
        <f>Gia_Tbi!$E$15</f>
        <v>10</v>
      </c>
      <c r="H154" s="621">
        <f>Gia_Tbi!$F$15</f>
        <v>357000000</v>
      </c>
      <c r="I154" s="352">
        <f>Gia_Tbi!$G$15</f>
        <v>71400</v>
      </c>
      <c r="J154" s="499">
        <f t="shared" si="8"/>
        <v>1785</v>
      </c>
      <c r="K154" s="573"/>
    </row>
    <row r="155" spans="1:11">
      <c r="B155" s="332"/>
      <c r="C155" s="333" t="s">
        <v>557</v>
      </c>
      <c r="D155" s="332" t="str">
        <f>Gia_Tbi!$C$12</f>
        <v>Bộ</v>
      </c>
      <c r="E155" s="332">
        <f>Gia_Tbi!$D$12</f>
        <v>0.1</v>
      </c>
      <c r="F155" s="409">
        <v>0.4</v>
      </c>
      <c r="G155" s="353">
        <f>Gia_Tbi!$E$12</f>
        <v>5</v>
      </c>
      <c r="H155" s="497">
        <f>Gia_Tbi!$F$12</f>
        <v>2500000</v>
      </c>
      <c r="I155" s="497">
        <f>Gia_Tbi!$G$12</f>
        <v>1000</v>
      </c>
      <c r="J155" s="499">
        <f t="shared" si="8"/>
        <v>400</v>
      </c>
      <c r="K155" s="572"/>
    </row>
    <row r="156" spans="1:11">
      <c r="B156" s="332"/>
      <c r="C156" s="333" t="s">
        <v>25</v>
      </c>
      <c r="D156" s="332" t="str">
        <f>Gia_Tbi!$C$6</f>
        <v>Cái</v>
      </c>
      <c r="E156" s="332">
        <f>Gia_Tbi!$D$6</f>
        <v>2.2000000000000002</v>
      </c>
      <c r="F156" s="409">
        <v>3.3300000000000003E-2</v>
      </c>
      <c r="G156" s="332">
        <f>Gia_Tbi!$E$6</f>
        <v>8</v>
      </c>
      <c r="H156" s="497">
        <f>Gia_Tbi!$F$6</f>
        <v>12000000</v>
      </c>
      <c r="I156" s="497">
        <f>Gia_Tbi!$G$6</f>
        <v>3000</v>
      </c>
      <c r="J156" s="499">
        <f t="shared" si="8"/>
        <v>99.9</v>
      </c>
      <c r="K156" s="1157"/>
    </row>
    <row r="157" spans="1:11">
      <c r="B157" s="332"/>
      <c r="C157" s="333" t="s">
        <v>8</v>
      </c>
      <c r="D157" s="332" t="str">
        <f>Gia_Tbi!$C$13</f>
        <v>KW</v>
      </c>
      <c r="E157" s="332"/>
      <c r="F157" s="409">
        <v>0.23330000000000001</v>
      </c>
      <c r="G157" s="494"/>
      <c r="H157" s="497">
        <f>Gia_Tbi!$F$13</f>
        <v>1686</v>
      </c>
      <c r="I157" s="497">
        <f>Gia_Tbi!$G$13</f>
        <v>13488</v>
      </c>
      <c r="J157" s="499">
        <f t="shared" si="8"/>
        <v>3146.7503999999999</v>
      </c>
      <c r="K157" s="1157"/>
    </row>
    <row r="158" spans="1:11" ht="31.5">
      <c r="A158" s="504" t="s">
        <v>866</v>
      </c>
      <c r="B158" s="332" t="str">
        <f>NhanCong_Xa!B46</f>
        <v>2.2</v>
      </c>
      <c r="C158" s="333" t="str">
        <f>NhanCong_Xa!C46:C46</f>
        <v>Rà soát dữ liệu không gian để xử lý các lỗi dọc biên giữa các đơn vị hành chính tiếp giáp nhau</v>
      </c>
      <c r="D158" s="332"/>
      <c r="E158" s="332"/>
      <c r="F158" s="409"/>
      <c r="G158" s="494"/>
      <c r="H158" s="497"/>
      <c r="I158" s="497"/>
      <c r="J158" s="498">
        <f>SUM(J159:J164)</f>
        <v>58010.1</v>
      </c>
      <c r="K158" s="571">
        <f>J165</f>
        <v>6294.8496000000005</v>
      </c>
    </row>
    <row r="159" spans="1:11">
      <c r="B159" s="332"/>
      <c r="C159" s="333" t="s">
        <v>82</v>
      </c>
      <c r="D159" s="332" t="str">
        <f>Gia_Tbi!$C$4</f>
        <v>Cái</v>
      </c>
      <c r="E159" s="332">
        <f>Gia_Tbi!$D$4</f>
        <v>0.4</v>
      </c>
      <c r="F159" s="409">
        <v>0.8</v>
      </c>
      <c r="G159" s="332">
        <f>Gia_Tbi!$E$4</f>
        <v>5</v>
      </c>
      <c r="H159" s="497">
        <f>Gia_Tbi!$F$4</f>
        <v>10000000</v>
      </c>
      <c r="I159" s="497">
        <f>Gia_Tbi!$G$4</f>
        <v>4000</v>
      </c>
      <c r="J159" s="499">
        <f t="shared" ref="J159:J165" si="9">$I159*F159</f>
        <v>3200</v>
      </c>
      <c r="K159" s="1157"/>
    </row>
    <row r="160" spans="1:11">
      <c r="B160" s="332"/>
      <c r="C160" s="333" t="str">
        <f>Gia_Tbi!$B$16</f>
        <v xml:space="preserve">Phần mềm biên tập bản đồ </v>
      </c>
      <c r="D160" s="332" t="str">
        <f>Gia_Tbi!$C$16</f>
        <v>Bộ</v>
      </c>
      <c r="E160" s="332">
        <f>Gia_Tbi!$D$16</f>
        <v>0.4</v>
      </c>
      <c r="F160" s="409">
        <v>0.8</v>
      </c>
      <c r="G160" s="332">
        <f>Gia_Tbi!$E$16</f>
        <v>5</v>
      </c>
      <c r="H160" s="621">
        <f>Gia_Tbi!$F$16</f>
        <v>147000000</v>
      </c>
      <c r="I160" s="352">
        <f>Gia_Tbi!$G$16</f>
        <v>58800</v>
      </c>
      <c r="J160" s="499">
        <f t="shared" si="9"/>
        <v>47040</v>
      </c>
      <c r="K160" s="1157"/>
    </row>
    <row r="161" spans="2:11">
      <c r="B161" s="332"/>
      <c r="C161" s="333" t="s">
        <v>928</v>
      </c>
      <c r="D161" s="332" t="str">
        <f>Gia_Tbi!$C$10</f>
        <v>Cái</v>
      </c>
      <c r="E161" s="332">
        <f>Gia_Tbi!$D$10</f>
        <v>1</v>
      </c>
      <c r="F161" s="409">
        <v>0.2</v>
      </c>
      <c r="G161" s="353">
        <f>Gia_Tbi!$E$10</f>
        <v>10</v>
      </c>
      <c r="H161" s="497">
        <f>Gia_Tbi!$F$10</f>
        <v>80000000</v>
      </c>
      <c r="I161" s="497">
        <f>Gia_Tbi!$G$10</f>
        <v>16000</v>
      </c>
      <c r="J161" s="499">
        <f t="shared" si="9"/>
        <v>3200</v>
      </c>
      <c r="K161" s="1157"/>
    </row>
    <row r="162" spans="2:11">
      <c r="B162" s="332"/>
      <c r="C162" s="333" t="str">
        <f>Gia_Tbi!$B$15</f>
        <v>Hệ quản trị dữ liệu không gian</v>
      </c>
      <c r="D162" s="332" t="str">
        <f>Gia_Tbi!$C$15</f>
        <v>Bộ</v>
      </c>
      <c r="E162" s="332" t="str">
        <f>Gia_Tbi!$D$15</f>
        <v/>
      </c>
      <c r="F162" s="409">
        <v>0.05</v>
      </c>
      <c r="G162" s="332">
        <f>Gia_Tbi!$E$15</f>
        <v>10</v>
      </c>
      <c r="H162" s="621">
        <f>Gia_Tbi!$F$15</f>
        <v>357000000</v>
      </c>
      <c r="I162" s="352">
        <f>Gia_Tbi!$G$15</f>
        <v>71400</v>
      </c>
      <c r="J162" s="499">
        <f t="shared" si="9"/>
        <v>3570</v>
      </c>
      <c r="K162" s="573"/>
    </row>
    <row r="163" spans="2:11">
      <c r="B163" s="332"/>
      <c r="C163" s="333" t="s">
        <v>557</v>
      </c>
      <c r="D163" s="332" t="str">
        <f>Gia_Tbi!$C$12</f>
        <v>Bộ</v>
      </c>
      <c r="E163" s="332">
        <f>Gia_Tbi!$D$12</f>
        <v>0.1</v>
      </c>
      <c r="F163" s="409">
        <v>0.8</v>
      </c>
      <c r="G163" s="353">
        <f>Gia_Tbi!$E$12</f>
        <v>5</v>
      </c>
      <c r="H163" s="497">
        <f>Gia_Tbi!$F$12</f>
        <v>2500000</v>
      </c>
      <c r="I163" s="497">
        <f>Gia_Tbi!$G$12</f>
        <v>1000</v>
      </c>
      <c r="J163" s="499">
        <f t="shared" si="9"/>
        <v>800</v>
      </c>
      <c r="K163" s="1157"/>
    </row>
    <row r="164" spans="2:11">
      <c r="B164" s="332"/>
      <c r="C164" s="333" t="s">
        <v>25</v>
      </c>
      <c r="D164" s="332" t="str">
        <f>Gia_Tbi!$C$6</f>
        <v>Cái</v>
      </c>
      <c r="E164" s="332">
        <f>Gia_Tbi!$D$6</f>
        <v>2.2000000000000002</v>
      </c>
      <c r="F164" s="409">
        <v>6.6699999999999995E-2</v>
      </c>
      <c r="G164" s="332">
        <f>Gia_Tbi!$E$6</f>
        <v>8</v>
      </c>
      <c r="H164" s="497">
        <f>Gia_Tbi!$F$6</f>
        <v>12000000</v>
      </c>
      <c r="I164" s="497">
        <f>Gia_Tbi!$G$6</f>
        <v>3000</v>
      </c>
      <c r="J164" s="499">
        <f t="shared" si="9"/>
        <v>200.1</v>
      </c>
      <c r="K164" s="1157"/>
    </row>
    <row r="165" spans="2:11">
      <c r="B165" s="332"/>
      <c r="C165" s="333" t="s">
        <v>8</v>
      </c>
      <c r="D165" s="332" t="str">
        <f>Gia_Tbi!$C$13</f>
        <v>KW</v>
      </c>
      <c r="E165" s="332"/>
      <c r="F165" s="409">
        <v>0.4667</v>
      </c>
      <c r="G165" s="494"/>
      <c r="H165" s="497">
        <f>Gia_Tbi!$F$13</f>
        <v>1686</v>
      </c>
      <c r="I165" s="497">
        <f>Gia_Tbi!$G$13</f>
        <v>13488</v>
      </c>
      <c r="J165" s="499">
        <f t="shared" si="9"/>
        <v>6294.8496000000005</v>
      </c>
      <c r="K165" s="1157"/>
    </row>
    <row r="166" spans="2:11">
      <c r="K166" s="389"/>
    </row>
    <row r="167" spans="2:11">
      <c r="K167" s="389"/>
    </row>
  </sheetData>
  <mergeCells count="1">
    <mergeCell ref="B1:K1"/>
  </mergeCells>
  <pageMargins left="0.61811023600000004" right="0.118110236220472" top="0.94488188976377996" bottom="0.40748031499999998" header="0.31496062992126" footer="0.31496062992126"/>
  <pageSetup paperSize="9"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81"/>
  <sheetViews>
    <sheetView topLeftCell="B59" zoomScale="85" zoomScaleNormal="85" workbookViewId="0">
      <selection activeCell="E83" sqref="E83"/>
    </sheetView>
  </sheetViews>
  <sheetFormatPr defaultColWidth="9" defaultRowHeight="15.75"/>
  <cols>
    <col min="1" max="1" width="0" style="518" hidden="1" customWidth="1"/>
    <col min="2" max="2" width="5.5" style="518" customWidth="1"/>
    <col min="3" max="3" width="37.125" style="517" customWidth="1"/>
    <col min="4" max="4" width="8.5" style="518" customWidth="1"/>
    <col min="5" max="5" width="7.125" style="980" customWidth="1"/>
    <col min="6" max="6" width="10.25" style="935" customWidth="1"/>
    <col min="7" max="7" width="8.625" style="925" customWidth="1"/>
    <col min="8" max="8" width="9.375" style="517" customWidth="1"/>
    <col min="9" max="9" width="10" style="517" bestFit="1" customWidth="1"/>
    <col min="10" max="16384" width="9" style="517"/>
  </cols>
  <sheetData>
    <row r="1" spans="1:8" ht="33.75" customHeight="1">
      <c r="B1" s="1236" t="s">
        <v>1001</v>
      </c>
      <c r="C1" s="1236"/>
      <c r="D1" s="1236"/>
      <c r="E1" s="1236"/>
      <c r="F1" s="1236"/>
      <c r="G1" s="1236"/>
      <c r="H1" s="1236"/>
    </row>
    <row r="2" spans="1:8">
      <c r="E2" s="978"/>
      <c r="F2" s="924" t="s">
        <v>79</v>
      </c>
      <c r="G2" s="925" t="s">
        <v>78</v>
      </c>
    </row>
    <row r="3" spans="1:8" s="521" customFormat="1" ht="63">
      <c r="B3" s="614" t="s">
        <v>14</v>
      </c>
      <c r="C3" s="614" t="s">
        <v>2</v>
      </c>
      <c r="D3" s="614" t="s">
        <v>21</v>
      </c>
      <c r="E3" s="614" t="s">
        <v>909</v>
      </c>
      <c r="F3" s="589" t="s">
        <v>103</v>
      </c>
      <c r="G3" s="337" t="s">
        <v>913</v>
      </c>
      <c r="H3" s="337" t="s">
        <v>81</v>
      </c>
    </row>
    <row r="4" spans="1:8">
      <c r="B4" s="909">
        <v>1</v>
      </c>
      <c r="C4" s="560" t="s">
        <v>52</v>
      </c>
      <c r="D4" s="358" t="str">
        <f>Gia_Dcu!$C$6</f>
        <v>Cái</v>
      </c>
      <c r="E4" s="358">
        <f>Gia_Dcu!$D$6</f>
        <v>24</v>
      </c>
      <c r="F4" s="926">
        <f>Gia_Dcu!$F$6</f>
        <v>21.634615384615383</v>
      </c>
      <c r="G4" s="927">
        <v>1.7</v>
      </c>
      <c r="H4" s="384">
        <f t="shared" ref="H4:H9" si="0">$F4*G4</f>
        <v>36.778846153846153</v>
      </c>
    </row>
    <row r="5" spans="1:8">
      <c r="B5" s="909">
        <v>2</v>
      </c>
      <c r="C5" s="560" t="s">
        <v>53</v>
      </c>
      <c r="D5" s="358" t="str">
        <f>Gia_Dcu!$C$7</f>
        <v>Cái</v>
      </c>
      <c r="E5" s="358">
        <f>Gia_Dcu!$D$7</f>
        <v>60</v>
      </c>
      <c r="F5" s="926">
        <f>Gia_Dcu!$F$7</f>
        <v>961.53846153846155</v>
      </c>
      <c r="G5" s="927">
        <v>2.8332999999999999</v>
      </c>
      <c r="H5" s="384">
        <f t="shared" si="0"/>
        <v>2724.3269230769229</v>
      </c>
    </row>
    <row r="6" spans="1:8">
      <c r="B6" s="909">
        <v>3</v>
      </c>
      <c r="C6" s="560" t="s">
        <v>54</v>
      </c>
      <c r="D6" s="358" t="str">
        <f>Gia_Dcu!$C$8</f>
        <v>Cái</v>
      </c>
      <c r="E6" s="358">
        <f>Gia_Dcu!$D$8</f>
        <v>60</v>
      </c>
      <c r="F6" s="926">
        <f>Gia_Dcu!$F$8</f>
        <v>230.76923076923077</v>
      </c>
      <c r="G6" s="927">
        <v>8.5</v>
      </c>
      <c r="H6" s="384">
        <f t="shared" si="0"/>
        <v>1961.5384615384617</v>
      </c>
    </row>
    <row r="7" spans="1:8">
      <c r="B7" s="909">
        <v>4</v>
      </c>
      <c r="C7" s="560" t="s">
        <v>27</v>
      </c>
      <c r="D7" s="358" t="str">
        <f>Gia_Dcu!$C$9</f>
        <v>Cái</v>
      </c>
      <c r="E7" s="358">
        <f>Gia_Dcu!$D$9</f>
        <v>60</v>
      </c>
      <c r="F7" s="926">
        <f>Gia_Dcu!$F$9</f>
        <v>483.33333333333331</v>
      </c>
      <c r="G7" s="927">
        <v>8.5</v>
      </c>
      <c r="H7" s="384">
        <f t="shared" si="0"/>
        <v>4108.333333333333</v>
      </c>
    </row>
    <row r="8" spans="1:8">
      <c r="B8" s="909">
        <v>5</v>
      </c>
      <c r="C8" s="560" t="s">
        <v>55</v>
      </c>
      <c r="D8" s="358" t="str">
        <f>Gia_Dcu!$C$10</f>
        <v>Cái</v>
      </c>
      <c r="E8" s="358">
        <f>Gia_Dcu!$D$10</f>
        <v>60</v>
      </c>
      <c r="F8" s="926">
        <f>Gia_Dcu!$F$10</f>
        <v>557.69230769230774</v>
      </c>
      <c r="G8" s="927">
        <v>2.125</v>
      </c>
      <c r="H8" s="384">
        <f t="shared" si="0"/>
        <v>1185.096153846154</v>
      </c>
    </row>
    <row r="9" spans="1:8">
      <c r="B9" s="909">
        <v>6</v>
      </c>
      <c r="C9" s="560" t="s">
        <v>56</v>
      </c>
      <c r="D9" s="358" t="str">
        <f>Gia_Dcu!$C$11</f>
        <v>Cái</v>
      </c>
      <c r="E9" s="358">
        <f>Gia_Dcu!$D$11</f>
        <v>12</v>
      </c>
      <c r="F9" s="926">
        <f>Gia_Dcu!$F$11</f>
        <v>208.33333333333334</v>
      </c>
      <c r="G9" s="927">
        <v>8.5</v>
      </c>
      <c r="H9" s="384">
        <f t="shared" si="0"/>
        <v>1770.8333333333335</v>
      </c>
    </row>
    <row r="10" spans="1:8">
      <c r="B10" s="909">
        <v>7</v>
      </c>
      <c r="C10" s="560" t="s">
        <v>59</v>
      </c>
      <c r="D10" s="358" t="s">
        <v>907</v>
      </c>
      <c r="E10" s="928"/>
      <c r="F10" s="926">
        <f>Gia_Dcu!$F$14</f>
        <v>13488</v>
      </c>
      <c r="G10" s="927">
        <v>1.105</v>
      </c>
      <c r="H10" s="384">
        <f>$F10*G10*100%</f>
        <v>14904.24</v>
      </c>
    </row>
    <row r="11" spans="1:8">
      <c r="B11" s="909"/>
      <c r="C11" s="560" t="s">
        <v>156</v>
      </c>
      <c r="D11" s="358"/>
      <c r="E11" s="928"/>
      <c r="F11" s="926"/>
      <c r="G11" s="927"/>
      <c r="H11" s="979">
        <f>SUM(H4:H10)*1.05</f>
        <v>28025.704403846157</v>
      </c>
    </row>
    <row r="12" spans="1:8">
      <c r="G12" s="936"/>
    </row>
    <row r="13" spans="1:8" hidden="1">
      <c r="G13" s="936"/>
    </row>
    <row r="14" spans="1:8" ht="31.5">
      <c r="B14" s="614" t="s">
        <v>14</v>
      </c>
      <c r="C14" s="614" t="str">
        <f>NhanCong_Huyen!C3</f>
        <v>Nội dung công việc</v>
      </c>
      <c r="D14" s="614" t="s">
        <v>21</v>
      </c>
      <c r="E14" s="614" t="s">
        <v>28</v>
      </c>
      <c r="F14" s="337" t="s">
        <v>779</v>
      </c>
    </row>
    <row r="15" spans="1:8">
      <c r="A15" s="518">
        <v>1</v>
      </c>
      <c r="B15" s="343">
        <f>NhanCong_Xa!B4</f>
        <v>1</v>
      </c>
      <c r="C15" s="523" t="str">
        <f>NhanCong_Xa!C4:C4</f>
        <v>Công tác chuẩn bị</v>
      </c>
      <c r="D15" s="870"/>
      <c r="E15" s="981"/>
      <c r="F15" s="937"/>
      <c r="G15" s="982"/>
    </row>
    <row r="16" spans="1:8" ht="94.5">
      <c r="A16" s="518" t="s">
        <v>767</v>
      </c>
      <c r="B16" s="870" t="str">
        <f>NhanCong_Xa!B5</f>
        <v>1.1</v>
      </c>
      <c r="C16" s="406" t="str">
        <f>NhanCong_Xa!C5:C5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16" s="358" t="str">
        <f>NhanCong_Xa!D5</f>
        <v>Bộ dữ liệu theo xã</v>
      </c>
      <c r="E16" s="938">
        <v>0.17649999999999999</v>
      </c>
      <c r="F16" s="361">
        <f>E16*$H$11</f>
        <v>4946.5368272788464</v>
      </c>
    </row>
    <row r="17" spans="1:8" ht="63">
      <c r="A17" s="518" t="s">
        <v>768</v>
      </c>
      <c r="B17" s="870" t="str">
        <f>NhanCong_Xa!B6</f>
        <v>1.2</v>
      </c>
      <c r="C17" s="406" t="str">
        <f>NhanCong_Xa!C6:C6</f>
        <v>Chuẩn bị nhân lực, địa điểm làm việc; Chuẩn bị vật tư, thiết bị, dụng cụ, phần mềm phục vụ cho công tác xây dựng cơ sở dữ liệu thống kê, kiểm kê đất đai</v>
      </c>
      <c r="D17" s="358" t="str">
        <f>NhanCong_Xa!D6</f>
        <v>Bộ dữ liệu theo xã</v>
      </c>
      <c r="E17" s="938">
        <v>0.17649999999999999</v>
      </c>
      <c r="F17" s="361">
        <f>E17*$H$11</f>
        <v>4946.5368272788464</v>
      </c>
    </row>
    <row r="18" spans="1:8">
      <c r="A18" s="518">
        <v>8</v>
      </c>
      <c r="B18" s="343">
        <f>NhanCong_Xa!B7</f>
        <v>2</v>
      </c>
      <c r="C18" s="523" t="str">
        <f>NhanCong_Xa!C7:C7</f>
        <v>Xây dựng siêu dữ liệu thống kê, kiểm kê đất đai</v>
      </c>
      <c r="D18" s="870"/>
      <c r="E18" s="938"/>
      <c r="F18" s="361"/>
    </row>
    <row r="19" spans="1:8" ht="47.25">
      <c r="A19" s="518" t="s">
        <v>876</v>
      </c>
      <c r="B19" s="870" t="str">
        <f>NhanCong_Xa!B8</f>
        <v>2.1</v>
      </c>
      <c r="C19" s="406" t="str">
        <f>NhanCong_Xa!C8:C8</f>
        <v>Thu nhận các thông tin cần thiết để xây dựng siêu dữ liệu (thông tin mô tả dữ liệu) thống kê, kiểm kê đất đai</v>
      </c>
      <c r="D19" s="358" t="str">
        <f>NhanCong_Xa!D8</f>
        <v>Bộ dữ liệu theo xã</v>
      </c>
      <c r="E19" s="938">
        <v>0.1176</v>
      </c>
      <c r="F19" s="361">
        <f t="shared" ref="F19:F24" si="1">E19*$H$11</f>
        <v>3295.8228378923081</v>
      </c>
    </row>
    <row r="20" spans="1:8" ht="47.25">
      <c r="A20" s="518" t="s">
        <v>877</v>
      </c>
      <c r="B20" s="870" t="str">
        <f>NhanCong_Xa!B9</f>
        <v>2.2</v>
      </c>
      <c r="C20" s="406" t="str">
        <f>NhanCong_Xa!C9:C9</f>
        <v>Nhập thông tin siêu dữ liệu kiểm kê đất đai</v>
      </c>
      <c r="D20" s="358" t="str">
        <f>NhanCong_Xa!D9</f>
        <v>Bộ dữ liệu theo xã</v>
      </c>
      <c r="E20" s="938">
        <v>5.8799999999999998E-2</v>
      </c>
      <c r="F20" s="361">
        <f t="shared" si="1"/>
        <v>1647.9114189461541</v>
      </c>
    </row>
    <row r="21" spans="1:8" ht="31.5">
      <c r="A21" s="518">
        <v>9</v>
      </c>
      <c r="B21" s="343">
        <f>NhanCong_Xa!B10</f>
        <v>3</v>
      </c>
      <c r="C21" s="407" t="str">
        <f>NhanCong_Xa!C10:C10</f>
        <v>Phục vụ kiểm tra, nghiệm thu cơ sở dữ liệu thống kê, kiểm kê đất đai</v>
      </c>
      <c r="D21" s="358"/>
      <c r="E21" s="938"/>
      <c r="F21" s="361"/>
    </row>
    <row r="22" spans="1:8" ht="47.25">
      <c r="A22" s="518" t="s">
        <v>878</v>
      </c>
      <c r="B22" s="870" t="str">
        <f>NhanCong_Xa!B11</f>
        <v>3.1</v>
      </c>
      <c r="C22" s="406" t="str">
        <f>NhanCong_Xa!C11:C11</f>
        <v>Đơn vị thi công chuẩn bị tài liệu và phục vụ giám sát kiểm tra, nghiệm thu.</v>
      </c>
      <c r="D22" s="358" t="str">
        <f>NhanCong_Xa!D11</f>
        <v>Bộ dữ liệu theo xã</v>
      </c>
      <c r="E22" s="938">
        <v>0.1176</v>
      </c>
      <c r="F22" s="361">
        <f t="shared" si="1"/>
        <v>3295.8228378923081</v>
      </c>
    </row>
    <row r="23" spans="1:8" ht="63">
      <c r="A23" s="518" t="s">
        <v>879</v>
      </c>
      <c r="B23" s="870" t="str">
        <f>NhanCong_Xa!B12</f>
        <v>3.2</v>
      </c>
      <c r="C23" s="411" t="str">
        <f>NhanCong_Xa!C12</f>
        <v>Thực hiện kiểm tra tổng thể cơ sở dữ liệu thống kê, kiểm kê đất đai và tích hợp vào hệ thống ngay sau khi được nghiệm thu để phục vụ quản lý, vận hành, khai thác sử dụng.</v>
      </c>
      <c r="D23" s="358" t="str">
        <f>NhanCong_Xa!D12</f>
        <v>Bộ dữ liệu theo xã</v>
      </c>
      <c r="E23" s="938">
        <v>0.23530000000000001</v>
      </c>
      <c r="F23" s="361">
        <f t="shared" si="1"/>
        <v>6594.4482462250007</v>
      </c>
    </row>
    <row r="24" spans="1:8" ht="47.25">
      <c r="A24" s="518" t="s">
        <v>880</v>
      </c>
      <c r="B24" s="870" t="str">
        <f>NhanCong_Xa!B13</f>
        <v>3.3</v>
      </c>
      <c r="C24" s="600" t="str">
        <f>NhanCong_Xa!C13</f>
        <v>Đóng gói giao nộp cơ sở dữ liệu thống kê, kiểm kê đất đai</v>
      </c>
      <c r="D24" s="411" t="str">
        <f>NhanCong_Xa!D13</f>
        <v>Bộ dữ liệu theo xã</v>
      </c>
      <c r="E24" s="938">
        <v>0.1177</v>
      </c>
      <c r="F24" s="361">
        <f t="shared" si="1"/>
        <v>3298.6254083326926</v>
      </c>
    </row>
    <row r="25" spans="1:8">
      <c r="B25" s="983"/>
      <c r="C25" s="984"/>
      <c r="D25" s="756"/>
      <c r="E25" s="939">
        <f>SUM(E16:E24)</f>
        <v>1</v>
      </c>
      <c r="F25" s="940">
        <f>SUM(F16:F24)</f>
        <v>28025.704403846157</v>
      </c>
    </row>
    <row r="26" spans="1:8">
      <c r="B26" s="983"/>
      <c r="D26" s="770"/>
      <c r="E26" s="941"/>
      <c r="F26" s="942"/>
    </row>
    <row r="27" spans="1:8" ht="126">
      <c r="B27" s="614" t="s">
        <v>14</v>
      </c>
      <c r="C27" s="614" t="s">
        <v>2</v>
      </c>
      <c r="D27" s="614" t="s">
        <v>21</v>
      </c>
      <c r="E27" s="614" t="s">
        <v>102</v>
      </c>
      <c r="F27" s="589" t="s">
        <v>103</v>
      </c>
      <c r="G27" s="337" t="s">
        <v>908</v>
      </c>
      <c r="H27" s="337" t="s">
        <v>81</v>
      </c>
    </row>
    <row r="28" spans="1:8">
      <c r="B28" s="909">
        <v>1</v>
      </c>
      <c r="C28" s="560" t="s">
        <v>52</v>
      </c>
      <c r="D28" s="358" t="str">
        <f>Gia_Dcu!$C$6</f>
        <v>Cái</v>
      </c>
      <c r="E28" s="358">
        <f>Gia_Dcu!$D$6</f>
        <v>24</v>
      </c>
      <c r="F28" s="926">
        <f>Gia_Dcu!$F$6</f>
        <v>21.634615384615383</v>
      </c>
      <c r="G28" s="927">
        <v>1.08</v>
      </c>
      <c r="H28" s="384">
        <f t="shared" ref="H28:H33" si="2">$F28*G28</f>
        <v>23.365384615384617</v>
      </c>
    </row>
    <row r="29" spans="1:8">
      <c r="B29" s="909">
        <v>2</v>
      </c>
      <c r="C29" s="560" t="s">
        <v>53</v>
      </c>
      <c r="D29" s="358" t="str">
        <f>Gia_Dcu!$C$7</f>
        <v>Cái</v>
      </c>
      <c r="E29" s="358">
        <f>Gia_Dcu!$D$7</f>
        <v>60</v>
      </c>
      <c r="F29" s="926">
        <f>Gia_Dcu!$F$7</f>
        <v>961.53846153846155</v>
      </c>
      <c r="G29" s="927">
        <v>1.8</v>
      </c>
      <c r="H29" s="384">
        <f t="shared" si="2"/>
        <v>1730.7692307692307</v>
      </c>
    </row>
    <row r="30" spans="1:8">
      <c r="B30" s="909">
        <v>3</v>
      </c>
      <c r="C30" s="560" t="s">
        <v>54</v>
      </c>
      <c r="D30" s="358" t="str">
        <f>Gia_Dcu!$C$8</f>
        <v>Cái</v>
      </c>
      <c r="E30" s="358">
        <f>Gia_Dcu!$D$8</f>
        <v>60</v>
      </c>
      <c r="F30" s="926">
        <f>Gia_Dcu!$F$8</f>
        <v>230.76923076923077</v>
      </c>
      <c r="G30" s="927">
        <v>5.4</v>
      </c>
      <c r="H30" s="384">
        <f t="shared" si="2"/>
        <v>1246.1538461538462</v>
      </c>
    </row>
    <row r="31" spans="1:8">
      <c r="B31" s="909">
        <v>4</v>
      </c>
      <c r="C31" s="560" t="s">
        <v>27</v>
      </c>
      <c r="D31" s="358" t="str">
        <f>Gia_Dcu!$C$9</f>
        <v>Cái</v>
      </c>
      <c r="E31" s="358">
        <f>Gia_Dcu!$D$9</f>
        <v>60</v>
      </c>
      <c r="F31" s="926">
        <f>Gia_Dcu!$F$9</f>
        <v>483.33333333333331</v>
      </c>
      <c r="G31" s="927">
        <v>5.4</v>
      </c>
      <c r="H31" s="384">
        <f t="shared" si="2"/>
        <v>2610</v>
      </c>
    </row>
    <row r="32" spans="1:8">
      <c r="B32" s="909">
        <v>5</v>
      </c>
      <c r="C32" s="560" t="s">
        <v>55</v>
      </c>
      <c r="D32" s="358" t="str">
        <f>Gia_Dcu!$C$10</f>
        <v>Cái</v>
      </c>
      <c r="E32" s="358">
        <f>Gia_Dcu!$D$10</f>
        <v>60</v>
      </c>
      <c r="F32" s="926">
        <f>Gia_Dcu!$F$10</f>
        <v>557.69230769230774</v>
      </c>
      <c r="G32" s="927">
        <v>1.35</v>
      </c>
      <c r="H32" s="384">
        <f t="shared" si="2"/>
        <v>752.88461538461547</v>
      </c>
    </row>
    <row r="33" spans="1:8">
      <c r="B33" s="909">
        <v>6</v>
      </c>
      <c r="C33" s="560" t="s">
        <v>56</v>
      </c>
      <c r="D33" s="358" t="str">
        <f>Gia_Dcu!$C$11</f>
        <v>Cái</v>
      </c>
      <c r="E33" s="358">
        <f>Gia_Dcu!$D$11</f>
        <v>12</v>
      </c>
      <c r="F33" s="926">
        <f>Gia_Dcu!$F$11</f>
        <v>208.33333333333334</v>
      </c>
      <c r="G33" s="927">
        <v>5.4</v>
      </c>
      <c r="H33" s="384">
        <f t="shared" si="2"/>
        <v>1125.0000000000002</v>
      </c>
    </row>
    <row r="34" spans="1:8">
      <c r="B34" s="909">
        <v>7</v>
      </c>
      <c r="C34" s="560" t="s">
        <v>59</v>
      </c>
      <c r="D34" s="358" t="s">
        <v>907</v>
      </c>
      <c r="E34" s="928"/>
      <c r="F34" s="926">
        <f>Gia_Dcu!$F$14</f>
        <v>13488</v>
      </c>
      <c r="G34" s="927">
        <v>0.70199999999999996</v>
      </c>
      <c r="H34" s="384">
        <f>$F34*G34*100%</f>
        <v>9468.5759999999991</v>
      </c>
    </row>
    <row r="35" spans="1:8">
      <c r="B35" s="343"/>
      <c r="C35" s="523" t="s">
        <v>156</v>
      </c>
      <c r="D35" s="985"/>
      <c r="E35" s="945"/>
      <c r="F35" s="378"/>
      <c r="G35" s="523"/>
      <c r="H35" s="378">
        <f>SUM(H28:H34)*1.05</f>
        <v>17804.586530769229</v>
      </c>
    </row>
    <row r="36" spans="1:8">
      <c r="G36" s="936"/>
    </row>
    <row r="37" spans="1:8">
      <c r="G37" s="936"/>
    </row>
    <row r="38" spans="1:8" ht="31.5">
      <c r="B38" s="614" t="s">
        <v>14</v>
      </c>
      <c r="C38" s="614" t="s">
        <v>559</v>
      </c>
      <c r="D38" s="614" t="s">
        <v>21</v>
      </c>
      <c r="E38" s="614" t="s">
        <v>28</v>
      </c>
      <c r="F38" s="337" t="s">
        <v>779</v>
      </c>
    </row>
    <row r="39" spans="1:8">
      <c r="A39" s="518">
        <v>2</v>
      </c>
      <c r="B39" s="343">
        <f>NhanCong_Xa!B16</f>
        <v>1</v>
      </c>
      <c r="C39" s="523" t="str">
        <f>NhanCong_Xa!C16:C16</f>
        <v>Thu thập tài liệu, dữ liệu</v>
      </c>
      <c r="D39" s="870"/>
      <c r="E39" s="938"/>
      <c r="F39" s="361"/>
    </row>
    <row r="40" spans="1:8">
      <c r="A40" s="518" t="s">
        <v>827</v>
      </c>
      <c r="B40" s="870" t="str">
        <f>NhanCong_Xa!B17</f>
        <v>1.1</v>
      </c>
      <c r="C40" s="600" t="str">
        <f>NhanCong_Xa!C17</f>
        <v>Thu thập tài liệu, dữ liệu thống kê</v>
      </c>
      <c r="D40" s="600" t="str">
        <f>NhanCong_Xa!D17</f>
        <v>Năm TK</v>
      </c>
      <c r="E40" s="938">
        <v>1.8499999999999999E-2</v>
      </c>
      <c r="F40" s="361">
        <f>E40*$H$35</f>
        <v>329.38485081923073</v>
      </c>
    </row>
    <row r="41" spans="1:8">
      <c r="A41" s="518" t="s">
        <v>830</v>
      </c>
      <c r="B41" s="870" t="str">
        <f>NhanCong_Xa!B18</f>
        <v>1.2</v>
      </c>
      <c r="C41" s="600" t="str">
        <f>NhanCong_Xa!C18</f>
        <v>Thu thập tài liệu, dữ liệu kiểm kê</v>
      </c>
      <c r="D41" s="600" t="str">
        <f>NhanCong_Xa!D18</f>
        <v>Kỳ KK</v>
      </c>
      <c r="E41" s="938">
        <v>9.2600000000000002E-2</v>
      </c>
      <c r="F41" s="361">
        <f>E41*$H$35</f>
        <v>1648.7047127492306</v>
      </c>
    </row>
    <row r="42" spans="1:8" ht="31.5">
      <c r="A42" s="518">
        <v>3</v>
      </c>
      <c r="B42" s="343">
        <f>NhanCong_Xa!B19</f>
        <v>2</v>
      </c>
      <c r="C42" s="407" t="str">
        <f>NhanCong_Xa!C19:C19</f>
        <v>Rà soát, đánh giá, phân loại và sắp xếp tài liệu, dữ liệu</v>
      </c>
      <c r="D42" s="870"/>
      <c r="E42" s="938"/>
      <c r="F42" s="361"/>
    </row>
    <row r="43" spans="1:8">
      <c r="A43" s="518" t="s">
        <v>771</v>
      </c>
      <c r="B43" s="870" t="str">
        <f>NhanCong_Xa!B20</f>
        <v>2.1</v>
      </c>
      <c r="C43" s="600" t="str">
        <f>NhanCong_Xa!C20</f>
        <v>Rà soát, đánh giá, phân loại và sắp xếp tài liệu, dữ liệu thống kê và lập báo cáo kết quản thực hiện</v>
      </c>
      <c r="D43" s="600" t="str">
        <f>NhanCong_Xa!D20</f>
        <v>Năm TK</v>
      </c>
      <c r="E43" s="938">
        <v>9.2600000000000002E-2</v>
      </c>
      <c r="F43" s="361">
        <f>E43*$H$35</f>
        <v>1648.7047127492306</v>
      </c>
    </row>
    <row r="44" spans="1:8" ht="47.25">
      <c r="A44" s="518" t="s">
        <v>774</v>
      </c>
      <c r="B44" s="870" t="str">
        <f>NhanCong_Xa!B21</f>
        <v>2.2</v>
      </c>
      <c r="C44" s="411" t="str">
        <f>NhanCong_Xa!C21</f>
        <v>Rà soát, đánh giá, phân loại và sắp xếp tài liệu, dữ liệu kiểm kê và lập báo cáo kết quản thực hiện</v>
      </c>
      <c r="D44" s="600" t="str">
        <f>NhanCong_Xa!D21</f>
        <v>Kỳ KK</v>
      </c>
      <c r="E44" s="938">
        <v>0.27779999999999999</v>
      </c>
      <c r="F44" s="361">
        <f>E44*$H$35</f>
        <v>4946.1141382476917</v>
      </c>
    </row>
    <row r="45" spans="1:8">
      <c r="A45" s="518">
        <v>5</v>
      </c>
      <c r="B45" s="343">
        <f>NhanCong_Xa!B22</f>
        <v>3</v>
      </c>
      <c r="C45" s="523" t="str">
        <f>NhanCong_Xa!C22:C22</f>
        <v>Quét giấy tờ pháp lý và xử lý tệp tin</v>
      </c>
      <c r="D45" s="870"/>
      <c r="E45" s="938"/>
      <c r="F45" s="361">
        <f>E45*$H$35</f>
        <v>0</v>
      </c>
    </row>
    <row r="46" spans="1:8" ht="110.25">
      <c r="B46" s="358" t="s">
        <v>771</v>
      </c>
      <c r="C46" s="406" t="s">
        <v>813</v>
      </c>
      <c r="D46" s="870"/>
      <c r="E46" s="938"/>
      <c r="F46" s="361"/>
    </row>
    <row r="47" spans="1:8">
      <c r="B47" s="358" t="s">
        <v>62</v>
      </c>
      <c r="C47" s="406" t="s">
        <v>569</v>
      </c>
      <c r="D47" s="870"/>
      <c r="E47" s="938"/>
      <c r="F47" s="361">
        <v>77.430000000000007</v>
      </c>
    </row>
    <row r="48" spans="1:8">
      <c r="B48" s="358" t="s">
        <v>63</v>
      </c>
      <c r="C48" s="406" t="s">
        <v>570</v>
      </c>
      <c r="D48" s="870"/>
      <c r="E48" s="938"/>
      <c r="F48" s="361">
        <v>76.540000000000006</v>
      </c>
    </row>
    <row r="49" spans="1:8" ht="110.25">
      <c r="B49" s="358" t="s">
        <v>774</v>
      </c>
      <c r="C49" s="406" t="s">
        <v>814</v>
      </c>
      <c r="D49" s="870"/>
      <c r="E49" s="938"/>
      <c r="F49" s="361">
        <v>56.31</v>
      </c>
    </row>
    <row r="50" spans="1:8" ht="31.5">
      <c r="A50" s="518" t="s">
        <v>869</v>
      </c>
      <c r="B50" s="870" t="str">
        <f>NhanCong_Xa!B27</f>
        <v>3.3</v>
      </c>
      <c r="C50" s="406" t="str">
        <f>NhanCong_Xa!C27:C27</f>
        <v>Tạo danh mục tra cứu hồ sơ quét trong cơ sở dữ liệu thống kê, kiểm kê đất đai</v>
      </c>
      <c r="D50" s="870" t="str">
        <f>NhanCong_Xa!D27</f>
        <v>Năm TK hoặc Kỳ KK</v>
      </c>
      <c r="E50" s="938">
        <v>9.2600000000000002E-2</v>
      </c>
      <c r="F50" s="361">
        <f>E50*$H$35</f>
        <v>1648.7047127492306</v>
      </c>
    </row>
    <row r="51" spans="1:8" ht="31.5">
      <c r="A51" s="518">
        <v>6</v>
      </c>
      <c r="B51" s="343">
        <f>NhanCong_Xa!B28</f>
        <v>4</v>
      </c>
      <c r="C51" s="407" t="str">
        <f>NhanCong_Xa!C28:C28</f>
        <v>Xây dựng dữ liệu thuộc tính thống kê, kiểm kê đất đai</v>
      </c>
      <c r="D51" s="870"/>
      <c r="E51" s="938"/>
      <c r="F51" s="361"/>
    </row>
    <row r="52" spans="1:8">
      <c r="A52" s="518" t="s">
        <v>870</v>
      </c>
      <c r="B52" s="870" t="str">
        <f>NhanCong_Xa!B29</f>
        <v>4.1</v>
      </c>
      <c r="C52" s="411" t="str">
        <f>NhanCong_Xa!C29</f>
        <v>Đối với tài liệu, số liệu là bảng, biểu dạng số</v>
      </c>
      <c r="D52" s="870"/>
      <c r="E52" s="938"/>
      <c r="F52" s="361">
        <f>E52*$H$35</f>
        <v>0</v>
      </c>
    </row>
    <row r="53" spans="1:8">
      <c r="A53" s="518" t="s">
        <v>871</v>
      </c>
      <c r="B53" s="870" t="str">
        <f>NhanCong_Xa!B30</f>
        <v>4.1.1</v>
      </c>
      <c r="C53" s="525" t="str">
        <f>NhanCong_Xa!C30:C30</f>
        <v>Lập mô hình chuyển đổi cơ sở dữ liệu thống kê, kiểm kê đất đai</v>
      </c>
      <c r="D53" s="870" t="str">
        <f>NhanCong_Xa!D30</f>
        <v>Năm TK hoặc Kỳ KK</v>
      </c>
      <c r="E53" s="938">
        <v>3.6999999999999998E-2</v>
      </c>
      <c r="F53" s="361">
        <f>E53*$H$35</f>
        <v>658.76970163846147</v>
      </c>
    </row>
    <row r="54" spans="1:8" ht="47.25">
      <c r="A54" s="518" t="s">
        <v>872</v>
      </c>
      <c r="B54" s="870" t="str">
        <f>NhanCong_Xa!B31</f>
        <v>4.1.2</v>
      </c>
      <c r="C54" s="406" t="str">
        <f>NhanCong_Xa!C31:C31</f>
        <v>Chuyển đổi vào cơ sở dữ liệu thống kê, kiểm kê đất đai</v>
      </c>
      <c r="D54" s="358" t="str">
        <f>NhanCong_Xa!D31</f>
        <v>Năm TK hoặc Kỳ KK</v>
      </c>
      <c r="E54" s="938">
        <v>7.4099999999999999E-2</v>
      </c>
      <c r="F54" s="361">
        <f>E54*$H$35</f>
        <v>1319.3198619299999</v>
      </c>
    </row>
    <row r="55" spans="1:8" ht="47.25">
      <c r="A55" s="518" t="s">
        <v>873</v>
      </c>
      <c r="B55" s="870" t="str">
        <f>NhanCong_Xa!B32</f>
        <v>4.2</v>
      </c>
      <c r="C55" s="406" t="str">
        <f>NhanCong_Xa!C32:C32</f>
        <v>Đối với tài liệu, số liệu là báo cáo dạng số thì tạo danh mục tra cứu trong cơ sở dữ liệu thống kê, kiểm kê đất đai</v>
      </c>
      <c r="D55" s="358" t="str">
        <f>NhanCong_Xa!D32</f>
        <v>Năm TK hoặc Kỳ KK</v>
      </c>
      <c r="E55" s="938">
        <v>3.6999999999999998E-2</v>
      </c>
      <c r="F55" s="361">
        <f>E55*$H$35</f>
        <v>658.76970163846147</v>
      </c>
    </row>
    <row r="56" spans="1:8" ht="31.5">
      <c r="A56" s="518">
        <v>7</v>
      </c>
      <c r="B56" s="343">
        <f>NhanCong_Xa!B33</f>
        <v>5</v>
      </c>
      <c r="C56" s="407" t="str">
        <f>NhanCong_Xa!C33:C33</f>
        <v>Đối soát, hoàn thiện dữ liệu thống kê, kiểm kê đất đai</v>
      </c>
      <c r="D56" s="870" t="str">
        <f>NhanCong_Xa!D34</f>
        <v>Năm TK</v>
      </c>
      <c r="E56" s="938"/>
      <c r="F56" s="361"/>
    </row>
    <row r="57" spans="1:8">
      <c r="A57" s="518" t="s">
        <v>874</v>
      </c>
      <c r="B57" s="870" t="str">
        <f>NhanCong_Xa!B34</f>
        <v>5.1</v>
      </c>
      <c r="C57" s="600" t="str">
        <f>NhanCong_Xa!C34</f>
        <v>Đối soát, hoàn thiện dữ liệu thống kê đất đai</v>
      </c>
      <c r="D57" s="870" t="str">
        <f>NhanCong_Xa!D34</f>
        <v>Năm TK</v>
      </c>
      <c r="E57" s="938">
        <v>9.2600000000000002E-2</v>
      </c>
      <c r="F57" s="361">
        <f>E57*$H$35</f>
        <v>1648.7047127492306</v>
      </c>
    </row>
    <row r="58" spans="1:8">
      <c r="A58" s="518" t="s">
        <v>875</v>
      </c>
      <c r="B58" s="870" t="str">
        <f>NhanCong_Xa!B35</f>
        <v>5.2</v>
      </c>
      <c r="C58" s="600" t="str">
        <f>NhanCong_Xa!C35</f>
        <v>Đối soát, hoàn thiện dữ liệu kiểm kê đất đai</v>
      </c>
      <c r="D58" s="870" t="str">
        <f>NhanCong_Xa!D35</f>
        <v>Kỳ KK</v>
      </c>
      <c r="E58" s="938">
        <v>0.1852</v>
      </c>
      <c r="F58" s="361">
        <f>E58*$H$35</f>
        <v>3297.4094254984611</v>
      </c>
    </row>
    <row r="59" spans="1:8">
      <c r="B59" s="920"/>
      <c r="C59" s="986"/>
      <c r="D59" s="921"/>
      <c r="E59" s="987">
        <f>SUM(E40:E44)+SUM(E50:E58)</f>
        <v>1</v>
      </c>
      <c r="F59" s="988">
        <f>SUM(F40:F44)+SUM(F50:F58)</f>
        <v>17804.586530769229</v>
      </c>
    </row>
    <row r="60" spans="1:8">
      <c r="B60" s="770"/>
      <c r="D60" s="781"/>
      <c r="E60" s="989"/>
      <c r="F60" s="990"/>
    </row>
    <row r="61" spans="1:8" ht="78.75">
      <c r="B61" s="614" t="s">
        <v>14</v>
      </c>
      <c r="C61" s="614" t="s">
        <v>2</v>
      </c>
      <c r="D61" s="614" t="s">
        <v>21</v>
      </c>
      <c r="E61" s="614" t="s">
        <v>909</v>
      </c>
      <c r="F61" s="589" t="s">
        <v>103</v>
      </c>
      <c r="G61" s="337" t="s">
        <v>898</v>
      </c>
      <c r="H61" s="337" t="s">
        <v>81</v>
      </c>
    </row>
    <row r="62" spans="1:8">
      <c r="B62" s="909">
        <v>1</v>
      </c>
      <c r="C62" s="560" t="s">
        <v>52</v>
      </c>
      <c r="D62" s="358" t="str">
        <f>Gia_Dcu!$C$6</f>
        <v>Cái</v>
      </c>
      <c r="E62" s="358">
        <f>Gia_Dcu!$D$6</f>
        <v>24</v>
      </c>
      <c r="F62" s="926">
        <f>Gia_Dcu!$F$6</f>
        <v>21.634615384615383</v>
      </c>
      <c r="G62" s="927">
        <v>1.7</v>
      </c>
      <c r="H62" s="384">
        <f t="shared" ref="H62:H67" si="3">$F62*G62</f>
        <v>36.778846153846153</v>
      </c>
    </row>
    <row r="63" spans="1:8">
      <c r="B63" s="909">
        <v>2</v>
      </c>
      <c r="C63" s="560" t="s">
        <v>53</v>
      </c>
      <c r="D63" s="358" t="str">
        <f>Gia_Dcu!$C$7</f>
        <v>Cái</v>
      </c>
      <c r="E63" s="358">
        <f>Gia_Dcu!$D$7</f>
        <v>60</v>
      </c>
      <c r="F63" s="926">
        <f>Gia_Dcu!$F$7</f>
        <v>961.53846153846155</v>
      </c>
      <c r="G63" s="927">
        <v>2.8332999999999999</v>
      </c>
      <c r="H63" s="384">
        <f t="shared" si="3"/>
        <v>2724.3269230769229</v>
      </c>
    </row>
    <row r="64" spans="1:8">
      <c r="B64" s="909">
        <v>3</v>
      </c>
      <c r="C64" s="560" t="s">
        <v>54</v>
      </c>
      <c r="D64" s="358" t="str">
        <f>Gia_Dcu!$C$8</f>
        <v>Cái</v>
      </c>
      <c r="E64" s="358">
        <f>Gia_Dcu!$D$8</f>
        <v>60</v>
      </c>
      <c r="F64" s="926">
        <f>Gia_Dcu!$F$8</f>
        <v>230.76923076923077</v>
      </c>
      <c r="G64" s="927">
        <v>8.5</v>
      </c>
      <c r="H64" s="384">
        <f t="shared" si="3"/>
        <v>1961.5384615384617</v>
      </c>
    </row>
    <row r="65" spans="1:9">
      <c r="B65" s="909">
        <v>4</v>
      </c>
      <c r="C65" s="560" t="s">
        <v>27</v>
      </c>
      <c r="D65" s="358" t="str">
        <f>Gia_Dcu!$C$9</f>
        <v>Cái</v>
      </c>
      <c r="E65" s="358">
        <f>Gia_Dcu!$D$9</f>
        <v>60</v>
      </c>
      <c r="F65" s="926">
        <f>Gia_Dcu!$F$9</f>
        <v>483.33333333333331</v>
      </c>
      <c r="G65" s="927">
        <v>8.5</v>
      </c>
      <c r="H65" s="384">
        <f t="shared" si="3"/>
        <v>4108.333333333333</v>
      </c>
    </row>
    <row r="66" spans="1:9">
      <c r="B66" s="909">
        <v>5</v>
      </c>
      <c r="C66" s="560" t="s">
        <v>55</v>
      </c>
      <c r="D66" s="358" t="str">
        <f>Gia_Dcu!$C$10</f>
        <v>Cái</v>
      </c>
      <c r="E66" s="358">
        <f>Gia_Dcu!$D$10</f>
        <v>60</v>
      </c>
      <c r="F66" s="926">
        <f>Gia_Dcu!$F$10</f>
        <v>557.69230769230774</v>
      </c>
      <c r="G66" s="927">
        <v>2.125</v>
      </c>
      <c r="H66" s="384">
        <f t="shared" si="3"/>
        <v>1185.096153846154</v>
      </c>
    </row>
    <row r="67" spans="1:9">
      <c r="B67" s="909">
        <v>6</v>
      </c>
      <c r="C67" s="560" t="s">
        <v>56</v>
      </c>
      <c r="D67" s="358" t="str">
        <f>Gia_Dcu!$C$11</f>
        <v>Cái</v>
      </c>
      <c r="E67" s="358">
        <f>Gia_Dcu!$D$11</f>
        <v>12</v>
      </c>
      <c r="F67" s="926">
        <f>Gia_Dcu!$F$11</f>
        <v>208.33333333333334</v>
      </c>
      <c r="G67" s="927">
        <v>8.5</v>
      </c>
      <c r="H67" s="384">
        <f t="shared" si="3"/>
        <v>1770.8333333333335</v>
      </c>
    </row>
    <row r="68" spans="1:9">
      <c r="B68" s="909">
        <v>7</v>
      </c>
      <c r="C68" s="560" t="s">
        <v>59</v>
      </c>
      <c r="D68" s="358" t="str">
        <f>Gia_Dcu!$C$14</f>
        <v>KW</v>
      </c>
      <c r="E68" s="928"/>
      <c r="F68" s="926">
        <f>Gia_Dcu!$F$14</f>
        <v>13488</v>
      </c>
      <c r="G68" s="927">
        <v>1.105</v>
      </c>
      <c r="H68" s="384">
        <f>$F68*G68*100%</f>
        <v>14904.24</v>
      </c>
    </row>
    <row r="69" spans="1:9">
      <c r="B69" s="909"/>
      <c r="C69" s="560" t="s">
        <v>156</v>
      </c>
      <c r="D69" s="358"/>
      <c r="E69" s="928"/>
      <c r="F69" s="926"/>
      <c r="G69" s="927"/>
      <c r="H69" s="991">
        <f>SUM(H62:H68)*1.05</f>
        <v>28025.704403846157</v>
      </c>
    </row>
    <row r="70" spans="1:9">
      <c r="B70" s="929"/>
      <c r="C70" s="930"/>
      <c r="D70" s="770"/>
      <c r="E70" s="610"/>
      <c r="F70" s="932"/>
      <c r="G70" s="931"/>
      <c r="H70" s="933"/>
      <c r="I70" s="992"/>
    </row>
    <row r="71" spans="1:9">
      <c r="G71" s="936"/>
    </row>
    <row r="72" spans="1:9" ht="45.75" customHeight="1">
      <c r="B72" s="614" t="s">
        <v>14</v>
      </c>
      <c r="C72" s="614" t="s">
        <v>559</v>
      </c>
      <c r="D72" s="614" t="s">
        <v>21</v>
      </c>
      <c r="E72" s="614" t="s">
        <v>28</v>
      </c>
      <c r="F72" s="337" t="s">
        <v>779</v>
      </c>
    </row>
    <row r="73" spans="1:9" ht="31.5">
      <c r="A73" s="518" t="s">
        <v>553</v>
      </c>
      <c r="B73" s="870">
        <f>NhanCong_Xa!B39</f>
        <v>1</v>
      </c>
      <c r="C73" s="406" t="str">
        <f>NhanCong_Xa!C39:C39</f>
        <v>Chuẩn hóa các lớp đối tượng không gian kiểm kê đất đai</v>
      </c>
      <c r="D73" s="870"/>
      <c r="E73" s="938"/>
      <c r="F73" s="361"/>
    </row>
    <row r="74" spans="1:9" ht="78.75">
      <c r="A74" s="518" t="s">
        <v>69</v>
      </c>
      <c r="B74" s="870" t="str">
        <f>NhanCong_Xa!B40</f>
        <v>1.1</v>
      </c>
      <c r="C74" s="406"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74" s="358" t="str">
        <f>NhanCong_Xa!D40</f>
        <v>Lớp dữ liệu</v>
      </c>
      <c r="E74" s="938">
        <v>0.23530000000000001</v>
      </c>
      <c r="F74" s="361">
        <f t="shared" ref="F74:F80" si="4">E74*$H$69</f>
        <v>6594.4482462250007</v>
      </c>
    </row>
    <row r="75" spans="1:9" ht="31.5">
      <c r="A75" s="518" t="s">
        <v>70</v>
      </c>
      <c r="B75" s="870" t="str">
        <f>NhanCong_Xa!B41</f>
        <v>1.2</v>
      </c>
      <c r="C75" s="406" t="str">
        <f>NhanCong_Xa!C41:C41</f>
        <v>Chuẩn hóa các lớp đối tượng không gian kiểm kê đất đai chưa phù hợp</v>
      </c>
      <c r="D75" s="358" t="str">
        <f>NhanCong_Xa!D41</f>
        <v>Lớp dữ liệu</v>
      </c>
      <c r="E75" s="938">
        <v>0.29409999999999997</v>
      </c>
      <c r="F75" s="361">
        <f t="shared" si="4"/>
        <v>8242.3596651711541</v>
      </c>
    </row>
    <row r="76" spans="1:9" ht="47.25">
      <c r="A76" s="518" t="s">
        <v>691</v>
      </c>
      <c r="B76" s="870" t="str">
        <f>NhanCong_Xa!B42</f>
        <v>1.3</v>
      </c>
      <c r="C76" s="406" t="str">
        <f>NhanCong_Xa!C42:C42</f>
        <v>Nhập bổ sung các thông tin thuộc tính cho đối tượng không gian kiểm kê đất đai còn thiếu (nếu có)</v>
      </c>
      <c r="D76" s="358" t="str">
        <f>NhanCong_Xa!D42</f>
        <v>Lớp dữ liệu</v>
      </c>
      <c r="E76" s="938">
        <v>5.8799999999999998E-2</v>
      </c>
      <c r="F76" s="361">
        <f t="shared" si="4"/>
        <v>1647.9114189461541</v>
      </c>
    </row>
    <row r="77" spans="1:9" ht="31.5">
      <c r="A77" s="518" t="s">
        <v>694</v>
      </c>
      <c r="B77" s="870" t="str">
        <f>NhanCong_Xa!B43</f>
        <v>1.4</v>
      </c>
      <c r="C77" s="406" t="str">
        <f>NhanCong_Xa!C43:C43</f>
        <v>Rà soát chuẩn hóa thông tin thuộc tính cho từng đối tượng không gian kiểm kê đất đai</v>
      </c>
      <c r="D77" s="358" t="str">
        <f>NhanCong_Xa!D43</f>
        <v>Lớp dữ liệu</v>
      </c>
      <c r="E77" s="938">
        <v>0.23530000000000001</v>
      </c>
      <c r="F77" s="361">
        <f t="shared" si="4"/>
        <v>6594.4482462250007</v>
      </c>
      <c r="H77" s="949"/>
    </row>
    <row r="78" spans="1:9" ht="28.5" customHeight="1">
      <c r="A78" s="518" t="s">
        <v>864</v>
      </c>
      <c r="B78" s="870">
        <f>NhanCong_Xa!B44</f>
        <v>2</v>
      </c>
      <c r="C78" s="525" t="str">
        <f>NhanCong_Xa!C44:C44</f>
        <v>Chuyển đổi và tích hợp không gian kiểm kê đất đai</v>
      </c>
      <c r="D78" s="358" t="str">
        <f>NhanCong_Xa!D43</f>
        <v>Lớp dữ liệu</v>
      </c>
      <c r="E78" s="938"/>
      <c r="F78" s="361"/>
    </row>
    <row r="79" spans="1:9" ht="47.25">
      <c r="A79" s="518" t="s">
        <v>865</v>
      </c>
      <c r="B79" s="870" t="str">
        <f>NhanCong_Xa!B45</f>
        <v>2.1</v>
      </c>
      <c r="C79" s="406" t="str">
        <f>NhanCong_Xa!C45:C45</f>
        <v>Chuyển đổi các lớp đối tượng không gian kiểm kê đất đai từ tệp (File) bản đồ số vào cơ sở dữ liệu theo đơn vị hành chính</v>
      </c>
      <c r="D79" s="358" t="str">
        <f>NhanCong_Xa!D45</f>
        <v>Lớp dữ liệu</v>
      </c>
      <c r="E79" s="938">
        <v>5.8799999999999998E-2</v>
      </c>
      <c r="F79" s="361">
        <f t="shared" si="4"/>
        <v>1647.9114189461541</v>
      </c>
    </row>
    <row r="80" spans="1:9" ht="47.25">
      <c r="A80" s="518" t="s">
        <v>866</v>
      </c>
      <c r="B80" s="870" t="str">
        <f>NhanCong_Xa!B46</f>
        <v>2.2</v>
      </c>
      <c r="C80" s="406" t="str">
        <f>NhanCong_Xa!C46:C46</f>
        <v>Rà soát dữ liệu không gian để xử lý các lỗi dọc biên giữa các đơn vị hành chính tiếp giáp nhau</v>
      </c>
      <c r="D80" s="358" t="str">
        <f>NhanCong_Xa!D46</f>
        <v>Lớp dữ liệu</v>
      </c>
      <c r="E80" s="938">
        <v>0.1177</v>
      </c>
      <c r="F80" s="361">
        <f t="shared" si="4"/>
        <v>3298.6254083326926</v>
      </c>
    </row>
    <row r="81" spans="2:6">
      <c r="B81" s="870"/>
      <c r="C81" s="406"/>
      <c r="D81" s="358"/>
      <c r="E81" s="938">
        <f>SUM(E74:E80)</f>
        <v>0.99999999999999989</v>
      </c>
      <c r="F81" s="378">
        <f>SUM(F74:F80)</f>
        <v>28025.704403846157</v>
      </c>
    </row>
  </sheetData>
  <mergeCells count="1">
    <mergeCell ref="B1:H1"/>
  </mergeCells>
  <printOptions horizontalCentered="1"/>
  <pageMargins left="0.655511811" right="0.511811023622047" top="0.31496062992126" bottom="0.44685039399999998" header="0.511811023622047" footer="0.23622047244094499"/>
  <pageSetup orientation="portrait" horizontalDpi="1200" verticalDpi="120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89"/>
  <sheetViews>
    <sheetView topLeftCell="B1" zoomScale="85" zoomScaleNormal="85" workbookViewId="0">
      <selection activeCell="I30" sqref="I30"/>
    </sheetView>
  </sheetViews>
  <sheetFormatPr defaultColWidth="9" defaultRowHeight="15.75"/>
  <cols>
    <col min="1" max="1" width="0" style="518" hidden="1" customWidth="1"/>
    <col min="2" max="2" width="5.25" style="518" customWidth="1"/>
    <col min="3" max="3" width="37.625" style="517" customWidth="1"/>
    <col min="4" max="4" width="9.625" style="518" customWidth="1"/>
    <col min="5" max="5" width="12.375" style="517" customWidth="1"/>
    <col min="6" max="6" width="11.375" style="517" customWidth="1"/>
    <col min="7" max="7" width="11.75" style="522" customWidth="1"/>
    <col min="8" max="9" width="9" style="517"/>
    <col min="10" max="10" width="9" style="517" customWidth="1"/>
    <col min="11" max="16384" width="9" style="517"/>
  </cols>
  <sheetData>
    <row r="1" spans="1:7">
      <c r="B1" s="1197" t="s">
        <v>1006</v>
      </c>
      <c r="C1" s="1197"/>
      <c r="D1" s="1197"/>
      <c r="E1" s="1197"/>
      <c r="F1" s="1197"/>
      <c r="G1" s="1197"/>
    </row>
    <row r="2" spans="1:7">
      <c r="G2" s="519"/>
    </row>
    <row r="3" spans="1:7" s="521" customFormat="1" ht="47.25">
      <c r="B3" s="614" t="s">
        <v>14</v>
      </c>
      <c r="C3" s="614" t="s">
        <v>2</v>
      </c>
      <c r="D3" s="614" t="s">
        <v>21</v>
      </c>
      <c r="E3" s="614" t="s">
        <v>912</v>
      </c>
      <c r="F3" s="563" t="s">
        <v>19</v>
      </c>
      <c r="G3" s="581" t="s">
        <v>601</v>
      </c>
    </row>
    <row r="4" spans="1:7">
      <c r="B4" s="358">
        <v>1</v>
      </c>
      <c r="C4" s="584" t="s">
        <v>85</v>
      </c>
      <c r="D4" s="671" t="str">
        <f>Gia_VLieu!$C$4</f>
        <v>Gram</v>
      </c>
      <c r="E4" s="974">
        <v>0.75900000000000001</v>
      </c>
      <c r="F4" s="585">
        <f>Gia_VLieu!$D$4</f>
        <v>45000</v>
      </c>
      <c r="G4" s="585">
        <f t="shared" ref="G4:G11" si="0">F4*E4</f>
        <v>34155</v>
      </c>
    </row>
    <row r="5" spans="1:7">
      <c r="B5" s="358">
        <v>2</v>
      </c>
      <c r="C5" s="584" t="s">
        <v>86</v>
      </c>
      <c r="D5" s="671" t="str">
        <f>Gia_VLieu!$C$5</f>
        <v>Hộp</v>
      </c>
      <c r="E5" s="974">
        <v>9.4899999999999998E-2</v>
      </c>
      <c r="F5" s="585">
        <f>Gia_VLieu!$D$5</f>
        <v>1450000</v>
      </c>
      <c r="G5" s="585">
        <f t="shared" si="0"/>
        <v>137605</v>
      </c>
    </row>
    <row r="6" spans="1:7">
      <c r="B6" s="358">
        <v>3</v>
      </c>
      <c r="C6" s="584" t="s">
        <v>88</v>
      </c>
      <c r="D6" s="671" t="str">
        <f>Gia_VLieu!$C$6</f>
        <v>Quyển</v>
      </c>
      <c r="E6" s="974">
        <v>1.5179</v>
      </c>
      <c r="F6" s="585">
        <f>Gia_VLieu!$D$6</f>
        <v>10000</v>
      </c>
      <c r="G6" s="585">
        <f t="shared" si="0"/>
        <v>15179</v>
      </c>
    </row>
    <row r="7" spans="1:7">
      <c r="B7" s="358">
        <v>4</v>
      </c>
      <c r="C7" s="584" t="s">
        <v>22</v>
      </c>
      <c r="D7" s="671" t="str">
        <f>Gia_VLieu!$C$7</f>
        <v>Cái</v>
      </c>
      <c r="E7" s="974">
        <v>3.7948</v>
      </c>
      <c r="F7" s="585">
        <f>Gia_VLieu!$D$7</f>
        <v>2000</v>
      </c>
      <c r="G7" s="585">
        <f t="shared" si="0"/>
        <v>7589.5999999999995</v>
      </c>
    </row>
    <row r="8" spans="1:7">
      <c r="B8" s="358">
        <v>5</v>
      </c>
      <c r="C8" s="584" t="s">
        <v>90</v>
      </c>
      <c r="D8" s="671" t="str">
        <f>Gia_VLieu!$C$8</f>
        <v>Cái</v>
      </c>
      <c r="E8" s="974">
        <v>1.5179</v>
      </c>
      <c r="F8" s="585">
        <f>Gia_VLieu!$D$9</f>
        <v>10000</v>
      </c>
      <c r="G8" s="585">
        <f t="shared" si="0"/>
        <v>15179</v>
      </c>
    </row>
    <row r="9" spans="1:7">
      <c r="B9" s="358">
        <v>6</v>
      </c>
      <c r="C9" s="584" t="s">
        <v>91</v>
      </c>
      <c r="D9" s="671" t="str">
        <f>Gia_VLieu!$C$10</f>
        <v>Hộp</v>
      </c>
      <c r="E9" s="974">
        <v>0.75900000000000001</v>
      </c>
      <c r="F9" s="585">
        <f>Gia_VLieu!$D$10</f>
        <v>2500</v>
      </c>
      <c r="G9" s="585">
        <f t="shared" si="0"/>
        <v>1897.5</v>
      </c>
    </row>
    <row r="10" spans="1:7">
      <c r="B10" s="358">
        <v>7</v>
      </c>
      <c r="C10" s="584" t="s">
        <v>92</v>
      </c>
      <c r="D10" s="671" t="str">
        <f>Gia_VLieu!$C$11</f>
        <v>Hộp</v>
      </c>
      <c r="E10" s="974">
        <v>0.3795</v>
      </c>
      <c r="F10" s="585">
        <f>Gia_VLieu!$D$12</f>
        <v>8000</v>
      </c>
      <c r="G10" s="585">
        <f t="shared" si="0"/>
        <v>3036</v>
      </c>
    </row>
    <row r="11" spans="1:7">
      <c r="B11" s="358">
        <v>8</v>
      </c>
      <c r="C11" s="584" t="s">
        <v>94</v>
      </c>
      <c r="D11" s="671" t="str">
        <f>Gia_VLieu!$C$13</f>
        <v>Cái</v>
      </c>
      <c r="E11" s="927">
        <v>1.8974</v>
      </c>
      <c r="F11" s="585">
        <f>Gia_VLieu!$D$13</f>
        <v>15000</v>
      </c>
      <c r="G11" s="585">
        <f t="shared" si="0"/>
        <v>28461</v>
      </c>
    </row>
    <row r="12" spans="1:7">
      <c r="B12" s="870"/>
      <c r="C12" s="525" t="s">
        <v>979</v>
      </c>
      <c r="D12" s="870"/>
      <c r="E12" s="525"/>
      <c r="F12" s="525"/>
      <c r="G12" s="1009">
        <f>SUM(G4:G11)*108%</f>
        <v>262550.26800000004</v>
      </c>
    </row>
    <row r="13" spans="1:7">
      <c r="G13" s="1046"/>
    </row>
    <row r="14" spans="1:7">
      <c r="G14" s="1046"/>
    </row>
    <row r="15" spans="1:7">
      <c r="B15" s="614" t="s">
        <v>14</v>
      </c>
      <c r="C15" s="614" t="s">
        <v>162</v>
      </c>
      <c r="D15" s="346" t="s">
        <v>28</v>
      </c>
      <c r="E15" s="564" t="s">
        <v>20</v>
      </c>
      <c r="F15" s="789"/>
      <c r="G15" s="1046"/>
    </row>
    <row r="16" spans="1:7">
      <c r="A16" s="518">
        <v>1</v>
      </c>
      <c r="B16" s="343">
        <f>NhanCong_Xa!B4</f>
        <v>1</v>
      </c>
      <c r="C16" s="523" t="str">
        <f>NhanCong_Xa!C4:C4</f>
        <v>Công tác chuẩn bị</v>
      </c>
      <c r="D16" s="565"/>
      <c r="E16" s="565"/>
      <c r="F16" s="790"/>
      <c r="G16" s="1046"/>
    </row>
    <row r="17" spans="1:14" ht="94.5">
      <c r="A17" s="518" t="s">
        <v>767</v>
      </c>
      <c r="B17" s="870" t="str">
        <f>NhanCong_Xa!B5</f>
        <v>1.1</v>
      </c>
      <c r="C17" s="406" t="str">
        <f>NhanCong_Xa!C5:C5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17" s="975">
        <v>0.17649999999999999</v>
      </c>
      <c r="E17" s="565">
        <f>D17*G$12</f>
        <v>46340.122302000003</v>
      </c>
      <c r="F17" s="790"/>
      <c r="G17" s="1046"/>
      <c r="N17" s="517" t="s">
        <v>980</v>
      </c>
    </row>
    <row r="18" spans="1:14" ht="63">
      <c r="A18" s="518" t="s">
        <v>768</v>
      </c>
      <c r="B18" s="870" t="str">
        <f>NhanCong_Xa!B6</f>
        <v>1.2</v>
      </c>
      <c r="C18" s="406" t="str">
        <f>NhanCong_Xa!C6:C6</f>
        <v>Chuẩn bị nhân lực, địa điểm làm việc; Chuẩn bị vật tư, thiết bị, dụng cụ, phần mềm phục vụ cho công tác xây dựng cơ sở dữ liệu thống kê, kiểm kê đất đai</v>
      </c>
      <c r="D18" s="975">
        <v>0.17649999999999999</v>
      </c>
      <c r="E18" s="565">
        <f>D18*G$12</f>
        <v>46340.122302000003</v>
      </c>
      <c r="F18" s="790"/>
      <c r="G18" s="1046"/>
    </row>
    <row r="19" spans="1:14">
      <c r="A19" s="518">
        <v>8</v>
      </c>
      <c r="B19" s="343">
        <f>NhanCong_Xa!B7</f>
        <v>2</v>
      </c>
      <c r="C19" s="523" t="str">
        <f>NhanCong_Xa!C7:C7</f>
        <v>Xây dựng siêu dữ liệu thống kê, kiểm kê đất đai</v>
      </c>
      <c r="D19" s="975"/>
      <c r="E19" s="565"/>
      <c r="F19" s="790"/>
      <c r="G19" s="1046"/>
    </row>
    <row r="20" spans="1:14" ht="47.25">
      <c r="A20" s="518" t="s">
        <v>876</v>
      </c>
      <c r="B20" s="870" t="str">
        <f>NhanCong_Xa!B8</f>
        <v>2.1</v>
      </c>
      <c r="C20" s="406" t="str">
        <f>NhanCong_Xa!C8:C8</f>
        <v>Thu nhận các thông tin cần thiết để xây dựng siêu dữ liệu (thông tin mô tả dữ liệu) thống kê, kiểm kê đất đai</v>
      </c>
      <c r="D20" s="975">
        <v>0.1176</v>
      </c>
      <c r="E20" s="565">
        <f>D20*G$12</f>
        <v>30875.911516800003</v>
      </c>
      <c r="F20" s="790"/>
      <c r="G20" s="1046"/>
    </row>
    <row r="21" spans="1:14">
      <c r="A21" s="518" t="s">
        <v>877</v>
      </c>
      <c r="B21" s="870" t="str">
        <f>NhanCong_Xa!B9</f>
        <v>2.2</v>
      </c>
      <c r="C21" s="406" t="str">
        <f>NhanCong_Xa!C9:C9</f>
        <v>Nhập thông tin siêu dữ liệu kiểm kê đất đai</v>
      </c>
      <c r="D21" s="975">
        <v>5.8799999999999998E-2</v>
      </c>
      <c r="E21" s="565">
        <f>D21*G$12</f>
        <v>15437.955758400001</v>
      </c>
      <c r="F21" s="790"/>
      <c r="G21" s="1046"/>
    </row>
    <row r="22" spans="1:14" ht="31.5">
      <c r="A22" s="518">
        <v>9</v>
      </c>
      <c r="B22" s="343">
        <f>NhanCong_Xa!B10</f>
        <v>3</v>
      </c>
      <c r="C22" s="407" t="str">
        <f>NhanCong_Xa!C10:C10</f>
        <v>Phục vụ kiểm tra, nghiệm thu cơ sở dữ liệu thống kê, kiểm kê đất đai</v>
      </c>
      <c r="D22" s="565"/>
      <c r="E22" s="565"/>
      <c r="F22" s="790"/>
      <c r="G22" s="1046"/>
    </row>
    <row r="23" spans="1:14" ht="31.5">
      <c r="A23" s="518" t="s">
        <v>878</v>
      </c>
      <c r="B23" s="870" t="str">
        <f>NhanCong_Xa!B11</f>
        <v>3.1</v>
      </c>
      <c r="C23" s="406" t="str">
        <f>NhanCong_Xa!C11:C11</f>
        <v>Đơn vị thi công chuẩn bị tài liệu và phục vụ giám sát kiểm tra, nghiệm thu.</v>
      </c>
      <c r="D23" s="975">
        <v>0.1176</v>
      </c>
      <c r="E23" s="565">
        <f>D23*G$12</f>
        <v>30875.911516800003</v>
      </c>
      <c r="F23" s="790"/>
      <c r="G23" s="1046"/>
    </row>
    <row r="24" spans="1:14" ht="63">
      <c r="A24" s="518" t="s">
        <v>879</v>
      </c>
      <c r="B24" s="870" t="str">
        <f>NhanCong_Xa!B12</f>
        <v>3.2</v>
      </c>
      <c r="C24" s="406" t="str">
        <f>NhanCong_Xa!C12:C12</f>
        <v>Thực hiện kiểm tra tổng thể cơ sở dữ liệu thống kê, kiểm kê đất đai và tích hợp vào hệ thống ngay sau khi được nghiệm thu để phục vụ quản lý, vận hành, khai thác sử dụng.</v>
      </c>
      <c r="D24" s="975">
        <v>0.23530000000000001</v>
      </c>
      <c r="E24" s="565">
        <f>D24*G$12</f>
        <v>61778.07806040001</v>
      </c>
      <c r="F24" s="790"/>
      <c r="G24" s="1046"/>
    </row>
    <row r="25" spans="1:14" ht="31.5">
      <c r="A25" s="518" t="s">
        <v>880</v>
      </c>
      <c r="B25" s="1164" t="str">
        <f>NhanCong_Xa!B13</f>
        <v>3.3</v>
      </c>
      <c r="C25" s="406" t="str">
        <f>NhanCong_Xa!C13</f>
        <v>Đóng gói giao nộp cơ sở dữ liệu thống kê, kiểm kê đất đai</v>
      </c>
      <c r="D25" s="975">
        <v>0.1177</v>
      </c>
      <c r="E25" s="565">
        <f>D25*G$12</f>
        <v>30902.166543600004</v>
      </c>
      <c r="F25" s="790"/>
      <c r="G25" s="1047"/>
    </row>
    <row r="26" spans="1:14">
      <c r="B26" s="770"/>
      <c r="C26" s="609"/>
      <c r="D26" s="773"/>
      <c r="E26" s="783"/>
      <c r="F26" s="784"/>
      <c r="G26" s="1167"/>
    </row>
    <row r="27" spans="1:14">
      <c r="B27" s="770"/>
      <c r="C27" s="609"/>
      <c r="D27" s="773"/>
      <c r="E27" s="783"/>
      <c r="F27" s="784"/>
      <c r="G27" s="1167"/>
    </row>
    <row r="28" spans="1:14">
      <c r="B28" s="762"/>
      <c r="C28" s="763"/>
      <c r="D28" s="765"/>
      <c r="E28" s="787"/>
      <c r="F28" s="788"/>
      <c r="G28" s="1168"/>
    </row>
    <row r="29" spans="1:14" ht="78.75">
      <c r="B29" s="614" t="s">
        <v>14</v>
      </c>
      <c r="C29" s="614" t="s">
        <v>2</v>
      </c>
      <c r="D29" s="614" t="s">
        <v>21</v>
      </c>
      <c r="E29" s="614" t="str">
        <f>Dcu_Huyen!G27</f>
        <v>Định mức
(tính cho 01 kỳ kiểm kê hoặc 01 năm thống kê)</v>
      </c>
      <c r="F29" s="563" t="s">
        <v>19</v>
      </c>
      <c r="G29" s="563" t="s">
        <v>601</v>
      </c>
    </row>
    <row r="30" spans="1:14">
      <c r="B30" s="358">
        <v>1</v>
      </c>
      <c r="C30" s="584" t="s">
        <v>85</v>
      </c>
      <c r="D30" s="671" t="str">
        <f>Gia_VLieu!$C$4</f>
        <v>Gram</v>
      </c>
      <c r="E30" s="974">
        <v>0.48209999999999997</v>
      </c>
      <c r="F30" s="585">
        <f>Gia_VLieu!$D$4</f>
        <v>45000</v>
      </c>
      <c r="G30" s="585">
        <f t="shared" ref="G30:G37" si="1">F30*E30</f>
        <v>21694.5</v>
      </c>
    </row>
    <row r="31" spans="1:14">
      <c r="B31" s="358">
        <v>2</v>
      </c>
      <c r="C31" s="584" t="s">
        <v>86</v>
      </c>
      <c r="D31" s="671" t="str">
        <f>Gia_VLieu!$C$5</f>
        <v>Hộp</v>
      </c>
      <c r="E31" s="974">
        <v>6.0299999999999999E-2</v>
      </c>
      <c r="F31" s="585">
        <f>Gia_VLieu!$D$5</f>
        <v>1450000</v>
      </c>
      <c r="G31" s="585">
        <f t="shared" si="1"/>
        <v>87435</v>
      </c>
    </row>
    <row r="32" spans="1:14">
      <c r="B32" s="358">
        <v>3</v>
      </c>
      <c r="C32" s="584" t="s">
        <v>88</v>
      </c>
      <c r="D32" s="671" t="str">
        <f>Gia_VLieu!$C$6</f>
        <v>Quyển</v>
      </c>
      <c r="E32" s="974">
        <v>0.96419999999999995</v>
      </c>
      <c r="F32" s="585">
        <f>Gia_VLieu!$D$6</f>
        <v>10000</v>
      </c>
      <c r="G32" s="585">
        <f t="shared" si="1"/>
        <v>9642</v>
      </c>
    </row>
    <row r="33" spans="1:7">
      <c r="B33" s="358">
        <v>4</v>
      </c>
      <c r="C33" s="584" t="s">
        <v>22</v>
      </c>
      <c r="D33" s="671" t="str">
        <f>Gia_VLieu!$C$7</f>
        <v>Cái</v>
      </c>
      <c r="E33" s="974">
        <v>2.4104999999999999</v>
      </c>
      <c r="F33" s="585">
        <f>Gia_VLieu!$D$7</f>
        <v>2000</v>
      </c>
      <c r="G33" s="585">
        <f t="shared" si="1"/>
        <v>4821</v>
      </c>
    </row>
    <row r="34" spans="1:7">
      <c r="B34" s="358">
        <v>5</v>
      </c>
      <c r="C34" s="584" t="s">
        <v>90</v>
      </c>
      <c r="D34" s="671" t="str">
        <f>Gia_VLieu!$C$8</f>
        <v>Cái</v>
      </c>
      <c r="E34" s="974">
        <v>0.96419999999999995</v>
      </c>
      <c r="F34" s="585">
        <f>Gia_VLieu!$D$9</f>
        <v>10000</v>
      </c>
      <c r="G34" s="585">
        <f t="shared" si="1"/>
        <v>9642</v>
      </c>
    </row>
    <row r="35" spans="1:7">
      <c r="B35" s="358">
        <v>6</v>
      </c>
      <c r="C35" s="584" t="s">
        <v>91</v>
      </c>
      <c r="D35" s="671" t="str">
        <f>Gia_VLieu!$C$10</f>
        <v>Hộp</v>
      </c>
      <c r="E35" s="974">
        <v>0.48209999999999997</v>
      </c>
      <c r="F35" s="585">
        <f>Gia_VLieu!$D$10</f>
        <v>2500</v>
      </c>
      <c r="G35" s="585">
        <f t="shared" si="1"/>
        <v>1205.25</v>
      </c>
    </row>
    <row r="36" spans="1:7">
      <c r="B36" s="358">
        <v>7</v>
      </c>
      <c r="C36" s="584" t="s">
        <v>92</v>
      </c>
      <c r="D36" s="671" t="str">
        <f>Gia_VLieu!$C$11</f>
        <v>Hộp</v>
      </c>
      <c r="E36" s="974">
        <v>0.24099999999999999</v>
      </c>
      <c r="F36" s="585">
        <f>Gia_VLieu!$D$12</f>
        <v>8000</v>
      </c>
      <c r="G36" s="585">
        <f t="shared" si="1"/>
        <v>1928</v>
      </c>
    </row>
    <row r="37" spans="1:7">
      <c r="B37" s="358">
        <v>8</v>
      </c>
      <c r="C37" s="584" t="s">
        <v>94</v>
      </c>
      <c r="D37" s="671" t="str">
        <f>Gia_VLieu!$C$13</f>
        <v>Cái</v>
      </c>
      <c r="E37" s="927">
        <v>1.2052</v>
      </c>
      <c r="F37" s="585">
        <f>Gia_VLieu!$D$13</f>
        <v>15000</v>
      </c>
      <c r="G37" s="585">
        <f t="shared" si="1"/>
        <v>18078</v>
      </c>
    </row>
    <row r="38" spans="1:7">
      <c r="B38" s="870"/>
      <c r="C38" s="525" t="s">
        <v>979</v>
      </c>
      <c r="D38" s="870"/>
      <c r="E38" s="525"/>
      <c r="F38" s="525"/>
      <c r="G38" s="1009">
        <f>SUM(G30:G37)*108%</f>
        <v>166801.41</v>
      </c>
    </row>
    <row r="41" spans="1:7">
      <c r="B41" s="614" t="s">
        <v>14</v>
      </c>
      <c r="C41" s="614" t="s">
        <v>162</v>
      </c>
      <c r="D41" s="346" t="s">
        <v>28</v>
      </c>
      <c r="E41" s="564" t="s">
        <v>20</v>
      </c>
      <c r="F41" s="789"/>
    </row>
    <row r="42" spans="1:7">
      <c r="A42" s="518">
        <v>2</v>
      </c>
      <c r="B42" s="343">
        <f>NhanCong_Xa!B16</f>
        <v>1</v>
      </c>
      <c r="C42" s="523" t="str">
        <f>NhanCong_Xa!C16:C16</f>
        <v>Thu thập tài liệu, dữ liệu</v>
      </c>
      <c r="D42" s="975"/>
      <c r="E42" s="565"/>
      <c r="F42" s="790"/>
    </row>
    <row r="43" spans="1:7">
      <c r="A43" s="518" t="s">
        <v>827</v>
      </c>
      <c r="B43" s="870" t="str">
        <f>NhanCong_Xa!B17</f>
        <v>1.1</v>
      </c>
      <c r="C43" s="600" t="str">
        <f>NhanCong_Xa!C17</f>
        <v>Thu thập tài liệu, dữ liệu thống kê</v>
      </c>
      <c r="D43" s="975">
        <v>1.8499999999999999E-2</v>
      </c>
      <c r="E43" s="565">
        <f t="shared" ref="E43:E61" si="2">D43*$G$38</f>
        <v>3085.8260849999997</v>
      </c>
      <c r="F43" s="790"/>
    </row>
    <row r="44" spans="1:7">
      <c r="A44" s="518" t="s">
        <v>830</v>
      </c>
      <c r="B44" s="870" t="str">
        <f>NhanCong_Xa!B18</f>
        <v>1.2</v>
      </c>
      <c r="C44" s="600" t="str">
        <f>NhanCong_Xa!C18</f>
        <v>Thu thập tài liệu, dữ liệu kiểm kê</v>
      </c>
      <c r="D44" s="975">
        <v>9.2600000000000002E-2</v>
      </c>
      <c r="E44" s="565">
        <f t="shared" si="2"/>
        <v>15445.810566</v>
      </c>
      <c r="F44" s="790"/>
    </row>
    <row r="45" spans="1:7" ht="31.5">
      <c r="A45" s="518">
        <v>3</v>
      </c>
      <c r="B45" s="343">
        <f>NhanCong_Xa!B19</f>
        <v>2</v>
      </c>
      <c r="C45" s="407" t="str">
        <f>NhanCong_Xa!C19:C19</f>
        <v>Rà soát, đánh giá, phân loại và sắp xếp tài liệu, dữ liệu</v>
      </c>
      <c r="D45" s="975"/>
      <c r="E45" s="565">
        <f t="shared" si="2"/>
        <v>0</v>
      </c>
      <c r="F45" s="790"/>
    </row>
    <row r="46" spans="1:7" ht="47.25">
      <c r="A46" s="518" t="s">
        <v>771</v>
      </c>
      <c r="B46" s="870" t="str">
        <f>NhanCong_Xa!B20</f>
        <v>2.1</v>
      </c>
      <c r="C46" s="411" t="str">
        <f>NhanCong_Xa!C20</f>
        <v>Rà soát, đánh giá, phân loại và sắp xếp tài liệu, dữ liệu thống kê và lập báo cáo kết quản thực hiện</v>
      </c>
      <c r="D46" s="975">
        <v>9.2600000000000002E-2</v>
      </c>
      <c r="E46" s="565">
        <f t="shared" si="2"/>
        <v>15445.810566</v>
      </c>
      <c r="F46" s="790"/>
    </row>
    <row r="47" spans="1:7" s="522" customFormat="1" ht="47.25">
      <c r="A47" s="624" t="s">
        <v>774</v>
      </c>
      <c r="B47" s="870" t="str">
        <f>NhanCong_Xa!B21</f>
        <v>2.2</v>
      </c>
      <c r="C47" s="411" t="str">
        <f>NhanCong_Xa!C21</f>
        <v>Rà soát, đánh giá, phân loại và sắp xếp tài liệu, dữ liệu kiểm kê và lập báo cáo kết quản thực hiện</v>
      </c>
      <c r="D47" s="975">
        <v>0.27779999999999999</v>
      </c>
      <c r="E47" s="565">
        <f t="shared" si="2"/>
        <v>46337.431698</v>
      </c>
      <c r="F47" s="790"/>
    </row>
    <row r="48" spans="1:7">
      <c r="A48" s="518">
        <v>5</v>
      </c>
      <c r="B48" s="343">
        <f>NhanCong_Xa!B22</f>
        <v>3</v>
      </c>
      <c r="C48" s="523" t="str">
        <f>NhanCong_Xa!C22:C22</f>
        <v>Quét giấy tờ pháp lý và xử lý tệp tin</v>
      </c>
      <c r="D48" s="565"/>
      <c r="E48" s="565"/>
      <c r="F48" s="790"/>
    </row>
    <row r="49" spans="1:6" ht="110.25">
      <c r="A49" s="518" t="s">
        <v>867</v>
      </c>
      <c r="B49" s="870" t="str">
        <f>NhanCong_Xa!B23</f>
        <v>3.1</v>
      </c>
      <c r="C49" s="406" t="str">
        <f>NhanCong_Xa!C23:C23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49" s="918"/>
      <c r="E49" s="565"/>
      <c r="F49" s="790"/>
    </row>
    <row r="50" spans="1:6">
      <c r="A50" s="518" t="s">
        <v>693</v>
      </c>
      <c r="B50" s="870" t="str">
        <f>NhanCong_Xa!B24</f>
        <v>3.1.1</v>
      </c>
      <c r="C50" s="525" t="str">
        <f>NhanCong_Xa!C24:C24</f>
        <v>Trang A3</v>
      </c>
      <c r="D50" s="975"/>
      <c r="E50" s="587">
        <v>399.05</v>
      </c>
      <c r="F50" s="790"/>
    </row>
    <row r="51" spans="1:6">
      <c r="A51" s="518" t="s">
        <v>571</v>
      </c>
      <c r="B51" s="870" t="str">
        <f>NhanCong_Xa!B25</f>
        <v>3.1.2</v>
      </c>
      <c r="C51" s="525" t="str">
        <f>NhanCong_Xa!C25:C25</f>
        <v>Trang A4</v>
      </c>
      <c r="D51" s="975"/>
      <c r="E51" s="587">
        <v>386.3</v>
      </c>
      <c r="F51" s="790"/>
    </row>
    <row r="52" spans="1:6" ht="110.25">
      <c r="A52" s="518" t="s">
        <v>868</v>
      </c>
      <c r="B52" s="870" t="str">
        <f>NhanCong_Xa!B26</f>
        <v>3.2</v>
      </c>
      <c r="C52" s="406" t="str">
        <f>NhanCong_Xa!C26:C26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D52" s="976"/>
      <c r="E52" s="587">
        <v>340.2</v>
      </c>
      <c r="F52" s="790"/>
    </row>
    <row r="53" spans="1:6" ht="31.5">
      <c r="A53" s="518" t="s">
        <v>869</v>
      </c>
      <c r="B53" s="870" t="str">
        <f>NhanCong_Xa!B27</f>
        <v>3.3</v>
      </c>
      <c r="C53" s="406" t="str">
        <f>NhanCong_Xa!C27:C27</f>
        <v>Tạo danh mục tra cứu hồ sơ quét trong cơ sở dữ liệu thống kê, kiểm kê đất đai</v>
      </c>
      <c r="D53" s="975">
        <v>9.2600000000000002E-2</v>
      </c>
      <c r="E53" s="565">
        <f t="shared" si="2"/>
        <v>15445.810566</v>
      </c>
      <c r="F53" s="790"/>
    </row>
    <row r="54" spans="1:6">
      <c r="A54" s="518">
        <v>6</v>
      </c>
      <c r="B54" s="343">
        <f>NhanCong_Xa!B28</f>
        <v>4</v>
      </c>
      <c r="C54" s="523" t="str">
        <f>NhanCong_Xa!C28:C28</f>
        <v>Xây dựng dữ liệu thuộc tính thống kê, kiểm kê đất đai</v>
      </c>
      <c r="D54" s="565"/>
      <c r="E54" s="565">
        <f t="shared" si="2"/>
        <v>0</v>
      </c>
      <c r="F54" s="790"/>
    </row>
    <row r="55" spans="1:6">
      <c r="A55" s="518" t="s">
        <v>870</v>
      </c>
      <c r="B55" s="870" t="str">
        <f>NhanCong_Xa!B29</f>
        <v>4.1</v>
      </c>
      <c r="C55" s="411" t="str">
        <f>NhanCong_Xa!C29</f>
        <v>Đối với tài liệu, số liệu là bảng, biểu dạng số</v>
      </c>
      <c r="D55" s="565"/>
      <c r="E55" s="565">
        <f t="shared" si="2"/>
        <v>0</v>
      </c>
      <c r="F55" s="790"/>
    </row>
    <row r="56" spans="1:6">
      <c r="A56" s="518" t="s">
        <v>871</v>
      </c>
      <c r="B56" s="870" t="str">
        <f>NhanCong_Xa!B30</f>
        <v>4.1.1</v>
      </c>
      <c r="C56" s="525" t="str">
        <f>NhanCong_Xa!C30:C30</f>
        <v>Lập mô hình chuyển đổi cơ sở dữ liệu thống kê, kiểm kê đất đai</v>
      </c>
      <c r="D56" s="975">
        <v>3.6999999999999998E-2</v>
      </c>
      <c r="E56" s="565">
        <f t="shared" si="2"/>
        <v>6171.6521699999994</v>
      </c>
      <c r="F56" s="790"/>
    </row>
    <row r="57" spans="1:6" ht="31.5">
      <c r="A57" s="518" t="s">
        <v>872</v>
      </c>
      <c r="B57" s="870" t="str">
        <f>NhanCong_Xa!B31</f>
        <v>4.1.2</v>
      </c>
      <c r="C57" s="406" t="str">
        <f>NhanCong_Xa!C31:C31</f>
        <v>Chuyển đổi vào cơ sở dữ liệu thống kê, kiểm kê đất đai</v>
      </c>
      <c r="D57" s="975">
        <v>7.4099999999999999E-2</v>
      </c>
      <c r="E57" s="565">
        <f t="shared" si="2"/>
        <v>12359.984481</v>
      </c>
      <c r="F57" s="790"/>
    </row>
    <row r="58" spans="1:6" ht="47.25">
      <c r="A58" s="518" t="s">
        <v>873</v>
      </c>
      <c r="B58" s="870" t="str">
        <f>NhanCong_Xa!B32</f>
        <v>4.2</v>
      </c>
      <c r="C58" s="406" t="str">
        <f>NhanCong_Xa!C32:C32</f>
        <v>Đối với tài liệu, số liệu là báo cáo dạng số thì tạo danh mục tra cứu trong cơ sở dữ liệu thống kê, kiểm kê đất đai</v>
      </c>
      <c r="D58" s="975">
        <v>3.6999999999999998E-2</v>
      </c>
      <c r="E58" s="565">
        <f t="shared" si="2"/>
        <v>6171.6521699999994</v>
      </c>
      <c r="F58" s="790"/>
    </row>
    <row r="59" spans="1:6" ht="31.5">
      <c r="A59" s="518">
        <v>7</v>
      </c>
      <c r="B59" s="343">
        <f>NhanCong_Xa!B33</f>
        <v>5</v>
      </c>
      <c r="C59" s="407" t="str">
        <f>NhanCong_Xa!C33:C33</f>
        <v>Đối soát, hoàn thiện dữ liệu thống kê, kiểm kê đất đai</v>
      </c>
      <c r="D59" s="975"/>
      <c r="E59" s="565">
        <f t="shared" si="2"/>
        <v>0</v>
      </c>
      <c r="F59" s="790"/>
    </row>
    <row r="60" spans="1:6">
      <c r="A60" s="518" t="s">
        <v>874</v>
      </c>
      <c r="B60" s="870" t="str">
        <f>NhanCong_Xa!B34</f>
        <v>5.1</v>
      </c>
      <c r="C60" s="600" t="str">
        <f>NhanCong_Xa!C34</f>
        <v>Đối soát, hoàn thiện dữ liệu thống kê đất đai</v>
      </c>
      <c r="D60" s="975">
        <v>9.2600000000000002E-2</v>
      </c>
      <c r="E60" s="565">
        <f t="shared" si="2"/>
        <v>15445.810566</v>
      </c>
      <c r="F60" s="790"/>
    </row>
    <row r="61" spans="1:6">
      <c r="A61" s="518" t="s">
        <v>875</v>
      </c>
      <c r="B61" s="870" t="str">
        <f>NhanCong_Xa!B35</f>
        <v>5.2</v>
      </c>
      <c r="C61" s="600" t="str">
        <f>NhanCong_Xa!C35</f>
        <v>Đối soát, hoàn thiện dữ liệu kiểm kê đất đai</v>
      </c>
      <c r="D61" s="975">
        <v>0.1852</v>
      </c>
      <c r="E61" s="565">
        <f t="shared" si="2"/>
        <v>30891.621132</v>
      </c>
      <c r="F61" s="790"/>
    </row>
    <row r="62" spans="1:6" s="522" customFormat="1">
      <c r="A62" s="624"/>
      <c r="B62" s="870"/>
      <c r="C62" s="600"/>
      <c r="D62" s="975">
        <v>1</v>
      </c>
      <c r="E62" s="1009">
        <f>SUM(E43:E61)</f>
        <v>167926.96000000002</v>
      </c>
      <c r="F62" s="790"/>
    </row>
    <row r="63" spans="1:6" s="522" customFormat="1">
      <c r="A63" s="624"/>
      <c r="B63" s="756"/>
      <c r="C63" s="778"/>
      <c r="D63" s="779"/>
      <c r="E63" s="780"/>
      <c r="F63" s="784"/>
    </row>
    <row r="64" spans="1:6" s="522" customFormat="1" hidden="1">
      <c r="A64" s="624"/>
      <c r="B64" s="770"/>
      <c r="C64" s="781"/>
      <c r="D64" s="782"/>
      <c r="E64" s="783"/>
      <c r="F64" s="784"/>
    </row>
    <row r="65" spans="1:7" s="522" customFormat="1" hidden="1">
      <c r="A65" s="624"/>
      <c r="B65" s="762"/>
      <c r="C65" s="785"/>
      <c r="D65" s="786"/>
      <c r="E65" s="787"/>
      <c r="F65" s="788"/>
    </row>
    <row r="66" spans="1:7" ht="47.25">
      <c r="B66" s="614" t="s">
        <v>14</v>
      </c>
      <c r="C66" s="614" t="s">
        <v>2</v>
      </c>
      <c r="D66" s="614" t="s">
        <v>21</v>
      </c>
      <c r="E66" s="614" t="str">
        <f>Dcu_Huyen!G61</f>
        <v>Định mức
(tính cho 01 lớp dữ liệu)</v>
      </c>
      <c r="F66" s="563" t="s">
        <v>19</v>
      </c>
      <c r="G66" s="581" t="s">
        <v>601</v>
      </c>
    </row>
    <row r="67" spans="1:7">
      <c r="B67" s="358">
        <v>1</v>
      </c>
      <c r="C67" s="584" t="s">
        <v>85</v>
      </c>
      <c r="D67" s="671" t="str">
        <f>Gia_VLieu!$C$4</f>
        <v>Gram</v>
      </c>
      <c r="E67" s="974">
        <v>0.75900000000000001</v>
      </c>
      <c r="F67" s="585">
        <f>Gia_VLieu!$D$4</f>
        <v>45000</v>
      </c>
      <c r="G67" s="587">
        <f t="shared" ref="G67:G74" si="3">F67*E67</f>
        <v>34155</v>
      </c>
    </row>
    <row r="68" spans="1:7">
      <c r="B68" s="358">
        <v>2</v>
      </c>
      <c r="C68" s="584" t="s">
        <v>86</v>
      </c>
      <c r="D68" s="671" t="str">
        <f>Gia_VLieu!$C$5</f>
        <v>Hộp</v>
      </c>
      <c r="E68" s="974">
        <v>9.4899999999999998E-2</v>
      </c>
      <c r="F68" s="585">
        <f>Gia_VLieu!$D$5</f>
        <v>1450000</v>
      </c>
      <c r="G68" s="587">
        <f t="shared" si="3"/>
        <v>137605</v>
      </c>
    </row>
    <row r="69" spans="1:7">
      <c r="B69" s="358">
        <v>3</v>
      </c>
      <c r="C69" s="584" t="s">
        <v>88</v>
      </c>
      <c r="D69" s="671" t="str">
        <f>Gia_VLieu!$C$6</f>
        <v>Quyển</v>
      </c>
      <c r="E69" s="974">
        <v>1.5179</v>
      </c>
      <c r="F69" s="585">
        <f>Gia_VLieu!$D$6</f>
        <v>10000</v>
      </c>
      <c r="G69" s="587">
        <f t="shared" si="3"/>
        <v>15179</v>
      </c>
    </row>
    <row r="70" spans="1:7">
      <c r="B70" s="358">
        <v>4</v>
      </c>
      <c r="C70" s="584" t="s">
        <v>22</v>
      </c>
      <c r="D70" s="671" t="str">
        <f>Gia_VLieu!$C$7</f>
        <v>Cái</v>
      </c>
      <c r="E70" s="974">
        <v>3.7948</v>
      </c>
      <c r="F70" s="585">
        <f>Gia_VLieu!$D$7</f>
        <v>2000</v>
      </c>
      <c r="G70" s="587">
        <f t="shared" si="3"/>
        <v>7589.5999999999995</v>
      </c>
    </row>
    <row r="71" spans="1:7">
      <c r="B71" s="358">
        <v>5</v>
      </c>
      <c r="C71" s="584" t="s">
        <v>90</v>
      </c>
      <c r="D71" s="671" t="str">
        <f>Gia_VLieu!$C$8</f>
        <v>Cái</v>
      </c>
      <c r="E71" s="974">
        <v>1.5179</v>
      </c>
      <c r="F71" s="585">
        <f>Gia_VLieu!$D$9</f>
        <v>10000</v>
      </c>
      <c r="G71" s="587">
        <f t="shared" si="3"/>
        <v>15179</v>
      </c>
    </row>
    <row r="72" spans="1:7">
      <c r="B72" s="358">
        <v>6</v>
      </c>
      <c r="C72" s="584" t="s">
        <v>91</v>
      </c>
      <c r="D72" s="671" t="str">
        <f>Gia_VLieu!$C$10</f>
        <v>Hộp</v>
      </c>
      <c r="E72" s="974">
        <v>0.75900000000000001</v>
      </c>
      <c r="F72" s="585">
        <f>Gia_VLieu!$D$10</f>
        <v>2500</v>
      </c>
      <c r="G72" s="587">
        <f t="shared" si="3"/>
        <v>1897.5</v>
      </c>
    </row>
    <row r="73" spans="1:7">
      <c r="B73" s="358">
        <v>7</v>
      </c>
      <c r="C73" s="584" t="s">
        <v>92</v>
      </c>
      <c r="D73" s="671" t="str">
        <f>Gia_VLieu!$C$11</f>
        <v>Hộp</v>
      </c>
      <c r="E73" s="974">
        <v>0.3795</v>
      </c>
      <c r="F73" s="585">
        <f>Gia_VLieu!$D$12</f>
        <v>8000</v>
      </c>
      <c r="G73" s="587">
        <f t="shared" si="3"/>
        <v>3036</v>
      </c>
    </row>
    <row r="74" spans="1:7">
      <c r="B74" s="358">
        <v>8</v>
      </c>
      <c r="C74" s="584" t="s">
        <v>94</v>
      </c>
      <c r="D74" s="671" t="str">
        <f>Gia_VLieu!$C$13</f>
        <v>Cái</v>
      </c>
      <c r="E74" s="927">
        <v>1.8974</v>
      </c>
      <c r="F74" s="585">
        <f>Gia_VLieu!$D$13</f>
        <v>15000</v>
      </c>
      <c r="G74" s="587">
        <f t="shared" si="3"/>
        <v>28461</v>
      </c>
    </row>
    <row r="75" spans="1:7">
      <c r="C75" s="977" t="s">
        <v>979</v>
      </c>
      <c r="D75" s="920"/>
      <c r="E75" s="977"/>
      <c r="F75" s="977"/>
      <c r="G75" s="923">
        <f>SUM(G67:G74)*108%</f>
        <v>262550.26800000004</v>
      </c>
    </row>
    <row r="76" spans="1:7">
      <c r="B76" s="756"/>
      <c r="C76" s="755"/>
      <c r="D76" s="756"/>
      <c r="E76" s="755"/>
      <c r="F76" s="755"/>
      <c r="G76" s="780"/>
    </row>
    <row r="77" spans="1:7" hidden="1">
      <c r="B77" s="770"/>
      <c r="C77" s="769"/>
      <c r="D77" s="770"/>
      <c r="E77" s="769"/>
      <c r="F77" s="769"/>
      <c r="G77" s="783"/>
    </row>
    <row r="78" spans="1:7" hidden="1">
      <c r="B78" s="762"/>
      <c r="C78" s="761"/>
      <c r="D78" s="762"/>
      <c r="E78" s="761"/>
      <c r="F78" s="769"/>
      <c r="G78" s="783"/>
    </row>
    <row r="79" spans="1:7">
      <c r="B79" s="614" t="s">
        <v>14</v>
      </c>
      <c r="C79" s="614" t="s">
        <v>162</v>
      </c>
      <c r="D79" s="346" t="s">
        <v>28</v>
      </c>
      <c r="E79" s="564" t="s">
        <v>20</v>
      </c>
      <c r="F79" s="789"/>
      <c r="G79" s="783"/>
    </row>
    <row r="80" spans="1:7" ht="31.5">
      <c r="A80" s="518" t="s">
        <v>553</v>
      </c>
      <c r="B80" s="870">
        <f>NhanCong_Xa!B39</f>
        <v>1</v>
      </c>
      <c r="C80" s="406" t="str">
        <f>NhanCong_Xa!C39:C39</f>
        <v>Chuẩn hóa các lớp đối tượng không gian kiểm kê đất đai</v>
      </c>
      <c r="D80" s="565"/>
      <c r="E80" s="565"/>
      <c r="F80" s="790"/>
    </row>
    <row r="81" spans="1:6" ht="78.75">
      <c r="A81" s="518" t="s">
        <v>69</v>
      </c>
      <c r="B81" s="339" t="str">
        <f>NhanCong_Xa!B40</f>
        <v>1.1</v>
      </c>
      <c r="C81" s="406"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81" s="975">
        <v>0.23530000000000001</v>
      </c>
      <c r="E81" s="565">
        <f>D81*$G$75</f>
        <v>61778.07806040001</v>
      </c>
      <c r="F81" s="790"/>
    </row>
    <row r="82" spans="1:6" ht="31.5">
      <c r="A82" s="518" t="s">
        <v>70</v>
      </c>
      <c r="B82" s="870" t="str">
        <f>NhanCong_Xa!B41</f>
        <v>1.2</v>
      </c>
      <c r="C82" s="406" t="str">
        <f>NhanCong_Xa!C41:C41</f>
        <v>Chuẩn hóa các lớp đối tượng không gian kiểm kê đất đai chưa phù hợp</v>
      </c>
      <c r="D82" s="975">
        <v>0.29409999999999997</v>
      </c>
      <c r="E82" s="565">
        <f>D82*$G$75</f>
        <v>77216.033818800002</v>
      </c>
      <c r="F82" s="790"/>
    </row>
    <row r="83" spans="1:6" ht="47.25">
      <c r="A83" s="518" t="s">
        <v>691</v>
      </c>
      <c r="B83" s="870" t="str">
        <f>NhanCong_Xa!B42</f>
        <v>1.3</v>
      </c>
      <c r="C83" s="406" t="str">
        <f>NhanCong_Xa!C42:C42</f>
        <v>Nhập bổ sung các thông tin thuộc tính cho đối tượng không gian kiểm kê đất đai còn thiếu (nếu có)</v>
      </c>
      <c r="D83" s="975">
        <v>5.8799999999999998E-2</v>
      </c>
      <c r="E83" s="565">
        <f>D83*$G$75</f>
        <v>15437.955758400001</v>
      </c>
      <c r="F83" s="790"/>
    </row>
    <row r="84" spans="1:6" ht="31.5">
      <c r="A84" s="518" t="s">
        <v>694</v>
      </c>
      <c r="B84" s="870" t="str">
        <f>NhanCong_Xa!B43</f>
        <v>1.4</v>
      </c>
      <c r="C84" s="406" t="str">
        <f>NhanCong_Xa!C43:C43</f>
        <v>Rà soát chuẩn hóa thông tin thuộc tính cho từng đối tượng không gian kiểm kê đất đai</v>
      </c>
      <c r="D84" s="975">
        <v>0.23530000000000001</v>
      </c>
      <c r="E84" s="565">
        <f>D84*$G$75</f>
        <v>61778.07806040001</v>
      </c>
      <c r="F84" s="790"/>
    </row>
    <row r="85" spans="1:6">
      <c r="A85" s="518" t="s">
        <v>864</v>
      </c>
      <c r="B85" s="870">
        <f>NhanCong_Xa!B44</f>
        <v>2</v>
      </c>
      <c r="C85" s="525" t="str">
        <f>NhanCong_Xa!C44:C44</f>
        <v>Chuyển đổi và tích hợp không gian kiểm kê đất đai</v>
      </c>
      <c r="D85" s="565"/>
      <c r="E85" s="565"/>
      <c r="F85" s="790"/>
    </row>
    <row r="86" spans="1:6" ht="47.25">
      <c r="A86" s="518" t="s">
        <v>865</v>
      </c>
      <c r="B86" s="870" t="str">
        <f>NhanCong_Xa!B45</f>
        <v>2.1</v>
      </c>
      <c r="C86" s="406" t="str">
        <f>NhanCong_Xa!C45:C45</f>
        <v>Chuyển đổi các lớp đối tượng không gian kiểm kê đất đai từ tệp (File) bản đồ số vào cơ sở dữ liệu theo đơn vị hành chính</v>
      </c>
      <c r="D86" s="975">
        <v>5.8799999999999998E-2</v>
      </c>
      <c r="E86" s="565">
        <f>D86*$G$75</f>
        <v>15437.955758400001</v>
      </c>
      <c r="F86" s="790"/>
    </row>
    <row r="87" spans="1:6" ht="47.25">
      <c r="A87" s="518" t="s">
        <v>866</v>
      </c>
      <c r="B87" s="870" t="str">
        <f>NhanCong_Xa!B46</f>
        <v>2.2</v>
      </c>
      <c r="C87" s="406" t="str">
        <f>NhanCong_Xa!C46:C46</f>
        <v>Rà soát dữ liệu không gian để xử lý các lỗi dọc biên giữa các đơn vị hành chính tiếp giáp nhau</v>
      </c>
      <c r="D87" s="975">
        <v>0.1177</v>
      </c>
      <c r="E87" s="565">
        <f>D87*$G$75</f>
        <v>30902.166543600004</v>
      </c>
      <c r="F87" s="790"/>
    </row>
    <row r="88" spans="1:6">
      <c r="B88" s="870"/>
      <c r="C88" s="406"/>
      <c r="D88" s="638">
        <f>SUM(D81:D87)</f>
        <v>0.99999999999999989</v>
      </c>
      <c r="E88" s="1009">
        <f>D88*$G$75</f>
        <v>262550.26799999998</v>
      </c>
      <c r="F88" s="790"/>
    </row>
    <row r="89" spans="1:6">
      <c r="E89" s="796"/>
    </row>
  </sheetData>
  <mergeCells count="1">
    <mergeCell ref="B1:G1"/>
  </mergeCells>
  <pageMargins left="0.655511811" right="0.118110236220472" top="0.40748031499999998" bottom="0.40748031499999998"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I17"/>
  <sheetViews>
    <sheetView topLeftCell="A11" workbookViewId="0">
      <selection activeCell="G14" sqref="G14"/>
    </sheetView>
  </sheetViews>
  <sheetFormatPr defaultColWidth="9" defaultRowHeight="15.75"/>
  <cols>
    <col min="1" max="1" width="5.375" style="711" customWidth="1"/>
    <col min="2" max="2" width="13.75" style="321" customWidth="1"/>
    <col min="3" max="3" width="7.375" style="711" customWidth="1"/>
    <col min="4" max="4" width="6.625" style="711" bestFit="1" customWidth="1"/>
    <col min="5" max="5" width="9.125" style="321" customWidth="1"/>
    <col min="6" max="6" width="11.375" style="321" customWidth="1"/>
    <col min="7" max="7" width="9.375" style="711" customWidth="1"/>
    <col min="8" max="8" width="13.5" style="1154" customWidth="1"/>
    <col min="9" max="16384" width="9" style="321"/>
  </cols>
  <sheetData>
    <row r="1" spans="1:9">
      <c r="A1" s="1180" t="s">
        <v>1013</v>
      </c>
      <c r="B1" s="1180"/>
      <c r="C1" s="1180"/>
      <c r="D1" s="1180"/>
      <c r="E1" s="1180"/>
      <c r="F1" s="1180"/>
      <c r="G1" s="1180"/>
      <c r="H1" s="1180"/>
    </row>
    <row r="2" spans="1:9">
      <c r="G2" s="711" t="s">
        <v>79</v>
      </c>
      <c r="H2" s="1154" t="s">
        <v>84</v>
      </c>
    </row>
    <row r="3" spans="1:9" s="1130" customFormat="1" ht="47.25">
      <c r="A3" s="614" t="s">
        <v>14</v>
      </c>
      <c r="B3" s="614" t="s">
        <v>17</v>
      </c>
      <c r="C3" s="614" t="s">
        <v>21</v>
      </c>
      <c r="D3" s="614" t="s">
        <v>4</v>
      </c>
      <c r="E3" s="614" t="s">
        <v>5</v>
      </c>
      <c r="F3" s="614" t="s">
        <v>19</v>
      </c>
      <c r="G3" s="614" t="s">
        <v>1</v>
      </c>
      <c r="H3" s="345" t="s">
        <v>6</v>
      </c>
    </row>
    <row r="4" spans="1:9" s="517" customFormat="1" ht="47.25">
      <c r="A4" s="358">
        <v>1</v>
      </c>
      <c r="B4" s="584" t="s">
        <v>82</v>
      </c>
      <c r="C4" s="358" t="s">
        <v>556</v>
      </c>
      <c r="D4" s="358">
        <v>0.4</v>
      </c>
      <c r="E4" s="358">
        <v>5</v>
      </c>
      <c r="F4" s="360">
        <v>10000000</v>
      </c>
      <c r="G4" s="354">
        <f>F4/E4/500</f>
        <v>4000</v>
      </c>
      <c r="H4" s="965" t="s">
        <v>926</v>
      </c>
    </row>
    <row r="5" spans="1:9" s="517" customFormat="1">
      <c r="A5" s="358">
        <v>2</v>
      </c>
      <c r="B5" s="584" t="s">
        <v>617</v>
      </c>
      <c r="C5" s="358" t="s">
        <v>556</v>
      </c>
      <c r="D5" s="358">
        <v>0.6</v>
      </c>
      <c r="E5" s="358">
        <v>5</v>
      </c>
      <c r="F5" s="360">
        <v>2500000</v>
      </c>
      <c r="G5" s="354">
        <f>F5/E5/500</f>
        <v>1000</v>
      </c>
      <c r="H5" s="966"/>
    </row>
    <row r="6" spans="1:9" s="517" customFormat="1" ht="31.5">
      <c r="A6" s="358">
        <v>3</v>
      </c>
      <c r="B6" s="584" t="s">
        <v>25</v>
      </c>
      <c r="C6" s="358" t="s">
        <v>556</v>
      </c>
      <c r="D6" s="358">
        <v>2.2000000000000002</v>
      </c>
      <c r="E6" s="358">
        <v>8</v>
      </c>
      <c r="F6" s="360">
        <v>12000000</v>
      </c>
      <c r="G6" s="354">
        <f>F6/E6/500</f>
        <v>3000</v>
      </c>
      <c r="H6" s="966"/>
    </row>
    <row r="7" spans="1:9" s="517" customFormat="1">
      <c r="A7" s="358">
        <v>4</v>
      </c>
      <c r="B7" s="584" t="str">
        <f>+[1]Gia_Tbi!B7</f>
        <v>Máy photocopy</v>
      </c>
      <c r="C7" s="358" t="str">
        <f>+[1]Gia_Tbi!C7</f>
        <v>cái</v>
      </c>
      <c r="D7" s="650">
        <f>+[1]Gia_Tbi!D7</f>
        <v>1.5</v>
      </c>
      <c r="E7" s="650">
        <f>+[1]Gia_Tbi!E7</f>
        <v>8</v>
      </c>
      <c r="F7" s="650">
        <f>+[1]Gia_Tbi!F7</f>
        <v>44000000</v>
      </c>
      <c r="G7" s="354">
        <f>+[1]Gia_Tbi!G7</f>
        <v>11000</v>
      </c>
      <c r="H7" s="966"/>
    </row>
    <row r="8" spans="1:9" s="517" customFormat="1">
      <c r="A8" s="358">
        <v>5</v>
      </c>
      <c r="B8" s="584" t="s">
        <v>598</v>
      </c>
      <c r="C8" s="358" t="s">
        <v>556</v>
      </c>
      <c r="D8" s="358">
        <v>0.6</v>
      </c>
      <c r="E8" s="358">
        <v>8</v>
      </c>
      <c r="F8" s="360">
        <v>10000000</v>
      </c>
      <c r="G8" s="354">
        <f t="shared" ref="G8:G11" si="0">F8/E8/500</f>
        <v>2500</v>
      </c>
      <c r="H8" s="966"/>
    </row>
    <row r="9" spans="1:9" s="517" customFormat="1">
      <c r="A9" s="358">
        <v>6</v>
      </c>
      <c r="B9" s="584" t="s">
        <v>599</v>
      </c>
      <c r="C9" s="358" t="s">
        <v>556</v>
      </c>
      <c r="D9" s="358">
        <v>0.8</v>
      </c>
      <c r="E9" s="358">
        <v>8</v>
      </c>
      <c r="F9" s="360">
        <v>45200000</v>
      </c>
      <c r="G9" s="354">
        <f>F9/E9/500</f>
        <v>11300</v>
      </c>
      <c r="H9" s="966"/>
    </row>
    <row r="10" spans="1:9" s="517" customFormat="1" ht="47.25">
      <c r="A10" s="358">
        <v>7</v>
      </c>
      <c r="B10" s="584" t="s">
        <v>928</v>
      </c>
      <c r="C10" s="358" t="s">
        <v>556</v>
      </c>
      <c r="D10" s="358">
        <v>1</v>
      </c>
      <c r="E10" s="358">
        <v>10</v>
      </c>
      <c r="F10" s="360">
        <v>80000000</v>
      </c>
      <c r="G10" s="354">
        <f t="shared" si="0"/>
        <v>16000</v>
      </c>
      <c r="H10" s="965" t="s">
        <v>927</v>
      </c>
    </row>
    <row r="11" spans="1:9" s="517" customFormat="1">
      <c r="A11" s="358">
        <v>8</v>
      </c>
      <c r="B11" s="584" t="s">
        <v>600</v>
      </c>
      <c r="C11" s="358" t="s">
        <v>556</v>
      </c>
      <c r="D11" s="358">
        <v>0.4</v>
      </c>
      <c r="E11" s="358">
        <v>5</v>
      </c>
      <c r="F11" s="360">
        <v>5000000</v>
      </c>
      <c r="G11" s="354">
        <f t="shared" si="0"/>
        <v>2000</v>
      </c>
      <c r="H11" s="966"/>
    </row>
    <row r="12" spans="1:9" s="517" customFormat="1">
      <c r="A12" s="358">
        <v>9</v>
      </c>
      <c r="B12" s="584" t="s">
        <v>557</v>
      </c>
      <c r="C12" s="358" t="s">
        <v>558</v>
      </c>
      <c r="D12" s="358">
        <v>0.1</v>
      </c>
      <c r="E12" s="358">
        <v>5</v>
      </c>
      <c r="F12" s="360">
        <v>2500000</v>
      </c>
      <c r="G12" s="354">
        <f>F12/E12/500</f>
        <v>1000</v>
      </c>
      <c r="H12" s="966"/>
    </row>
    <row r="13" spans="1:9">
      <c r="A13" s="358">
        <v>10</v>
      </c>
      <c r="B13" s="584" t="s">
        <v>8</v>
      </c>
      <c r="C13" s="358" t="s">
        <v>907</v>
      </c>
      <c r="D13" s="358"/>
      <c r="E13" s="928">
        <v>1</v>
      </c>
      <c r="F13" s="360">
        <v>1686</v>
      </c>
      <c r="G13" s="354">
        <f>F13*8</f>
        <v>13488</v>
      </c>
      <c r="H13" s="966"/>
      <c r="I13" s="517"/>
    </row>
    <row r="14" spans="1:9" ht="63">
      <c r="A14" s="358">
        <v>11</v>
      </c>
      <c r="B14" s="584" t="s">
        <v>857</v>
      </c>
      <c r="C14" s="1131" t="s">
        <v>558</v>
      </c>
      <c r="D14" s="1131" t="s">
        <v>842</v>
      </c>
      <c r="E14" s="358">
        <v>10</v>
      </c>
      <c r="F14" s="360">
        <v>20881000</v>
      </c>
      <c r="G14" s="926">
        <f>F14/E14/500</f>
        <v>4176.2</v>
      </c>
      <c r="H14" s="965" t="s">
        <v>858</v>
      </c>
      <c r="I14" s="517"/>
    </row>
    <row r="15" spans="1:9" ht="63">
      <c r="A15" s="358">
        <v>12</v>
      </c>
      <c r="B15" s="584" t="s">
        <v>859</v>
      </c>
      <c r="C15" s="1131" t="s">
        <v>558</v>
      </c>
      <c r="D15" s="1131" t="s">
        <v>842</v>
      </c>
      <c r="E15" s="358">
        <v>10</v>
      </c>
      <c r="F15" s="360">
        <f>17000*21000</f>
        <v>357000000</v>
      </c>
      <c r="G15" s="926">
        <f>F15/E15/500</f>
        <v>71400</v>
      </c>
      <c r="H15" s="965" t="s">
        <v>860</v>
      </c>
    </row>
    <row r="16" spans="1:9" ht="63">
      <c r="A16" s="358">
        <v>13</v>
      </c>
      <c r="B16" s="584" t="s">
        <v>861</v>
      </c>
      <c r="C16" s="358" t="s">
        <v>558</v>
      </c>
      <c r="D16" s="358">
        <v>0.4</v>
      </c>
      <c r="E16" s="358">
        <v>5</v>
      </c>
      <c r="F16" s="360">
        <f>7000*21000</f>
        <v>147000000</v>
      </c>
      <c r="G16" s="926">
        <f t="shared" ref="G16" si="1">F16/E16/500</f>
        <v>58800</v>
      </c>
      <c r="H16" s="965" t="s">
        <v>862</v>
      </c>
    </row>
    <row r="17" spans="7:7">
      <c r="G17" s="1132"/>
    </row>
  </sheetData>
  <mergeCells count="1">
    <mergeCell ref="A1:H1"/>
  </mergeCells>
  <phoneticPr fontId="104" type="noConversion"/>
  <printOptions horizontalCentered="1"/>
  <pageMargins left="0.5" right="0.25" top="0.5" bottom="0.5" header="0.5" footer="0.5"/>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6"/>
  <sheetViews>
    <sheetView zoomScaleNormal="100" workbookViewId="0">
      <pane xSplit="3" ySplit="5" topLeftCell="I21" activePane="bottomRight" state="frozen"/>
      <selection pane="topRight" activeCell="E1" sqref="E1"/>
      <selection pane="bottomLeft" activeCell="A5" sqref="A5"/>
      <selection pane="bottomRight" activeCell="Z8" sqref="Z8"/>
    </sheetView>
  </sheetViews>
  <sheetFormatPr defaultColWidth="8.875" defaultRowHeight="15.75"/>
  <cols>
    <col min="1" max="1" width="5.5" style="808" customWidth="1"/>
    <col min="2" max="2" width="38" style="878" customWidth="1"/>
    <col min="3" max="3" width="12.25" style="460" customWidth="1"/>
    <col min="4" max="4" width="9.125" style="460" customWidth="1"/>
    <col min="5" max="5" width="6.625" style="460" customWidth="1"/>
    <col min="6" max="6" width="7.5" style="460" customWidth="1"/>
    <col min="7" max="7" width="8.75" style="460" customWidth="1"/>
    <col min="8" max="8" width="8.25" style="482" customWidth="1"/>
    <col min="9" max="9" width="8.875" style="838" customWidth="1"/>
    <col min="10" max="10" width="9.125" style="460" customWidth="1"/>
    <col min="11" max="11" width="9" style="838" customWidth="1"/>
    <col min="12" max="12" width="10.25" style="460" hidden="1" customWidth="1"/>
    <col min="13" max="13" width="11.375" style="454" hidden="1" customWidth="1"/>
    <col min="14" max="14" width="13" style="454" hidden="1" customWidth="1"/>
    <col min="15" max="15" width="12" style="454" hidden="1" customWidth="1"/>
    <col min="16" max="18" width="11.5" style="454" hidden="1" customWidth="1"/>
    <col min="19" max="19" width="11.625" style="454" hidden="1" customWidth="1"/>
    <col min="20" max="20" width="10.625" style="454" bestFit="1" customWidth="1"/>
    <col min="21" max="16384" width="8.875" style="454"/>
  </cols>
  <sheetData>
    <row r="1" spans="1:19" ht="21.75" customHeight="1">
      <c r="A1" s="1232" t="s">
        <v>993</v>
      </c>
      <c r="B1" s="1232"/>
      <c r="C1" s="1232"/>
      <c r="D1" s="1232"/>
      <c r="E1" s="1232"/>
      <c r="F1" s="1232"/>
      <c r="G1" s="1232"/>
      <c r="H1" s="1232"/>
      <c r="I1" s="1232"/>
      <c r="J1" s="1232"/>
      <c r="K1" s="1232"/>
      <c r="L1" s="1232"/>
      <c r="M1" s="838"/>
      <c r="N1" s="838"/>
    </row>
    <row r="2" spans="1:19">
      <c r="A2" s="883"/>
      <c r="B2" s="1203"/>
      <c r="C2" s="1203"/>
      <c r="D2" s="1203"/>
      <c r="E2" s="1203"/>
      <c r="F2" s="1204"/>
      <c r="G2" s="481"/>
      <c r="H2" s="481"/>
      <c r="I2" s="1237" t="s">
        <v>602</v>
      </c>
      <c r="J2" s="1237"/>
      <c r="K2" s="1237"/>
      <c r="L2" s="1237"/>
      <c r="M2" s="822"/>
      <c r="N2" s="822"/>
    </row>
    <row r="3" spans="1:19" ht="26.25" customHeight="1">
      <c r="A3" s="1238" t="s">
        <v>14</v>
      </c>
      <c r="B3" s="1221" t="s">
        <v>162</v>
      </c>
      <c r="C3" s="1222" t="s">
        <v>251</v>
      </c>
      <c r="D3" s="1221" t="s">
        <v>609</v>
      </c>
      <c r="E3" s="1221"/>
      <c r="F3" s="1221"/>
      <c r="G3" s="1221"/>
      <c r="H3" s="1221"/>
      <c r="I3" s="1221"/>
      <c r="J3" s="1209" t="s">
        <v>610</v>
      </c>
      <c r="K3" s="1239" t="s">
        <v>611</v>
      </c>
      <c r="L3" s="1239" t="s">
        <v>986</v>
      </c>
      <c r="M3" s="819"/>
      <c r="N3" s="819"/>
    </row>
    <row r="4" spans="1:19" ht="21.95" customHeight="1">
      <c r="A4" s="1238"/>
      <c r="B4" s="1221"/>
      <c r="C4" s="1222"/>
      <c r="D4" s="1222" t="s">
        <v>605</v>
      </c>
      <c r="E4" s="1209" t="s">
        <v>606</v>
      </c>
      <c r="F4" s="1209" t="s">
        <v>607</v>
      </c>
      <c r="G4" s="1221" t="s">
        <v>608</v>
      </c>
      <c r="H4" s="1221"/>
      <c r="I4" s="1222" t="s">
        <v>156</v>
      </c>
      <c r="J4" s="1209"/>
      <c r="K4" s="1240"/>
      <c r="L4" s="1240"/>
      <c r="M4" s="1230" t="s">
        <v>837</v>
      </c>
      <c r="N4" s="1209" t="s">
        <v>20</v>
      </c>
      <c r="O4" s="1243" t="s">
        <v>964</v>
      </c>
      <c r="P4" s="1247" t="s">
        <v>965</v>
      </c>
      <c r="Q4" s="1248"/>
      <c r="R4" s="1249"/>
      <c r="S4" s="1245" t="s">
        <v>952</v>
      </c>
    </row>
    <row r="5" spans="1:19" ht="59.25" customHeight="1">
      <c r="A5" s="1238"/>
      <c r="B5" s="1221"/>
      <c r="C5" s="1222"/>
      <c r="D5" s="1222"/>
      <c r="E5" s="1209"/>
      <c r="F5" s="1209"/>
      <c r="G5" s="463" t="s">
        <v>615</v>
      </c>
      <c r="H5" s="463" t="s">
        <v>616</v>
      </c>
      <c r="I5" s="1222"/>
      <c r="J5" s="1209"/>
      <c r="K5" s="1240" t="s">
        <v>613</v>
      </c>
      <c r="L5" s="1240" t="s">
        <v>613</v>
      </c>
      <c r="M5" s="1230"/>
      <c r="N5" s="1209"/>
      <c r="O5" s="1243"/>
      <c r="P5" s="698" t="s">
        <v>799</v>
      </c>
      <c r="Q5" s="698" t="s">
        <v>800</v>
      </c>
      <c r="R5" s="698" t="s">
        <v>803</v>
      </c>
      <c r="S5" s="1246"/>
    </row>
    <row r="6" spans="1:19" s="823" customFormat="1" ht="12.75">
      <c r="A6" s="873">
        <v>-1</v>
      </c>
      <c r="B6" s="893">
        <v>-2</v>
      </c>
      <c r="C6" s="873">
        <v>-3</v>
      </c>
      <c r="D6" s="893">
        <v>-4</v>
      </c>
      <c r="E6" s="873">
        <v>-5</v>
      </c>
      <c r="F6" s="893">
        <v>-6</v>
      </c>
      <c r="G6" s="873">
        <v>-7</v>
      </c>
      <c r="H6" s="893">
        <v>-8</v>
      </c>
      <c r="I6" s="873">
        <v>-9</v>
      </c>
      <c r="J6" s="893">
        <v>-10</v>
      </c>
      <c r="K6" s="873">
        <v>-11</v>
      </c>
      <c r="L6" s="893">
        <v>-12</v>
      </c>
      <c r="M6" s="1150">
        <v>14</v>
      </c>
      <c r="N6" s="1151">
        <v>15</v>
      </c>
      <c r="O6" s="1152"/>
      <c r="P6" s="1153"/>
      <c r="Q6" s="1152"/>
      <c r="R6" s="1152"/>
      <c r="S6" s="1152"/>
    </row>
    <row r="7" spans="1:19">
      <c r="A7" s="874">
        <v>1</v>
      </c>
      <c r="B7" s="466" t="str">
        <f>NhanCong_Huyen!C4</f>
        <v>Công tác chuẩn bị</v>
      </c>
      <c r="C7" s="463"/>
      <c r="D7" s="464"/>
      <c r="E7" s="465"/>
      <c r="F7" s="465"/>
      <c r="G7" s="465"/>
      <c r="H7" s="465"/>
      <c r="I7" s="464"/>
      <c r="J7" s="464"/>
      <c r="K7" s="464"/>
      <c r="L7" s="464"/>
      <c r="M7" s="820"/>
      <c r="N7" s="464"/>
      <c r="O7" s="687"/>
      <c r="P7" s="687"/>
      <c r="Q7" s="687"/>
      <c r="R7" s="687"/>
      <c r="S7" s="687"/>
    </row>
    <row r="8" spans="1:19" ht="94.5">
      <c r="A8" s="693" t="s">
        <v>767</v>
      </c>
      <c r="B8" s="598" t="str">
        <f>NhanCong_Huyen!C5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C8" s="468" t="str">
        <f>NhanCong_Huyen!D5</f>
        <v>Bộ cơ sở dữ liệu theo huyện</v>
      </c>
      <c r="D8" s="470">
        <f>NhanCong_Huyen!H5</f>
        <v>575654.3365384615</v>
      </c>
      <c r="E8" s="470">
        <f>+Dcu_Huyen!F16</f>
        <v>4946.5368272788464</v>
      </c>
      <c r="F8" s="470">
        <f>+'Vat-lieu_Huyen'!E17</f>
        <v>46340.122302000003</v>
      </c>
      <c r="G8" s="470">
        <f>+'Thiet-bi_Huyen'!J5</f>
        <v>5100</v>
      </c>
      <c r="H8" s="470">
        <f>+'Thiet-bi_Huyen'!K5</f>
        <v>9441.5999999999985</v>
      </c>
      <c r="I8" s="470">
        <f>SUM(D8:H8)</f>
        <v>641482.59566774021</v>
      </c>
      <c r="J8" s="470">
        <f t="shared" ref="J8:J9" si="0">I8*0.15</f>
        <v>96222.389350161029</v>
      </c>
      <c r="K8" s="470">
        <f>I8+J8</f>
        <v>737704.98501790129</v>
      </c>
      <c r="L8" s="470">
        <f t="shared" ref="L8:L9" si="1">K8-G8</f>
        <v>732604.98501790129</v>
      </c>
      <c r="M8" s="821">
        <v>1</v>
      </c>
      <c r="N8" s="470">
        <f>L8*M8</f>
        <v>732604.98501790129</v>
      </c>
      <c r="O8" s="688">
        <f>((I8+J8)*10%+(I8+J8))*M8</f>
        <v>811475.48351969139</v>
      </c>
      <c r="P8" s="687"/>
      <c r="Q8" s="687"/>
      <c r="R8" s="687"/>
      <c r="S8" s="687"/>
    </row>
    <row r="9" spans="1:19" ht="63">
      <c r="A9" s="693" t="s">
        <v>768</v>
      </c>
      <c r="B9" s="598" t="str">
        <f>NhanCong_Huyen!C6</f>
        <v>Chuẩn bị nhân lực, địa điểm làm việc; Chuẩn bị vật tư, thiết bị, dụng cụ, phần mềm phục vụ cho công tác xây dựng cơ sở dữ liệu thống kê, kiểm kê đất đai</v>
      </c>
      <c r="C9" s="468" t="str">
        <f>NhanCong_Huyen!D6</f>
        <v>Bộ cơ sở dữ liệu theo huyện</v>
      </c>
      <c r="D9" s="470">
        <f>NhanCong_Huyen!H6</f>
        <v>548052.0865384615</v>
      </c>
      <c r="E9" s="470">
        <f>+Dcu_Huyen!F17</f>
        <v>4946.5368272788464</v>
      </c>
      <c r="F9" s="470">
        <f>+'Vat-lieu_Huyen'!E18</f>
        <v>46340.122302000003</v>
      </c>
      <c r="G9" s="470">
        <f>'Thiet-bi_Huyen'!J9</f>
        <v>5100</v>
      </c>
      <c r="H9" s="470">
        <f>'Thiet-bi_Huyen'!K9</f>
        <v>9441.5999999999985</v>
      </c>
      <c r="I9" s="470">
        <f>SUM(D9:H9)</f>
        <v>613880.34566774021</v>
      </c>
      <c r="J9" s="470">
        <f t="shared" si="0"/>
        <v>92082.051850161035</v>
      </c>
      <c r="K9" s="470">
        <f t="shared" ref="K9" si="2">I9+J9</f>
        <v>705962.39751790126</v>
      </c>
      <c r="L9" s="470">
        <f t="shared" si="1"/>
        <v>700862.39751790126</v>
      </c>
      <c r="M9" s="821">
        <v>1</v>
      </c>
      <c r="N9" s="470">
        <f>L9*M9</f>
        <v>700862.39751790126</v>
      </c>
      <c r="O9" s="688">
        <f>((I9+J9)*10%+(I9+J9))*M9</f>
        <v>776558.63726969133</v>
      </c>
      <c r="P9" s="687"/>
      <c r="Q9" s="687"/>
      <c r="R9" s="687"/>
      <c r="S9" s="687"/>
    </row>
    <row r="10" spans="1:19">
      <c r="A10" s="874">
        <v>2</v>
      </c>
      <c r="B10" s="466" t="str">
        <f>NhanCong_Huyen!C16</f>
        <v>Thu thập tài liệu, dữ liệu</v>
      </c>
      <c r="C10" s="463"/>
      <c r="D10" s="470"/>
      <c r="E10" s="470"/>
      <c r="F10" s="470"/>
      <c r="G10" s="470"/>
      <c r="H10" s="470"/>
      <c r="I10" s="470"/>
      <c r="J10" s="470"/>
      <c r="K10" s="470"/>
      <c r="L10" s="470"/>
      <c r="M10" s="821"/>
      <c r="N10" s="470"/>
      <c r="O10" s="687"/>
      <c r="P10" s="687"/>
      <c r="Q10" s="687"/>
      <c r="R10" s="687"/>
      <c r="S10" s="687"/>
    </row>
    <row r="11" spans="1:19">
      <c r="A11" s="693" t="s">
        <v>827</v>
      </c>
      <c r="B11" s="598" t="str">
        <f>NhanCong_Huyen!C17</f>
        <v>Thu thập tài liệu, dữ liệu thống kê</v>
      </c>
      <c r="C11" s="468" t="str">
        <f>NhanCong_Huyen!D17</f>
        <v>Năm TK</v>
      </c>
      <c r="D11" s="470">
        <f>NhanCong_Huyen!H17</f>
        <v>21347.115384615387</v>
      </c>
      <c r="E11" s="470">
        <f>Dcu_Huyen!F40</f>
        <v>329.38485081923073</v>
      </c>
      <c r="F11" s="470">
        <f>+'Vat-lieu_Huyen'!E43</f>
        <v>3085.8260849999997</v>
      </c>
      <c r="G11" s="470">
        <f>+'Thiet-bi_Huyen'!J53</f>
        <v>340.1</v>
      </c>
      <c r="H11" s="470">
        <f>+'Thiet-bi_Huyen'!K53</f>
        <v>629.88959999999997</v>
      </c>
      <c r="I11" s="470">
        <f t="shared" ref="I11:I12" si="3">SUM(D11:H11)</f>
        <v>25732.315920434616</v>
      </c>
      <c r="J11" s="470">
        <f t="shared" ref="J11:J12" si="4">I11*0.15</f>
        <v>3859.8473880651923</v>
      </c>
      <c r="K11" s="470">
        <f t="shared" ref="K11:K12" si="5">I11+J11</f>
        <v>29592.163308499807</v>
      </c>
      <c r="L11" s="470">
        <f t="shared" ref="L11:L12" si="6">K11-G11</f>
        <v>29252.063308499808</v>
      </c>
      <c r="M11" s="821">
        <f>Chitietbangbieu!Y31</f>
        <v>14</v>
      </c>
      <c r="N11" s="470">
        <f>L11*M11</f>
        <v>409528.88631899731</v>
      </c>
      <c r="O11" s="688">
        <f>((I11+J11)*10%+(I11+J11))*M11</f>
        <v>455719.31495089701</v>
      </c>
      <c r="P11" s="687"/>
      <c r="Q11" s="687"/>
      <c r="R11" s="687"/>
      <c r="S11" s="687" t="s">
        <v>722</v>
      </c>
    </row>
    <row r="12" spans="1:19">
      <c r="A12" s="693" t="s">
        <v>830</v>
      </c>
      <c r="B12" s="598" t="str">
        <f>NhanCong_Huyen!C18</f>
        <v>Thu thập tài liệu, dữ liệu kiểm kê</v>
      </c>
      <c r="C12" s="468" t="str">
        <f>NhanCong_Huyen!D18</f>
        <v>Kỳ KK</v>
      </c>
      <c r="D12" s="470">
        <f>NhanCong_Huyen!H18</f>
        <v>194361.90384615384</v>
      </c>
      <c r="E12" s="470">
        <f>Dcu_Huyen!F41</f>
        <v>1648.7047127492306</v>
      </c>
      <c r="F12" s="470">
        <f>+'Vat-lieu_Huyen'!E44</f>
        <v>15445.810566</v>
      </c>
      <c r="G12" s="470">
        <f>+'Thiet-bi_Huyen'!J57</f>
        <v>1699.9</v>
      </c>
      <c r="H12" s="470">
        <f>+'Thiet-bi_Huyen'!K57</f>
        <v>3146.7503999999999</v>
      </c>
      <c r="I12" s="470">
        <f t="shared" si="3"/>
        <v>216303.06952490305</v>
      </c>
      <c r="J12" s="470">
        <f t="shared" si="4"/>
        <v>32445.460428735456</v>
      </c>
      <c r="K12" s="470">
        <f t="shared" si="5"/>
        <v>248748.5299536385</v>
      </c>
      <c r="L12" s="470">
        <f t="shared" si="6"/>
        <v>247048.6299536385</v>
      </c>
      <c r="M12" s="821">
        <f>Chitietbangbieu!Z31</f>
        <v>4</v>
      </c>
      <c r="N12" s="470">
        <f>L12*M12</f>
        <v>988194.51981455402</v>
      </c>
      <c r="O12" s="688">
        <f>((I12+J12)*10%+(I12+J12))*M12</f>
        <v>1094493.5317960093</v>
      </c>
      <c r="P12" s="687"/>
      <c r="Q12" s="687"/>
      <c r="R12" s="687"/>
      <c r="S12" s="687" t="s">
        <v>722</v>
      </c>
    </row>
    <row r="13" spans="1:19" ht="31.5">
      <c r="A13" s="874">
        <v>3</v>
      </c>
      <c r="B13" s="466" t="str">
        <f>NhanCong_Huyen!C19</f>
        <v>Rà soát, đánh giá, phân loại và sắp xếp tài liệu, dữ liệu</v>
      </c>
      <c r="C13" s="463"/>
      <c r="D13" s="470"/>
      <c r="E13" s="470"/>
      <c r="F13" s="470"/>
      <c r="G13" s="470"/>
      <c r="H13" s="470"/>
      <c r="I13" s="470"/>
      <c r="J13" s="470"/>
      <c r="K13" s="470"/>
      <c r="L13" s="470"/>
      <c r="M13" s="821"/>
      <c r="N13" s="470"/>
      <c r="O13" s="687"/>
      <c r="P13" s="687"/>
      <c r="Q13" s="687"/>
      <c r="R13" s="687"/>
      <c r="S13" s="687"/>
    </row>
    <row r="14" spans="1:19" ht="47.25">
      <c r="A14" s="693" t="s">
        <v>771</v>
      </c>
      <c r="B14" s="598" t="str">
        <f>NhanCong_Huyen!C20</f>
        <v>Rà soát, đánh giá, phân loại và sắp xếp tài liệu, dữ liệu thống kê và lập báo cáo kết quản thực hiện</v>
      </c>
      <c r="C14" s="468" t="str">
        <f>NhanCong_Huyen!D20</f>
        <v>Năm TK</v>
      </c>
      <c r="D14" s="470">
        <f>+NhanCong_Huyen!H20</f>
        <v>106735.57692307692</v>
      </c>
      <c r="E14" s="470">
        <f>Dcu_Huyen!F43</f>
        <v>1648.7047127492306</v>
      </c>
      <c r="F14" s="470">
        <f>+'Vat-lieu_Huyen'!E46</f>
        <v>15445.810566</v>
      </c>
      <c r="G14" s="470">
        <f>+'Thiet-bi_Huyen'!J62</f>
        <v>1699.9</v>
      </c>
      <c r="H14" s="470">
        <f>+'Thiet-bi_Huyen'!K62</f>
        <v>3146.7503999999999</v>
      </c>
      <c r="I14" s="470">
        <f t="shared" ref="I14:I15" si="7">SUM(D14:H14)</f>
        <v>128676.74260182615</v>
      </c>
      <c r="J14" s="470">
        <f t="shared" ref="J14:J15" si="8">I14*0.15</f>
        <v>19301.511390273921</v>
      </c>
      <c r="K14" s="470">
        <f t="shared" ref="K14:K15" si="9">I14+J14</f>
        <v>147978.25399210007</v>
      </c>
      <c r="L14" s="470">
        <f t="shared" ref="L14:L15" si="10">K14-G14</f>
        <v>146278.35399210008</v>
      </c>
      <c r="M14" s="821">
        <f>M11</f>
        <v>14</v>
      </c>
      <c r="N14" s="470">
        <f>L14*M14</f>
        <v>2047896.955889401</v>
      </c>
      <c r="O14" s="688">
        <f>((I14+J14)*10%+(I14+J14))*M14</f>
        <v>2278865.1114783413</v>
      </c>
      <c r="P14" s="687"/>
      <c r="Q14" s="687"/>
      <c r="R14" s="687"/>
      <c r="S14" s="687" t="s">
        <v>722</v>
      </c>
    </row>
    <row r="15" spans="1:19" ht="47.25">
      <c r="A15" s="693" t="s">
        <v>774</v>
      </c>
      <c r="B15" s="598" t="str">
        <f>NhanCong_Huyen!C21</f>
        <v>Rà soát, đánh giá, phân loại và sắp xếp tài liệu, dữ liệu kiểm kê và lập báo cáo kết quản thực hiện</v>
      </c>
      <c r="C15" s="468" t="str">
        <f>NhanCong_Huyen!D21</f>
        <v>Kỳ KK</v>
      </c>
      <c r="D15" s="470">
        <f>+NhanCong_Huyen!H21</f>
        <v>583085.7115384615</v>
      </c>
      <c r="E15" s="470">
        <f>Dcu_Huyen!F44</f>
        <v>4946.1141382476917</v>
      </c>
      <c r="F15" s="470">
        <f>+'Vat-lieu_Huyen'!E47</f>
        <v>46337.431698</v>
      </c>
      <c r="G15" s="470">
        <f>+'Thiet-bi_Huyen'!J66</f>
        <v>5100</v>
      </c>
      <c r="H15" s="470">
        <f>+'Thiet-bi_Huyen'!K66</f>
        <v>9441.5999999999985</v>
      </c>
      <c r="I15" s="470">
        <f t="shared" si="7"/>
        <v>648910.85737470922</v>
      </c>
      <c r="J15" s="470">
        <f t="shared" si="8"/>
        <v>97336.628606206374</v>
      </c>
      <c r="K15" s="470">
        <f t="shared" si="9"/>
        <v>746247.4859809156</v>
      </c>
      <c r="L15" s="470">
        <f t="shared" si="10"/>
        <v>741147.4859809156</v>
      </c>
      <c r="M15" s="821">
        <f>M12</f>
        <v>4</v>
      </c>
      <c r="N15" s="470">
        <f>L15*M15</f>
        <v>2964589.9439236624</v>
      </c>
      <c r="O15" s="688">
        <f>((I15+J15)*10%+(I15+J15))*M15</f>
        <v>3283488.9383160286</v>
      </c>
      <c r="P15" s="687"/>
      <c r="Q15" s="687"/>
      <c r="R15" s="687"/>
      <c r="S15" s="687" t="s">
        <v>722</v>
      </c>
    </row>
    <row r="16" spans="1:19" ht="31.5">
      <c r="A16" s="874">
        <v>4</v>
      </c>
      <c r="B16" s="466" t="str">
        <f>+NhanCong_Huyen!C38</f>
        <v>Chuẩn hóa các lớp đối tượng không gian kiểm kê đất đai</v>
      </c>
      <c r="C16" s="463"/>
      <c r="D16" s="470"/>
      <c r="E16" s="470"/>
      <c r="F16" s="470"/>
      <c r="G16" s="470"/>
      <c r="H16" s="470"/>
      <c r="I16" s="470"/>
      <c r="J16" s="470"/>
      <c r="K16" s="470"/>
      <c r="L16" s="884"/>
      <c r="M16" s="821"/>
      <c r="N16" s="470"/>
      <c r="O16" s="687"/>
      <c r="P16" s="687"/>
      <c r="Q16" s="687"/>
      <c r="R16" s="687"/>
      <c r="S16" s="687"/>
    </row>
    <row r="17" spans="1:21" ht="31.5">
      <c r="A17" s="693" t="s">
        <v>553</v>
      </c>
      <c r="B17" s="469" t="str">
        <f>NhanCong_Huyen!C38</f>
        <v>Chuẩn hóa các lớp đối tượng không gian kiểm kê đất đai</v>
      </c>
      <c r="C17" s="468"/>
      <c r="D17" s="470"/>
      <c r="E17" s="470"/>
      <c r="F17" s="470"/>
      <c r="G17" s="470"/>
      <c r="H17" s="470"/>
      <c r="I17" s="470"/>
      <c r="J17" s="470"/>
      <c r="K17" s="470"/>
      <c r="L17" s="470"/>
      <c r="M17" s="821"/>
      <c r="N17" s="470"/>
      <c r="O17" s="687"/>
      <c r="P17" s="687"/>
      <c r="Q17" s="687"/>
      <c r="R17" s="687"/>
      <c r="S17" s="687"/>
    </row>
    <row r="18" spans="1:21" ht="63">
      <c r="A18" s="693" t="s">
        <v>69</v>
      </c>
      <c r="B18" s="598" t="str">
        <f>NhanCong_Huyen!C39</f>
        <v>Lập bảng đối chiếu giữa lớp đối tượng không gian kiểm kê đất đai với nội dung tương ứng trong bản đồ hiện trạng sử dụng đất để tách, lọc các đối tượng từ nội dung bản đồ</v>
      </c>
      <c r="C18" s="468" t="str">
        <f>NhanCong_Huyen!D39</f>
        <v>Lớp dữ liệu</v>
      </c>
      <c r="D18" s="470">
        <f>+NhanCong_Huyen!H39</f>
        <v>426942.30769230769</v>
      </c>
      <c r="E18" s="470">
        <f>+Dcu_Huyen!F74</f>
        <v>6594.4482462250007</v>
      </c>
      <c r="F18" s="470">
        <f>+'Vat-lieu_Huyen'!E81</f>
        <v>61778.07806040001</v>
      </c>
      <c r="G18" s="470">
        <f>+'Thiet-bi_Huyen'!J129</f>
        <v>100879.9</v>
      </c>
      <c r="H18" s="470">
        <f>+'Thiet-bi_Huyen'!K129</f>
        <v>12588.350399999999</v>
      </c>
      <c r="I18" s="470">
        <f>SUM(D18:H18)</f>
        <v>608783.08439893275</v>
      </c>
      <c r="J18" s="470">
        <f>I18*0.15</f>
        <v>91317.462659839905</v>
      </c>
      <c r="K18" s="470">
        <f>I18+J18</f>
        <v>700100.54705877264</v>
      </c>
      <c r="L18" s="470">
        <f>K18-G18</f>
        <v>599220.64705877262</v>
      </c>
      <c r="M18" s="821">
        <v>4</v>
      </c>
      <c r="N18" s="470">
        <f>L18*M18</f>
        <v>2396882.5882350905</v>
      </c>
      <c r="O18" s="688"/>
      <c r="P18" s="688">
        <f>((I18+J18)*10%+(I18+J18))*M18*0.9</f>
        <v>2772398.1663527396</v>
      </c>
      <c r="Q18" s="688">
        <f>((I18+J18)*10%+(I18+J18))*M18*1</f>
        <v>3080442.4070585994</v>
      </c>
      <c r="R18" s="688">
        <f>((I18+J18)*10%+(I18+J18))*M18*$D$52</f>
        <v>3388486.6477644597</v>
      </c>
      <c r="S18" s="687"/>
    </row>
    <row r="19" spans="1:21" ht="31.5">
      <c r="A19" s="693" t="s">
        <v>70</v>
      </c>
      <c r="B19" s="469" t="str">
        <f>NhanCong_Huyen!C40</f>
        <v>Chuẩn hóa các lớp đối tượng không gian kiểm kê đất đai chưa phù hợp</v>
      </c>
      <c r="C19" s="468" t="str">
        <f>NhanCong_Huyen!D40</f>
        <v>Lớp dữ liệu</v>
      </c>
      <c r="D19" s="470">
        <f>+NhanCong_Huyen!H40</f>
        <v>533677.88461538462</v>
      </c>
      <c r="E19" s="470">
        <f>+Dcu_Huyen!F75</f>
        <v>8242.3596651711541</v>
      </c>
      <c r="F19" s="470">
        <f>+'Vat-lieu_Huyen'!E82</f>
        <v>77216.033818800002</v>
      </c>
      <c r="G19" s="470">
        <f>+'Thiet-bi_Huyen'!J134</f>
        <v>126100.1</v>
      </c>
      <c r="H19" s="470">
        <f>+'Thiet-bi_Huyen'!K134</f>
        <v>15736.449600000002</v>
      </c>
      <c r="I19" s="470">
        <f>SUM(D19:H19)</f>
        <v>760972.82769935578</v>
      </c>
      <c r="J19" s="470">
        <f>I19*0.15</f>
        <v>114145.92415490336</v>
      </c>
      <c r="K19" s="470">
        <f>I19+J19</f>
        <v>875118.75185425917</v>
      </c>
      <c r="L19" s="470">
        <f>K19-G19</f>
        <v>749018.65185425919</v>
      </c>
      <c r="M19" s="821">
        <v>4</v>
      </c>
      <c r="N19" s="470">
        <f>L19*M19</f>
        <v>2996074.6074170368</v>
      </c>
      <c r="O19" s="688"/>
      <c r="P19" s="688">
        <f>((I19+J19)*10%+(I19+J19))*M19*0.9</f>
        <v>3465470.2573428666</v>
      </c>
      <c r="Q19" s="688">
        <f>((I19+J19)*10%+(I19+J19))*M19*1</f>
        <v>3850522.5081587406</v>
      </c>
      <c r="R19" s="688">
        <f>((I19+J19)*10%+(I19+J19))*M19*$D$52</f>
        <v>4235574.7589746146</v>
      </c>
      <c r="S19" s="687"/>
    </row>
    <row r="20" spans="1:21" s="837" customFormat="1" ht="47.25">
      <c r="A20" s="885" t="s">
        <v>691</v>
      </c>
      <c r="B20" s="469" t="str">
        <f>NhanCong_Huyen!C41</f>
        <v>Nhập bổ sung các thông tin thuộc tính cho đối tượng không gian kiểm kê đất đai còn thiếu (nếu có)</v>
      </c>
      <c r="C20" s="468" t="str">
        <f>NhanCong_Huyen!D41</f>
        <v>Lớp dữ liệu</v>
      </c>
      <c r="D20" s="470">
        <f>+NhanCong_Huyen!H41</f>
        <v>106735.57692307692</v>
      </c>
      <c r="E20" s="470">
        <f>+Dcu_Huyen!F76</f>
        <v>1647.9114189461541</v>
      </c>
      <c r="F20" s="470">
        <f>+'Vat-lieu_Huyen'!E83</f>
        <v>15437.955758400001</v>
      </c>
      <c r="G20" s="470">
        <f>+'Thiet-bi_Huyen'!J139</f>
        <v>25219.9</v>
      </c>
      <c r="H20" s="470">
        <f>+'Thiet-bi_Huyen'!K139</f>
        <v>3146.7503999999999</v>
      </c>
      <c r="I20" s="470">
        <f>SUM(D20:H20)</f>
        <v>152188.09450042306</v>
      </c>
      <c r="J20" s="470">
        <f>I20*0.15</f>
        <v>22828.214175063458</v>
      </c>
      <c r="K20" s="470">
        <f>I20+J20</f>
        <v>175016.30867548651</v>
      </c>
      <c r="L20" s="470">
        <f>K20-G20</f>
        <v>149796.40867548651</v>
      </c>
      <c r="M20" s="821">
        <f>$M$19</f>
        <v>4</v>
      </c>
      <c r="N20" s="470">
        <f>L20*M20</f>
        <v>599185.63470194605</v>
      </c>
      <c r="O20" s="688"/>
      <c r="P20" s="688">
        <f>((I20+J20)*10%+(I20+J20))*M20*0.9</f>
        <v>693064.58235492662</v>
      </c>
      <c r="Q20" s="688">
        <f>((I20+J20)*10%+(I20+J20))*M20*1</f>
        <v>770071.75817214069</v>
      </c>
      <c r="R20" s="688">
        <f>((I20+J20)*10%+(I20+J20))*M20*$D$52</f>
        <v>847078.93398935487</v>
      </c>
      <c r="S20" s="836"/>
    </row>
    <row r="21" spans="1:21" ht="31.5">
      <c r="A21" s="693" t="s">
        <v>694</v>
      </c>
      <c r="B21" s="469" t="str">
        <f>NhanCong_Huyen!C42</f>
        <v>Rà soát chuẩn hóa thông tin thuộc tính cho từng đối tượng không gian kiểm kê đất đai</v>
      </c>
      <c r="C21" s="468" t="str">
        <f>NhanCong_Huyen!D42</f>
        <v>Lớp dữ liệu</v>
      </c>
      <c r="D21" s="470">
        <f>+NhanCong_Huyen!H42</f>
        <v>426942.30769230769</v>
      </c>
      <c r="E21" s="470">
        <f>+Dcu_Huyen!F77</f>
        <v>6594.4482462250007</v>
      </c>
      <c r="F21" s="470">
        <f>+'Vat-lieu_Huyen'!E84</f>
        <v>61778.07806040001</v>
      </c>
      <c r="G21" s="470">
        <f>+'Thiet-bi_Huyen'!J144</f>
        <v>100879.9</v>
      </c>
      <c r="H21" s="470">
        <f>+'Thiet-bi_Huyen'!K144</f>
        <v>12588.350399999999</v>
      </c>
      <c r="I21" s="470">
        <f>SUM(D21:H21)</f>
        <v>608783.08439893275</v>
      </c>
      <c r="J21" s="470">
        <f>I21*0.15</f>
        <v>91317.462659839905</v>
      </c>
      <c r="K21" s="470">
        <f>I21+J21</f>
        <v>700100.54705877264</v>
      </c>
      <c r="L21" s="470">
        <f>K21-G21</f>
        <v>599220.64705877262</v>
      </c>
      <c r="M21" s="821">
        <f>$M$19</f>
        <v>4</v>
      </c>
      <c r="N21" s="470">
        <f>L21*M21</f>
        <v>2396882.5882350905</v>
      </c>
      <c r="O21" s="688"/>
      <c r="P21" s="688">
        <f>((I21+J21)*10%+(I21+J21))*M21*0.9</f>
        <v>2772398.1663527396</v>
      </c>
      <c r="Q21" s="688">
        <f>((I21+J21)*10%+(I21+J21))*M21*1</f>
        <v>3080442.4070585994</v>
      </c>
      <c r="R21" s="688">
        <f>((I21+J21)*10%+(I21+J21))*M21*$D$52</f>
        <v>3388486.6477644597</v>
      </c>
      <c r="S21" s="687"/>
    </row>
    <row r="22" spans="1:21" ht="31.5">
      <c r="A22" s="693" t="s">
        <v>864</v>
      </c>
      <c r="B22" s="469" t="str">
        <f>NhanCong_Huyen!C43</f>
        <v>Chuyển đổi và tích hợp không gian kiểm kê đất đai</v>
      </c>
      <c r="C22" s="468"/>
      <c r="D22" s="470"/>
      <c r="E22" s="470"/>
      <c r="F22" s="470"/>
      <c r="G22" s="470"/>
      <c r="H22" s="470"/>
      <c r="I22" s="470"/>
      <c r="J22" s="470"/>
      <c r="K22" s="470"/>
      <c r="L22" s="470"/>
      <c r="M22" s="821"/>
      <c r="N22" s="470"/>
      <c r="O22" s="687"/>
      <c r="P22" s="687"/>
      <c r="Q22" s="687"/>
      <c r="R22" s="687"/>
      <c r="S22" s="687"/>
    </row>
    <row r="23" spans="1:21" ht="47.25">
      <c r="A23" s="693" t="s">
        <v>865</v>
      </c>
      <c r="B23" s="469" t="str">
        <f>NhanCong_Huyen!C44</f>
        <v>Chuyển đổi các lớp đối tượng không gian kiểm kê đất đai từ tệp (File) bản đồ số vào cơ sở dữ liệu theo đơn vị hành chính</v>
      </c>
      <c r="C23" s="468" t="str">
        <f>NhanCong_Huyen!D44</f>
        <v>Lớp dữ liệu</v>
      </c>
      <c r="D23" s="470">
        <f>+NhanCong_Huyen!H44</f>
        <v>106735.57692307692</v>
      </c>
      <c r="E23" s="470">
        <f>+Dcu_Huyen!F79</f>
        <v>1647.9114189461541</v>
      </c>
      <c r="F23" s="470">
        <f>+'Vat-lieu_Huyen'!E86</f>
        <v>15437.955758400001</v>
      </c>
      <c r="G23" s="470">
        <f>+'Thiet-bi_Huyen'!J150</f>
        <v>29004.9</v>
      </c>
      <c r="H23" s="470">
        <f>+'Thiet-bi_Huyen'!K150</f>
        <v>3146.7503999999999</v>
      </c>
      <c r="I23" s="470">
        <f>SUM(D23:H23)</f>
        <v>155973.09450042306</v>
      </c>
      <c r="J23" s="470">
        <f t="shared" ref="J23:J24" si="11">I23*0.15</f>
        <v>23395.964175063458</v>
      </c>
      <c r="K23" s="470">
        <f t="shared" ref="K23:K24" si="12">I23+J23</f>
        <v>179369.05867548651</v>
      </c>
      <c r="L23" s="470">
        <f t="shared" ref="L23:L24" si="13">K23-G23</f>
        <v>150364.15867548651</v>
      </c>
      <c r="M23" s="821">
        <f t="shared" ref="M23:M24" si="14">$M$19</f>
        <v>4</v>
      </c>
      <c r="N23" s="470">
        <f>L23*M23</f>
        <v>601456.63470194605</v>
      </c>
      <c r="O23" s="688">
        <f>((I23+J23)*10%+(I23+J23))*M23</f>
        <v>789223.85817214067</v>
      </c>
      <c r="P23" s="687"/>
      <c r="Q23" s="687"/>
      <c r="R23" s="687"/>
      <c r="S23" s="687"/>
    </row>
    <row r="24" spans="1:21" ht="31.5">
      <c r="A24" s="693" t="s">
        <v>866</v>
      </c>
      <c r="B24" s="469" t="str">
        <f>NhanCong_Huyen!C45</f>
        <v>Rà soát dữ liệu không gian để xử lý các lỗi dọc biên giữa các đơn vị hành chính tiếp giáp nhau</v>
      </c>
      <c r="C24" s="468" t="str">
        <f>NhanCong_Huyen!D45</f>
        <v>Lớp dữ liệu</v>
      </c>
      <c r="D24" s="470">
        <f>+NhanCong_Huyen!H45</f>
        <v>213471.15384615384</v>
      </c>
      <c r="E24" s="470">
        <f>+Dcu_Huyen!F80</f>
        <v>3298.6254083326926</v>
      </c>
      <c r="F24" s="470">
        <f>+'Vat-lieu_Huyen'!E87</f>
        <v>30902.166543600004</v>
      </c>
      <c r="G24" s="470">
        <f>+'Thiet-bi_Huyen'!J158</f>
        <v>58010.1</v>
      </c>
      <c r="H24" s="470">
        <f>+'Thiet-bi_Huyen'!K158</f>
        <v>6294.8496000000005</v>
      </c>
      <c r="I24" s="470">
        <f>SUM(D24:H24)</f>
        <v>311976.89539808652</v>
      </c>
      <c r="J24" s="470">
        <f t="shared" si="11"/>
        <v>46796.534309712973</v>
      </c>
      <c r="K24" s="470">
        <f t="shared" si="12"/>
        <v>358773.42970779951</v>
      </c>
      <c r="L24" s="470">
        <f t="shared" si="13"/>
        <v>300763.32970779954</v>
      </c>
      <c r="M24" s="821">
        <f t="shared" si="14"/>
        <v>4</v>
      </c>
      <c r="N24" s="470">
        <f>L24*M24</f>
        <v>1203053.3188311982</v>
      </c>
      <c r="O24" s="688">
        <f>((I24+J24)*10%+(I24+J24))*M24</f>
        <v>1578603.0907143177</v>
      </c>
      <c r="P24" s="687"/>
      <c r="Q24" s="687"/>
      <c r="R24" s="687"/>
      <c r="S24" s="687"/>
    </row>
    <row r="25" spans="1:21">
      <c r="A25" s="874">
        <v>5</v>
      </c>
      <c r="B25" s="466" t="str">
        <f>NhanCong_Huyen!C22</f>
        <v>Quét giấy tờ pháp lý và xử lý tệp tin</v>
      </c>
      <c r="C25" s="468"/>
      <c r="D25" s="470"/>
      <c r="E25" s="470"/>
      <c r="F25" s="470"/>
      <c r="G25" s="470"/>
      <c r="H25" s="470"/>
      <c r="I25" s="470"/>
      <c r="J25" s="470"/>
      <c r="K25" s="470"/>
      <c r="L25" s="470"/>
      <c r="M25" s="821"/>
      <c r="N25" s="470"/>
      <c r="O25" s="687"/>
      <c r="P25" s="687"/>
      <c r="Q25" s="687"/>
      <c r="R25" s="687"/>
      <c r="S25" s="687"/>
    </row>
    <row r="26" spans="1:21" ht="110.25" customHeight="1">
      <c r="A26" s="693" t="s">
        <v>867</v>
      </c>
      <c r="B26" s="469" t="str">
        <f>NhanCong_Huyen!C23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C26" s="468"/>
      <c r="D26" s="470"/>
      <c r="E26" s="470"/>
      <c r="F26" s="470"/>
      <c r="G26" s="470"/>
      <c r="H26" s="470"/>
      <c r="I26" s="470"/>
      <c r="J26" s="470"/>
      <c r="K26" s="470"/>
      <c r="L26" s="470"/>
      <c r="M26" s="821"/>
      <c r="N26" s="470"/>
      <c r="O26" s="687"/>
      <c r="P26" s="687"/>
      <c r="Q26" s="687"/>
      <c r="R26" s="687"/>
      <c r="S26" s="687"/>
      <c r="U26" s="454">
        <f>401-394</f>
        <v>7</v>
      </c>
    </row>
    <row r="27" spans="1:21">
      <c r="A27" s="693" t="s">
        <v>693</v>
      </c>
      <c r="B27" s="469" t="str">
        <f>NhanCong_Huyen!C24</f>
        <v>Trang A3</v>
      </c>
      <c r="C27" s="468" t="str">
        <f>NhanCong_Huyen!D24</f>
        <v>Trang A3</v>
      </c>
      <c r="D27" s="470">
        <f>+NhanCong_Huyen!H24</f>
        <v>2001.1158461538462</v>
      </c>
      <c r="E27" s="470">
        <f>+Dcu_Huyen!F47</f>
        <v>77.430000000000007</v>
      </c>
      <c r="F27" s="470">
        <f>+'Vat-lieu_Huyen'!E50</f>
        <v>399.05</v>
      </c>
      <c r="G27" s="470">
        <f>+'Thiet-bi_Huyen'!J72</f>
        <v>168.48</v>
      </c>
      <c r="H27" s="470">
        <f>+'Thiet-bi_Huyen'!K72</f>
        <v>230.6448</v>
      </c>
      <c r="I27" s="470">
        <f>SUM(D27:H27)</f>
        <v>2876.7206461538462</v>
      </c>
      <c r="J27" s="470">
        <f t="shared" ref="J27:J29" si="15">I27*0.15</f>
        <v>431.50809692307695</v>
      </c>
      <c r="K27" s="470">
        <f t="shared" ref="K27:K29" si="16">I27+J27</f>
        <v>3308.2287430769234</v>
      </c>
      <c r="L27" s="470">
        <f t="shared" ref="L27:L29" si="17">K27-G27</f>
        <v>3139.7487430769233</v>
      </c>
      <c r="M27" s="821">
        <f>Chitietbangbieu!R36</f>
        <v>48</v>
      </c>
      <c r="N27" s="470">
        <f>L27*M27</f>
        <v>150707.93966769232</v>
      </c>
      <c r="O27" s="688">
        <f>((I27+J27)*10%+(I27+J27))*M27</f>
        <v>174674.47763446157</v>
      </c>
      <c r="P27" s="687"/>
      <c r="Q27" s="687"/>
      <c r="R27" s="687"/>
      <c r="S27" s="687"/>
    </row>
    <row r="28" spans="1:21">
      <c r="A28" s="693" t="s">
        <v>571</v>
      </c>
      <c r="B28" s="469" t="str">
        <f>NhanCong_Huyen!C25</f>
        <v>Trang A4</v>
      </c>
      <c r="C28" s="468" t="str">
        <f>NhanCong_Huyen!D25</f>
        <v>Trang A4</v>
      </c>
      <c r="D28" s="470">
        <f>+NhanCong_Huyen!H25</f>
        <v>1334.0772307692307</v>
      </c>
      <c r="E28" s="470">
        <f>+Dcu_Huyen!F48</f>
        <v>76.540000000000006</v>
      </c>
      <c r="F28" s="470">
        <f>+'Vat-lieu_Huyen'!E51</f>
        <v>386.3</v>
      </c>
      <c r="G28" s="470">
        <f>+'Thiet-bi_Huyen'!J78</f>
        <v>55.900000000000006</v>
      </c>
      <c r="H28" s="470">
        <f>+'Thiet-bi_Huyen'!K78</f>
        <v>136.22880000000001</v>
      </c>
      <c r="I28" s="470">
        <f>SUM(D28:H28)</f>
        <v>1989.0460307692308</v>
      </c>
      <c r="J28" s="470">
        <f t="shared" si="15"/>
        <v>298.35690461538462</v>
      </c>
      <c r="K28" s="470">
        <f t="shared" si="16"/>
        <v>2287.4029353846154</v>
      </c>
      <c r="L28" s="470">
        <f t="shared" si="17"/>
        <v>2231.5029353846153</v>
      </c>
      <c r="M28" s="821">
        <f>Chitietbangbieu!R35</f>
        <v>300</v>
      </c>
      <c r="N28" s="470">
        <f>L28*M28</f>
        <v>669450.88061538455</v>
      </c>
      <c r="O28" s="688">
        <f>((I28+J28)*10%+(I28+J28))*M28</f>
        <v>754842.96867692308</v>
      </c>
      <c r="P28" s="687"/>
      <c r="Q28" s="687"/>
      <c r="R28" s="687"/>
      <c r="S28" s="687"/>
    </row>
    <row r="29" spans="1:21" ht="110.25">
      <c r="A29" s="693" t="s">
        <v>868</v>
      </c>
      <c r="B29" s="469" t="str">
        <f>NhanCong_Huyen!C26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C29" s="468" t="s">
        <v>839</v>
      </c>
      <c r="D29" s="470">
        <f>+NhanCong_Huyen!H26</f>
        <v>667.03861538461535</v>
      </c>
      <c r="E29" s="470">
        <f>+Dcu_Huyen!F49</f>
        <v>56.31</v>
      </c>
      <c r="F29" s="470">
        <f>+'Vat-lieu_Huyen'!E52</f>
        <v>340.2</v>
      </c>
      <c r="G29" s="470">
        <f>+'Thiet-bi_Huyen'!J84</f>
        <v>13.700000000000001</v>
      </c>
      <c r="H29" s="470">
        <f>+'Thiet-bi_Huyen'!K84</f>
        <v>25.627199999999998</v>
      </c>
      <c r="I29" s="470">
        <f>SUM(D29:H29)</f>
        <v>1102.8758153846154</v>
      </c>
      <c r="J29" s="470">
        <f t="shared" si="15"/>
        <v>165.4313723076923</v>
      </c>
      <c r="K29" s="470">
        <f t="shared" si="16"/>
        <v>1268.3071876923077</v>
      </c>
      <c r="L29" s="470">
        <f t="shared" si="17"/>
        <v>1254.6071876923077</v>
      </c>
      <c r="M29" s="821">
        <f>M27+M28</f>
        <v>348</v>
      </c>
      <c r="N29" s="470">
        <f>L29*M29</f>
        <v>436603.30131692305</v>
      </c>
      <c r="O29" s="688">
        <f>((I29+J29)*10%+(I29+J29))*M29</f>
        <v>485507.99144861539</v>
      </c>
      <c r="P29" s="687"/>
      <c r="Q29" s="687"/>
      <c r="R29" s="687"/>
      <c r="S29" s="687"/>
    </row>
    <row r="30" spans="1:21" ht="31.5">
      <c r="A30" s="693" t="s">
        <v>869</v>
      </c>
      <c r="B30" s="469" t="str">
        <f>NhanCong_Huyen!C27</f>
        <v>Tạo danh mục tra cứu hồ sơ quét trong cơ sở dữ liệu thống kê, kiểm kê đất đai</v>
      </c>
      <c r="C30" s="468" t="str">
        <f>NhanCong_Huyen!D27</f>
        <v>Năm TK hoặc Kỳ KK</v>
      </c>
      <c r="D30" s="470">
        <f>+NhanCong_Huyen!H27</f>
        <v>83379.826923076922</v>
      </c>
      <c r="E30" s="470">
        <f>Dcu_Huyen!F50</f>
        <v>1648.7047127492306</v>
      </c>
      <c r="F30" s="470">
        <f>+'Vat-lieu_Huyen'!E53</f>
        <v>15445.810566</v>
      </c>
      <c r="G30" s="470">
        <f>'Thiet-bi_Huyen'!J88</f>
        <v>4117.5199999999995</v>
      </c>
      <c r="H30" s="470">
        <f>'Thiet-bi_Huyen'!K88</f>
        <v>3146.7503999999999</v>
      </c>
      <c r="I30" s="470">
        <f>SUM(D30:H30)</f>
        <v>107738.61260182616</v>
      </c>
      <c r="J30" s="470">
        <f t="shared" ref="J30:J44" si="18">I30*0.15</f>
        <v>16160.791890273922</v>
      </c>
      <c r="K30" s="470">
        <f t="shared" ref="K30:K44" si="19">I30+J30</f>
        <v>123899.40449210008</v>
      </c>
      <c r="L30" s="470">
        <f t="shared" ref="L30:L44" si="20">K30-G30</f>
        <v>119781.88449210007</v>
      </c>
      <c r="M30" s="821">
        <f>Chitietbangbieu!Y31+Chitietbangbieu!Z31</f>
        <v>18</v>
      </c>
      <c r="N30" s="470">
        <f>L30*M30</f>
        <v>2156073.9208578011</v>
      </c>
      <c r="O30" s="688">
        <f>((I30+J30)*10%+(I30+J30))*M30</f>
        <v>2453208.2089435817</v>
      </c>
      <c r="P30" s="687"/>
      <c r="Q30" s="687"/>
      <c r="R30" s="687"/>
      <c r="S30" s="687"/>
    </row>
    <row r="31" spans="1:21" ht="31.5">
      <c r="A31" s="874">
        <v>6</v>
      </c>
      <c r="B31" s="466" t="str">
        <f>NhanCong_Huyen!C28</f>
        <v>Xây dựng dữ liệu thuộc tính thống kê, kiểm kê đất đai</v>
      </c>
      <c r="C31" s="468"/>
      <c r="D31" s="470"/>
      <c r="E31" s="470"/>
      <c r="F31" s="470"/>
      <c r="G31" s="470"/>
      <c r="H31" s="470"/>
      <c r="I31" s="470"/>
      <c r="J31" s="470"/>
      <c r="K31" s="470"/>
      <c r="L31" s="470"/>
      <c r="M31" s="821"/>
      <c r="N31" s="470"/>
      <c r="O31" s="687"/>
      <c r="P31" s="687"/>
      <c r="Q31" s="687"/>
      <c r="R31" s="687"/>
      <c r="S31" s="687"/>
    </row>
    <row r="32" spans="1:21">
      <c r="A32" s="693" t="s">
        <v>870</v>
      </c>
      <c r="B32" s="469" t="str">
        <f>NhanCong_Huyen!C29</f>
        <v>Đối với tài liệu, số liệu là bảng, biểu dạng số</v>
      </c>
      <c r="C32" s="468"/>
      <c r="D32" s="470"/>
      <c r="E32" s="470"/>
      <c r="F32" s="470"/>
      <c r="G32" s="470"/>
      <c r="H32" s="470"/>
      <c r="I32" s="470"/>
      <c r="J32" s="470"/>
      <c r="K32" s="470"/>
      <c r="L32" s="470"/>
      <c r="M32" s="821"/>
      <c r="N32" s="470"/>
      <c r="O32" s="687"/>
      <c r="P32" s="687"/>
      <c r="Q32" s="687"/>
      <c r="R32" s="687"/>
      <c r="S32" s="687"/>
    </row>
    <row r="33" spans="1:21" ht="31.5">
      <c r="A33" s="693" t="s">
        <v>871</v>
      </c>
      <c r="B33" s="469" t="str">
        <f>NhanCong_Huyen!C30</f>
        <v>Lập mô hình chuyển đổi cơ sở dữ liệu thống kê, kiểm kê đất đai</v>
      </c>
      <c r="C33" s="468" t="str">
        <f>NhanCong_Huyen!D30</f>
        <v>Năm TK hoặc Kỳ KK</v>
      </c>
      <c r="D33" s="470">
        <f>+NhanCong_Huyen!H30</f>
        <v>42694.230769230773</v>
      </c>
      <c r="E33" s="470">
        <f>+Dcu_Huyen!F53</f>
        <v>658.76970163846147</v>
      </c>
      <c r="F33" s="470">
        <f>+'Vat-lieu_Huyen'!E56</f>
        <v>6171.6521699999994</v>
      </c>
      <c r="G33" s="470">
        <f>+'Thiet-bi_Huyen'!J97</f>
        <v>679.9</v>
      </c>
      <c r="H33" s="470">
        <f>+'Thiet-bi_Huyen'!K97</f>
        <v>1258.4304</v>
      </c>
      <c r="I33" s="470">
        <f>SUM(D33:H33)</f>
        <v>51462.983040869236</v>
      </c>
      <c r="J33" s="470">
        <f t="shared" ref="J33:J35" si="21">I33*0.15</f>
        <v>7719.447456130385</v>
      </c>
      <c r="K33" s="470">
        <f t="shared" ref="K33:K35" si="22">I33+J33</f>
        <v>59182.430496999623</v>
      </c>
      <c r="L33" s="470">
        <f t="shared" ref="L33:L35" si="23">K33-G33</f>
        <v>58502.530496999621</v>
      </c>
      <c r="M33" s="821">
        <f>M30</f>
        <v>18</v>
      </c>
      <c r="N33" s="470">
        <f>L33*M33</f>
        <v>1053045.5489459932</v>
      </c>
      <c r="O33" s="688">
        <f>((I33+J33)*10%+(I33+J33))*M33</f>
        <v>1171812.1238405926</v>
      </c>
      <c r="P33" s="687"/>
      <c r="Q33" s="687"/>
      <c r="R33" s="687"/>
      <c r="S33" s="687"/>
    </row>
    <row r="34" spans="1:21" ht="31.5">
      <c r="A34" s="693" t="s">
        <v>872</v>
      </c>
      <c r="B34" s="469" t="str">
        <f>NhanCong_Huyen!C31</f>
        <v>Chuyển đổi vào cơ sở dữ liệu thống kê, kiểm kê đất đai</v>
      </c>
      <c r="C34" s="468" t="str">
        <f>NhanCong_Huyen!D31</f>
        <v>Năm TK hoặc Kỳ KK</v>
      </c>
      <c r="D34" s="470">
        <f>+NhanCong_Huyen!H31</f>
        <v>76046.161538461543</v>
      </c>
      <c r="E34" s="470">
        <f>+Dcu_Huyen!F54</f>
        <v>1319.3198619299999</v>
      </c>
      <c r="F34" s="470">
        <f>+'Vat-lieu_Huyen'!E57</f>
        <v>12359.984481</v>
      </c>
      <c r="G34" s="470">
        <f>+'Thiet-bi_Huyen'!J101</f>
        <v>3294.1959999999999</v>
      </c>
      <c r="H34" s="470">
        <f>+'Thiet-bi_Huyen'!K101</f>
        <v>2518.2096000000001</v>
      </c>
      <c r="I34" s="470">
        <f>SUM(D34:H34)</f>
        <v>95537.871481391543</v>
      </c>
      <c r="J34" s="470">
        <f t="shared" si="21"/>
        <v>14330.680722208732</v>
      </c>
      <c r="K34" s="470">
        <f t="shared" si="22"/>
        <v>109868.55220360028</v>
      </c>
      <c r="L34" s="470">
        <f t="shared" si="23"/>
        <v>106574.35620360028</v>
      </c>
      <c r="M34" s="821">
        <f>M30</f>
        <v>18</v>
      </c>
      <c r="N34" s="470">
        <f>L34*M34</f>
        <v>1918338.4116648051</v>
      </c>
      <c r="O34" s="688">
        <f>((I34+J34)*10%+(I34+J34))*M34</f>
        <v>2175397.3336312855</v>
      </c>
      <c r="P34" s="687"/>
      <c r="Q34" s="687"/>
      <c r="R34" s="687"/>
      <c r="S34" s="687"/>
    </row>
    <row r="35" spans="1:21" ht="47.25">
      <c r="A35" s="693" t="s">
        <v>873</v>
      </c>
      <c r="B35" s="469" t="str">
        <f>NhanCong_Huyen!C32</f>
        <v>Đối với tài liệu, số liệu là báo cáo dạng số thì tạo danh mục tra cứu trong cơ sở dữ liệu thống kê, kiểm kê đất đai</v>
      </c>
      <c r="C35" s="468" t="str">
        <f>NhanCong_Huyen!D32</f>
        <v>Năm TK hoặc Kỳ KK</v>
      </c>
      <c r="D35" s="470">
        <f>+NhanCong_Huyen!H32</f>
        <v>38023.080769230772</v>
      </c>
      <c r="E35" s="470">
        <f>+Dcu_Huyen!F55</f>
        <v>658.76970163846147</v>
      </c>
      <c r="F35" s="470">
        <f>+'Vat-lieu_Huyen'!E58</f>
        <v>6171.6521699999994</v>
      </c>
      <c r="G35" s="470">
        <f>+'Thiet-bi_Huyen'!J108</f>
        <v>1646.9480000000001</v>
      </c>
      <c r="H35" s="470">
        <f>+'Thiet-bi_Huyen'!K108</f>
        <v>1258.4304</v>
      </c>
      <c r="I35" s="470">
        <f>SUM(D35:H35)</f>
        <v>47758.88104086923</v>
      </c>
      <c r="J35" s="470">
        <f t="shared" si="21"/>
        <v>7163.8321561303846</v>
      </c>
      <c r="K35" s="470">
        <f t="shared" si="22"/>
        <v>54922.713196999612</v>
      </c>
      <c r="L35" s="470">
        <f t="shared" si="23"/>
        <v>53275.765196999615</v>
      </c>
      <c r="M35" s="821">
        <f>M30</f>
        <v>18</v>
      </c>
      <c r="N35" s="470">
        <f>L35*M35</f>
        <v>958963.77354599303</v>
      </c>
      <c r="O35" s="688">
        <f>((I35+J35)*10%+(I35+J35))*M35</f>
        <v>1087469.7213005924</v>
      </c>
      <c r="P35" s="687"/>
      <c r="Q35" s="687"/>
      <c r="R35" s="687"/>
      <c r="S35" s="687"/>
    </row>
    <row r="36" spans="1:21" ht="31.5">
      <c r="A36" s="874">
        <v>7</v>
      </c>
      <c r="B36" s="466" t="str">
        <f>NhanCong_Huyen!C33</f>
        <v>Đối soát, hoàn thiện dữ liệu thống kê, kiểm kê đất đai</v>
      </c>
      <c r="C36" s="463"/>
      <c r="D36" s="470"/>
      <c r="E36" s="470"/>
      <c r="F36" s="470"/>
      <c r="G36" s="470"/>
      <c r="H36" s="470"/>
      <c r="I36" s="470"/>
      <c r="J36" s="470"/>
      <c r="K36" s="470"/>
      <c r="L36" s="470"/>
      <c r="M36" s="821"/>
      <c r="N36" s="470"/>
      <c r="O36" s="687"/>
      <c r="P36" s="687"/>
      <c r="Q36" s="687"/>
      <c r="R36" s="687"/>
      <c r="S36" s="687"/>
    </row>
    <row r="37" spans="1:21">
      <c r="A37" s="693" t="s">
        <v>874</v>
      </c>
      <c r="B37" s="598" t="str">
        <f>NhanCong_Huyen!C34</f>
        <v>Đối soát, hoàn thiện dữ liệu thống kê đất đai</v>
      </c>
      <c r="C37" s="468" t="str">
        <f>NhanCong_Huyen!D34</f>
        <v>Năm TK</v>
      </c>
      <c r="D37" s="470">
        <f>NhanCong_Huyen!H34</f>
        <v>106735.57692307692</v>
      </c>
      <c r="E37" s="470">
        <f>+Dcu_Huyen!F57</f>
        <v>1648.7047127492306</v>
      </c>
      <c r="F37" s="470">
        <f>+'Vat-lieu_Huyen'!E60</f>
        <v>15445.810566</v>
      </c>
      <c r="G37" s="470">
        <f>+'Thiet-bi_Huyen'!J116</f>
        <v>1699.9</v>
      </c>
      <c r="H37" s="470">
        <f>+'Thiet-bi_Huyen'!K116</f>
        <v>3146.7503999999999</v>
      </c>
      <c r="I37" s="470">
        <f t="shared" ref="I37:I38" si="24">SUM(D37:H37)</f>
        <v>128676.74260182615</v>
      </c>
      <c r="J37" s="470">
        <f t="shared" ref="J37:J38" si="25">I37*0.15</f>
        <v>19301.511390273921</v>
      </c>
      <c r="K37" s="470">
        <f t="shared" ref="K37:K38" si="26">I37+J37</f>
        <v>147978.25399210007</v>
      </c>
      <c r="L37" s="470">
        <f t="shared" ref="L37:L38" si="27">K37-G37</f>
        <v>146278.35399210008</v>
      </c>
      <c r="M37" s="821">
        <f>M11</f>
        <v>14</v>
      </c>
      <c r="N37" s="470">
        <f>L37*M37</f>
        <v>2047896.955889401</v>
      </c>
      <c r="O37" s="688">
        <f>((I37+J37)*10%+(I37+J37))*M37</f>
        <v>2278865.1114783413</v>
      </c>
      <c r="P37" s="687"/>
      <c r="Q37" s="687"/>
      <c r="R37" s="687"/>
      <c r="S37" s="687"/>
    </row>
    <row r="38" spans="1:21">
      <c r="A38" s="693" t="s">
        <v>875</v>
      </c>
      <c r="B38" s="598" t="str">
        <f>NhanCong_Huyen!C35</f>
        <v>Đối soát, hoàn thiện dữ liệu kiểm kê đất đai</v>
      </c>
      <c r="C38" s="468" t="str">
        <f>NhanCong_Huyen!D35</f>
        <v>Kỳ KK</v>
      </c>
      <c r="D38" s="470">
        <f>NhanCong_Huyen!H35</f>
        <v>388723.80769230769</v>
      </c>
      <c r="E38" s="470">
        <f>+Dcu_Huyen!F58</f>
        <v>3297.4094254984611</v>
      </c>
      <c r="F38" s="470">
        <f>+'Vat-lieu_Huyen'!E61</f>
        <v>30891.621132</v>
      </c>
      <c r="G38" s="470">
        <f>+'Thiet-bi_Huyen'!J120</f>
        <v>3400.1</v>
      </c>
      <c r="H38" s="470">
        <f>+'Thiet-bi_Huyen'!K120</f>
        <v>6294.8496000000005</v>
      </c>
      <c r="I38" s="470">
        <f t="shared" si="24"/>
        <v>432607.78784980613</v>
      </c>
      <c r="J38" s="470">
        <f t="shared" si="25"/>
        <v>64891.168177470914</v>
      </c>
      <c r="K38" s="470">
        <f t="shared" si="26"/>
        <v>497498.95602727705</v>
      </c>
      <c r="L38" s="470">
        <f t="shared" si="27"/>
        <v>494098.85602727707</v>
      </c>
      <c r="M38" s="821">
        <f>M12</f>
        <v>4</v>
      </c>
      <c r="N38" s="470">
        <f>L38*M38</f>
        <v>1976395.4241091083</v>
      </c>
      <c r="O38" s="688">
        <f>((I38+J38)*10%+(I38+J38))*M38</f>
        <v>2188995.4065200188</v>
      </c>
      <c r="P38" s="687"/>
      <c r="Q38" s="687"/>
      <c r="R38" s="687"/>
      <c r="S38" s="687"/>
    </row>
    <row r="39" spans="1:21" ht="31.5">
      <c r="A39" s="874">
        <v>8</v>
      </c>
      <c r="B39" s="466" t="str">
        <f>NhanCong_Huyen!C7</f>
        <v>Xây dựng siêu dữ liệu thống kê, kiểm kê đất đai</v>
      </c>
      <c r="C39" s="463"/>
      <c r="D39" s="470"/>
      <c r="E39" s="470"/>
      <c r="F39" s="470"/>
      <c r="G39" s="470"/>
      <c r="H39" s="470"/>
      <c r="I39" s="470"/>
      <c r="J39" s="470"/>
      <c r="K39" s="470"/>
      <c r="L39" s="470"/>
      <c r="M39" s="821"/>
      <c r="N39" s="470"/>
      <c r="O39" s="687"/>
      <c r="P39" s="687"/>
      <c r="Q39" s="687"/>
      <c r="R39" s="687"/>
      <c r="S39" s="687"/>
    </row>
    <row r="40" spans="1:21" ht="47.25">
      <c r="A40" s="693" t="s">
        <v>876</v>
      </c>
      <c r="B40" s="469" t="str">
        <f>NhanCong_Huyen!C8</f>
        <v>Thu nhận các thông tin cần thiết để xây dựng siêu dữ liệu (thông tin mô tả dữ liệu) thống kê, kiểm kê đất đai</v>
      </c>
      <c r="C40" s="468" t="str">
        <f>NhanCong_Huyen!D8</f>
        <v>Bộ cơ sở dữ liệu theo huyện</v>
      </c>
      <c r="D40" s="470">
        <f>NhanCong_Huyen!H8</f>
        <v>166759.65384615384</v>
      </c>
      <c r="E40" s="470">
        <f>+Dcu_Huyen!F19</f>
        <v>3295.8228378923081</v>
      </c>
      <c r="F40" s="470">
        <f>+'Vat-lieu_Huyen'!E20</f>
        <v>30875.911516800003</v>
      </c>
      <c r="G40" s="470">
        <f>+'Thiet-bi_Huyen'!J14</f>
        <v>3400.1</v>
      </c>
      <c r="H40" s="470">
        <f>+'Thiet-bi_Huyen'!K14</f>
        <v>6294.8496000000005</v>
      </c>
      <c r="I40" s="470">
        <f>SUM(D40:H40)</f>
        <v>210626.33780084614</v>
      </c>
      <c r="J40" s="470">
        <f t="shared" si="18"/>
        <v>31593.95067012692</v>
      </c>
      <c r="K40" s="470">
        <f t="shared" si="19"/>
        <v>242220.28847097306</v>
      </c>
      <c r="L40" s="470">
        <f t="shared" si="20"/>
        <v>238820.18847097305</v>
      </c>
      <c r="M40" s="821">
        <f>1</f>
        <v>1</v>
      </c>
      <c r="N40" s="470">
        <f>L40*M40</f>
        <v>238820.18847097305</v>
      </c>
      <c r="O40" s="688">
        <f>((I40+J40)*10%+(I40+J40))*M40</f>
        <v>266442.31731807039</v>
      </c>
      <c r="P40" s="687"/>
      <c r="Q40" s="687"/>
      <c r="R40" s="687"/>
      <c r="S40" s="687"/>
    </row>
    <row r="41" spans="1:21" ht="40.5" customHeight="1">
      <c r="A41" s="693" t="s">
        <v>877</v>
      </c>
      <c r="B41" s="469" t="str">
        <f>NhanCong_Huyen!C9</f>
        <v>Nhập thông tin siêu dữ liệu kiểm kê đất đai</v>
      </c>
      <c r="C41" s="468" t="str">
        <f>NhanCong_Huyen!D9</f>
        <v>Bộ cơ sở dữ liệu theo huyện</v>
      </c>
      <c r="D41" s="470">
        <f>NhanCong_Huyen!H9</f>
        <v>83379.826923076922</v>
      </c>
      <c r="E41" s="470">
        <f>+Dcu_Huyen!F20</f>
        <v>1647.9114189461541</v>
      </c>
      <c r="F41" s="470">
        <f>+'Vat-lieu_Huyen'!E21</f>
        <v>15437.955758400001</v>
      </c>
      <c r="G41" s="470">
        <f>+'Thiet-bi_Huyen'!J18</f>
        <v>1699.9</v>
      </c>
      <c r="H41" s="470">
        <f>+'Thiet-bi_Huyen'!K18</f>
        <v>3146.7503999999999</v>
      </c>
      <c r="I41" s="470">
        <f>SUM(D41:H41)</f>
        <v>105312.34450042307</v>
      </c>
      <c r="J41" s="470">
        <f t="shared" si="18"/>
        <v>15796.851675063461</v>
      </c>
      <c r="K41" s="470">
        <f t="shared" si="19"/>
        <v>121109.19617548653</v>
      </c>
      <c r="L41" s="470">
        <f t="shared" si="20"/>
        <v>119409.29617548654</v>
      </c>
      <c r="M41" s="821">
        <v>1</v>
      </c>
      <c r="N41" s="470">
        <f>L41*M41</f>
        <v>119409.29617548654</v>
      </c>
      <c r="O41" s="688">
        <f>((I41+J41)*10%+(I41+J41))*M41</f>
        <v>133220.11579303519</v>
      </c>
      <c r="P41" s="687"/>
      <c r="Q41" s="687"/>
      <c r="R41" s="687"/>
      <c r="S41" s="687"/>
    </row>
    <row r="42" spans="1:21" ht="31.5">
      <c r="A42" s="874">
        <v>9</v>
      </c>
      <c r="B42" s="466" t="str">
        <f>NhanCong_Huyen!C10</f>
        <v>Phục vụ kiểm tra, nghiệm thu cơ sở dữ liệu thống kê, kiểm kê đất đai</v>
      </c>
      <c r="C42" s="463"/>
      <c r="D42" s="470">
        <f>NhanCong_Huyen!H10</f>
        <v>0</v>
      </c>
      <c r="E42" s="470"/>
      <c r="F42" s="470">
        <f>+'Vat-lieu_Huyen'!E22</f>
        <v>0</v>
      </c>
      <c r="G42" s="470"/>
      <c r="H42" s="470"/>
      <c r="I42" s="470"/>
      <c r="J42" s="470"/>
      <c r="K42" s="470"/>
      <c r="L42" s="470"/>
      <c r="M42" s="821"/>
      <c r="N42" s="470"/>
      <c r="O42" s="687"/>
      <c r="P42" s="687"/>
      <c r="Q42" s="687"/>
      <c r="R42" s="687"/>
      <c r="S42" s="687"/>
    </row>
    <row r="43" spans="1:21" ht="31.5">
      <c r="A43" s="693" t="s">
        <v>878</v>
      </c>
      <c r="B43" s="469" t="str">
        <f>NhanCong_Huyen!C11</f>
        <v>Đơn vị thi công chuẩn bị tài liệu và phục vụ giám sát kiểm tra, nghiệm thu.</v>
      </c>
      <c r="C43" s="468" t="str">
        <f>NhanCong_Huyen!D11</f>
        <v>Bộ cơ sở dữ liệu theo huyện</v>
      </c>
      <c r="D43" s="470">
        <f>NhanCong_Huyen!H11</f>
        <v>175252.65384615384</v>
      </c>
      <c r="E43" s="470">
        <f>+Dcu_Huyen!F22</f>
        <v>3295.8228378923081</v>
      </c>
      <c r="F43" s="470">
        <f>+'Vat-lieu_Huyen'!E23</f>
        <v>30875.911516800003</v>
      </c>
      <c r="G43" s="470">
        <f>+'Thiet-bi_Huyen'!J23</f>
        <v>22568.639999999999</v>
      </c>
      <c r="H43" s="470">
        <f>+'Thiet-bi_Huyen'!K23</f>
        <v>10503.105599999999</v>
      </c>
      <c r="I43" s="470">
        <f>SUM(D43:H43)</f>
        <v>242496.13380084618</v>
      </c>
      <c r="J43" s="470">
        <f t="shared" si="18"/>
        <v>36374.420070126922</v>
      </c>
      <c r="K43" s="470">
        <f t="shared" si="19"/>
        <v>278870.55387097312</v>
      </c>
      <c r="L43" s="470">
        <f t="shared" si="20"/>
        <v>256301.91387097311</v>
      </c>
      <c r="M43" s="821">
        <v>1</v>
      </c>
      <c r="N43" s="470">
        <f>L43*M43</f>
        <v>256301.91387097311</v>
      </c>
      <c r="O43" s="688">
        <f>((I43+J43)*10%+(I43+J43))*M43</f>
        <v>306757.60925807041</v>
      </c>
      <c r="P43" s="687"/>
      <c r="Q43" s="687"/>
      <c r="R43" s="687"/>
      <c r="S43" s="687"/>
    </row>
    <row r="44" spans="1:21" ht="63">
      <c r="A44" s="693" t="s">
        <v>879</v>
      </c>
      <c r="B44" s="598" t="str">
        <f>NhanCong_Huyen!C12</f>
        <v>Thực hiện kiểm tra tổng thể cơ sở dữ liệu thống kê, kiểm kê đất đai và tích hợp vào hệ thống ngay sau khi được nghiệm thu để phục vụ quản lý, vận hành, khai thác sử dụng.</v>
      </c>
      <c r="C44" s="468" t="str">
        <f>NhanCong_Huyen!D12</f>
        <v>Bộ cơ sở dữ liệu theo huyện</v>
      </c>
      <c r="D44" s="470">
        <f>NhanCong_Huyen!H12</f>
        <v>426942.30769230769</v>
      </c>
      <c r="E44" s="470">
        <f>+Dcu_Huyen!F23</f>
        <v>6594.4482462250007</v>
      </c>
      <c r="F44" s="470">
        <f>+'Vat-lieu_Huyen'!E24</f>
        <v>61778.07806040001</v>
      </c>
      <c r="G44" s="470">
        <f>+'Thiet-bi_Huyen'!J32</f>
        <v>45137.08</v>
      </c>
      <c r="H44" s="470">
        <f>+'Thiet-bi_Huyen'!K32</f>
        <v>21004.862399999998</v>
      </c>
      <c r="I44" s="470">
        <f>SUM(D44:H44)</f>
        <v>561456.77639893268</v>
      </c>
      <c r="J44" s="470">
        <f t="shared" si="18"/>
        <v>84218.516459839899</v>
      </c>
      <c r="K44" s="470">
        <f t="shared" si="19"/>
        <v>645675.29285877256</v>
      </c>
      <c r="L44" s="470">
        <f t="shared" si="20"/>
        <v>600538.2128587726</v>
      </c>
      <c r="M44" s="821">
        <v>1</v>
      </c>
      <c r="N44" s="470">
        <f>L44*M44</f>
        <v>600538.2128587726</v>
      </c>
      <c r="O44" s="688">
        <f>((I44+J44)*10%+(I44+J44))*M44</f>
        <v>710242.82214464981</v>
      </c>
      <c r="P44" s="687"/>
      <c r="Q44" s="687"/>
      <c r="R44" s="687"/>
      <c r="S44" s="687" t="s">
        <v>722</v>
      </c>
    </row>
    <row r="45" spans="1:21" ht="30" customHeight="1">
      <c r="A45" s="693" t="s">
        <v>880</v>
      </c>
      <c r="B45" s="598" t="str">
        <f>NhanCong_Huyen!C13</f>
        <v>Đóng gói giao nộp cơ sở dữ liệu thống kê, kiểm kê đất đai</v>
      </c>
      <c r="C45" s="468" t="str">
        <f>NhanCong_Huyen!D13</f>
        <v>Bộ cơ sở dữ liệu theo huyện</v>
      </c>
      <c r="D45" s="470">
        <f>NhanCong_Huyen!H13</f>
        <v>175252.65384615384</v>
      </c>
      <c r="E45" s="470">
        <f>+Dcu_Huyen!F24</f>
        <v>3298.6254083326926</v>
      </c>
      <c r="F45" s="470">
        <f>+'Vat-lieu_Huyen'!E25</f>
        <v>30902.166543600004</v>
      </c>
      <c r="G45" s="470">
        <f>+'Thiet-bi_Huyen'!J41</f>
        <v>22568.639999999999</v>
      </c>
      <c r="H45" s="470">
        <f>+'Thiet-bi_Huyen'!K41</f>
        <v>10503.105599999999</v>
      </c>
      <c r="I45" s="470">
        <f>SUM(D45:H45)</f>
        <v>242525.19139808655</v>
      </c>
      <c r="J45" s="470">
        <f t="shared" ref="J45" si="28">I45*0.15</f>
        <v>36378.778709712984</v>
      </c>
      <c r="K45" s="470">
        <f t="shared" ref="K45" si="29">I45+J45</f>
        <v>278903.97010779951</v>
      </c>
      <c r="L45" s="470">
        <f t="shared" ref="L45" si="30">K45-G45</f>
        <v>256335.3301077995</v>
      </c>
      <c r="M45" s="821">
        <v>1</v>
      </c>
      <c r="N45" s="470">
        <f>L45*M45</f>
        <v>256335.3301077995</v>
      </c>
      <c r="O45" s="688">
        <f>((I45+J45)*10%+(I45+J45))*M45</f>
        <v>306794.36711857945</v>
      </c>
      <c r="P45" s="687"/>
      <c r="Q45" s="687"/>
      <c r="R45" s="687"/>
      <c r="S45" s="687"/>
    </row>
    <row r="46" spans="1:21">
      <c r="A46" s="693"/>
      <c r="B46" s="464" t="s">
        <v>37</v>
      </c>
      <c r="C46" s="464"/>
      <c r="D46" s="464">
        <f>SUM(D8:D45)</f>
        <v>5610933.5509230783</v>
      </c>
      <c r="E46" s="464">
        <f t="shared" ref="E46:I46" si="31">SUM(E8:E45)</f>
        <v>74066.27533846155</v>
      </c>
      <c r="F46" s="464">
        <f>SUM(F8:F45)</f>
        <v>693027.49600000016</v>
      </c>
      <c r="G46" s="464">
        <f t="shared" si="31"/>
        <v>569585.70400000003</v>
      </c>
      <c r="H46" s="464">
        <f>SUM(H8:H45)</f>
        <v>158218.28639999998</v>
      </c>
      <c r="I46" s="464">
        <f t="shared" si="31"/>
        <v>7105831.3126615407</v>
      </c>
      <c r="J46" s="464">
        <f t="shared" ref="J46:N46" si="32">SUM(J8:J45)</f>
        <v>1065874.6968992306</v>
      </c>
      <c r="K46" s="464">
        <f t="shared" si="32"/>
        <v>8171706.0095607694</v>
      </c>
      <c r="L46" s="464">
        <f t="shared" si="32"/>
        <v>7602120.3055607677</v>
      </c>
      <c r="M46" s="821"/>
      <c r="N46" s="464">
        <f t="shared" si="32"/>
        <v>30876094.158701833</v>
      </c>
      <c r="O46" s="687"/>
      <c r="P46" s="687"/>
      <c r="Q46" s="687"/>
      <c r="R46" s="687"/>
      <c r="S46" s="687"/>
    </row>
    <row r="47" spans="1:21" ht="108.6" hidden="1" customHeight="1">
      <c r="B47" s="1200" t="s">
        <v>944</v>
      </c>
      <c r="C47" s="1201"/>
      <c r="D47" s="1201"/>
      <c r="E47" s="1201"/>
      <c r="F47" s="1201"/>
      <c r="G47" s="1201"/>
      <c r="H47" s="1201"/>
      <c r="I47" s="1201"/>
      <c r="J47" s="1201"/>
      <c r="K47" s="1201"/>
      <c r="L47" s="1201"/>
      <c r="M47" s="1201"/>
      <c r="N47" s="1201"/>
      <c r="O47" s="699"/>
      <c r="P47" s="700"/>
      <c r="Q47" s="700"/>
      <c r="R47" s="700"/>
      <c r="S47" s="691"/>
      <c r="T47" s="690"/>
      <c r="U47" s="690"/>
    </row>
    <row r="48" spans="1:21" ht="16.5" hidden="1" thickBot="1">
      <c r="B48" s="1244" t="s">
        <v>985</v>
      </c>
      <c r="C48" s="1244"/>
      <c r="D48" s="1244"/>
      <c r="E48" s="1244"/>
      <c r="F48" s="1244"/>
      <c r="G48" s="1244"/>
      <c r="H48" s="1244"/>
      <c r="I48" s="1244"/>
      <c r="J48" s="838"/>
      <c r="K48" s="460"/>
      <c r="L48" s="838"/>
      <c r="M48" s="460"/>
      <c r="N48" s="460"/>
      <c r="O48" s="699"/>
      <c r="P48" s="700"/>
      <c r="Q48" s="700"/>
      <c r="R48" s="700"/>
      <c r="S48" s="700"/>
      <c r="T48" s="700"/>
      <c r="U48" s="690"/>
    </row>
    <row r="49" spans="2:21" ht="31.5" hidden="1" customHeight="1" thickBot="1">
      <c r="B49" s="1241" t="s">
        <v>14</v>
      </c>
      <c r="C49" s="1241" t="s">
        <v>162</v>
      </c>
      <c r="D49" s="886"/>
      <c r="O49" s="699"/>
      <c r="P49" s="700"/>
      <c r="Q49" s="700"/>
      <c r="R49" s="700"/>
      <c r="S49" s="700"/>
      <c r="T49" s="700"/>
      <c r="U49" s="690"/>
    </row>
    <row r="50" spans="2:21" ht="32.25" hidden="1" thickBot="1">
      <c r="B50" s="1242"/>
      <c r="C50" s="1242"/>
      <c r="D50" s="887" t="s">
        <v>803</v>
      </c>
      <c r="O50" s="690"/>
      <c r="P50" s="690"/>
      <c r="Q50" s="690"/>
      <c r="R50" s="690"/>
      <c r="S50" s="690"/>
      <c r="T50" s="690"/>
      <c r="U50" s="690"/>
    </row>
    <row r="51" spans="2:21" ht="48" hidden="1" customHeight="1" thickBot="1">
      <c r="B51" s="888"/>
      <c r="C51" s="889" t="s">
        <v>700</v>
      </c>
      <c r="D51" s="890"/>
    </row>
    <row r="52" spans="2:21" ht="42.95" hidden="1" customHeight="1" thickBot="1">
      <c r="B52" s="891">
        <v>1</v>
      </c>
      <c r="C52" s="889" t="s">
        <v>701</v>
      </c>
      <c r="D52" s="890">
        <v>1.1000000000000001</v>
      </c>
    </row>
    <row r="53" spans="2:21" ht="59.1" hidden="1" customHeight="1" thickBot="1">
      <c r="B53" s="891">
        <v>2</v>
      </c>
      <c r="C53" s="889" t="s">
        <v>703</v>
      </c>
      <c r="D53" s="890">
        <v>1.1000000000000001</v>
      </c>
    </row>
    <row r="54" spans="2:21" ht="126.75" hidden="1" thickBot="1">
      <c r="B54" s="891">
        <v>3</v>
      </c>
      <c r="C54" s="889" t="s">
        <v>795</v>
      </c>
      <c r="D54" s="890">
        <v>1.1000000000000001</v>
      </c>
    </row>
    <row r="55" spans="2:21" ht="54" hidden="1" customHeight="1" thickBot="1">
      <c r="B55" s="891">
        <v>4</v>
      </c>
      <c r="C55" s="889" t="s">
        <v>704</v>
      </c>
      <c r="D55" s="890">
        <v>1.1000000000000001</v>
      </c>
    </row>
    <row r="56" spans="2:21" hidden="1">
      <c r="M56" s="454">
        <f>+M55-18900</f>
        <v>-18900</v>
      </c>
    </row>
  </sheetData>
  <mergeCells count="24">
    <mergeCell ref="B49:B50"/>
    <mergeCell ref="C49:C50"/>
    <mergeCell ref="O4:O5"/>
    <mergeCell ref="B48:I48"/>
    <mergeCell ref="S4:S5"/>
    <mergeCell ref="P4:R4"/>
    <mergeCell ref="B3:B5"/>
    <mergeCell ref="B47:N47"/>
    <mergeCell ref="M4:M5"/>
    <mergeCell ref="N4:N5"/>
    <mergeCell ref="I4:I5"/>
    <mergeCell ref="I2:L2"/>
    <mergeCell ref="A1:L1"/>
    <mergeCell ref="A3:A5"/>
    <mergeCell ref="D3:I3"/>
    <mergeCell ref="J3:J5"/>
    <mergeCell ref="K3:K5"/>
    <mergeCell ref="L3:L5"/>
    <mergeCell ref="C3:C5"/>
    <mergeCell ref="B2:F2"/>
    <mergeCell ref="D4:D5"/>
    <mergeCell ref="E4:E5"/>
    <mergeCell ref="F4:F5"/>
    <mergeCell ref="G4:H4"/>
  </mergeCells>
  <pageMargins left="0.86" right="7.8740157480315001E-2" top="0.78740157480314998" bottom="0.44685039399999998" header="0.118110236220472" footer="0.118110236220472"/>
  <pageSetup paperSize="9" firstPageNumber="22" orientation="landscape"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75"/>
  <sheetViews>
    <sheetView topLeftCell="B1" zoomScale="85" zoomScaleNormal="85" workbookViewId="0">
      <pane ySplit="3" topLeftCell="A10" activePane="bottomLeft" state="frozen"/>
      <selection activeCell="E46" sqref="E46"/>
      <selection pane="bottomLeft" activeCell="D15" sqref="D15"/>
    </sheetView>
  </sheetViews>
  <sheetFormatPr defaultColWidth="9" defaultRowHeight="15.75"/>
  <cols>
    <col min="1" max="1" width="0" style="321" hidden="1" customWidth="1"/>
    <col min="2" max="2" width="4.5" style="321" customWidth="1"/>
    <col min="3" max="3" width="30.625" style="321" customWidth="1"/>
    <col min="4" max="4" width="8.75" style="597" customWidth="1"/>
    <col min="5" max="5" width="7.875" style="321" customWidth="1"/>
    <col min="6" max="6" width="12.75" style="376" customWidth="1"/>
    <col min="7" max="7" width="8.125" style="377" customWidth="1"/>
    <col min="8" max="8" width="9.75" style="322" customWidth="1"/>
    <col min="9" max="16384" width="9" style="321"/>
  </cols>
  <sheetData>
    <row r="1" spans="1:8">
      <c r="B1" s="1217" t="s">
        <v>1007</v>
      </c>
      <c r="C1" s="1217"/>
      <c r="D1" s="1217"/>
      <c r="E1" s="1217"/>
      <c r="F1" s="1217"/>
      <c r="G1" s="1217"/>
      <c r="H1" s="1217"/>
    </row>
    <row r="2" spans="1:8">
      <c r="B2" s="868"/>
      <c r="C2" s="737"/>
      <c r="D2" s="868"/>
      <c r="E2" s="868"/>
      <c r="F2" s="868"/>
      <c r="G2" s="868"/>
      <c r="H2" s="868"/>
    </row>
    <row r="3" spans="1:8" ht="66.75" customHeight="1">
      <c r="B3" s="335" t="s">
        <v>14</v>
      </c>
      <c r="C3" s="614" t="s">
        <v>162</v>
      </c>
      <c r="D3" s="962" t="s">
        <v>21</v>
      </c>
      <c r="E3" s="337" t="s">
        <v>7</v>
      </c>
      <c r="F3" s="337" t="s">
        <v>889</v>
      </c>
      <c r="G3" s="345" t="s">
        <v>787</v>
      </c>
      <c r="H3" s="346" t="s">
        <v>924</v>
      </c>
    </row>
    <row r="4" spans="1:8">
      <c r="A4" s="321">
        <v>1</v>
      </c>
      <c r="B4" s="335">
        <f>NhanCong_Huyen!B4</f>
        <v>1</v>
      </c>
      <c r="C4" s="407" t="str">
        <f>NhanCong_Huyen!C4</f>
        <v>Công tác chuẩn bị</v>
      </c>
      <c r="D4" s="535"/>
      <c r="E4" s="359"/>
      <c r="F4" s="533"/>
      <c r="G4" s="360"/>
      <c r="H4" s="378"/>
    </row>
    <row r="5" spans="1:8" ht="110.25">
      <c r="A5" s="321" t="s">
        <v>767</v>
      </c>
      <c r="B5" s="359" t="str">
        <f>NhanCong_Huyen!B5</f>
        <v>1.1</v>
      </c>
      <c r="C5" s="406" t="str">
        <f>NhanCong_Huyen!C5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5" s="535" t="s">
        <v>75</v>
      </c>
      <c r="E5" s="359" t="str">
        <f>NhanCong_Huyen!E5</f>
        <v>Nhóm 2 
(1 KTV2 + 1KS4)</v>
      </c>
      <c r="F5" s="642">
        <v>2</v>
      </c>
      <c r="G5" s="360">
        <f>(L_CBan!$K$47+L_CBan!$K$40)</f>
        <v>383769.55769230763</v>
      </c>
      <c r="H5" s="588">
        <f t="shared" ref="H5:H13" si="0">+G5*F5</f>
        <v>767539.11538461526</v>
      </c>
    </row>
    <row r="6" spans="1:8" ht="78.75">
      <c r="A6" s="321" t="s">
        <v>768</v>
      </c>
      <c r="B6" s="359" t="str">
        <f>NhanCong_Huyen!B6</f>
        <v>1.2</v>
      </c>
      <c r="C6" s="406" t="str">
        <f>NhanCong_Huyen!C6</f>
        <v>Chuẩn bị nhân lực, địa điểm làm việc; Chuẩn bị vật tư, thiết bị, dụng cụ, phần mềm phục vụ cho công tác xây dựng cơ sở dữ liệu thống kê, kiểm kê đất đai</v>
      </c>
      <c r="D6" s="535" t="str">
        <f>D5</f>
        <v>Tỉnh</v>
      </c>
      <c r="E6" s="358" t="str">
        <f>NhanCong_Huyen!E6</f>
        <v>Nhóm 2 
(1 KTV4 + 1KS2)</v>
      </c>
      <c r="F6" s="642">
        <v>2</v>
      </c>
      <c r="G6" s="360">
        <f>(L_CBan!$K$49+L_CBan!$K$38)</f>
        <v>365368.05769230769</v>
      </c>
      <c r="H6" s="588">
        <f t="shared" si="0"/>
        <v>730736.11538461538</v>
      </c>
    </row>
    <row r="7" spans="1:8" ht="31.5">
      <c r="A7" s="321">
        <v>8</v>
      </c>
      <c r="B7" s="335">
        <f>NhanCong_Huyen!B7</f>
        <v>2</v>
      </c>
      <c r="C7" s="407" t="str">
        <f>NhanCong_Huyen!C7</f>
        <v>Xây dựng siêu dữ liệu thống kê, kiểm kê đất đai</v>
      </c>
      <c r="D7" s="963"/>
      <c r="E7" s="335"/>
      <c r="F7" s="644"/>
      <c r="G7" s="383"/>
      <c r="H7" s="588">
        <f t="shared" si="0"/>
        <v>0</v>
      </c>
    </row>
    <row r="8" spans="1:8" ht="47.25">
      <c r="A8" s="321" t="s">
        <v>876</v>
      </c>
      <c r="B8" s="359" t="str">
        <f>NhanCong_Huyen!B8</f>
        <v>2.1</v>
      </c>
      <c r="C8" s="406" t="str">
        <f>NhanCong_Huyen!C8</f>
        <v>Thu nhận các thông tin cần thiết để xây dựng siêu dữ liệu (thông tin mô tả dữ liệu) thống kê, kiểm kê đất đai</v>
      </c>
      <c r="D8" s="535" t="str">
        <f>D6</f>
        <v>Tỉnh</v>
      </c>
      <c r="E8" s="358" t="str">
        <f>NhanCong_Huyen!E8</f>
        <v>1KS1</v>
      </c>
      <c r="F8" s="642">
        <v>1</v>
      </c>
      <c r="G8" s="360">
        <f>L_CBan!K37</f>
        <v>166759.65384615384</v>
      </c>
      <c r="H8" s="588">
        <f t="shared" si="0"/>
        <v>166759.65384615384</v>
      </c>
    </row>
    <row r="9" spans="1:8" ht="31.5">
      <c r="A9" s="321" t="s">
        <v>877</v>
      </c>
      <c r="B9" s="359" t="str">
        <f>NhanCong_Huyen!B9</f>
        <v>2.2</v>
      </c>
      <c r="C9" s="406" t="str">
        <f>NhanCong_Huyen!C9</f>
        <v>Nhập thông tin siêu dữ liệu kiểm kê đất đai</v>
      </c>
      <c r="D9" s="535" t="str">
        <f>D8</f>
        <v>Tỉnh</v>
      </c>
      <c r="E9" s="358" t="str">
        <f>NhanCong_Huyen!E9</f>
        <v>1KS1</v>
      </c>
      <c r="F9" s="642">
        <v>0.5</v>
      </c>
      <c r="G9" s="360">
        <f>L_CBan!K37</f>
        <v>166759.65384615384</v>
      </c>
      <c r="H9" s="588">
        <f t="shared" si="0"/>
        <v>83379.826923076922</v>
      </c>
    </row>
    <row r="10" spans="1:8" ht="47.25">
      <c r="A10" s="321">
        <v>9</v>
      </c>
      <c r="B10" s="335">
        <f>NhanCong_Huyen!B10</f>
        <v>3</v>
      </c>
      <c r="C10" s="407" t="str">
        <f>NhanCong_Huyen!C10</f>
        <v>Phục vụ kiểm tra, nghiệm thu cơ sở dữ liệu thống kê, kiểm kê đất đai</v>
      </c>
      <c r="D10" s="535"/>
      <c r="E10" s="359"/>
      <c r="F10" s="644"/>
      <c r="G10" s="360"/>
      <c r="H10" s="588">
        <f t="shared" si="0"/>
        <v>0</v>
      </c>
    </row>
    <row r="11" spans="1:8" ht="31.5">
      <c r="A11" s="321" t="s">
        <v>878</v>
      </c>
      <c r="B11" s="359" t="str">
        <f>NhanCong_Huyen!B11</f>
        <v>3.1</v>
      </c>
      <c r="C11" s="406" t="str">
        <f>NhanCong_Huyen!C11</f>
        <v>Đơn vị thi công chuẩn bị tài liệu và phục vụ giám sát kiểm tra, nghiệm thu.</v>
      </c>
      <c r="D11" s="535" t="str">
        <f>D8</f>
        <v>Tỉnh</v>
      </c>
      <c r="E11" s="358" t="str">
        <f>NhanCong_Huyen!E11</f>
        <v>1KTV4</v>
      </c>
      <c r="F11" s="642">
        <v>1</v>
      </c>
      <c r="G11" s="360">
        <f>L_CBan!K49</f>
        <v>175252.65384615384</v>
      </c>
      <c r="H11" s="588">
        <f t="shared" si="0"/>
        <v>175252.65384615384</v>
      </c>
    </row>
    <row r="12" spans="1:8" ht="78.75">
      <c r="A12" s="321" t="s">
        <v>879</v>
      </c>
      <c r="B12" s="359" t="str">
        <f>NhanCong_Huyen!B12</f>
        <v>3.2</v>
      </c>
      <c r="C12" s="406" t="str">
        <f>NhanCong_Huyen!C12</f>
        <v>Thực hiện kiểm tra tổng thể cơ sở dữ liệu thống kê, kiểm kê đất đai và tích hợp vào hệ thống ngay sau khi được nghiệm thu để phục vụ quản lý, vận hành, khai thác sử dụng.</v>
      </c>
      <c r="D12" s="535" t="str">
        <f>D8</f>
        <v>Tỉnh</v>
      </c>
      <c r="E12" s="358" t="str">
        <f>NhanCong_Huyen!E12</f>
        <v>1KS3</v>
      </c>
      <c r="F12" s="642">
        <v>3</v>
      </c>
      <c r="G12" s="360">
        <f>L_CBan!K39</f>
        <v>213471.15384615384</v>
      </c>
      <c r="H12" s="588">
        <f t="shared" si="0"/>
        <v>640413.4615384615</v>
      </c>
    </row>
    <row r="13" spans="1:8" ht="30">
      <c r="A13" s="321" t="s">
        <v>880</v>
      </c>
      <c r="B13" s="359" t="str">
        <f>NhanCong_Huyen!B13</f>
        <v>3.3</v>
      </c>
      <c r="C13" s="566" t="str">
        <f>NhanCong_Huyen!C13</f>
        <v>Đóng gói giao nộp cơ sở dữ liệu thống kê, kiểm kê đất đai</v>
      </c>
      <c r="D13" s="536" t="str">
        <f>D8</f>
        <v>Tỉnh</v>
      </c>
      <c r="E13" s="359" t="str">
        <f>NhanCong_Huyen!E13</f>
        <v>1KTV4</v>
      </c>
      <c r="F13" s="642">
        <v>1</v>
      </c>
      <c r="G13" s="360">
        <f>L_CBan!K49</f>
        <v>175252.65384615384</v>
      </c>
      <c r="H13" s="588">
        <f t="shared" si="0"/>
        <v>175252.65384615384</v>
      </c>
    </row>
    <row r="14" spans="1:8">
      <c r="B14" s="656"/>
      <c r="C14" s="657"/>
      <c r="D14" s="658"/>
      <c r="E14" s="659"/>
      <c r="F14" s="664"/>
      <c r="G14" s="577"/>
      <c r="H14" s="383"/>
    </row>
    <row r="15" spans="1:8" ht="96.75" customHeight="1">
      <c r="B15" s="335" t="s">
        <v>14</v>
      </c>
      <c r="C15" s="614" t="s">
        <v>162</v>
      </c>
      <c r="D15" s="962" t="s">
        <v>21</v>
      </c>
      <c r="E15" s="337" t="s">
        <v>7</v>
      </c>
      <c r="F15" s="337" t="s">
        <v>1010</v>
      </c>
      <c r="G15" s="345" t="s">
        <v>787</v>
      </c>
      <c r="H15" s="345" t="s">
        <v>924</v>
      </c>
    </row>
    <row r="16" spans="1:8">
      <c r="A16" s="321">
        <v>2</v>
      </c>
      <c r="B16" s="335">
        <f>NhanCong_Huyen!B16</f>
        <v>1</v>
      </c>
      <c r="C16" s="407" t="str">
        <f>NhanCong_Huyen!C16</f>
        <v>Thu thập tài liệu, dữ liệu</v>
      </c>
      <c r="D16" s="535"/>
      <c r="E16" s="358"/>
      <c r="F16" s="534"/>
      <c r="G16" s="360"/>
      <c r="H16" s="360"/>
    </row>
    <row r="17" spans="1:8">
      <c r="A17" s="321" t="s">
        <v>827</v>
      </c>
      <c r="B17" s="359" t="str">
        <f>NhanCong_Xa!B17</f>
        <v>1.1</v>
      </c>
      <c r="C17" s="566" t="str">
        <f>NhanCong_Xa!C17</f>
        <v>Thu thập tài liệu, dữ liệu thống kê</v>
      </c>
      <c r="D17" s="536" t="str">
        <f>NhanCong_Xa!D17</f>
        <v>Năm TK</v>
      </c>
      <c r="E17" s="359" t="str">
        <f>NhanCong_Xa!E17</f>
        <v>1KS3</v>
      </c>
      <c r="F17" s="642">
        <v>2</v>
      </c>
      <c r="G17" s="360">
        <f>L_CBan!$K$39</f>
        <v>213471.15384615384</v>
      </c>
      <c r="H17" s="360">
        <f>+G17*F17</f>
        <v>426942.30769230769</v>
      </c>
    </row>
    <row r="18" spans="1:8" ht="45">
      <c r="A18" s="321" t="s">
        <v>830</v>
      </c>
      <c r="B18" s="359" t="str">
        <f>NhanCong_Xa!B18</f>
        <v>1.2</v>
      </c>
      <c r="C18" s="566" t="str">
        <f>NhanCong_Xa!C18</f>
        <v>Thu thập tài liệu, dữ liệu kiểm kê</v>
      </c>
      <c r="D18" s="536" t="str">
        <f>NhanCong_Xa!D18</f>
        <v>Kỳ KK</v>
      </c>
      <c r="E18" s="359" t="str">
        <f>NhanCong_Xa!E18</f>
        <v>Nhóm 2 
(1KTV4 + 1KS3)</v>
      </c>
      <c r="F18" s="642">
        <v>3</v>
      </c>
      <c r="G18" s="360">
        <f>(L_CBan!$K$49+L_CBan!$K$39)/2</f>
        <v>194361.90384615384</v>
      </c>
      <c r="H18" s="360">
        <f t="shared" ref="H18:H25" si="1">+G18*F18</f>
        <v>583085.7115384615</v>
      </c>
    </row>
    <row r="19" spans="1:8" ht="31.5">
      <c r="A19" s="321">
        <v>3</v>
      </c>
      <c r="B19" s="335">
        <f>NhanCong_Huyen!B19</f>
        <v>2</v>
      </c>
      <c r="C19" s="407" t="str">
        <f>NhanCong_Huyen!C19</f>
        <v>Rà soát, đánh giá, phân loại và sắp xếp tài liệu, dữ liệu</v>
      </c>
      <c r="D19" s="535"/>
      <c r="E19" s="358"/>
      <c r="F19" s="642"/>
      <c r="G19" s="360"/>
      <c r="H19" s="360"/>
    </row>
    <row r="20" spans="1:8" ht="45">
      <c r="A20" s="321" t="s">
        <v>771</v>
      </c>
      <c r="B20" s="359" t="str">
        <f>NhanCong_Xa!B20</f>
        <v>2.1</v>
      </c>
      <c r="C20" s="566" t="str">
        <f>NhanCong_Xa!C20</f>
        <v>Rà soát, đánh giá, phân loại và sắp xếp tài liệu, dữ liệu thống kê và lập báo cáo kết quản thực hiện</v>
      </c>
      <c r="D20" s="536" t="str">
        <f>NhanCong_Xa!D20</f>
        <v>Năm TK</v>
      </c>
      <c r="E20" s="359" t="str">
        <f>NhanCong_Xa!E20</f>
        <v>1KS3</v>
      </c>
      <c r="F20" s="642">
        <v>2</v>
      </c>
      <c r="G20" s="360">
        <f>L_CBan!$K$39</f>
        <v>213471.15384615384</v>
      </c>
      <c r="H20" s="360">
        <f t="shared" si="1"/>
        <v>426942.30769230769</v>
      </c>
    </row>
    <row r="21" spans="1:8" ht="45">
      <c r="A21" s="321" t="s">
        <v>774</v>
      </c>
      <c r="B21" s="359" t="str">
        <f>NhanCong_Xa!B21</f>
        <v>2.2</v>
      </c>
      <c r="C21" s="566" t="str">
        <f>NhanCong_Xa!C21</f>
        <v>Rà soát, đánh giá, phân loại và sắp xếp tài liệu, dữ liệu kiểm kê và lập báo cáo kết quản thực hiện</v>
      </c>
      <c r="D21" s="536" t="str">
        <f>NhanCong_Xa!D21</f>
        <v>Kỳ KK</v>
      </c>
      <c r="E21" s="359" t="str">
        <f>NhanCong_Xa!E21</f>
        <v>Nhóm 2 
(1KTV4 + 1KS3)</v>
      </c>
      <c r="F21" s="642">
        <v>5</v>
      </c>
      <c r="G21" s="360">
        <f>(L_CBan!$K$49+L_CBan!$K$39)/2</f>
        <v>194361.90384615384</v>
      </c>
      <c r="H21" s="360">
        <f t="shared" si="1"/>
        <v>971809.51923076925</v>
      </c>
    </row>
    <row r="22" spans="1:8" ht="31.5">
      <c r="A22" s="321">
        <v>5</v>
      </c>
      <c r="B22" s="335">
        <f>NhanCong_Huyen!B22</f>
        <v>3</v>
      </c>
      <c r="C22" s="407" t="str">
        <f>NhanCong_Huyen!C22</f>
        <v>Quét giấy tờ pháp lý và xử lý tệp tin</v>
      </c>
      <c r="D22" s="963"/>
      <c r="E22" s="335"/>
      <c r="F22" s="337"/>
      <c r="G22" s="383"/>
      <c r="H22" s="360"/>
    </row>
    <row r="23" spans="1:8" ht="141.75">
      <c r="A23" s="321" t="s">
        <v>867</v>
      </c>
      <c r="B23" s="359" t="str">
        <f>NhanCong_Huyen!B23</f>
        <v>3.1</v>
      </c>
      <c r="C23" s="406" t="str">
        <f>NhanCong_Huyen!C23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23" s="358"/>
      <c r="E23" s="358"/>
      <c r="F23" s="358"/>
      <c r="G23" s="360"/>
      <c r="H23" s="360"/>
    </row>
    <row r="24" spans="1:8" ht="30">
      <c r="B24" s="964" t="str">
        <f>NhanCong_Huyen!B24</f>
        <v>3.1.1</v>
      </c>
      <c r="C24" s="405" t="str">
        <f>NhanCong_Huyen!C24</f>
        <v>Trang A3</v>
      </c>
      <c r="D24" s="358" t="str">
        <f>NhanCong_Huyen!D24</f>
        <v>Trang A3</v>
      </c>
      <c r="E24" s="358" t="str">
        <f>NhanCong_Huyen!E24</f>
        <v>1KS1</v>
      </c>
      <c r="F24" s="358">
        <f>NhanCong_Huyen!F24</f>
        <v>1.2E-2</v>
      </c>
      <c r="G24" s="965">
        <f>NhanCong_Huyen!G24</f>
        <v>166759.65384615384</v>
      </c>
      <c r="H24" s="360">
        <f t="shared" si="1"/>
        <v>2001.1158461538462</v>
      </c>
    </row>
    <row r="25" spans="1:8" ht="30">
      <c r="B25" s="964" t="str">
        <f>NhanCong_Huyen!B25</f>
        <v>3.1.2</v>
      </c>
      <c r="C25" s="405" t="str">
        <f>NhanCong_Huyen!C25</f>
        <v>Trang A4</v>
      </c>
      <c r="D25" s="358" t="str">
        <f>NhanCong_Huyen!D25</f>
        <v>Trang A4</v>
      </c>
      <c r="E25" s="358" t="str">
        <f>NhanCong_Huyen!E25</f>
        <v>1KS1</v>
      </c>
      <c r="F25" s="358">
        <f>NhanCong_Huyen!F25</f>
        <v>8.0000000000000002E-3</v>
      </c>
      <c r="G25" s="965">
        <f>NhanCong_Huyen!G25</f>
        <v>166759.65384615384</v>
      </c>
      <c r="H25" s="360">
        <f t="shared" si="1"/>
        <v>1334.0772307692307</v>
      </c>
    </row>
    <row r="26" spans="1:8" ht="126">
      <c r="A26" s="321" t="s">
        <v>868</v>
      </c>
      <c r="B26" s="359" t="str">
        <f>NhanCong_Huyen!B26</f>
        <v>3.2</v>
      </c>
      <c r="C26" s="406" t="str">
        <f>NhanCong_Huyen!C26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D26" s="358" t="str">
        <f>NhanCong_Huyen!E26</f>
        <v>1KS1</v>
      </c>
      <c r="E26" s="358" t="str">
        <f>NhanCong_Huyen!E26</f>
        <v>1KS1</v>
      </c>
      <c r="F26" s="358">
        <f>NhanCong_Huyen!F26</f>
        <v>4.0000000000000001E-3</v>
      </c>
      <c r="G26" s="965">
        <f>NhanCong_Huyen!G26</f>
        <v>166759.65384615384</v>
      </c>
      <c r="H26" s="965">
        <f>NhanCong_Huyen!H26</f>
        <v>667.03861538461535</v>
      </c>
    </row>
    <row r="27" spans="1:8" s="385" customFormat="1" ht="47.25">
      <c r="A27" s="385" t="s">
        <v>869</v>
      </c>
      <c r="B27" s="359" t="str">
        <f>NhanCong_Huyen!B27</f>
        <v>3.3</v>
      </c>
      <c r="C27" s="406" t="str">
        <f>NhanCong_Huyen!C27</f>
        <v>Tạo danh mục tra cứu hồ sơ quét trong cơ sở dữ liệu thống kê, kiểm kê đất đai</v>
      </c>
      <c r="D27" s="535" t="str">
        <f>NhanCong_Huyen!D27</f>
        <v>Năm TK hoặc Kỳ KK</v>
      </c>
      <c r="E27" s="358" t="str">
        <f>NhanCong_Huyen!E27</f>
        <v>1KS1</v>
      </c>
      <c r="F27" s="642">
        <v>1</v>
      </c>
      <c r="G27" s="360">
        <f>L_CBan!K37</f>
        <v>166759.65384615384</v>
      </c>
      <c r="H27" s="360">
        <f>+G27*F27</f>
        <v>166759.65384615384</v>
      </c>
    </row>
    <row r="28" spans="1:8" ht="31.5">
      <c r="A28" s="321">
        <v>6</v>
      </c>
      <c r="B28" s="335">
        <f>NhanCong_Huyen!B28</f>
        <v>4</v>
      </c>
      <c r="C28" s="407" t="str">
        <f>NhanCong_Huyen!C28</f>
        <v>Xây dựng dữ liệu thuộc tính thống kê, kiểm kê đất đai</v>
      </c>
      <c r="D28" s="962"/>
      <c r="E28" s="359"/>
      <c r="F28" s="533"/>
      <c r="G28" s="383"/>
      <c r="H28" s="360"/>
    </row>
    <row r="29" spans="1:8" ht="31.5">
      <c r="A29" s="321" t="s">
        <v>870</v>
      </c>
      <c r="B29" s="359" t="str">
        <f>NhanCong_Huyen!B29</f>
        <v>4.1</v>
      </c>
      <c r="C29" s="406" t="str">
        <f>NhanCong_Huyen!C29</f>
        <v>Đối với tài liệu, số liệu là bảng, biểu dạng số</v>
      </c>
      <c r="D29" s="962"/>
      <c r="E29" s="359"/>
      <c r="F29" s="533"/>
      <c r="G29" s="383"/>
      <c r="H29" s="360"/>
    </row>
    <row r="30" spans="1:8" ht="47.25">
      <c r="A30" s="321" t="s">
        <v>871</v>
      </c>
      <c r="B30" s="359" t="str">
        <f>NhanCong_Huyen!B30</f>
        <v>4.1.1</v>
      </c>
      <c r="C30" s="406" t="str">
        <f>NhanCong_Huyen!C30</f>
        <v>Lập mô hình chuyển đổi cơ sở dữ liệu thống kê, kiểm kê đất đai</v>
      </c>
      <c r="D30" s="535" t="str">
        <f>NhanCong_Huyen!D30</f>
        <v>Năm TK hoặc Kỳ KK</v>
      </c>
      <c r="E30" s="358" t="str">
        <f>NhanCong_Huyen!E30</f>
        <v>1KS3</v>
      </c>
      <c r="F30" s="642">
        <v>0.5</v>
      </c>
      <c r="G30" s="360">
        <f>L_CBan!K39</f>
        <v>213471.15384615384</v>
      </c>
      <c r="H30" s="360">
        <f t="shared" ref="H30:H35" si="2">+G30*F30</f>
        <v>106735.57692307692</v>
      </c>
    </row>
    <row r="31" spans="1:8" ht="47.25">
      <c r="A31" s="321" t="s">
        <v>872</v>
      </c>
      <c r="B31" s="359" t="str">
        <f>NhanCong_Huyen!B31</f>
        <v>4.1.2</v>
      </c>
      <c r="C31" s="406" t="str">
        <f>NhanCong_Huyen!C31</f>
        <v>Chuyển đổi vào cơ sở dữ liệu thống kê, kiểm kê đất đai</v>
      </c>
      <c r="D31" s="535" t="str">
        <f>NhanCong_Huyen!D31</f>
        <v>Năm TK hoặc Kỳ KK</v>
      </c>
      <c r="E31" s="358" t="str">
        <f>NhanCong_Huyen!E31</f>
        <v>1KS2</v>
      </c>
      <c r="F31" s="642">
        <v>1</v>
      </c>
      <c r="G31" s="966">
        <f>L_CBan!K38</f>
        <v>190115.40384615384</v>
      </c>
      <c r="H31" s="360">
        <f t="shared" si="2"/>
        <v>190115.40384615384</v>
      </c>
    </row>
    <row r="32" spans="1:8" ht="63">
      <c r="A32" s="321" t="s">
        <v>873</v>
      </c>
      <c r="B32" s="359" t="str">
        <f>NhanCong_Huyen!B32</f>
        <v>4.2</v>
      </c>
      <c r="C32" s="406" t="str">
        <f>NhanCong_Huyen!C32</f>
        <v>Đối với tài liệu, số liệu là báo cáo dạng số thì tạo danh mục tra cứu trong cơ sở dữ liệu thống kê, kiểm kê đất đai</v>
      </c>
      <c r="D32" s="535" t="str">
        <f>NhanCong_Huyen!D32</f>
        <v>Năm TK hoặc Kỳ KK</v>
      </c>
      <c r="E32" s="358" t="str">
        <f>NhanCong_Huyen!E32</f>
        <v>1KS2</v>
      </c>
      <c r="F32" s="642">
        <v>1.5</v>
      </c>
      <c r="G32" s="966">
        <f>L_CBan!K38</f>
        <v>190115.40384615384</v>
      </c>
      <c r="H32" s="360">
        <f t="shared" si="2"/>
        <v>285173.10576923075</v>
      </c>
    </row>
    <row r="33" spans="1:8" ht="31.5">
      <c r="A33" s="321">
        <v>7</v>
      </c>
      <c r="B33" s="335">
        <f>NhanCong_Huyen!B33</f>
        <v>5</v>
      </c>
      <c r="C33" s="407" t="str">
        <f>NhanCong_Huyen!C33</f>
        <v>Đối soát, hoàn thiện dữ liệu thống kê, kiểm kê đất đai</v>
      </c>
      <c r="D33" s="535"/>
      <c r="E33" s="358"/>
      <c r="F33" s="534"/>
      <c r="G33" s="360"/>
      <c r="H33" s="360"/>
    </row>
    <row r="34" spans="1:8" ht="30">
      <c r="A34" s="321" t="s">
        <v>874</v>
      </c>
      <c r="B34" s="359" t="str">
        <f>NhanCong_Xa!B34</f>
        <v>5.1</v>
      </c>
      <c r="C34" s="566" t="str">
        <f>NhanCong_Xa!C34</f>
        <v>Đối soát, hoàn thiện dữ liệu thống kê đất đai</v>
      </c>
      <c r="D34" s="536" t="str">
        <f>NhanCong_Xa!D34</f>
        <v>Năm TK</v>
      </c>
      <c r="E34" s="359" t="str">
        <f>NhanCong_Xa!E34</f>
        <v>1KS3</v>
      </c>
      <c r="F34" s="642">
        <v>1</v>
      </c>
      <c r="G34" s="360">
        <f>L_CBan!K39</f>
        <v>213471.15384615384</v>
      </c>
      <c r="H34" s="360">
        <f t="shared" si="2"/>
        <v>213471.15384615384</v>
      </c>
    </row>
    <row r="35" spans="1:8" ht="45">
      <c r="A35" s="321" t="s">
        <v>875</v>
      </c>
      <c r="B35" s="359" t="str">
        <f>NhanCong_Xa!B35</f>
        <v>5.2</v>
      </c>
      <c r="C35" s="566" t="str">
        <f>NhanCong_Xa!C35</f>
        <v>Đối soát, hoàn thiện dữ liệu kiểm kê đất đai</v>
      </c>
      <c r="D35" s="536" t="str">
        <f>NhanCong_Xa!D35</f>
        <v>Kỳ KK</v>
      </c>
      <c r="E35" s="359" t="str">
        <f>NhanCong_Xa!E35</f>
        <v>Nhóm 2 (1KTV4+1KS3)</v>
      </c>
      <c r="F35" s="642">
        <v>2.5</v>
      </c>
      <c r="G35" s="360">
        <f>(L_CBan!$K$49+L_CBan!$K$39)/2</f>
        <v>194361.90384615384</v>
      </c>
      <c r="H35" s="360">
        <f t="shared" si="2"/>
        <v>485904.75961538462</v>
      </c>
    </row>
    <row r="36" spans="1:8" hidden="1">
      <c r="B36" s="656"/>
      <c r="C36" s="657"/>
      <c r="D36" s="658"/>
      <c r="E36" s="659"/>
      <c r="F36" s="664"/>
      <c r="G36" s="969" t="s">
        <v>920</v>
      </c>
      <c r="H36" s="1048">
        <f>SUM(H16:H35)</f>
        <v>3860941.7316923081</v>
      </c>
    </row>
    <row r="37" spans="1:8" hidden="1">
      <c r="B37" s="651"/>
      <c r="C37" s="652"/>
      <c r="D37" s="660"/>
      <c r="E37" s="653"/>
      <c r="F37" s="664"/>
      <c r="G37" s="970"/>
      <c r="H37" s="1049"/>
    </row>
    <row r="38" spans="1:8" hidden="1">
      <c r="B38" s="651"/>
      <c r="C38" s="652"/>
      <c r="D38" s="660"/>
      <c r="E38" s="653"/>
      <c r="F38" s="665"/>
      <c r="G38" s="971"/>
      <c r="H38" s="1050"/>
    </row>
    <row r="39" spans="1:8">
      <c r="B39" s="651"/>
      <c r="C39" s="652"/>
      <c r="D39" s="660"/>
      <c r="E39" s="653"/>
      <c r="F39" s="665"/>
      <c r="G39" s="971"/>
      <c r="H39" s="1050"/>
    </row>
    <row r="40" spans="1:8">
      <c r="B40" s="651"/>
      <c r="C40" s="652"/>
      <c r="D40" s="660"/>
      <c r="E40" s="653"/>
      <c r="F40" s="972"/>
      <c r="G40" s="973"/>
      <c r="H40" s="1051"/>
    </row>
    <row r="41" spans="1:8" ht="47.25">
      <c r="B41" s="335" t="s">
        <v>14</v>
      </c>
      <c r="C41" s="614" t="s">
        <v>162</v>
      </c>
      <c r="D41" s="962" t="s">
        <v>21</v>
      </c>
      <c r="E41" s="337" t="s">
        <v>7</v>
      </c>
      <c r="F41" s="337" t="str">
        <f>NhanCong_Huyen!F37</f>
        <v>Định mức (Công/Lớp dữ liệu)</v>
      </c>
      <c r="G41" s="345" t="s">
        <v>787</v>
      </c>
      <c r="H41" s="345" t="s">
        <v>924</v>
      </c>
    </row>
    <row r="42" spans="1:8" s="710" customFormat="1" ht="31.5">
      <c r="A42" s="710" t="s">
        <v>553</v>
      </c>
      <c r="B42" s="335">
        <f>NhanCong_Huyen!B38</f>
        <v>1</v>
      </c>
      <c r="C42" s="407" t="str">
        <f>NhanCong_Huyen!C38</f>
        <v>Chuẩn hóa các lớp đối tượng không gian kiểm kê đất đai</v>
      </c>
      <c r="D42" s="962"/>
      <c r="E42" s="335"/>
      <c r="F42" s="346"/>
      <c r="G42" s="967"/>
      <c r="H42" s="967"/>
    </row>
    <row r="43" spans="1:8" ht="78.75">
      <c r="A43" s="321" t="s">
        <v>69</v>
      </c>
      <c r="B43" s="359" t="str">
        <f>NhanCong_Huyen!B39</f>
        <v>1.1</v>
      </c>
      <c r="C43" s="406" t="str">
        <f>NhanCong_Huyen!C39</f>
        <v>Lập bảng đối chiếu giữa lớp đối tượng không gian kiểm kê đất đai với nội dung tương ứng trong bản đồ hiện trạng sử dụng đất để tách, lọc các đối tượng từ nội dung bản đồ</v>
      </c>
      <c r="D43" s="535" t="str">
        <f>NhanCong_Huyen!D39</f>
        <v>Lớp dữ liệu</v>
      </c>
      <c r="E43" s="358" t="str">
        <f>NhanCong_Huyen!E39</f>
        <v>1KS3</v>
      </c>
      <c r="F43" s="642">
        <v>5</v>
      </c>
      <c r="G43" s="360">
        <f>L_CBan!K39</f>
        <v>213471.15384615384</v>
      </c>
      <c r="H43" s="360">
        <f>+G43*F43</f>
        <v>1067355.7692307692</v>
      </c>
    </row>
    <row r="44" spans="1:8" ht="31.5">
      <c r="A44" s="321" t="s">
        <v>70</v>
      </c>
      <c r="B44" s="359" t="str">
        <f>NhanCong_Huyen!B40</f>
        <v>1.2</v>
      </c>
      <c r="C44" s="406" t="str">
        <f>NhanCong_Huyen!C40</f>
        <v>Chuẩn hóa các lớp đối tượng không gian kiểm kê đất đai chưa phù hợp</v>
      </c>
      <c r="D44" s="535" t="str">
        <f>NhanCong_Huyen!D40</f>
        <v>Lớp dữ liệu</v>
      </c>
      <c r="E44" s="358" t="str">
        <f>NhanCong_Huyen!E40</f>
        <v>1KS3</v>
      </c>
      <c r="F44" s="642">
        <v>7</v>
      </c>
      <c r="G44" s="360">
        <f>L_CBan!K39</f>
        <v>213471.15384615384</v>
      </c>
      <c r="H44" s="360">
        <f t="shared" ref="H44:H49" si="3">+G44*F44</f>
        <v>1494298.076923077</v>
      </c>
    </row>
    <row r="45" spans="1:8" ht="47.25">
      <c r="A45" s="321" t="s">
        <v>691</v>
      </c>
      <c r="B45" s="359" t="str">
        <f>NhanCong_Huyen!B41</f>
        <v>1.3</v>
      </c>
      <c r="C45" s="406" t="str">
        <f>NhanCong_Huyen!C41</f>
        <v>Nhập bổ sung các thông tin thuộc tính cho đối tượng không gian kiểm kê đất đai còn thiếu (nếu có)</v>
      </c>
      <c r="D45" s="535" t="str">
        <f>NhanCong_Huyen!D41</f>
        <v>Lớp dữ liệu</v>
      </c>
      <c r="E45" s="358" t="str">
        <f>NhanCong_Huyen!E41</f>
        <v>1KS3</v>
      </c>
      <c r="F45" s="642">
        <v>1</v>
      </c>
      <c r="G45" s="360">
        <f>L_CBan!K39</f>
        <v>213471.15384615384</v>
      </c>
      <c r="H45" s="360">
        <f t="shared" si="3"/>
        <v>213471.15384615384</v>
      </c>
    </row>
    <row r="46" spans="1:8" ht="47.25">
      <c r="A46" s="321" t="s">
        <v>694</v>
      </c>
      <c r="B46" s="359" t="str">
        <f>NhanCong_Huyen!B42</f>
        <v>1.4</v>
      </c>
      <c r="C46" s="406" t="str">
        <f>NhanCong_Huyen!C42</f>
        <v>Rà soát chuẩn hóa thông tin thuộc tính cho từng đối tượng không gian kiểm kê đất đai</v>
      </c>
      <c r="D46" s="535" t="str">
        <f>NhanCong_Huyen!D42</f>
        <v>Lớp dữ liệu</v>
      </c>
      <c r="E46" s="358" t="str">
        <f>NhanCong_Huyen!E42</f>
        <v>1KS3</v>
      </c>
      <c r="F46" s="642">
        <v>7</v>
      </c>
      <c r="G46" s="360">
        <f>L_CBan!K39</f>
        <v>213471.15384615384</v>
      </c>
      <c r="H46" s="360">
        <f t="shared" si="3"/>
        <v>1494298.076923077</v>
      </c>
    </row>
    <row r="47" spans="1:8" s="710" customFormat="1" ht="31.5">
      <c r="A47" s="710" t="s">
        <v>864</v>
      </c>
      <c r="B47" s="335">
        <f>NhanCong_Huyen!B43</f>
        <v>2</v>
      </c>
      <c r="C47" s="407" t="str">
        <f>NhanCong_Huyen!C43</f>
        <v>Chuyển đổi và tích hợp không gian kiểm kê đất đai</v>
      </c>
      <c r="D47" s="962"/>
      <c r="E47" s="335"/>
      <c r="F47" s="346"/>
      <c r="G47" s="899"/>
      <c r="H47" s="899"/>
    </row>
    <row r="48" spans="1:8" ht="63">
      <c r="A48" s="321" t="s">
        <v>865</v>
      </c>
      <c r="B48" s="359" t="str">
        <f>NhanCong_Huyen!B44</f>
        <v>2.1</v>
      </c>
      <c r="C48" s="406" t="str">
        <f>NhanCong_Huyen!C44</f>
        <v>Chuyển đổi các lớp đối tượng không gian kiểm kê đất đai từ tệp (File) bản đồ số vào cơ sở dữ liệu theo đơn vị hành chính</v>
      </c>
      <c r="D48" s="535" t="str">
        <f>NhanCong_Huyen!D44</f>
        <v>Lớp dữ liệu</v>
      </c>
      <c r="E48" s="358" t="str">
        <f>NhanCong_Huyen!E44</f>
        <v>1KS3</v>
      </c>
      <c r="F48" s="642">
        <v>2</v>
      </c>
      <c r="G48" s="360">
        <f>L_CBan!K39</f>
        <v>213471.15384615384</v>
      </c>
      <c r="H48" s="360">
        <f t="shared" si="3"/>
        <v>426942.30769230769</v>
      </c>
    </row>
    <row r="49" spans="1:8" ht="47.25">
      <c r="A49" s="321" t="s">
        <v>866</v>
      </c>
      <c r="B49" s="359" t="str">
        <f>NhanCong_Huyen!B45</f>
        <v>2.2</v>
      </c>
      <c r="C49" s="406" t="str">
        <f>NhanCong_Huyen!C45</f>
        <v>Rà soát dữ liệu không gian để xử lý các lỗi dọc biên giữa các đơn vị hành chính tiếp giáp nhau</v>
      </c>
      <c r="D49" s="535" t="str">
        <f>NhanCong_Huyen!D45</f>
        <v>Lớp dữ liệu</v>
      </c>
      <c r="E49" s="358" t="str">
        <f>NhanCong_Huyen!E45</f>
        <v>1KS3</v>
      </c>
      <c r="F49" s="642">
        <v>3</v>
      </c>
      <c r="G49" s="360">
        <f>L_CBan!K39</f>
        <v>213471.15384615384</v>
      </c>
      <c r="H49" s="360">
        <f t="shared" si="3"/>
        <v>640413.4615384615</v>
      </c>
    </row>
    <row r="50" spans="1:8" hidden="1">
      <c r="B50" s="656"/>
      <c r="C50" s="657"/>
      <c r="D50" s="658"/>
      <c r="E50" s="659"/>
      <c r="F50" s="664"/>
      <c r="G50" s="577" t="s">
        <v>920</v>
      </c>
      <c r="H50" s="655">
        <f>SUM(H43:H49)</f>
        <v>5336778.846153846</v>
      </c>
    </row>
    <row r="51" spans="1:8" hidden="1">
      <c r="B51" s="651"/>
      <c r="C51" s="652"/>
      <c r="D51" s="660"/>
      <c r="E51" s="653"/>
      <c r="F51" s="665"/>
      <c r="G51" s="577" t="s">
        <v>921</v>
      </c>
      <c r="H51" s="655" t="e">
        <f>'Vat-lieu_Tinh'!#REF!</f>
        <v>#REF!</v>
      </c>
    </row>
    <row r="52" spans="1:8" hidden="1">
      <c r="B52" s="651"/>
      <c r="C52" s="652"/>
      <c r="D52" s="660"/>
      <c r="E52" s="653"/>
      <c r="F52" s="665"/>
      <c r="G52" s="577" t="s">
        <v>922</v>
      </c>
      <c r="H52" s="655" t="e">
        <f>'Thiet-bi_Tinh'!#REF!</f>
        <v>#REF!</v>
      </c>
    </row>
    <row r="53" spans="1:8" hidden="1">
      <c r="B53" s="651"/>
      <c r="C53" s="652"/>
      <c r="D53" s="660"/>
      <c r="E53" s="653"/>
      <c r="F53" s="665"/>
      <c r="G53" s="577" t="s">
        <v>923</v>
      </c>
      <c r="H53" s="655" t="e">
        <f>Dcu_Tinh!#REF!</f>
        <v>#REF!</v>
      </c>
    </row>
    <row r="54" spans="1:8" hidden="1">
      <c r="B54" s="651"/>
      <c r="C54" s="652"/>
      <c r="D54" s="660"/>
      <c r="E54" s="653"/>
      <c r="F54" s="665"/>
      <c r="G54" s="578" t="s">
        <v>37</v>
      </c>
      <c r="H54" s="380" t="e">
        <f>SUM(H50:H53)</f>
        <v>#REF!</v>
      </c>
    </row>
    <row r="55" spans="1:8" hidden="1">
      <c r="C55" s="321" t="s">
        <v>6</v>
      </c>
      <c r="E55" s="611"/>
      <c r="H55" s="376">
        <f>+H50+H36+H14</f>
        <v>9197720.5778461546</v>
      </c>
    </row>
    <row r="56" spans="1:8" ht="15.6" hidden="1" customHeight="1">
      <c r="C56" s="321" t="s">
        <v>804</v>
      </c>
    </row>
    <row r="57" spans="1:8" hidden="1"/>
    <row r="58" spans="1:8" hidden="1">
      <c r="C58" s="321" t="s">
        <v>796</v>
      </c>
    </row>
    <row r="59" spans="1:8" hidden="1"/>
    <row r="60" spans="1:8" hidden="1">
      <c r="B60" s="1189" t="s">
        <v>14</v>
      </c>
      <c r="C60" s="1189" t="s">
        <v>162</v>
      </c>
      <c r="D60" s="1186" t="s">
        <v>811</v>
      </c>
      <c r="E60" s="1187"/>
      <c r="F60" s="1187"/>
    </row>
    <row r="61" spans="1:8" ht="31.5" hidden="1">
      <c r="B61" s="1189"/>
      <c r="C61" s="1189"/>
      <c r="D61" s="535" t="s">
        <v>803</v>
      </c>
      <c r="E61" s="358" t="s">
        <v>805</v>
      </c>
      <c r="F61" s="358" t="s">
        <v>806</v>
      </c>
    </row>
    <row r="62" spans="1:8" ht="31.5" hidden="1">
      <c r="B62" s="558" t="s">
        <v>553</v>
      </c>
      <c r="C62" s="557" t="s">
        <v>700</v>
      </c>
      <c r="D62" s="535"/>
      <c r="E62" s="358"/>
      <c r="F62" s="358"/>
    </row>
    <row r="63" spans="1:8" ht="78.75" hidden="1">
      <c r="B63" s="559" t="str">
        <f>B43</f>
        <v>1.1</v>
      </c>
      <c r="C63" s="560" t="str">
        <f>C43</f>
        <v>Lập bảng đối chiếu giữa lớp đối tượng không gian kiểm kê đất đai với nội dung tương ứng trong bản đồ hiện trạng sử dụng đất để tách, lọc các đối tượng từ nội dung bản đồ</v>
      </c>
      <c r="D63" s="535">
        <v>0.9</v>
      </c>
      <c r="E63" s="358">
        <v>1</v>
      </c>
      <c r="F63" s="358">
        <v>1.1000000000000001</v>
      </c>
    </row>
    <row r="64" spans="1:8" ht="31.5" hidden="1">
      <c r="B64" s="559" t="str">
        <f t="shared" ref="B64:C64" si="4">B44</f>
        <v>1.2</v>
      </c>
      <c r="C64" s="560" t="str">
        <f t="shared" si="4"/>
        <v>Chuẩn hóa các lớp đối tượng không gian kiểm kê đất đai chưa phù hợp</v>
      </c>
      <c r="D64" s="535">
        <v>0.9</v>
      </c>
      <c r="E64" s="358">
        <v>1</v>
      </c>
      <c r="F64" s="358">
        <v>1.1000000000000001</v>
      </c>
    </row>
    <row r="65" spans="2:6" ht="47.25" hidden="1">
      <c r="B65" s="559" t="str">
        <f t="shared" ref="B65:C65" si="5">B45</f>
        <v>1.3</v>
      </c>
      <c r="C65" s="560" t="str">
        <f t="shared" si="5"/>
        <v>Nhập bổ sung các thông tin thuộc tính cho đối tượng không gian kiểm kê đất đai còn thiếu (nếu có)</v>
      </c>
      <c r="D65" s="535">
        <v>0.9</v>
      </c>
      <c r="E65" s="358">
        <v>1</v>
      </c>
      <c r="F65" s="358">
        <v>1.1000000000000001</v>
      </c>
    </row>
    <row r="66" spans="2:6" ht="47.25" hidden="1">
      <c r="B66" s="559" t="str">
        <f t="shared" ref="B66:C66" si="6">B46</f>
        <v>1.4</v>
      </c>
      <c r="C66" s="560" t="str">
        <f t="shared" si="6"/>
        <v>Rà soát chuẩn hóa thông tin thuộc tính cho từng đối tượng không gian kiểm kê đất đai</v>
      </c>
      <c r="D66" s="535">
        <v>0.9</v>
      </c>
      <c r="E66" s="358">
        <v>1</v>
      </c>
      <c r="F66" s="358">
        <v>1.1000000000000001</v>
      </c>
    </row>
    <row r="67" spans="2:6" hidden="1"/>
    <row r="68" spans="2:6" hidden="1"/>
    <row r="69" spans="2:6" hidden="1"/>
    <row r="70" spans="2:6" hidden="1"/>
    <row r="71" spans="2:6" hidden="1"/>
    <row r="72" spans="2:6" hidden="1"/>
    <row r="73" spans="2:6" hidden="1"/>
    <row r="74" spans="2:6" hidden="1"/>
    <row r="75" spans="2:6" hidden="1"/>
  </sheetData>
  <mergeCells count="4">
    <mergeCell ref="B1:H1"/>
    <mergeCell ref="B60:B61"/>
    <mergeCell ref="C60:C61"/>
    <mergeCell ref="D60:F60"/>
  </mergeCells>
  <pageMargins left="0.90551181102362199" right="0.118110236220472" top="0.60433070899999997" bottom="0.35433070866141703" header="0.31496062992126" footer="0.31496062992126"/>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5"/>
  <sheetViews>
    <sheetView topLeftCell="B150" zoomScale="85" zoomScaleNormal="85" workbookViewId="0">
      <selection activeCell="P129" sqref="P129"/>
    </sheetView>
  </sheetViews>
  <sheetFormatPr defaultColWidth="9" defaultRowHeight="15.75"/>
  <cols>
    <col min="1" max="1" width="0" style="504" hidden="1" customWidth="1"/>
    <col min="2" max="2" width="5.375" style="504" bestFit="1" customWidth="1"/>
    <col min="3" max="3" width="44.375" style="505" customWidth="1"/>
    <col min="4" max="4" width="6.125" style="504" bestFit="1" customWidth="1"/>
    <col min="5" max="5" width="8.625" style="505" customWidth="1"/>
    <col min="6" max="6" width="8.125" style="508" customWidth="1"/>
    <col min="7" max="7" width="7.375" style="505" customWidth="1"/>
    <col min="8" max="8" width="11.75" style="506" customWidth="1"/>
    <col min="9" max="9" width="9" style="506" customWidth="1"/>
    <col min="10" max="10" width="10.375" style="389" customWidth="1"/>
    <col min="11" max="11" width="9.125" style="505" customWidth="1"/>
    <col min="12" max="16384" width="9" style="505"/>
  </cols>
  <sheetData>
    <row r="1" spans="1:12">
      <c r="B1" s="1190" t="s">
        <v>1002</v>
      </c>
      <c r="C1" s="1190"/>
      <c r="D1" s="1190"/>
      <c r="E1" s="1190"/>
      <c r="F1" s="1190"/>
      <c r="G1" s="1190"/>
      <c r="H1" s="1190"/>
      <c r="I1" s="1190"/>
      <c r="J1" s="1190"/>
      <c r="K1" s="1190"/>
    </row>
    <row r="2" spans="1:12">
      <c r="I2" s="508" t="s">
        <v>79</v>
      </c>
      <c r="J2" s="389" t="s">
        <v>746</v>
      </c>
    </row>
    <row r="3" spans="1:12" s="1156" customFormat="1" ht="78.75">
      <c r="B3" s="326" t="s">
        <v>14</v>
      </c>
      <c r="C3" s="326" t="s">
        <v>17</v>
      </c>
      <c r="D3" s="326" t="s">
        <v>21</v>
      </c>
      <c r="E3" s="326" t="s">
        <v>4</v>
      </c>
      <c r="F3" s="636" t="s">
        <v>905</v>
      </c>
      <c r="G3" s="326" t="s">
        <v>5</v>
      </c>
      <c r="H3" s="483" t="s">
        <v>19</v>
      </c>
      <c r="I3" s="483" t="s">
        <v>1</v>
      </c>
      <c r="J3" s="484" t="s">
        <v>615</v>
      </c>
      <c r="K3" s="484" t="s">
        <v>616</v>
      </c>
      <c r="L3" s="1156">
        <v>4</v>
      </c>
    </row>
    <row r="4" spans="1:12" s="331" customFormat="1" ht="19.5" customHeight="1">
      <c r="A4" s="625">
        <f>B4</f>
        <v>1</v>
      </c>
      <c r="B4" s="485">
        <v>1</v>
      </c>
      <c r="C4" s="486" t="str">
        <f>NhanCong_Xa!C4:C4</f>
        <v>Công tác chuẩn bị</v>
      </c>
      <c r="D4" s="326"/>
      <c r="E4" s="487"/>
      <c r="F4" s="489"/>
      <c r="G4" s="488"/>
      <c r="H4" s="330"/>
      <c r="I4" s="330"/>
      <c r="J4" s="498"/>
      <c r="K4" s="573"/>
    </row>
    <row r="5" spans="1:12" s="331" customFormat="1" ht="84" customHeight="1">
      <c r="A5" s="625" t="str">
        <f t="shared" ref="A5:A147" si="0">B5</f>
        <v>1.1</v>
      </c>
      <c r="B5" s="490" t="str">
        <f>NhanCong_Tinh!B5</f>
        <v>1.1</v>
      </c>
      <c r="C5" s="491"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5" s="326"/>
      <c r="E5" s="487"/>
      <c r="F5" s="489"/>
      <c r="G5" s="488"/>
      <c r="H5" s="330"/>
      <c r="I5" s="330"/>
      <c r="J5" s="498">
        <f>SUM(J6:J7)</f>
        <v>6799.9</v>
      </c>
      <c r="K5" s="571">
        <f>J8</f>
        <v>12588.350399999999</v>
      </c>
    </row>
    <row r="6" spans="1:12">
      <c r="A6" s="625">
        <f t="shared" si="0"/>
        <v>0</v>
      </c>
      <c r="B6" s="332"/>
      <c r="C6" s="333" t="s">
        <v>82</v>
      </c>
      <c r="D6" s="332" t="str">
        <f>Gia_Tbi!$C$4</f>
        <v>Cái</v>
      </c>
      <c r="E6" s="332">
        <f>Gia_Tbi!$D$4</f>
        <v>0.4</v>
      </c>
      <c r="F6" s="409">
        <v>1.6</v>
      </c>
      <c r="G6" s="332">
        <f>Gia_Tbi!$E$4</f>
        <v>5</v>
      </c>
      <c r="H6" s="492">
        <f>Gia_Tbi!$F$4</f>
        <v>10000000</v>
      </c>
      <c r="I6" s="493">
        <f>Gia_Tbi!$G$4</f>
        <v>4000</v>
      </c>
      <c r="J6" s="499">
        <f>$I6*F6</f>
        <v>6400</v>
      </c>
      <c r="K6" s="1157"/>
    </row>
    <row r="7" spans="1:12">
      <c r="A7" s="625">
        <f t="shared" si="0"/>
        <v>0</v>
      </c>
      <c r="B7" s="332"/>
      <c r="C7" s="333" t="s">
        <v>25</v>
      </c>
      <c r="D7" s="332" t="s">
        <v>556</v>
      </c>
      <c r="E7" s="332">
        <f>Gia_Tbi!$D$6</f>
        <v>2.2000000000000002</v>
      </c>
      <c r="F7" s="409">
        <v>0.1333</v>
      </c>
      <c r="G7" s="332">
        <f>Gia_Tbi!$E$6</f>
        <v>8</v>
      </c>
      <c r="H7" s="492">
        <f>Gia_Tbi!$F$6</f>
        <v>12000000</v>
      </c>
      <c r="I7" s="493">
        <f>Gia_Tbi!$G$6</f>
        <v>3000</v>
      </c>
      <c r="J7" s="499">
        <f>$I7*F7</f>
        <v>399.9</v>
      </c>
      <c r="K7" s="1157"/>
    </row>
    <row r="8" spans="1:12">
      <c r="A8" s="625">
        <f t="shared" si="0"/>
        <v>0</v>
      </c>
      <c r="B8" s="332"/>
      <c r="C8" s="333" t="s">
        <v>8</v>
      </c>
      <c r="D8" s="332" t="str">
        <f>Gia_Tbi!$C$13</f>
        <v>KW</v>
      </c>
      <c r="E8" s="332"/>
      <c r="F8" s="409">
        <v>0.93330000000000002</v>
      </c>
      <c r="G8" s="494"/>
      <c r="H8" s="492">
        <f>Gia_Tbi!$F$13</f>
        <v>1686</v>
      </c>
      <c r="I8" s="493">
        <f>Gia_Tbi!$G$13</f>
        <v>13488</v>
      </c>
      <c r="J8" s="499">
        <f>$I8*F8</f>
        <v>12588.350399999999</v>
      </c>
      <c r="K8" s="1157"/>
    </row>
    <row r="9" spans="1:12" ht="47.25">
      <c r="A9" s="625" t="str">
        <f t="shared" si="0"/>
        <v>1.2</v>
      </c>
      <c r="B9" s="332" t="str">
        <f>NhanCong_Xa!B6</f>
        <v>1.2</v>
      </c>
      <c r="C9" s="495" t="str">
        <f>NhanCong_Xa!C6</f>
        <v>Chuẩn bị nhân lực, địa điểm làm việc; Chuẩn bị vật tư, thiết bị, dụng cụ, phần mềm phục vụ cho công tác xây dựng cơ sở dữ liệu thống kê, kiểm kê đất đai</v>
      </c>
      <c r="D9" s="332"/>
      <c r="E9" s="332"/>
      <c r="F9" s="409"/>
      <c r="G9" s="494"/>
      <c r="H9" s="492"/>
      <c r="I9" s="493"/>
      <c r="J9" s="498">
        <f>SUM(J10:J11)</f>
        <v>6799.9</v>
      </c>
      <c r="K9" s="571">
        <f>J12</f>
        <v>12588.350399999999</v>
      </c>
    </row>
    <row r="10" spans="1:12">
      <c r="A10" s="625">
        <f t="shared" si="0"/>
        <v>0</v>
      </c>
      <c r="B10" s="332"/>
      <c r="C10" s="333" t="s">
        <v>82</v>
      </c>
      <c r="D10" s="332" t="str">
        <f>Gia_Tbi!$C$4</f>
        <v>Cái</v>
      </c>
      <c r="E10" s="332">
        <f>Gia_Tbi!$D$4</f>
        <v>0.4</v>
      </c>
      <c r="F10" s="409">
        <v>1.6</v>
      </c>
      <c r="G10" s="332">
        <f>Gia_Tbi!$E$4</f>
        <v>5</v>
      </c>
      <c r="H10" s="492">
        <f>Gia_Tbi!$F$4</f>
        <v>10000000</v>
      </c>
      <c r="I10" s="493">
        <f>Gia_Tbi!$G$4</f>
        <v>4000</v>
      </c>
      <c r="J10" s="499">
        <f>$I10*F10</f>
        <v>6400</v>
      </c>
      <c r="K10" s="1157"/>
    </row>
    <row r="11" spans="1:12">
      <c r="A11" s="625">
        <f t="shared" si="0"/>
        <v>0</v>
      </c>
      <c r="B11" s="332"/>
      <c r="C11" s="333" t="s">
        <v>25</v>
      </c>
      <c r="D11" s="332" t="s">
        <v>556</v>
      </c>
      <c r="E11" s="332">
        <f>Gia_Tbi!$D$6</f>
        <v>2.2000000000000002</v>
      </c>
      <c r="F11" s="409">
        <v>0.1333</v>
      </c>
      <c r="G11" s="332">
        <f>Gia_Tbi!$E$6</f>
        <v>8</v>
      </c>
      <c r="H11" s="492">
        <f>Gia_Tbi!$F$6</f>
        <v>12000000</v>
      </c>
      <c r="I11" s="493">
        <f>Gia_Tbi!$G$6</f>
        <v>3000</v>
      </c>
      <c r="J11" s="499">
        <f>$I11*F11</f>
        <v>399.9</v>
      </c>
      <c r="K11" s="1157"/>
    </row>
    <row r="12" spans="1:12">
      <c r="A12" s="625">
        <f t="shared" si="0"/>
        <v>0</v>
      </c>
      <c r="B12" s="332"/>
      <c r="C12" s="333" t="s">
        <v>8</v>
      </c>
      <c r="D12" s="332" t="str">
        <f>Gia_Tbi!$C$13</f>
        <v>KW</v>
      </c>
      <c r="E12" s="332"/>
      <c r="F12" s="409">
        <v>0.93330000000000002</v>
      </c>
      <c r="G12" s="494"/>
      <c r="H12" s="492">
        <f>Gia_Tbi!$F$13</f>
        <v>1686</v>
      </c>
      <c r="I12" s="493">
        <f>Gia_Tbi!$G$13</f>
        <v>13488</v>
      </c>
      <c r="J12" s="499">
        <f>$I12*F12</f>
        <v>12588.350399999999</v>
      </c>
      <c r="K12" s="1157"/>
    </row>
    <row r="13" spans="1:12">
      <c r="A13" s="625">
        <v>8</v>
      </c>
      <c r="B13" s="326">
        <f>NhanCong_Xa!B7</f>
        <v>2</v>
      </c>
      <c r="C13" s="327" t="str">
        <f>NhanCong_Xa!C7:C7</f>
        <v>Xây dựng siêu dữ liệu thống kê, kiểm kê đất đai</v>
      </c>
      <c r="D13" s="326"/>
      <c r="E13" s="332"/>
      <c r="F13" s="489"/>
      <c r="G13" s="494"/>
      <c r="H13" s="330"/>
      <c r="I13" s="330"/>
      <c r="J13" s="498"/>
      <c r="K13" s="1157"/>
    </row>
    <row r="14" spans="1:12" ht="31.5">
      <c r="A14" s="625" t="s">
        <v>876</v>
      </c>
      <c r="B14" s="332" t="str">
        <f>NhanCong_Xa!B8</f>
        <v>2.1</v>
      </c>
      <c r="C14" s="333" t="str">
        <f>NhanCong_Xa!C8:C8</f>
        <v>Thu nhận các thông tin cần thiết để xây dựng siêu dữ liệu (thông tin mô tả dữ liệu) thống kê, kiểm kê đất đai</v>
      </c>
      <c r="D14" s="326"/>
      <c r="E14" s="487"/>
      <c r="F14" s="489"/>
      <c r="G14" s="503"/>
      <c r="H14" s="330"/>
      <c r="I14" s="330"/>
      <c r="J14" s="498">
        <f>SUM(J15:J16)</f>
        <v>3400.1</v>
      </c>
      <c r="K14" s="571">
        <f>J17</f>
        <v>6294.8496000000005</v>
      </c>
    </row>
    <row r="15" spans="1:12">
      <c r="A15" s="625">
        <f>B15</f>
        <v>0</v>
      </c>
      <c r="B15" s="332"/>
      <c r="C15" s="333" t="s">
        <v>82</v>
      </c>
      <c r="D15" s="332" t="str">
        <f>Gia_Tbi!$C$4</f>
        <v>Cái</v>
      </c>
      <c r="E15" s="332">
        <f>Gia_Tbi!$D$4</f>
        <v>0.4</v>
      </c>
      <c r="F15" s="409">
        <v>0.8</v>
      </c>
      <c r="G15" s="332">
        <f>Gia_Tbi!$E$4</f>
        <v>5</v>
      </c>
      <c r="H15" s="492">
        <f>Gia_Tbi!$F$4</f>
        <v>10000000</v>
      </c>
      <c r="I15" s="493">
        <f>Gia_Tbi!$G$4</f>
        <v>4000</v>
      </c>
      <c r="J15" s="499">
        <f>I15*F15</f>
        <v>3200</v>
      </c>
      <c r="K15" s="1157"/>
    </row>
    <row r="16" spans="1:12">
      <c r="A16" s="625">
        <f>B16</f>
        <v>0</v>
      </c>
      <c r="B16" s="332"/>
      <c r="C16" s="333" t="s">
        <v>25</v>
      </c>
      <c r="D16" s="332" t="str">
        <f>Gia_Tbi!$C$6</f>
        <v>Cái</v>
      </c>
      <c r="E16" s="332">
        <f>Gia_Tbi!$D$6</f>
        <v>2.2000000000000002</v>
      </c>
      <c r="F16" s="409">
        <v>6.6699999999999995E-2</v>
      </c>
      <c r="G16" s="332">
        <f>Gia_Tbi!$E$6</f>
        <v>8</v>
      </c>
      <c r="H16" s="492">
        <f>Gia_Tbi!$F$6</f>
        <v>12000000</v>
      </c>
      <c r="I16" s="493">
        <f>Gia_Tbi!$G$6</f>
        <v>3000</v>
      </c>
      <c r="J16" s="499">
        <f>I16*F16</f>
        <v>200.1</v>
      </c>
      <c r="K16" s="1157"/>
    </row>
    <row r="17" spans="1:11">
      <c r="A17" s="625">
        <f>B17</f>
        <v>0</v>
      </c>
      <c r="B17" s="332"/>
      <c r="C17" s="333" t="s">
        <v>8</v>
      </c>
      <c r="D17" s="332" t="str">
        <f>Gia_Tbi!$C$13</f>
        <v>KW</v>
      </c>
      <c r="E17" s="332"/>
      <c r="F17" s="409">
        <v>0.4667</v>
      </c>
      <c r="G17" s="494"/>
      <c r="H17" s="492">
        <f>Gia_Tbi!$F$13</f>
        <v>1686</v>
      </c>
      <c r="I17" s="493">
        <f>Gia_Tbi!$G$13</f>
        <v>13488</v>
      </c>
      <c r="J17" s="499">
        <f>I17*F17</f>
        <v>6294.8496000000005</v>
      </c>
      <c r="K17" s="1157"/>
    </row>
    <row r="18" spans="1:11">
      <c r="A18" s="625" t="s">
        <v>877</v>
      </c>
      <c r="B18" s="332" t="str">
        <f>NhanCong_Xa!B9</f>
        <v>2.2</v>
      </c>
      <c r="C18" s="333" t="str">
        <f>NhanCong_Xa!C9:C9</f>
        <v>Nhập thông tin siêu dữ liệu kiểm kê đất đai</v>
      </c>
      <c r="D18" s="332"/>
      <c r="E18" s="332"/>
      <c r="F18" s="409"/>
      <c r="G18" s="494"/>
      <c r="H18" s="497"/>
      <c r="I18" s="497"/>
      <c r="J18" s="498">
        <f>SUM(J19:J20)</f>
        <v>1700</v>
      </c>
      <c r="K18" s="571">
        <f>J21</f>
        <v>3147.2000000000003</v>
      </c>
    </row>
    <row r="19" spans="1:11">
      <c r="A19" s="625">
        <f>B19</f>
        <v>0</v>
      </c>
      <c r="B19" s="332"/>
      <c r="C19" s="333" t="s">
        <v>82</v>
      </c>
      <c r="D19" s="332" t="str">
        <f>Gia_Tbi!$C$4</f>
        <v>Cái</v>
      </c>
      <c r="E19" s="332">
        <f>Gia_Tbi!$D$4</f>
        <v>0.4</v>
      </c>
      <c r="F19" s="409">
        <f>NhanCong_Tinh!F9*80%</f>
        <v>0.4</v>
      </c>
      <c r="G19" s="332">
        <f>Gia_Tbi!$E$4</f>
        <v>5</v>
      </c>
      <c r="H19" s="492">
        <f>Gia_Tbi!$F$4</f>
        <v>10000000</v>
      </c>
      <c r="I19" s="493">
        <f>Gia_Tbi!$G$4</f>
        <v>4000</v>
      </c>
      <c r="J19" s="499">
        <f>I19*F19</f>
        <v>1600</v>
      </c>
      <c r="K19" s="1157"/>
    </row>
    <row r="20" spans="1:11">
      <c r="A20" s="625">
        <f>B20</f>
        <v>0</v>
      </c>
      <c r="B20" s="332"/>
      <c r="C20" s="333" t="s">
        <v>25</v>
      </c>
      <c r="D20" s="332" t="str">
        <f>Gia_Tbi!$C$4</f>
        <v>Cái</v>
      </c>
      <c r="E20" s="332">
        <f>Gia_Tbi!$D$6</f>
        <v>2.2000000000000002</v>
      </c>
      <c r="F20" s="409">
        <f>F19/3/L3</f>
        <v>3.3333333333333333E-2</v>
      </c>
      <c r="G20" s="332">
        <f>Gia_Tbi!$E$6</f>
        <v>8</v>
      </c>
      <c r="H20" s="492">
        <f>Gia_Tbi!$F$6</f>
        <v>12000000</v>
      </c>
      <c r="I20" s="493">
        <f>Gia_Tbi!$G$6</f>
        <v>3000</v>
      </c>
      <c r="J20" s="499">
        <f>I20*F20</f>
        <v>100</v>
      </c>
      <c r="K20" s="1157"/>
    </row>
    <row r="21" spans="1:11">
      <c r="A21" s="625">
        <f>B21</f>
        <v>0</v>
      </c>
      <c r="B21" s="332"/>
      <c r="C21" s="333" t="s">
        <v>8</v>
      </c>
      <c r="D21" s="332" t="str">
        <f>Gia_Tbi!$C$13</f>
        <v>KW</v>
      </c>
      <c r="E21" s="332"/>
      <c r="F21" s="409">
        <f>(F19*E19+F20*E20)</f>
        <v>0.23333333333333336</v>
      </c>
      <c r="G21" s="494"/>
      <c r="H21" s="492">
        <f>Gia_Tbi!$F$13</f>
        <v>1686</v>
      </c>
      <c r="I21" s="493">
        <f>Gia_Tbi!$G$13</f>
        <v>13488</v>
      </c>
      <c r="J21" s="499">
        <f>I21*F21</f>
        <v>3147.2000000000003</v>
      </c>
      <c r="K21" s="1157"/>
    </row>
    <row r="22" spans="1:11" ht="31.5">
      <c r="A22" s="625">
        <v>9</v>
      </c>
      <c r="B22" s="326">
        <f>NhanCong_Xa!B10</f>
        <v>3</v>
      </c>
      <c r="C22" s="327" t="str">
        <f>NhanCong_Xa!C10:C10</f>
        <v>Phục vụ kiểm tra, nghiệm thu cơ sở dữ liệu thống kê, kiểm kê đất đai</v>
      </c>
      <c r="D22" s="332"/>
      <c r="E22" s="332"/>
      <c r="F22" s="355"/>
      <c r="G22" s="494"/>
      <c r="H22" s="354"/>
      <c r="I22" s="354"/>
      <c r="J22" s="498"/>
      <c r="K22" s="1157"/>
    </row>
    <row r="23" spans="1:11" ht="31.5">
      <c r="A23" s="625" t="s">
        <v>878</v>
      </c>
      <c r="B23" s="332" t="str">
        <f>NhanCong_Xa!B11</f>
        <v>3.1</v>
      </c>
      <c r="C23" s="333" t="str">
        <f>NhanCong_Xa!C11:C11</f>
        <v>Đơn vị thi công chuẩn bị tài liệu và phục vụ giám sát kiểm tra, nghiệm thu.</v>
      </c>
      <c r="D23" s="332"/>
      <c r="E23" s="332"/>
      <c r="F23" s="355"/>
      <c r="G23" s="353"/>
      <c r="H23" s="354"/>
      <c r="I23" s="354"/>
      <c r="J23" s="498">
        <f>SUM(J24:J30)</f>
        <v>22568.639999999996</v>
      </c>
      <c r="K23" s="571">
        <f>J31</f>
        <v>6726.4655999999995</v>
      </c>
    </row>
    <row r="24" spans="1:11">
      <c r="A24" s="625">
        <f t="shared" ref="A24:A31" si="1">B24</f>
        <v>0</v>
      </c>
      <c r="B24" s="332"/>
      <c r="C24" s="333" t="s">
        <v>82</v>
      </c>
      <c r="D24" s="332" t="str">
        <f>Gia_Tbi!$C$4</f>
        <v>Cái</v>
      </c>
      <c r="E24" s="332">
        <f>Gia_Tbi!$D$4</f>
        <v>0.4</v>
      </c>
      <c r="F24" s="355">
        <v>0.8</v>
      </c>
      <c r="G24" s="332">
        <f>Gia_Tbi!$E$4</f>
        <v>5</v>
      </c>
      <c r="H24" s="497">
        <f>Gia_Tbi!F$4</f>
        <v>10000000</v>
      </c>
      <c r="I24" s="497">
        <f>Gia_Tbi!$G$4</f>
        <v>4000</v>
      </c>
      <c r="J24" s="499">
        <f>I24*F24</f>
        <v>3200</v>
      </c>
      <c r="K24" s="1157"/>
    </row>
    <row r="25" spans="1:11">
      <c r="A25" s="625">
        <f t="shared" si="1"/>
        <v>0</v>
      </c>
      <c r="B25" s="332"/>
      <c r="C25" s="333" t="s">
        <v>928</v>
      </c>
      <c r="D25" s="332" t="str">
        <f>Gia_Tbi!$C$10</f>
        <v>Cái</v>
      </c>
      <c r="E25" s="332">
        <f>Gia_Tbi!$D$10</f>
        <v>1</v>
      </c>
      <c r="F25" s="409">
        <v>0.2</v>
      </c>
      <c r="G25" s="353">
        <f>Gia_Tbi!$E$10</f>
        <v>10</v>
      </c>
      <c r="H25" s="497">
        <f>Gia_Tbi!$F$10</f>
        <v>80000000</v>
      </c>
      <c r="I25" s="497">
        <f>Gia_Tbi!$G$10</f>
        <v>16000</v>
      </c>
      <c r="J25" s="499">
        <f>I25*F25</f>
        <v>3200</v>
      </c>
      <c r="K25" s="1157"/>
    </row>
    <row r="26" spans="1:11">
      <c r="A26" s="625">
        <f t="shared" si="1"/>
        <v>0</v>
      </c>
      <c r="B26" s="332"/>
      <c r="C26" s="333" t="str">
        <f>Gia_Tbi!$B$14</f>
        <v>Hệ quản trị cơ sở dữ liệu thuộc tính</v>
      </c>
      <c r="D26" s="332" t="str">
        <f>Gia_Tbi!$C$14</f>
        <v>Bộ</v>
      </c>
      <c r="E26" s="332" t="str">
        <f>Gia_Tbi!$D$14</f>
        <v/>
      </c>
      <c r="F26" s="409">
        <v>0.2</v>
      </c>
      <c r="G26" s="332">
        <f>Gia_Tbi!$E$14</f>
        <v>10</v>
      </c>
      <c r="H26" s="621">
        <f>Gia_Tbi!$F$14</f>
        <v>20881000</v>
      </c>
      <c r="I26" s="352">
        <f>Gia_Tbi!$G$14</f>
        <v>4176.2</v>
      </c>
      <c r="J26" s="499">
        <f>$I26*F26</f>
        <v>835.24</v>
      </c>
      <c r="K26" s="573"/>
    </row>
    <row r="27" spans="1:11">
      <c r="A27" s="625">
        <f t="shared" si="1"/>
        <v>0</v>
      </c>
      <c r="B27" s="332"/>
      <c r="C27" s="333" t="str">
        <f>Gia_Tbi!$B$15</f>
        <v>Hệ quản trị dữ liệu không gian</v>
      </c>
      <c r="D27" s="332" t="str">
        <f>Gia_Tbi!$C$15</f>
        <v>Bộ</v>
      </c>
      <c r="E27" s="332" t="str">
        <f>Gia_Tbi!$D$15</f>
        <v/>
      </c>
      <c r="F27" s="409">
        <v>0.2</v>
      </c>
      <c r="G27" s="332">
        <f>Gia_Tbi!$E$15</f>
        <v>10</v>
      </c>
      <c r="H27" s="621">
        <f>Gia_Tbi!$F$15</f>
        <v>357000000</v>
      </c>
      <c r="I27" s="352">
        <f>Gia_Tbi!$G$15</f>
        <v>71400</v>
      </c>
      <c r="J27" s="499">
        <f>$I27*F27</f>
        <v>14280</v>
      </c>
      <c r="K27" s="573"/>
    </row>
    <row r="28" spans="1:11">
      <c r="A28" s="625">
        <f t="shared" si="1"/>
        <v>0</v>
      </c>
      <c r="B28" s="332"/>
      <c r="C28" s="333" t="s">
        <v>557</v>
      </c>
      <c r="D28" s="332" t="str">
        <f>Gia_Tbi!$C$12</f>
        <v>Bộ</v>
      </c>
      <c r="E28" s="332">
        <f>Gia_Tbi!$D$12</f>
        <v>0.1</v>
      </c>
      <c r="F28" s="355">
        <v>0.8</v>
      </c>
      <c r="G28" s="353">
        <f>Gia_Tbi!$E$12</f>
        <v>5</v>
      </c>
      <c r="H28" s="497">
        <f>Gia_Tbi!$F$12</f>
        <v>2500000</v>
      </c>
      <c r="I28" s="497">
        <f>Gia_Tbi!$G$12</f>
        <v>1000</v>
      </c>
      <c r="J28" s="499">
        <f>I28*F28</f>
        <v>800</v>
      </c>
      <c r="K28" s="1157"/>
    </row>
    <row r="29" spans="1:11">
      <c r="A29" s="625">
        <f t="shared" si="1"/>
        <v>0</v>
      </c>
      <c r="B29" s="332"/>
      <c r="C29" s="333" t="s">
        <v>83</v>
      </c>
      <c r="D29" s="332" t="str">
        <f>Gia_Tbi!$C$5</f>
        <v>Cái</v>
      </c>
      <c r="E29" s="332">
        <f>Gia_Tbi!$D$5</f>
        <v>0.6</v>
      </c>
      <c r="F29" s="355">
        <v>5.33E-2</v>
      </c>
      <c r="G29" s="353">
        <f>Gia_Tbi!$E$5</f>
        <v>5</v>
      </c>
      <c r="H29" s="354">
        <f>Gia_Tbi!$F$5</f>
        <v>2500000</v>
      </c>
      <c r="I29" s="354">
        <f>Gia_Tbi!$G$5</f>
        <v>1000</v>
      </c>
      <c r="J29" s="499">
        <f>I29*F29</f>
        <v>53.3</v>
      </c>
      <c r="K29" s="1157"/>
    </row>
    <row r="30" spans="1:11">
      <c r="A30" s="625">
        <f t="shared" si="1"/>
        <v>0</v>
      </c>
      <c r="B30" s="332"/>
      <c r="C30" s="333" t="s">
        <v>25</v>
      </c>
      <c r="D30" s="332" t="str">
        <f>Gia_Tbi!$C$6</f>
        <v>Cái</v>
      </c>
      <c r="E30" s="332">
        <f>Gia_Tbi!$D$6</f>
        <v>2.2000000000000002</v>
      </c>
      <c r="F30" s="355">
        <v>6.6699999999999995E-2</v>
      </c>
      <c r="G30" s="332">
        <f>Gia_Tbi!$E$6</f>
        <v>8</v>
      </c>
      <c r="H30" s="497">
        <f>Gia_Tbi!$F$6</f>
        <v>12000000</v>
      </c>
      <c r="I30" s="497">
        <f>Gia_Tbi!$G$6</f>
        <v>3000</v>
      </c>
      <c r="J30" s="499">
        <f>I30*F30</f>
        <v>200.1</v>
      </c>
      <c r="K30" s="1157"/>
    </row>
    <row r="31" spans="1:11">
      <c r="A31" s="625">
        <f t="shared" si="1"/>
        <v>0</v>
      </c>
      <c r="B31" s="332"/>
      <c r="C31" s="333" t="s">
        <v>8</v>
      </c>
      <c r="D31" s="332" t="str">
        <f>Gia_Tbi!$C$13</f>
        <v>KW</v>
      </c>
      <c r="E31" s="332"/>
      <c r="F31" s="409">
        <v>0.49869999999999998</v>
      </c>
      <c r="G31" s="494"/>
      <c r="H31" s="497">
        <f>Gia_Tbi!$F$13</f>
        <v>1686</v>
      </c>
      <c r="I31" s="497">
        <f>Gia_Tbi!$G$13</f>
        <v>13488</v>
      </c>
      <c r="J31" s="499">
        <f>I31*F31</f>
        <v>6726.4655999999995</v>
      </c>
      <c r="K31" s="1157"/>
    </row>
    <row r="32" spans="1:11" ht="63">
      <c r="A32" s="625" t="s">
        <v>879</v>
      </c>
      <c r="B32" s="1158" t="str">
        <f>NhanCong_Xa!B12</f>
        <v>3.2</v>
      </c>
      <c r="C32" s="333" t="str">
        <f>NhanCong_Xa!C12:C12</f>
        <v>Thực hiện kiểm tra tổng thể cơ sở dữ liệu thống kê, kiểm kê đất đai và tích hợp vào hệ thống ngay sau khi được nghiệm thu để phục vụ quản lý, vận hành, khai thác sử dụng.</v>
      </c>
      <c r="D32" s="1158"/>
      <c r="E32" s="332"/>
      <c r="F32" s="1161"/>
      <c r="G32" s="494"/>
      <c r="H32" s="501"/>
      <c r="I32" s="501"/>
      <c r="J32" s="571">
        <f>SUM(J33:J39)</f>
        <v>67705.72</v>
      </c>
      <c r="K32" s="571">
        <f>J40</f>
        <v>31507.967999999997</v>
      </c>
    </row>
    <row r="33" spans="1:11">
      <c r="A33" s="625">
        <f t="shared" ref="A33:A40" si="2">B33</f>
        <v>0</v>
      </c>
      <c r="B33" s="332"/>
      <c r="C33" s="333" t="s">
        <v>82</v>
      </c>
      <c r="D33" s="332" t="str">
        <f>Gia_Tbi!$C$4</f>
        <v>Cái</v>
      </c>
      <c r="E33" s="332">
        <f>Gia_Tbi!$D$4</f>
        <v>0.4</v>
      </c>
      <c r="F33" s="355">
        <v>2.4</v>
      </c>
      <c r="G33" s="332">
        <f>Gia_Tbi!$E$4</f>
        <v>5</v>
      </c>
      <c r="H33" s="497">
        <f>Gia_Tbi!F$4</f>
        <v>10000000</v>
      </c>
      <c r="I33" s="497">
        <f>Gia_Tbi!$G$4</f>
        <v>4000</v>
      </c>
      <c r="J33" s="499">
        <f>I33*F33</f>
        <v>9600</v>
      </c>
      <c r="K33" s="1157"/>
    </row>
    <row r="34" spans="1:11">
      <c r="A34" s="625">
        <f t="shared" si="2"/>
        <v>0</v>
      </c>
      <c r="B34" s="332"/>
      <c r="C34" s="333" t="s">
        <v>83</v>
      </c>
      <c r="D34" s="332" t="str">
        <f>Gia_Tbi!$C$5</f>
        <v>Cái</v>
      </c>
      <c r="E34" s="332">
        <f>Gia_Tbi!$D$5</f>
        <v>0.6</v>
      </c>
      <c r="F34" s="355">
        <v>0.16</v>
      </c>
      <c r="G34" s="353">
        <f>Gia_Tbi!$E$5</f>
        <v>5</v>
      </c>
      <c r="H34" s="354">
        <f>Gia_Tbi!$F$5</f>
        <v>2500000</v>
      </c>
      <c r="I34" s="354">
        <f>Gia_Tbi!$G$5</f>
        <v>1000</v>
      </c>
      <c r="J34" s="499">
        <f>I34*F34</f>
        <v>160</v>
      </c>
      <c r="K34" s="1157"/>
    </row>
    <row r="35" spans="1:11">
      <c r="A35" s="625">
        <f t="shared" si="2"/>
        <v>0</v>
      </c>
      <c r="B35" s="332"/>
      <c r="C35" s="333" t="s">
        <v>25</v>
      </c>
      <c r="D35" s="332" t="str">
        <f>Gia_Tbi!$C$6</f>
        <v>Cái</v>
      </c>
      <c r="E35" s="332">
        <f>Gia_Tbi!$D$6</f>
        <v>2.2000000000000002</v>
      </c>
      <c r="F35" s="355">
        <v>0.2</v>
      </c>
      <c r="G35" s="332">
        <f>Gia_Tbi!$E$6</f>
        <v>8</v>
      </c>
      <c r="H35" s="497">
        <f>Gia_Tbi!$F$6</f>
        <v>12000000</v>
      </c>
      <c r="I35" s="497">
        <f>Gia_Tbi!$G$6</f>
        <v>3000</v>
      </c>
      <c r="J35" s="499">
        <f>I35*F35</f>
        <v>600</v>
      </c>
      <c r="K35" s="1157"/>
    </row>
    <row r="36" spans="1:11">
      <c r="A36" s="625">
        <f t="shared" si="2"/>
        <v>0</v>
      </c>
      <c r="B36" s="332"/>
      <c r="C36" s="333" t="s">
        <v>928</v>
      </c>
      <c r="D36" s="332" t="str">
        <f>Gia_Tbi!$C$10</f>
        <v>Cái</v>
      </c>
      <c r="E36" s="332">
        <f>Gia_Tbi!$D$10</f>
        <v>1</v>
      </c>
      <c r="F36" s="355">
        <v>0.6</v>
      </c>
      <c r="G36" s="353">
        <f>Gia_Tbi!$E$10</f>
        <v>10</v>
      </c>
      <c r="H36" s="497">
        <f>Gia_Tbi!$F$10</f>
        <v>80000000</v>
      </c>
      <c r="I36" s="497">
        <f>Gia_Tbi!$G$10</f>
        <v>16000</v>
      </c>
      <c r="J36" s="499">
        <f>I36*F36</f>
        <v>9600</v>
      </c>
      <c r="K36" s="1157"/>
    </row>
    <row r="37" spans="1:11">
      <c r="A37" s="625">
        <f t="shared" si="2"/>
        <v>0</v>
      </c>
      <c r="B37" s="332"/>
      <c r="C37" s="333" t="str">
        <f>Gia_Tbi!$B$14</f>
        <v>Hệ quản trị cơ sở dữ liệu thuộc tính</v>
      </c>
      <c r="D37" s="332" t="str">
        <f>Gia_Tbi!$C$14</f>
        <v>Bộ</v>
      </c>
      <c r="E37" s="332" t="str">
        <f>Gia_Tbi!$D$14</f>
        <v/>
      </c>
      <c r="F37" s="409">
        <v>0.6</v>
      </c>
      <c r="G37" s="332">
        <f>Gia_Tbi!$E$14</f>
        <v>10</v>
      </c>
      <c r="H37" s="621">
        <f>Gia_Tbi!$F$14</f>
        <v>20881000</v>
      </c>
      <c r="I37" s="352">
        <f>Gia_Tbi!$G$14</f>
        <v>4176.2</v>
      </c>
      <c r="J37" s="499">
        <f>$I37*F37</f>
        <v>2505.7199999999998</v>
      </c>
      <c r="K37" s="573"/>
    </row>
    <row r="38" spans="1:11">
      <c r="A38" s="625">
        <f t="shared" si="2"/>
        <v>0</v>
      </c>
      <c r="B38" s="332"/>
      <c r="C38" s="333" t="str">
        <f>Gia_Tbi!$B$15</f>
        <v>Hệ quản trị dữ liệu không gian</v>
      </c>
      <c r="D38" s="332" t="str">
        <f>Gia_Tbi!$C$15</f>
        <v>Bộ</v>
      </c>
      <c r="E38" s="332" t="str">
        <f>Gia_Tbi!$D$15</f>
        <v/>
      </c>
      <c r="F38" s="409">
        <v>0.6</v>
      </c>
      <c r="G38" s="332">
        <f>Gia_Tbi!$E$15</f>
        <v>10</v>
      </c>
      <c r="H38" s="621">
        <f>Gia_Tbi!$F$15</f>
        <v>357000000</v>
      </c>
      <c r="I38" s="352">
        <f>Gia_Tbi!$G$15</f>
        <v>71400</v>
      </c>
      <c r="J38" s="499">
        <f>$I38*F38</f>
        <v>42840</v>
      </c>
      <c r="K38" s="573"/>
    </row>
    <row r="39" spans="1:11">
      <c r="A39" s="625">
        <f t="shared" si="2"/>
        <v>0</v>
      </c>
      <c r="B39" s="332"/>
      <c r="C39" s="333" t="s">
        <v>557</v>
      </c>
      <c r="D39" s="332" t="str">
        <f>Gia_Tbi!$C$12</f>
        <v>Bộ</v>
      </c>
      <c r="E39" s="332">
        <f>Gia_Tbi!$D$12</f>
        <v>0.1</v>
      </c>
      <c r="F39" s="355">
        <v>2.4</v>
      </c>
      <c r="G39" s="353">
        <f>Gia_Tbi!$E$12</f>
        <v>5</v>
      </c>
      <c r="H39" s="497">
        <f>Gia_Tbi!$F$12</f>
        <v>2500000</v>
      </c>
      <c r="I39" s="497">
        <f>Gia_Tbi!$G$12</f>
        <v>1000</v>
      </c>
      <c r="J39" s="499">
        <f>I39*F39</f>
        <v>2400</v>
      </c>
      <c r="K39" s="1157"/>
    </row>
    <row r="40" spans="1:11">
      <c r="A40" s="625">
        <f t="shared" si="2"/>
        <v>0</v>
      </c>
      <c r="B40" s="332"/>
      <c r="C40" s="333" t="s">
        <v>8</v>
      </c>
      <c r="D40" s="332" t="str">
        <f>Gia_Tbi!$C$13</f>
        <v>KW</v>
      </c>
      <c r="E40" s="332"/>
      <c r="F40" s="409">
        <v>2.3359999999999999</v>
      </c>
      <c r="G40" s="494"/>
      <c r="H40" s="497">
        <f>Gia_Tbi!$F$13</f>
        <v>1686</v>
      </c>
      <c r="I40" s="497">
        <f>Gia_Tbi!$G$13</f>
        <v>13488</v>
      </c>
      <c r="J40" s="499">
        <f>I40*F40</f>
        <v>31507.967999999997</v>
      </c>
      <c r="K40" s="1157"/>
    </row>
    <row r="41" spans="1:11" ht="31.5">
      <c r="A41" s="625" t="s">
        <v>880</v>
      </c>
      <c r="B41" s="1158" t="str">
        <f>NhanCong_Xa!B13</f>
        <v>3.3</v>
      </c>
      <c r="C41" s="333" t="str">
        <f>NhanCong_Xa!C13</f>
        <v>Đóng gói giao nộp cơ sở dữ liệu thống kê, kiểm kê đất đai</v>
      </c>
      <c r="D41" s="332"/>
      <c r="E41" s="332"/>
      <c r="F41" s="332"/>
      <c r="G41" s="494"/>
      <c r="H41" s="332"/>
      <c r="I41" s="332"/>
      <c r="J41" s="571">
        <f>SUM(J42:J48)</f>
        <v>30568.639999999996</v>
      </c>
      <c r="K41" s="571">
        <f>J49</f>
        <v>6726.4655999999995</v>
      </c>
    </row>
    <row r="42" spans="1:11">
      <c r="A42" s="625"/>
      <c r="B42" s="332"/>
      <c r="C42" s="333" t="s">
        <v>82</v>
      </c>
      <c r="D42" s="332" t="str">
        <f>Gia_Tbi!$C$4</f>
        <v>Cái</v>
      </c>
      <c r="E42" s="332">
        <f>Gia_Tbi!$D$4</f>
        <v>0.4</v>
      </c>
      <c r="F42" s="355">
        <v>0.8</v>
      </c>
      <c r="G42" s="332">
        <f>Gia_Tbi!$E$4</f>
        <v>5</v>
      </c>
      <c r="H42" s="497">
        <f>Gia_Tbi!F$4</f>
        <v>10000000</v>
      </c>
      <c r="I42" s="497">
        <f>Gia_Tbi!$G$4</f>
        <v>4000</v>
      </c>
      <c r="J42" s="499">
        <f>I42*F42</f>
        <v>3200</v>
      </c>
      <c r="K42" s="1157"/>
    </row>
    <row r="43" spans="1:11">
      <c r="A43" s="625"/>
      <c r="B43" s="332"/>
      <c r="C43" s="333" t="s">
        <v>928</v>
      </c>
      <c r="D43" s="332" t="str">
        <f>Gia_Tbi!$C$10</f>
        <v>Cái</v>
      </c>
      <c r="E43" s="332">
        <f>Gia_Tbi!$D$10</f>
        <v>1</v>
      </c>
      <c r="F43" s="355">
        <v>0.6</v>
      </c>
      <c r="G43" s="353">
        <f>Gia_Tbi!$E$10</f>
        <v>10</v>
      </c>
      <c r="H43" s="497">
        <f>Gia_Tbi!$F$10</f>
        <v>80000000</v>
      </c>
      <c r="I43" s="497">
        <f>Gia_Tbi!$G$10</f>
        <v>16000</v>
      </c>
      <c r="J43" s="499">
        <f>I43*F43</f>
        <v>9600</v>
      </c>
      <c r="K43" s="1157"/>
    </row>
    <row r="44" spans="1:11">
      <c r="A44" s="625"/>
      <c r="B44" s="332"/>
      <c r="C44" s="333" t="str">
        <f>Gia_Tbi!$B$14</f>
        <v>Hệ quản trị cơ sở dữ liệu thuộc tính</v>
      </c>
      <c r="D44" s="332" t="str">
        <f>Gia_Tbi!$C$14</f>
        <v>Bộ</v>
      </c>
      <c r="E44" s="332" t="str">
        <f>Gia_Tbi!$D$14</f>
        <v/>
      </c>
      <c r="F44" s="409">
        <v>0.2</v>
      </c>
      <c r="G44" s="332">
        <f>Gia_Tbi!$E$14</f>
        <v>10</v>
      </c>
      <c r="H44" s="621">
        <f>Gia_Tbi!$F$14</f>
        <v>20881000</v>
      </c>
      <c r="I44" s="352">
        <f>Gia_Tbi!$G$14</f>
        <v>4176.2</v>
      </c>
      <c r="J44" s="499">
        <f>$I44*F44</f>
        <v>835.24</v>
      </c>
      <c r="K44" s="573"/>
    </row>
    <row r="45" spans="1:11">
      <c r="A45" s="625"/>
      <c r="B45" s="332"/>
      <c r="C45" s="333" t="str">
        <f>Gia_Tbi!$B$15</f>
        <v>Hệ quản trị dữ liệu không gian</v>
      </c>
      <c r="D45" s="332" t="str">
        <f>Gia_Tbi!$C$15</f>
        <v>Bộ</v>
      </c>
      <c r="E45" s="332" t="str">
        <f>Gia_Tbi!$D$15</f>
        <v/>
      </c>
      <c r="F45" s="409">
        <v>0.2</v>
      </c>
      <c r="G45" s="332">
        <f>Gia_Tbi!$E$15</f>
        <v>10</v>
      </c>
      <c r="H45" s="621">
        <f>Gia_Tbi!$F$15</f>
        <v>357000000</v>
      </c>
      <c r="I45" s="352">
        <f>Gia_Tbi!$G$15</f>
        <v>71400</v>
      </c>
      <c r="J45" s="499">
        <f>$I45*F45</f>
        <v>14280</v>
      </c>
      <c r="K45" s="573"/>
    </row>
    <row r="46" spans="1:11">
      <c r="A46" s="625"/>
      <c r="B46" s="332"/>
      <c r="C46" s="333" t="s">
        <v>557</v>
      </c>
      <c r="D46" s="332" t="str">
        <f>Gia_Tbi!$C$12</f>
        <v>Bộ</v>
      </c>
      <c r="E46" s="332">
        <f>Gia_Tbi!$D$12</f>
        <v>0.1</v>
      </c>
      <c r="F46" s="355">
        <v>2.4</v>
      </c>
      <c r="G46" s="353">
        <f>Gia_Tbi!$E$12</f>
        <v>5</v>
      </c>
      <c r="H46" s="497">
        <f>Gia_Tbi!$F$12</f>
        <v>2500000</v>
      </c>
      <c r="I46" s="497">
        <f>Gia_Tbi!$G$12</f>
        <v>1000</v>
      </c>
      <c r="J46" s="499">
        <f>I46*F46</f>
        <v>2400</v>
      </c>
      <c r="K46" s="1157"/>
    </row>
    <row r="47" spans="1:11">
      <c r="A47" s="625"/>
      <c r="B47" s="332"/>
      <c r="C47" s="333" t="s">
        <v>83</v>
      </c>
      <c r="D47" s="332" t="str">
        <f>Gia_Tbi!$C$5</f>
        <v>Cái</v>
      </c>
      <c r="E47" s="332">
        <f>Gia_Tbi!$D$5</f>
        <v>0.6</v>
      </c>
      <c r="F47" s="355">
        <v>5.33E-2</v>
      </c>
      <c r="G47" s="353">
        <f>Gia_Tbi!$E$5</f>
        <v>5</v>
      </c>
      <c r="H47" s="354">
        <f>Gia_Tbi!$F$5</f>
        <v>2500000</v>
      </c>
      <c r="I47" s="354">
        <f>Gia_Tbi!$G$5</f>
        <v>1000</v>
      </c>
      <c r="J47" s="499">
        <f>I47*F47</f>
        <v>53.3</v>
      </c>
      <c r="K47" s="1157"/>
    </row>
    <row r="48" spans="1:11">
      <c r="A48" s="625"/>
      <c r="B48" s="332"/>
      <c r="C48" s="333" t="s">
        <v>25</v>
      </c>
      <c r="D48" s="332" t="str">
        <f>Gia_Tbi!$C$6</f>
        <v>Cái</v>
      </c>
      <c r="E48" s="332">
        <f>Gia_Tbi!$D$6</f>
        <v>2.2000000000000002</v>
      </c>
      <c r="F48" s="355">
        <v>6.6699999999999995E-2</v>
      </c>
      <c r="G48" s="332">
        <f>Gia_Tbi!$E$6</f>
        <v>8</v>
      </c>
      <c r="H48" s="497">
        <f>Gia_Tbi!$F$6</f>
        <v>12000000</v>
      </c>
      <c r="I48" s="497">
        <f>Gia_Tbi!$G$6</f>
        <v>3000</v>
      </c>
      <c r="J48" s="499">
        <f>I48*F48</f>
        <v>200.1</v>
      </c>
      <c r="K48" s="1157"/>
    </row>
    <row r="49" spans="1:11">
      <c r="A49" s="625"/>
      <c r="B49" s="332"/>
      <c r="C49" s="333" t="s">
        <v>8</v>
      </c>
      <c r="D49" s="332" t="str">
        <f>Gia_Tbi!$C$13</f>
        <v>KW</v>
      </c>
      <c r="E49" s="332"/>
      <c r="F49" s="409">
        <v>0.49869999999999998</v>
      </c>
      <c r="G49" s="494"/>
      <c r="H49" s="497">
        <f>Gia_Tbi!$F$13</f>
        <v>1686</v>
      </c>
      <c r="I49" s="497">
        <f>Gia_Tbi!$G$13</f>
        <v>13488</v>
      </c>
      <c r="J49" s="499">
        <f>I49*F49</f>
        <v>6726.4655999999995</v>
      </c>
      <c r="K49" s="1157"/>
    </row>
    <row r="50" spans="1:11">
      <c r="A50" s="625"/>
      <c r="B50" s="725"/>
      <c r="D50" s="725"/>
      <c r="E50" s="725"/>
      <c r="F50" s="740"/>
      <c r="G50" s="727"/>
      <c r="H50" s="728"/>
      <c r="I50" s="728"/>
      <c r="J50" s="729"/>
      <c r="K50" s="1159"/>
    </row>
    <row r="51" spans="1:11" ht="141.75">
      <c r="A51" s="625"/>
      <c r="B51" s="326" t="s">
        <v>14</v>
      </c>
      <c r="C51" s="326" t="str">
        <f>C3</f>
        <v>Danh mục thiết bị</v>
      </c>
      <c r="D51" s="326" t="s">
        <v>21</v>
      </c>
      <c r="E51" s="326" t="s">
        <v>4</v>
      </c>
      <c r="F51" s="636" t="s">
        <v>906</v>
      </c>
      <c r="G51" s="326" t="s">
        <v>5</v>
      </c>
      <c r="H51" s="483" t="s">
        <v>19</v>
      </c>
      <c r="I51" s="483" t="s">
        <v>1</v>
      </c>
      <c r="J51" s="484" t="s">
        <v>615</v>
      </c>
      <c r="K51" s="484" t="s">
        <v>616</v>
      </c>
    </row>
    <row r="52" spans="1:11">
      <c r="A52" s="625">
        <v>2</v>
      </c>
      <c r="B52" s="326">
        <f>NhanCong_Tinh!B16</f>
        <v>1</v>
      </c>
      <c r="C52" s="496" t="str">
        <f>NhanCong_Xa!C16:C16</f>
        <v>Thu thập tài liệu, dữ liệu</v>
      </c>
      <c r="D52" s="326"/>
      <c r="E52" s="487"/>
      <c r="F52" s="489"/>
      <c r="G52" s="328"/>
      <c r="H52" s="329"/>
      <c r="I52" s="330"/>
      <c r="J52" s="498"/>
      <c r="K52" s="576"/>
    </row>
    <row r="53" spans="1:11">
      <c r="A53" s="625" t="s">
        <v>827</v>
      </c>
      <c r="B53" s="332" t="str">
        <f>NhanCong_Tinh!B17</f>
        <v>1.1</v>
      </c>
      <c r="C53" s="495" t="str">
        <f>NhanCong_Tinh!C17</f>
        <v>Thu thập tài liệu, dữ liệu thống kê</v>
      </c>
      <c r="D53" s="326"/>
      <c r="E53" s="487"/>
      <c r="F53" s="489"/>
      <c r="G53" s="328"/>
      <c r="H53" s="329"/>
      <c r="I53" s="330"/>
      <c r="J53" s="498">
        <f>SUM(J54:J55)</f>
        <v>6799.9</v>
      </c>
      <c r="K53" s="571">
        <f>J56</f>
        <v>12588.350399999999</v>
      </c>
    </row>
    <row r="54" spans="1:11">
      <c r="A54" s="625">
        <f t="shared" si="0"/>
        <v>0</v>
      </c>
      <c r="B54" s="332"/>
      <c r="C54" s="333" t="s">
        <v>82</v>
      </c>
      <c r="D54" s="332" t="str">
        <f>Gia_Tbi!$C$4</f>
        <v>Cái</v>
      </c>
      <c r="E54" s="332">
        <f>Gia_Tbi!$D$4</f>
        <v>0.4</v>
      </c>
      <c r="F54" s="409">
        <v>1.6</v>
      </c>
      <c r="G54" s="332">
        <f>Gia_Tbi!$E$4</f>
        <v>5</v>
      </c>
      <c r="H54" s="492">
        <f>Gia_Tbi!$F$4</f>
        <v>10000000</v>
      </c>
      <c r="I54" s="493">
        <f>Gia_Tbi!$G$4</f>
        <v>4000</v>
      </c>
      <c r="J54" s="499">
        <f>$I54*F54</f>
        <v>6400</v>
      </c>
      <c r="K54" s="1157"/>
    </row>
    <row r="55" spans="1:11">
      <c r="A55" s="625">
        <f t="shared" si="0"/>
        <v>0</v>
      </c>
      <c r="B55" s="332"/>
      <c r="C55" s="333" t="s">
        <v>25</v>
      </c>
      <c r="D55" s="332" t="str">
        <f>D7</f>
        <v>Cái</v>
      </c>
      <c r="E55" s="332">
        <f>Gia_Tbi!$D$6</f>
        <v>2.2000000000000002</v>
      </c>
      <c r="F55" s="409">
        <v>0.1333</v>
      </c>
      <c r="G55" s="332">
        <f>Gia_Tbi!$E$6</f>
        <v>8</v>
      </c>
      <c r="H55" s="492">
        <f>Gia_Tbi!$F$6</f>
        <v>12000000</v>
      </c>
      <c r="I55" s="493">
        <f>Gia_Tbi!$G$6</f>
        <v>3000</v>
      </c>
      <c r="J55" s="499">
        <f>$I55*F55</f>
        <v>399.9</v>
      </c>
      <c r="K55" s="1157"/>
    </row>
    <row r="56" spans="1:11">
      <c r="A56" s="625">
        <f t="shared" si="0"/>
        <v>0</v>
      </c>
      <c r="B56" s="332"/>
      <c r="C56" s="333" t="s">
        <v>8</v>
      </c>
      <c r="D56" s="332" t="str">
        <f>Gia_Tbi!$C$13</f>
        <v>KW</v>
      </c>
      <c r="E56" s="332"/>
      <c r="F56" s="409">
        <v>0.93330000000000002</v>
      </c>
      <c r="G56" s="494"/>
      <c r="H56" s="492">
        <f>Gia_Tbi!$F$13</f>
        <v>1686</v>
      </c>
      <c r="I56" s="493">
        <f>Gia_Tbi!$G$13</f>
        <v>13488</v>
      </c>
      <c r="J56" s="499">
        <f>$I56*F56</f>
        <v>12588.350399999999</v>
      </c>
      <c r="K56" s="1157"/>
    </row>
    <row r="57" spans="1:11" s="511" customFormat="1">
      <c r="A57" s="625" t="s">
        <v>830</v>
      </c>
      <c r="B57" s="332" t="str">
        <f>NhanCong_Tinh!B18</f>
        <v>1.2</v>
      </c>
      <c r="C57" s="495" t="str">
        <f>NhanCong_Tinh!C18</f>
        <v>Thu thập tài liệu, dữ liệu kiểm kê</v>
      </c>
      <c r="D57" s="332"/>
      <c r="E57" s="332"/>
      <c r="F57" s="409"/>
      <c r="G57" s="494"/>
      <c r="H57" s="492"/>
      <c r="I57" s="493"/>
      <c r="J57" s="498">
        <f>SUM(J58:J59)</f>
        <v>10200</v>
      </c>
      <c r="K57" s="571">
        <f>J60</f>
        <v>18883.199999999997</v>
      </c>
    </row>
    <row r="58" spans="1:11" s="511" customFormat="1">
      <c r="A58" s="625">
        <f t="shared" si="0"/>
        <v>0</v>
      </c>
      <c r="B58" s="332"/>
      <c r="C58" s="333" t="s">
        <v>82</v>
      </c>
      <c r="D58" s="332" t="str">
        <f>Gia_Tbi!$C$4</f>
        <v>Cái</v>
      </c>
      <c r="E58" s="332">
        <f>Gia_Tbi!$D$4</f>
        <v>0.4</v>
      </c>
      <c r="F58" s="409">
        <v>2.4</v>
      </c>
      <c r="G58" s="332">
        <f>Gia_Tbi!$E$4</f>
        <v>5</v>
      </c>
      <c r="H58" s="492">
        <f>Gia_Tbi!$F$4</f>
        <v>10000000</v>
      </c>
      <c r="I58" s="493">
        <f>Gia_Tbi!$G$4</f>
        <v>4000</v>
      </c>
      <c r="J58" s="499">
        <f>$I58*F58</f>
        <v>9600</v>
      </c>
      <c r="K58" s="1157"/>
    </row>
    <row r="59" spans="1:11">
      <c r="A59" s="625">
        <f t="shared" si="0"/>
        <v>0</v>
      </c>
      <c r="B59" s="332"/>
      <c r="C59" s="333" t="s">
        <v>25</v>
      </c>
      <c r="D59" s="332" t="str">
        <f>D10</f>
        <v>Cái</v>
      </c>
      <c r="E59" s="332">
        <f>Gia_Tbi!$D$6</f>
        <v>2.2000000000000002</v>
      </c>
      <c r="F59" s="409">
        <v>0.2</v>
      </c>
      <c r="G59" s="332">
        <f>Gia_Tbi!$E$6</f>
        <v>8</v>
      </c>
      <c r="H59" s="492">
        <f>Gia_Tbi!$F$6</f>
        <v>12000000</v>
      </c>
      <c r="I59" s="493">
        <f>Gia_Tbi!$G$6</f>
        <v>3000</v>
      </c>
      <c r="J59" s="499">
        <f>$I59*F59</f>
        <v>600</v>
      </c>
      <c r="K59" s="1157"/>
    </row>
    <row r="60" spans="1:11">
      <c r="A60" s="625">
        <f t="shared" si="0"/>
        <v>0</v>
      </c>
      <c r="B60" s="332"/>
      <c r="C60" s="333" t="s">
        <v>8</v>
      </c>
      <c r="D60" s="332" t="str">
        <f>Gia_Tbi!$C$13</f>
        <v>KW</v>
      </c>
      <c r="E60" s="332"/>
      <c r="F60" s="409">
        <v>1.4</v>
      </c>
      <c r="G60" s="494"/>
      <c r="H60" s="492">
        <f>Gia_Tbi!$F$13</f>
        <v>1686</v>
      </c>
      <c r="I60" s="493">
        <f>Gia_Tbi!$G$13</f>
        <v>13488</v>
      </c>
      <c r="J60" s="499">
        <f>$I60*F60</f>
        <v>18883.199999999997</v>
      </c>
      <c r="K60" s="1157"/>
    </row>
    <row r="61" spans="1:11" ht="31.5">
      <c r="A61" s="625">
        <v>3</v>
      </c>
      <c r="B61" s="326">
        <f>NhanCong_Tinh!B19</f>
        <v>2</v>
      </c>
      <c r="C61" s="327" t="str">
        <f>NhanCong_Xa!C19:C19</f>
        <v>Rà soát, đánh giá, phân loại và sắp xếp tài liệu, dữ liệu</v>
      </c>
      <c r="D61" s="326"/>
      <c r="E61" s="487"/>
      <c r="F61" s="489"/>
      <c r="G61" s="328"/>
      <c r="H61" s="329"/>
      <c r="I61" s="330"/>
      <c r="J61" s="498"/>
      <c r="K61" s="571"/>
    </row>
    <row r="62" spans="1:11" ht="31.5">
      <c r="A62" s="625" t="s">
        <v>771</v>
      </c>
      <c r="B62" s="332" t="str">
        <f>NhanCong_Tinh!B20</f>
        <v>2.1</v>
      </c>
      <c r="C62" s="495" t="str">
        <f>NhanCong_Tinh!C20</f>
        <v>Rà soát, đánh giá, phân loại và sắp xếp tài liệu, dữ liệu thống kê và lập báo cáo kết quản thực hiện</v>
      </c>
      <c r="D62" s="326"/>
      <c r="E62" s="487"/>
      <c r="F62" s="489"/>
      <c r="G62" s="328"/>
      <c r="H62" s="329"/>
      <c r="I62" s="330"/>
      <c r="J62" s="498">
        <f>SUM(J63:J64)</f>
        <v>6799.9</v>
      </c>
      <c r="K62" s="571">
        <f>J65</f>
        <v>12588.350399999999</v>
      </c>
    </row>
    <row r="63" spans="1:11">
      <c r="A63" s="625">
        <f t="shared" si="0"/>
        <v>0</v>
      </c>
      <c r="B63" s="332"/>
      <c r="C63" s="333" t="s">
        <v>82</v>
      </c>
      <c r="D63" s="332" t="str">
        <f>Gia_Tbi!$C$4</f>
        <v>Cái</v>
      </c>
      <c r="E63" s="332">
        <f>Gia_Tbi!$D$4</f>
        <v>0.4</v>
      </c>
      <c r="F63" s="409">
        <v>1.6</v>
      </c>
      <c r="G63" s="332">
        <f>Gia_Tbi!$E$4</f>
        <v>5</v>
      </c>
      <c r="H63" s="492">
        <f>Gia_Tbi!$F$4</f>
        <v>10000000</v>
      </c>
      <c r="I63" s="493">
        <f>Gia_Tbi!$G$4</f>
        <v>4000</v>
      </c>
      <c r="J63" s="499">
        <f>$I63*F63</f>
        <v>6400</v>
      </c>
      <c r="K63" s="1157"/>
    </row>
    <row r="64" spans="1:11" s="511" customFormat="1">
      <c r="A64" s="625">
        <f t="shared" si="0"/>
        <v>0</v>
      </c>
      <c r="B64" s="332"/>
      <c r="C64" s="333" t="s">
        <v>25</v>
      </c>
      <c r="D64" s="332" t="str">
        <f>D55</f>
        <v>Cái</v>
      </c>
      <c r="E64" s="332">
        <f>Gia_Tbi!$D$6</f>
        <v>2.2000000000000002</v>
      </c>
      <c r="F64" s="409">
        <v>0.1333</v>
      </c>
      <c r="G64" s="332">
        <f>Gia_Tbi!$E$6</f>
        <v>8</v>
      </c>
      <c r="H64" s="492">
        <f>Gia_Tbi!$F$6</f>
        <v>12000000</v>
      </c>
      <c r="I64" s="493">
        <f>Gia_Tbi!$G$6</f>
        <v>3000</v>
      </c>
      <c r="J64" s="499">
        <f>$I64*F64</f>
        <v>399.9</v>
      </c>
      <c r="K64" s="1157"/>
    </row>
    <row r="65" spans="1:11" s="511" customFormat="1">
      <c r="A65" s="625">
        <f t="shared" si="0"/>
        <v>0</v>
      </c>
      <c r="B65" s="332"/>
      <c r="C65" s="333" t="s">
        <v>8</v>
      </c>
      <c r="D65" s="332" t="str">
        <f>Gia_Tbi!$C$13</f>
        <v>KW</v>
      </c>
      <c r="E65" s="332"/>
      <c r="F65" s="409">
        <v>0.93330000000000002</v>
      </c>
      <c r="G65" s="494"/>
      <c r="H65" s="492">
        <f>Gia_Tbi!$F$13</f>
        <v>1686</v>
      </c>
      <c r="I65" s="493">
        <f>Gia_Tbi!$G$13</f>
        <v>13488</v>
      </c>
      <c r="J65" s="499">
        <f>$I65*F65</f>
        <v>12588.350399999999</v>
      </c>
      <c r="K65" s="1157"/>
    </row>
    <row r="66" spans="1:11" ht="31.5">
      <c r="A66" s="625" t="s">
        <v>774</v>
      </c>
      <c r="B66" s="332" t="str">
        <f>NhanCong_Tinh!B21</f>
        <v>2.2</v>
      </c>
      <c r="C66" s="495" t="str">
        <f>NhanCong_Tinh!C21</f>
        <v>Rà soát, đánh giá, phân loại và sắp xếp tài liệu, dữ liệu kiểm kê và lập báo cáo kết quản thực hiện</v>
      </c>
      <c r="D66" s="332"/>
      <c r="E66" s="332"/>
      <c r="F66" s="409"/>
      <c r="G66" s="494"/>
      <c r="H66" s="492"/>
      <c r="I66" s="493"/>
      <c r="J66" s="498">
        <f>SUM(J67:J68)</f>
        <v>16999.900000000001</v>
      </c>
      <c r="K66" s="571">
        <f>J69</f>
        <v>31471.5504</v>
      </c>
    </row>
    <row r="67" spans="1:11">
      <c r="A67" s="625">
        <f t="shared" si="0"/>
        <v>0</v>
      </c>
      <c r="B67" s="332"/>
      <c r="C67" s="333" t="s">
        <v>82</v>
      </c>
      <c r="D67" s="332" t="str">
        <f>Gia_Tbi!$C$4</f>
        <v>Cái</v>
      </c>
      <c r="E67" s="332">
        <f>Gia_Tbi!$D$4</f>
        <v>0.4</v>
      </c>
      <c r="F67" s="409">
        <v>4</v>
      </c>
      <c r="G67" s="332">
        <f>Gia_Tbi!$E$4</f>
        <v>5</v>
      </c>
      <c r="H67" s="492">
        <f>Gia_Tbi!$F$4</f>
        <v>10000000</v>
      </c>
      <c r="I67" s="493">
        <f>Gia_Tbi!$G$4</f>
        <v>4000</v>
      </c>
      <c r="J67" s="499">
        <f>$I67*F67</f>
        <v>16000</v>
      </c>
      <c r="K67" s="1157"/>
    </row>
    <row r="68" spans="1:11" s="511" customFormat="1">
      <c r="A68" s="625">
        <f t="shared" si="0"/>
        <v>0</v>
      </c>
      <c r="B68" s="332"/>
      <c r="C68" s="333" t="s">
        <v>25</v>
      </c>
      <c r="D68" s="332" t="s">
        <v>556</v>
      </c>
      <c r="E68" s="332">
        <f>Gia_Tbi!$D$6</f>
        <v>2.2000000000000002</v>
      </c>
      <c r="F68" s="409">
        <v>0.33329999999999999</v>
      </c>
      <c r="G68" s="332">
        <f>Gia_Tbi!$E$6</f>
        <v>8</v>
      </c>
      <c r="H68" s="492">
        <f>Gia_Tbi!$F$6</f>
        <v>12000000</v>
      </c>
      <c r="I68" s="493">
        <f>Gia_Tbi!$G$6</f>
        <v>3000</v>
      </c>
      <c r="J68" s="499">
        <f>$I68*F68</f>
        <v>999.9</v>
      </c>
      <c r="K68" s="1157"/>
    </row>
    <row r="69" spans="1:11">
      <c r="A69" s="625">
        <f t="shared" si="0"/>
        <v>0</v>
      </c>
      <c r="B69" s="332"/>
      <c r="C69" s="333" t="s">
        <v>8</v>
      </c>
      <c r="D69" s="332" t="str">
        <f>Gia_Tbi!$C$13</f>
        <v>KW</v>
      </c>
      <c r="E69" s="332"/>
      <c r="F69" s="409">
        <v>2.3332999999999999</v>
      </c>
      <c r="G69" s="494"/>
      <c r="H69" s="492">
        <f>Gia_Tbi!$F$13</f>
        <v>1686</v>
      </c>
      <c r="I69" s="493">
        <f>Gia_Tbi!$G$13</f>
        <v>13488</v>
      </c>
      <c r="J69" s="499">
        <f>$I69*F69</f>
        <v>31471.5504</v>
      </c>
      <c r="K69" s="1157"/>
    </row>
    <row r="70" spans="1:11">
      <c r="A70" s="625">
        <v>5</v>
      </c>
      <c r="B70" s="326">
        <f>NhanCong_Tinh!B22</f>
        <v>3</v>
      </c>
      <c r="C70" s="327" t="str">
        <f>NhanCong_Xa!C22:C22</f>
        <v>Quét giấy tờ pháp lý và xử lý tệp tin</v>
      </c>
      <c r="D70" s="326"/>
      <c r="E70" s="326"/>
      <c r="F70" s="952"/>
      <c r="G70" s="328"/>
      <c r="H70" s="329"/>
      <c r="I70" s="330"/>
      <c r="J70" s="498"/>
      <c r="K70" s="1157"/>
    </row>
    <row r="71" spans="1:11" ht="94.5">
      <c r="A71" s="625"/>
      <c r="B71" s="332" t="s">
        <v>771</v>
      </c>
      <c r="C71" s="333" t="s">
        <v>813</v>
      </c>
      <c r="D71" s="332"/>
      <c r="E71" s="332"/>
      <c r="F71" s="952"/>
      <c r="G71" s="953"/>
      <c r="H71" s="954"/>
      <c r="I71" s="955"/>
      <c r="J71" s="498"/>
      <c r="K71" s="1157"/>
    </row>
    <row r="72" spans="1:11">
      <c r="A72" s="625"/>
      <c r="B72" s="332" t="s">
        <v>62</v>
      </c>
      <c r="C72" s="333" t="s">
        <v>569</v>
      </c>
      <c r="D72" s="332"/>
      <c r="E72" s="332"/>
      <c r="F72" s="952"/>
      <c r="G72" s="953"/>
      <c r="H72" s="954"/>
      <c r="I72" s="955"/>
      <c r="J72" s="498">
        <f>+SUM(J73:J76)</f>
        <v>168.48</v>
      </c>
      <c r="K72" s="571">
        <f>J77</f>
        <v>230.6448</v>
      </c>
    </row>
    <row r="73" spans="1:11">
      <c r="A73" s="625"/>
      <c r="B73" s="332"/>
      <c r="C73" s="333" t="s">
        <v>82</v>
      </c>
      <c r="D73" s="332" t="s">
        <v>556</v>
      </c>
      <c r="E73" s="332">
        <v>0.4</v>
      </c>
      <c r="F73" s="355">
        <v>9.5999999999999992E-3</v>
      </c>
      <c r="G73" s="332">
        <f>Gia_Tbi!E4</f>
        <v>5</v>
      </c>
      <c r="H73" s="957">
        <f>Gia_Tbi!F4</f>
        <v>10000000</v>
      </c>
      <c r="I73" s="500">
        <f>Gia_Tbi!G4</f>
        <v>4000</v>
      </c>
      <c r="J73" s="499">
        <f>+I73*F73</f>
        <v>38.4</v>
      </c>
      <c r="K73" s="1157"/>
    </row>
    <row r="74" spans="1:11">
      <c r="A74" s="625"/>
      <c r="B74" s="332"/>
      <c r="C74" s="333" t="s">
        <v>982</v>
      </c>
      <c r="D74" s="332" t="s">
        <v>556</v>
      </c>
      <c r="E74" s="332">
        <v>0.6</v>
      </c>
      <c r="F74" s="355">
        <v>9.5999999999999992E-3</v>
      </c>
      <c r="G74" s="958">
        <f>Gia_Tbi!E9</f>
        <v>8</v>
      </c>
      <c r="H74" s="500">
        <f>Gia_Tbi!F9</f>
        <v>45200000</v>
      </c>
      <c r="I74" s="500">
        <f>Gia_Tbi!G9</f>
        <v>11300</v>
      </c>
      <c r="J74" s="499">
        <f t="shared" ref="J74:J83" si="3">+I74*F74</f>
        <v>108.47999999999999</v>
      </c>
      <c r="K74" s="1157"/>
    </row>
    <row r="75" spans="1:11">
      <c r="A75" s="625"/>
      <c r="B75" s="332"/>
      <c r="C75" s="333" t="s">
        <v>983</v>
      </c>
      <c r="D75" s="332" t="s">
        <v>556</v>
      </c>
      <c r="E75" s="332">
        <v>0.4</v>
      </c>
      <c r="F75" s="355">
        <v>9.5999999999999992E-3</v>
      </c>
      <c r="G75" s="958">
        <f>Gia_Tbi!E11</f>
        <v>5</v>
      </c>
      <c r="H75" s="500">
        <f>Gia_Tbi!F11</f>
        <v>5000000</v>
      </c>
      <c r="I75" s="500">
        <f>Gia_Tbi!G11</f>
        <v>2000</v>
      </c>
      <c r="J75" s="499">
        <f t="shared" si="3"/>
        <v>19.2</v>
      </c>
      <c r="K75" s="1157"/>
    </row>
    <row r="76" spans="1:11">
      <c r="A76" s="625"/>
      <c r="B76" s="332"/>
      <c r="C76" s="333" t="s">
        <v>25</v>
      </c>
      <c r="D76" s="332" t="s">
        <v>556</v>
      </c>
      <c r="E76" s="332">
        <v>2.2000000000000002</v>
      </c>
      <c r="F76" s="355">
        <v>8.0000000000000004E-4</v>
      </c>
      <c r="G76" s="332">
        <f>Gia_Tbi!E6</f>
        <v>8</v>
      </c>
      <c r="H76" s="957">
        <f>Gia_Tbi!F6</f>
        <v>12000000</v>
      </c>
      <c r="I76" s="957">
        <f>Gia_Tbi!G6</f>
        <v>3000</v>
      </c>
      <c r="J76" s="499">
        <f t="shared" si="3"/>
        <v>2.4</v>
      </c>
      <c r="K76" s="1157"/>
    </row>
    <row r="77" spans="1:11">
      <c r="A77" s="625"/>
      <c r="B77" s="332"/>
      <c r="C77" s="333" t="s">
        <v>8</v>
      </c>
      <c r="D77" s="332" t="s">
        <v>563</v>
      </c>
      <c r="E77" s="332"/>
      <c r="F77" s="409">
        <v>1.7100000000000001E-2</v>
      </c>
      <c r="G77" s="958"/>
      <c r="H77" s="500">
        <f>Gia_Tbi!F13</f>
        <v>1686</v>
      </c>
      <c r="I77" s="500">
        <f>Gia_Tbi!G13</f>
        <v>13488</v>
      </c>
      <c r="J77" s="499">
        <f t="shared" si="3"/>
        <v>230.6448</v>
      </c>
      <c r="K77" s="1157"/>
    </row>
    <row r="78" spans="1:11">
      <c r="A78" s="625"/>
      <c r="B78" s="332" t="s">
        <v>63</v>
      </c>
      <c r="C78" s="333" t="s">
        <v>570</v>
      </c>
      <c r="D78" s="332"/>
      <c r="E78" s="332"/>
      <c r="F78" s="409"/>
      <c r="G78" s="959"/>
      <c r="H78" s="954"/>
      <c r="I78" s="954"/>
      <c r="J78" s="498">
        <f>SUM(J79:J82)</f>
        <v>55.900000000000006</v>
      </c>
      <c r="K78" s="498">
        <f>J83</f>
        <v>136.22880000000001</v>
      </c>
    </row>
    <row r="79" spans="1:11">
      <c r="A79" s="625"/>
      <c r="B79" s="332"/>
      <c r="C79" s="333" t="s">
        <v>82</v>
      </c>
      <c r="D79" s="332" t="s">
        <v>556</v>
      </c>
      <c r="E79" s="332">
        <v>0.4</v>
      </c>
      <c r="F79" s="355">
        <v>6.4000000000000003E-3</v>
      </c>
      <c r="G79" s="958">
        <f>+Gia_Tbi!E4</f>
        <v>5</v>
      </c>
      <c r="H79" s="958">
        <f>Gia_Tbi!F4</f>
        <v>10000000</v>
      </c>
      <c r="I79" s="960">
        <f>Gia_Tbi!G4</f>
        <v>4000</v>
      </c>
      <c r="J79" s="499">
        <f>+I79*F79</f>
        <v>25.6</v>
      </c>
      <c r="K79" s="1157"/>
    </row>
    <row r="80" spans="1:11">
      <c r="A80" s="625"/>
      <c r="B80" s="332"/>
      <c r="C80" s="333" t="s">
        <v>984</v>
      </c>
      <c r="D80" s="332" t="s">
        <v>556</v>
      </c>
      <c r="E80" s="332">
        <v>0.8</v>
      </c>
      <c r="F80" s="355">
        <v>6.4000000000000003E-3</v>
      </c>
      <c r="G80" s="958">
        <f>+Gia_Tbi!E8</f>
        <v>8</v>
      </c>
      <c r="H80" s="958">
        <f>+Gia_Tbi!F8</f>
        <v>10000000</v>
      </c>
      <c r="I80" s="960">
        <f>+Gia_Tbi!G8</f>
        <v>2500</v>
      </c>
      <c r="J80" s="499">
        <f t="shared" si="3"/>
        <v>16</v>
      </c>
      <c r="K80" s="1157"/>
    </row>
    <row r="81" spans="1:11">
      <c r="A81" s="625"/>
      <c r="B81" s="332"/>
      <c r="C81" s="333" t="s">
        <v>983</v>
      </c>
      <c r="D81" s="332" t="s">
        <v>556</v>
      </c>
      <c r="E81" s="332">
        <v>0.4</v>
      </c>
      <c r="F81" s="355">
        <v>6.4000000000000003E-3</v>
      </c>
      <c r="G81" s="958">
        <f>+Gia_Tbi!E11</f>
        <v>5</v>
      </c>
      <c r="H81" s="958">
        <f>Gia_Tbi!F11</f>
        <v>5000000</v>
      </c>
      <c r="I81" s="960">
        <f>Gia_Tbi!G11</f>
        <v>2000</v>
      </c>
      <c r="J81" s="499">
        <f t="shared" si="3"/>
        <v>12.8</v>
      </c>
      <c r="K81" s="1157"/>
    </row>
    <row r="82" spans="1:11">
      <c r="A82" s="625"/>
      <c r="B82" s="332"/>
      <c r="C82" s="333" t="s">
        <v>25</v>
      </c>
      <c r="D82" s="332" t="s">
        <v>556</v>
      </c>
      <c r="E82" s="332">
        <v>2.2000000000000002</v>
      </c>
      <c r="F82" s="355">
        <v>5.0000000000000001E-4</v>
      </c>
      <c r="G82" s="958">
        <f>Gia_Tbi!E6</f>
        <v>8</v>
      </c>
      <c r="H82" s="958">
        <f>Gia_Tbi!F6</f>
        <v>12000000</v>
      </c>
      <c r="I82" s="960">
        <f>Gia_Tbi!G6</f>
        <v>3000</v>
      </c>
      <c r="J82" s="499">
        <f t="shared" si="3"/>
        <v>1.5</v>
      </c>
      <c r="K82" s="1157"/>
    </row>
    <row r="83" spans="1:11">
      <c r="A83" s="625"/>
      <c r="B83" s="332"/>
      <c r="C83" s="333" t="s">
        <v>8</v>
      </c>
      <c r="D83" s="332" t="s">
        <v>563</v>
      </c>
      <c r="E83" s="332"/>
      <c r="F83" s="409">
        <v>1.01E-2</v>
      </c>
      <c r="G83" s="958"/>
      <c r="H83" s="500">
        <f>Gia_Tbi!F13</f>
        <v>1686</v>
      </c>
      <c r="I83" s="500">
        <f>Gia_Tbi!G13</f>
        <v>13488</v>
      </c>
      <c r="J83" s="499">
        <f t="shared" si="3"/>
        <v>136.22880000000001</v>
      </c>
      <c r="K83" s="1157"/>
    </row>
    <row r="84" spans="1:11" ht="94.5">
      <c r="A84" s="625"/>
      <c r="B84" s="332" t="s">
        <v>774</v>
      </c>
      <c r="C84" s="333" t="s">
        <v>814</v>
      </c>
      <c r="D84" s="332"/>
      <c r="E84" s="332"/>
      <c r="F84" s="961"/>
      <c r="G84" s="959"/>
      <c r="H84" s="954"/>
      <c r="I84" s="954"/>
      <c r="J84" s="498">
        <f>SUM(J85:J86)</f>
        <v>13.700000000000001</v>
      </c>
      <c r="K84" s="571">
        <f>+J87</f>
        <v>25.627199999999998</v>
      </c>
    </row>
    <row r="85" spans="1:11">
      <c r="A85" s="625"/>
      <c r="B85" s="332"/>
      <c r="C85" s="333" t="s">
        <v>82</v>
      </c>
      <c r="D85" s="332" t="s">
        <v>556</v>
      </c>
      <c r="E85" s="332">
        <v>0.4</v>
      </c>
      <c r="F85" s="409">
        <v>3.2000000000000002E-3</v>
      </c>
      <c r="G85" s="958">
        <f>G79</f>
        <v>5</v>
      </c>
      <c r="H85" s="500">
        <f t="shared" ref="H85:I85" si="4">H79</f>
        <v>10000000</v>
      </c>
      <c r="I85" s="500">
        <f t="shared" si="4"/>
        <v>4000</v>
      </c>
      <c r="J85" s="499">
        <f t="shared" ref="J85:J87" si="5">+I85*F85</f>
        <v>12.8</v>
      </c>
      <c r="K85" s="1157"/>
    </row>
    <row r="86" spans="1:11">
      <c r="A86" s="625"/>
      <c r="B86" s="332"/>
      <c r="C86" s="333" t="s">
        <v>25</v>
      </c>
      <c r="D86" s="332" t="s">
        <v>556</v>
      </c>
      <c r="E86" s="332">
        <v>2.2000000000000002</v>
      </c>
      <c r="F86" s="409">
        <v>2.9999999999999997E-4</v>
      </c>
      <c r="G86" s="958">
        <f>G82</f>
        <v>8</v>
      </c>
      <c r="H86" s="500">
        <f t="shared" ref="H86:I86" si="6">H82</f>
        <v>12000000</v>
      </c>
      <c r="I86" s="500">
        <f t="shared" si="6"/>
        <v>3000</v>
      </c>
      <c r="J86" s="499">
        <f t="shared" si="5"/>
        <v>0.89999999999999991</v>
      </c>
      <c r="K86" s="1157"/>
    </row>
    <row r="87" spans="1:11">
      <c r="A87" s="625"/>
      <c r="B87" s="332"/>
      <c r="C87" s="333" t="s">
        <v>8</v>
      </c>
      <c r="D87" s="332" t="s">
        <v>563</v>
      </c>
      <c r="E87" s="332">
        <v>0</v>
      </c>
      <c r="F87" s="409">
        <v>1.9E-3</v>
      </c>
      <c r="G87" s="958"/>
      <c r="H87" s="500">
        <f>H83</f>
        <v>1686</v>
      </c>
      <c r="I87" s="500">
        <f>I83</f>
        <v>13488</v>
      </c>
      <c r="J87" s="499">
        <f t="shared" si="5"/>
        <v>25.627199999999998</v>
      </c>
      <c r="K87" s="1157"/>
    </row>
    <row r="88" spans="1:11" ht="31.5">
      <c r="A88" s="625" t="s">
        <v>869</v>
      </c>
      <c r="B88" s="332" t="str">
        <f>NhanCong_Xa!B27</f>
        <v>3.3</v>
      </c>
      <c r="C88" s="333" t="str">
        <f>NhanCong_Xa!C27:C27</f>
        <v>Tạo danh mục tra cứu hồ sơ quét trong cơ sở dữ liệu thống kê, kiểm kê đất đai</v>
      </c>
      <c r="D88" s="332"/>
      <c r="E88" s="332"/>
      <c r="F88" s="502"/>
      <c r="G88" s="500"/>
      <c r="H88" s="501"/>
      <c r="I88" s="354"/>
      <c r="J88" s="498">
        <f>SUM(J89:J93)</f>
        <v>8235.34</v>
      </c>
      <c r="K88" s="571">
        <f>J94</f>
        <v>6294.8496000000005</v>
      </c>
    </row>
    <row r="89" spans="1:11">
      <c r="A89" s="625">
        <f t="shared" ref="A89:A94" si="7">B89</f>
        <v>0</v>
      </c>
      <c r="B89" s="332"/>
      <c r="C89" s="333" t="s">
        <v>82</v>
      </c>
      <c r="D89" s="332" t="str">
        <f>Gia_Tbi!$C$4</f>
        <v>Cái</v>
      </c>
      <c r="E89" s="332">
        <f>Gia_Tbi!$D$4</f>
        <v>0.4</v>
      </c>
      <c r="F89" s="355">
        <v>0.8</v>
      </c>
      <c r="G89" s="332">
        <f>Gia_Tbi!$E$4</f>
        <v>5</v>
      </c>
      <c r="H89" s="492">
        <f>Gia_Tbi!$F$4</f>
        <v>10000000</v>
      </c>
      <c r="I89" s="493">
        <f>Gia_Tbi!$G$4</f>
        <v>4000</v>
      </c>
      <c r="J89" s="499">
        <f t="shared" ref="J89:J94" si="8">$I89*F89</f>
        <v>3200</v>
      </c>
      <c r="K89" s="1157"/>
    </row>
    <row r="90" spans="1:11">
      <c r="A90" s="625">
        <f t="shared" si="7"/>
        <v>0</v>
      </c>
      <c r="B90" s="332"/>
      <c r="C90" s="333" t="s">
        <v>928</v>
      </c>
      <c r="D90" s="332" t="str">
        <f>Gia_Tbi!$C$10</f>
        <v>Cái</v>
      </c>
      <c r="E90" s="332">
        <f>Gia_Tbi!$D$10</f>
        <v>1</v>
      </c>
      <c r="F90" s="409">
        <v>0.2</v>
      </c>
      <c r="G90" s="353">
        <f>Gia_Tbi!$E$10</f>
        <v>10</v>
      </c>
      <c r="H90" s="497">
        <f>Gia_Tbi!$F$10</f>
        <v>80000000</v>
      </c>
      <c r="I90" s="497">
        <f>Gia_Tbi!$G$10</f>
        <v>16000</v>
      </c>
      <c r="J90" s="499">
        <f t="shared" si="8"/>
        <v>3200</v>
      </c>
      <c r="K90" s="1157"/>
    </row>
    <row r="91" spans="1:11">
      <c r="A91" s="625">
        <f t="shared" si="7"/>
        <v>0</v>
      </c>
      <c r="B91" s="332"/>
      <c r="C91" s="333" t="str">
        <f>Gia_Tbi!$B$14</f>
        <v>Hệ quản trị cơ sở dữ liệu thuộc tính</v>
      </c>
      <c r="D91" s="332" t="str">
        <f>Gia_Tbi!$C$14</f>
        <v>Bộ</v>
      </c>
      <c r="E91" s="332" t="str">
        <f>Gia_Tbi!$D$14</f>
        <v/>
      </c>
      <c r="F91" s="409">
        <v>0.2</v>
      </c>
      <c r="G91" s="332">
        <f>Gia_Tbi!$E$14</f>
        <v>10</v>
      </c>
      <c r="H91" s="621">
        <f>Gia_Tbi!$F$14</f>
        <v>20881000</v>
      </c>
      <c r="I91" s="352">
        <f>Gia_Tbi!$G$14</f>
        <v>4176.2</v>
      </c>
      <c r="J91" s="499">
        <f t="shared" si="8"/>
        <v>835.24</v>
      </c>
      <c r="K91" s="573"/>
    </row>
    <row r="92" spans="1:11">
      <c r="A92" s="625">
        <f t="shared" si="7"/>
        <v>0</v>
      </c>
      <c r="B92" s="332"/>
      <c r="C92" s="333" t="s">
        <v>557</v>
      </c>
      <c r="D92" s="332" t="str">
        <f>Gia_Tbi!$C$12</f>
        <v>Bộ</v>
      </c>
      <c r="E92" s="332">
        <f>Gia_Tbi!$D$12</f>
        <v>0.1</v>
      </c>
      <c r="F92" s="409">
        <v>0.8</v>
      </c>
      <c r="G92" s="353">
        <f>Gia_Tbi!$E$12</f>
        <v>5</v>
      </c>
      <c r="H92" s="497">
        <f>Gia_Tbi!$F$12</f>
        <v>2500000</v>
      </c>
      <c r="I92" s="497">
        <f>Gia_Tbi!$G$12</f>
        <v>1000</v>
      </c>
      <c r="J92" s="499">
        <f t="shared" si="8"/>
        <v>800</v>
      </c>
      <c r="K92" s="1157"/>
    </row>
    <row r="93" spans="1:11">
      <c r="A93" s="625">
        <f t="shared" si="7"/>
        <v>0</v>
      </c>
      <c r="B93" s="332"/>
      <c r="C93" s="333" t="s">
        <v>25</v>
      </c>
      <c r="D93" s="332" t="s">
        <v>556</v>
      </c>
      <c r="E93" s="332">
        <f>Gia_Tbi!$D$6</f>
        <v>2.2000000000000002</v>
      </c>
      <c r="F93" s="355">
        <v>6.6699999999999995E-2</v>
      </c>
      <c r="G93" s="332">
        <f>Gia_Tbi!$E$6</f>
        <v>8</v>
      </c>
      <c r="H93" s="492">
        <f>Gia_Tbi!$F$6</f>
        <v>12000000</v>
      </c>
      <c r="I93" s="493">
        <f>Gia_Tbi!$G$6</f>
        <v>3000</v>
      </c>
      <c r="J93" s="499">
        <f t="shared" si="8"/>
        <v>200.1</v>
      </c>
      <c r="K93" s="1157"/>
    </row>
    <row r="94" spans="1:11">
      <c r="A94" s="625">
        <f t="shared" si="7"/>
        <v>0</v>
      </c>
      <c r="B94" s="332"/>
      <c r="C94" s="333" t="s">
        <v>8</v>
      </c>
      <c r="D94" s="332" t="str">
        <f>Gia_Tbi!$C$13</f>
        <v>KW</v>
      </c>
      <c r="E94" s="332"/>
      <c r="F94" s="409">
        <v>0.4667</v>
      </c>
      <c r="G94" s="494"/>
      <c r="H94" s="492">
        <f>Gia_Tbi!$F$13</f>
        <v>1686</v>
      </c>
      <c r="I94" s="493">
        <f>Gia_Tbi!$G$13</f>
        <v>13488</v>
      </c>
      <c r="J94" s="499">
        <f t="shared" si="8"/>
        <v>6294.8496000000005</v>
      </c>
      <c r="K94" s="1157"/>
    </row>
    <row r="95" spans="1:11" ht="31.5">
      <c r="A95" s="625">
        <v>6</v>
      </c>
      <c r="B95" s="326">
        <f>NhanCong_Tinh!B28</f>
        <v>4</v>
      </c>
      <c r="C95" s="327" t="str">
        <f>NhanCong_Xa!C28:C28</f>
        <v>Xây dựng dữ liệu thuộc tính thống kê, kiểm kê đất đai</v>
      </c>
      <c r="D95" s="326"/>
      <c r="E95" s="487"/>
      <c r="F95" s="489"/>
      <c r="G95" s="328"/>
      <c r="H95" s="329"/>
      <c r="I95" s="330"/>
      <c r="J95" s="498"/>
      <c r="K95" s="1157"/>
    </row>
    <row r="96" spans="1:11">
      <c r="A96" s="625" t="s">
        <v>870</v>
      </c>
      <c r="B96" s="332" t="str">
        <f>NhanCong_Xa!B29</f>
        <v>4.1</v>
      </c>
      <c r="C96" s="495" t="str">
        <f>NhanCong_Xa!C29</f>
        <v>Đối với tài liệu, số liệu là bảng, biểu dạng số</v>
      </c>
      <c r="D96" s="326"/>
      <c r="E96" s="487"/>
      <c r="F96" s="489"/>
      <c r="G96" s="328"/>
      <c r="H96" s="329"/>
      <c r="I96" s="330"/>
      <c r="J96" s="498"/>
      <c r="K96" s="1157"/>
    </row>
    <row r="97" spans="1:11" ht="31.5">
      <c r="A97" s="625" t="s">
        <v>871</v>
      </c>
      <c r="B97" s="332" t="str">
        <f>NhanCong_Xa!B30</f>
        <v>4.1.1</v>
      </c>
      <c r="C97" s="333" t="str">
        <f>NhanCong_Xa!C30:C30</f>
        <v>Lập mô hình chuyển đổi cơ sở dữ liệu thống kê, kiểm kê đất đai</v>
      </c>
      <c r="D97" s="326"/>
      <c r="E97" s="487"/>
      <c r="F97" s="489"/>
      <c r="G97" s="328"/>
      <c r="H97" s="329"/>
      <c r="I97" s="330"/>
      <c r="J97" s="498">
        <f>SUM(J98:J99)</f>
        <v>1699.9</v>
      </c>
      <c r="K97" s="571">
        <f>J100</f>
        <v>3146.7503999999999</v>
      </c>
    </row>
    <row r="98" spans="1:11">
      <c r="A98" s="625">
        <f>B98</f>
        <v>0</v>
      </c>
      <c r="B98" s="332"/>
      <c r="C98" s="333" t="s">
        <v>82</v>
      </c>
      <c r="D98" s="332" t="str">
        <f>Gia_Tbi!$C$4</f>
        <v>Cái</v>
      </c>
      <c r="E98" s="332">
        <f>Gia_Tbi!$D$4</f>
        <v>0.4</v>
      </c>
      <c r="F98" s="355">
        <v>0.4</v>
      </c>
      <c r="G98" s="332">
        <f>Gia_Tbi!$E$4</f>
        <v>5</v>
      </c>
      <c r="H98" s="492">
        <f>Gia_Tbi!$F$4</f>
        <v>10000000</v>
      </c>
      <c r="I98" s="493">
        <f>Gia_Tbi!$G$4</f>
        <v>4000</v>
      </c>
      <c r="J98" s="499">
        <f>$I98*F98</f>
        <v>1600</v>
      </c>
      <c r="K98" s="1157"/>
    </row>
    <row r="99" spans="1:11">
      <c r="A99" s="625">
        <f>B99</f>
        <v>0</v>
      </c>
      <c r="B99" s="332"/>
      <c r="C99" s="333" t="s">
        <v>25</v>
      </c>
      <c r="D99" s="332" t="s">
        <v>556</v>
      </c>
      <c r="E99" s="332">
        <f>Gia_Tbi!$D$6</f>
        <v>2.2000000000000002</v>
      </c>
      <c r="F99" s="355">
        <v>3.3300000000000003E-2</v>
      </c>
      <c r="G99" s="332">
        <f>Gia_Tbi!$E$6</f>
        <v>8</v>
      </c>
      <c r="H99" s="492">
        <f>Gia_Tbi!$F$6</f>
        <v>12000000</v>
      </c>
      <c r="I99" s="493">
        <f>Gia_Tbi!$G$6</f>
        <v>3000</v>
      </c>
      <c r="J99" s="499">
        <f>$I99*F99</f>
        <v>99.9</v>
      </c>
      <c r="K99" s="1157"/>
    </row>
    <row r="100" spans="1:11">
      <c r="A100" s="625">
        <f>B100</f>
        <v>0</v>
      </c>
      <c r="B100" s="332"/>
      <c r="C100" s="333" t="s">
        <v>8</v>
      </c>
      <c r="D100" s="332" t="str">
        <f>Gia_Tbi!$C$13</f>
        <v>KW</v>
      </c>
      <c r="E100" s="332"/>
      <c r="F100" s="409">
        <v>0.23330000000000001</v>
      </c>
      <c r="G100" s="494"/>
      <c r="H100" s="492">
        <f>Gia_Tbi!$F$13</f>
        <v>1686</v>
      </c>
      <c r="I100" s="493">
        <f>Gia_Tbi!$G$13</f>
        <v>13488</v>
      </c>
      <c r="J100" s="499">
        <f>$I100*F100</f>
        <v>3146.7503999999999</v>
      </c>
      <c r="K100" s="1157"/>
    </row>
    <row r="101" spans="1:11">
      <c r="A101" s="625" t="s">
        <v>872</v>
      </c>
      <c r="B101" s="332" t="str">
        <f>NhanCong_Xa!B31</f>
        <v>4.1.2</v>
      </c>
      <c r="C101" s="333" t="str">
        <f>NhanCong_Xa!C31:C31</f>
        <v>Chuyển đổi vào cơ sở dữ liệu thống kê, kiểm kê đất đai</v>
      </c>
      <c r="D101" s="332"/>
      <c r="E101" s="332"/>
      <c r="F101" s="409"/>
      <c r="G101" s="332"/>
      <c r="H101" s="497"/>
      <c r="I101" s="497"/>
      <c r="J101" s="498">
        <f>SUM(J102:J106)</f>
        <v>8235.34</v>
      </c>
      <c r="K101" s="571">
        <f>J107</f>
        <v>6294.8496000000005</v>
      </c>
    </row>
    <row r="102" spans="1:11">
      <c r="A102" s="625">
        <f t="shared" ref="A102:A107" si="9">B102</f>
        <v>0</v>
      </c>
      <c r="B102" s="332"/>
      <c r="C102" s="333" t="s">
        <v>82</v>
      </c>
      <c r="D102" s="332" t="str">
        <f>Gia_Tbi!$C$4</f>
        <v>Cái</v>
      </c>
      <c r="E102" s="332">
        <f>Gia_Tbi!$D$4</f>
        <v>0.4</v>
      </c>
      <c r="F102" s="409">
        <v>0.8</v>
      </c>
      <c r="G102" s="332">
        <f>Gia_Tbi!$E$4</f>
        <v>5</v>
      </c>
      <c r="H102" s="497">
        <f>Gia_Tbi!$F$4</f>
        <v>10000000</v>
      </c>
      <c r="I102" s="497">
        <f>Gia_Tbi!$G$4</f>
        <v>4000</v>
      </c>
      <c r="J102" s="499">
        <f>I102*F102</f>
        <v>3200</v>
      </c>
      <c r="K102" s="1157"/>
    </row>
    <row r="103" spans="1:11">
      <c r="A103" s="625">
        <f t="shared" si="9"/>
        <v>0</v>
      </c>
      <c r="B103" s="332"/>
      <c r="C103" s="333" t="s">
        <v>928</v>
      </c>
      <c r="D103" s="332" t="str">
        <f>Gia_Tbi!$C$10</f>
        <v>Cái</v>
      </c>
      <c r="E103" s="332">
        <f>Gia_Tbi!$D$10</f>
        <v>1</v>
      </c>
      <c r="F103" s="355">
        <v>0.2</v>
      </c>
      <c r="G103" s="353">
        <f>Gia_Tbi!$E$10</f>
        <v>10</v>
      </c>
      <c r="H103" s="497">
        <f>Gia_Tbi!$F$10</f>
        <v>80000000</v>
      </c>
      <c r="I103" s="497">
        <f>Gia_Tbi!$G$10</f>
        <v>16000</v>
      </c>
      <c r="J103" s="499">
        <f>I103*F103</f>
        <v>3200</v>
      </c>
      <c r="K103" s="1157"/>
    </row>
    <row r="104" spans="1:11">
      <c r="A104" s="625">
        <f t="shared" si="9"/>
        <v>0</v>
      </c>
      <c r="B104" s="332"/>
      <c r="C104" s="333" t="str">
        <f>Gia_Tbi!$B$14</f>
        <v>Hệ quản trị cơ sở dữ liệu thuộc tính</v>
      </c>
      <c r="D104" s="332" t="str">
        <f>Gia_Tbi!$C$14</f>
        <v>Bộ</v>
      </c>
      <c r="E104" s="332" t="str">
        <f>Gia_Tbi!$D$14</f>
        <v/>
      </c>
      <c r="F104" s="409">
        <v>0.2</v>
      </c>
      <c r="G104" s="332">
        <f>Gia_Tbi!$E$14</f>
        <v>10</v>
      </c>
      <c r="H104" s="621">
        <f>Gia_Tbi!$F$14</f>
        <v>20881000</v>
      </c>
      <c r="I104" s="352">
        <f>Gia_Tbi!$G$14</f>
        <v>4176.2</v>
      </c>
      <c r="J104" s="499">
        <f>$I104*F104</f>
        <v>835.24</v>
      </c>
      <c r="K104" s="573"/>
    </row>
    <row r="105" spans="1:11">
      <c r="A105" s="625">
        <f t="shared" si="9"/>
        <v>0</v>
      </c>
      <c r="B105" s="332"/>
      <c r="C105" s="333" t="s">
        <v>557</v>
      </c>
      <c r="D105" s="332" t="str">
        <f>Gia_Tbi!$C$12</f>
        <v>Bộ</v>
      </c>
      <c r="E105" s="332">
        <f>Gia_Tbi!$D$12</f>
        <v>0.1</v>
      </c>
      <c r="F105" s="355">
        <v>0.8</v>
      </c>
      <c r="G105" s="353">
        <f>Gia_Tbi!$E$12</f>
        <v>5</v>
      </c>
      <c r="H105" s="497">
        <f>Gia_Tbi!$F$12</f>
        <v>2500000</v>
      </c>
      <c r="I105" s="497">
        <f>Gia_Tbi!$G$12</f>
        <v>1000</v>
      </c>
      <c r="J105" s="499">
        <f>I105*F105</f>
        <v>800</v>
      </c>
      <c r="K105" s="1157"/>
    </row>
    <row r="106" spans="1:11">
      <c r="A106" s="625">
        <f t="shared" si="9"/>
        <v>0</v>
      </c>
      <c r="B106" s="332"/>
      <c r="C106" s="333" t="s">
        <v>25</v>
      </c>
      <c r="D106" s="332" t="str">
        <f>Gia_Tbi!$C$6</f>
        <v>Cái</v>
      </c>
      <c r="E106" s="332">
        <f>Gia_Tbi!$D$6</f>
        <v>2.2000000000000002</v>
      </c>
      <c r="F106" s="409">
        <v>6.6699999999999995E-2</v>
      </c>
      <c r="G106" s="332">
        <f>Gia_Tbi!$E$6</f>
        <v>8</v>
      </c>
      <c r="H106" s="497">
        <f>Gia_Tbi!$F$6</f>
        <v>12000000</v>
      </c>
      <c r="I106" s="497">
        <f>Gia_Tbi!$G$6</f>
        <v>3000</v>
      </c>
      <c r="J106" s="499">
        <f>I106*F106</f>
        <v>200.1</v>
      </c>
      <c r="K106" s="1157"/>
    </row>
    <row r="107" spans="1:11">
      <c r="A107" s="625">
        <f t="shared" si="9"/>
        <v>0</v>
      </c>
      <c r="B107" s="332"/>
      <c r="C107" s="333" t="s">
        <v>8</v>
      </c>
      <c r="D107" s="332" t="str">
        <f>Gia_Tbi!$C$13</f>
        <v>KW</v>
      </c>
      <c r="E107" s="332"/>
      <c r="F107" s="409">
        <v>0.4667</v>
      </c>
      <c r="G107" s="494"/>
      <c r="H107" s="497">
        <f>Gia_Tbi!$F$13</f>
        <v>1686</v>
      </c>
      <c r="I107" s="497">
        <f>Gia_Tbi!$G$13</f>
        <v>13488</v>
      </c>
      <c r="J107" s="499">
        <f>I107*F107</f>
        <v>6294.8496000000005</v>
      </c>
      <c r="K107" s="1157"/>
    </row>
    <row r="108" spans="1:11" ht="47.25">
      <c r="A108" s="625" t="s">
        <v>873</v>
      </c>
      <c r="B108" s="332" t="str">
        <f>NhanCong_Xa!B32</f>
        <v>4.2</v>
      </c>
      <c r="C108" s="333" t="str">
        <f>NhanCong_Xa!C32:C32</f>
        <v>Đối với tài liệu, số liệu là báo cáo dạng số thì tạo danh mục tra cứu trong cơ sở dữ liệu thống kê, kiểm kê đất đai</v>
      </c>
      <c r="D108" s="332"/>
      <c r="E108" s="332"/>
      <c r="F108" s="409"/>
      <c r="G108" s="332"/>
      <c r="H108" s="497"/>
      <c r="I108" s="497"/>
      <c r="J108" s="498">
        <f>SUM(J109:J113)</f>
        <v>12352.86</v>
      </c>
      <c r="K108" s="571">
        <f>J114</f>
        <v>9441.5999999999985</v>
      </c>
    </row>
    <row r="109" spans="1:11">
      <c r="A109" s="625">
        <f t="shared" ref="A109:A114" si="10">B109</f>
        <v>0</v>
      </c>
      <c r="B109" s="332"/>
      <c r="C109" s="333" t="s">
        <v>82</v>
      </c>
      <c r="D109" s="332" t="str">
        <f>Gia_Tbi!$C$4</f>
        <v>Cái</v>
      </c>
      <c r="E109" s="332">
        <f>Gia_Tbi!$D$4</f>
        <v>0.4</v>
      </c>
      <c r="F109" s="409">
        <v>1.2</v>
      </c>
      <c r="G109" s="332">
        <f>Gia_Tbi!$E$4</f>
        <v>5</v>
      </c>
      <c r="H109" s="497">
        <f>Gia_Tbi!$F$4</f>
        <v>10000000</v>
      </c>
      <c r="I109" s="497">
        <f>Gia_Tbi!$G$4</f>
        <v>4000</v>
      </c>
      <c r="J109" s="499">
        <f>I109*F109</f>
        <v>4800</v>
      </c>
      <c r="K109" s="1157"/>
    </row>
    <row r="110" spans="1:11">
      <c r="A110" s="625">
        <f t="shared" si="10"/>
        <v>0</v>
      </c>
      <c r="B110" s="332"/>
      <c r="C110" s="333" t="s">
        <v>928</v>
      </c>
      <c r="D110" s="332" t="str">
        <f>Gia_Tbi!$C$10</f>
        <v>Cái</v>
      </c>
      <c r="E110" s="332">
        <f>Gia_Tbi!$D$10</f>
        <v>1</v>
      </c>
      <c r="F110" s="355">
        <v>0.3</v>
      </c>
      <c r="G110" s="353">
        <f>Gia_Tbi!$E$10</f>
        <v>10</v>
      </c>
      <c r="H110" s="497">
        <f>Gia_Tbi!$F$10</f>
        <v>80000000</v>
      </c>
      <c r="I110" s="497">
        <f>Gia_Tbi!$G$10</f>
        <v>16000</v>
      </c>
      <c r="J110" s="499">
        <f>I110*F110</f>
        <v>4800</v>
      </c>
      <c r="K110" s="1157"/>
    </row>
    <row r="111" spans="1:11">
      <c r="A111" s="625">
        <f t="shared" si="10"/>
        <v>0</v>
      </c>
      <c r="B111" s="332"/>
      <c r="C111" s="333" t="str">
        <f>Gia_Tbi!$B$14</f>
        <v>Hệ quản trị cơ sở dữ liệu thuộc tính</v>
      </c>
      <c r="D111" s="332" t="str">
        <f>Gia_Tbi!$C$14</f>
        <v>Bộ</v>
      </c>
      <c r="E111" s="332" t="str">
        <f>Gia_Tbi!$D$14</f>
        <v/>
      </c>
      <c r="F111" s="409">
        <v>0.3</v>
      </c>
      <c r="G111" s="332">
        <f>Gia_Tbi!$E$14</f>
        <v>10</v>
      </c>
      <c r="H111" s="621">
        <f>Gia_Tbi!$F$14</f>
        <v>20881000</v>
      </c>
      <c r="I111" s="352">
        <f>Gia_Tbi!$G$14</f>
        <v>4176.2</v>
      </c>
      <c r="J111" s="499">
        <f>$I111*F111</f>
        <v>1252.8599999999999</v>
      </c>
      <c r="K111" s="573"/>
    </row>
    <row r="112" spans="1:11">
      <c r="A112" s="625">
        <f t="shared" si="10"/>
        <v>0</v>
      </c>
      <c r="B112" s="332"/>
      <c r="C112" s="333" t="s">
        <v>557</v>
      </c>
      <c r="D112" s="332" t="str">
        <f>Gia_Tbi!$C$12</f>
        <v>Bộ</v>
      </c>
      <c r="E112" s="332">
        <f>Gia_Tbi!$D$12</f>
        <v>0.1</v>
      </c>
      <c r="F112" s="355">
        <v>1.2</v>
      </c>
      <c r="G112" s="353">
        <f>Gia_Tbi!$E$12</f>
        <v>5</v>
      </c>
      <c r="H112" s="497">
        <f>Gia_Tbi!$F$12</f>
        <v>2500000</v>
      </c>
      <c r="I112" s="497">
        <f>Gia_Tbi!$G$12</f>
        <v>1000</v>
      </c>
      <c r="J112" s="499">
        <f>I112*F112</f>
        <v>1200</v>
      </c>
      <c r="K112" s="1157"/>
    </row>
    <row r="113" spans="1:11">
      <c r="A113" s="625">
        <f t="shared" si="10"/>
        <v>0</v>
      </c>
      <c r="B113" s="332"/>
      <c r="C113" s="333" t="s">
        <v>25</v>
      </c>
      <c r="D113" s="332" t="str">
        <f>Gia_Tbi!$C$6</f>
        <v>Cái</v>
      </c>
      <c r="E113" s="332">
        <f>Gia_Tbi!$D$6</f>
        <v>2.2000000000000002</v>
      </c>
      <c r="F113" s="409">
        <v>0.1</v>
      </c>
      <c r="G113" s="332">
        <f>Gia_Tbi!$E$6</f>
        <v>8</v>
      </c>
      <c r="H113" s="497">
        <f>Gia_Tbi!$F$6</f>
        <v>12000000</v>
      </c>
      <c r="I113" s="497">
        <f>Gia_Tbi!$G$6</f>
        <v>3000</v>
      </c>
      <c r="J113" s="499">
        <f>I113*F113</f>
        <v>300</v>
      </c>
      <c r="K113" s="1157"/>
    </row>
    <row r="114" spans="1:11">
      <c r="A114" s="625">
        <f t="shared" si="10"/>
        <v>0</v>
      </c>
      <c r="B114" s="332"/>
      <c r="C114" s="333" t="s">
        <v>8</v>
      </c>
      <c r="D114" s="332" t="str">
        <f>Gia_Tbi!$C$13</f>
        <v>KW</v>
      </c>
      <c r="E114" s="332"/>
      <c r="F114" s="409">
        <v>0.7</v>
      </c>
      <c r="G114" s="494"/>
      <c r="H114" s="497">
        <f>Gia_Tbi!$F$13</f>
        <v>1686</v>
      </c>
      <c r="I114" s="497">
        <f>Gia_Tbi!$G$13</f>
        <v>13488</v>
      </c>
      <c r="J114" s="499">
        <f>I114*F114</f>
        <v>9441.5999999999985</v>
      </c>
      <c r="K114" s="1157"/>
    </row>
    <row r="115" spans="1:11" ht="31.5">
      <c r="A115" s="625">
        <v>7</v>
      </c>
      <c r="B115" s="326">
        <f>NhanCong_Tinh!B33</f>
        <v>5</v>
      </c>
      <c r="C115" s="327" t="str">
        <f>NhanCong_Xa!C33:C33</f>
        <v>Đối soát, hoàn thiện dữ liệu thống kê, kiểm kê đất đai</v>
      </c>
      <c r="D115" s="326"/>
      <c r="E115" s="487"/>
      <c r="F115" s="489"/>
      <c r="G115" s="328"/>
      <c r="H115" s="329"/>
      <c r="I115" s="330"/>
      <c r="J115" s="498"/>
      <c r="K115" s="1162"/>
    </row>
    <row r="116" spans="1:11">
      <c r="A116" s="625" t="s">
        <v>874</v>
      </c>
      <c r="B116" s="332" t="str">
        <f>NhanCong_Tinh!B34</f>
        <v>5.1</v>
      </c>
      <c r="C116" s="495" t="str">
        <f>NhanCong_Tinh!C34</f>
        <v>Đối soát, hoàn thiện dữ liệu thống kê đất đai</v>
      </c>
      <c r="D116" s="326"/>
      <c r="E116" s="487"/>
      <c r="F116" s="489"/>
      <c r="G116" s="328"/>
      <c r="H116" s="329"/>
      <c r="I116" s="330"/>
      <c r="J116" s="498">
        <f>SUM(J117:J118)</f>
        <v>3400.1</v>
      </c>
      <c r="K116" s="571">
        <f>J119</f>
        <v>6294.8496000000005</v>
      </c>
    </row>
    <row r="117" spans="1:11">
      <c r="A117" s="625">
        <f>B117</f>
        <v>0</v>
      </c>
      <c r="B117" s="332"/>
      <c r="C117" s="333" t="s">
        <v>82</v>
      </c>
      <c r="D117" s="332" t="str">
        <f>Gia_Tbi!$C$4</f>
        <v>Cái</v>
      </c>
      <c r="E117" s="332">
        <f>Gia_Tbi!$D$4</f>
        <v>0.4</v>
      </c>
      <c r="F117" s="409">
        <v>0.8</v>
      </c>
      <c r="G117" s="332">
        <f>Gia_Tbi!$E$4</f>
        <v>5</v>
      </c>
      <c r="H117" s="492">
        <f>Gia_Tbi!$F$4</f>
        <v>10000000</v>
      </c>
      <c r="I117" s="493">
        <f>Gia_Tbi!$G$4</f>
        <v>4000</v>
      </c>
      <c r="J117" s="499">
        <f>I117*F117</f>
        <v>3200</v>
      </c>
      <c r="K117" s="1157"/>
    </row>
    <row r="118" spans="1:11">
      <c r="A118" s="625">
        <f>B118</f>
        <v>0</v>
      </c>
      <c r="B118" s="332"/>
      <c r="C118" s="333" t="s">
        <v>25</v>
      </c>
      <c r="D118" s="332" t="str">
        <f>D136</f>
        <v>Cái</v>
      </c>
      <c r="E118" s="332">
        <f>Gia_Tbi!$D$6</f>
        <v>2.2000000000000002</v>
      </c>
      <c r="F118" s="409">
        <v>6.6699999999999995E-2</v>
      </c>
      <c r="G118" s="332">
        <f>Gia_Tbi!$E$6</f>
        <v>8</v>
      </c>
      <c r="H118" s="492">
        <f>Gia_Tbi!$F$6</f>
        <v>12000000</v>
      </c>
      <c r="I118" s="493">
        <f>Gia_Tbi!$G$6</f>
        <v>3000</v>
      </c>
      <c r="J118" s="499">
        <f>I118*F118</f>
        <v>200.1</v>
      </c>
      <c r="K118" s="1157"/>
    </row>
    <row r="119" spans="1:11">
      <c r="A119" s="625">
        <f>B119</f>
        <v>0</v>
      </c>
      <c r="B119" s="332"/>
      <c r="C119" s="333" t="s">
        <v>8</v>
      </c>
      <c r="D119" s="332" t="str">
        <f>Gia_Tbi!$C$13</f>
        <v>KW</v>
      </c>
      <c r="E119" s="332"/>
      <c r="F119" s="409">
        <v>0.4667</v>
      </c>
      <c r="G119" s="494"/>
      <c r="H119" s="492">
        <f>Gia_Tbi!$F$13</f>
        <v>1686</v>
      </c>
      <c r="I119" s="493">
        <f>Gia_Tbi!$G$13</f>
        <v>13488</v>
      </c>
      <c r="J119" s="499">
        <f>I119*F119</f>
        <v>6294.8496000000005</v>
      </c>
      <c r="K119" s="1157"/>
    </row>
    <row r="120" spans="1:11">
      <c r="A120" s="625" t="s">
        <v>875</v>
      </c>
      <c r="B120" s="332" t="str">
        <f>NhanCong_Tinh!B35</f>
        <v>5.2</v>
      </c>
      <c r="C120" s="495" t="str">
        <f>NhanCong_Tinh!C35</f>
        <v>Đối soát, hoàn thiện dữ liệu kiểm kê đất đai</v>
      </c>
      <c r="D120" s="332"/>
      <c r="E120" s="332"/>
      <c r="F120" s="409"/>
      <c r="G120" s="494"/>
      <c r="H120" s="492"/>
      <c r="I120" s="493"/>
      <c r="J120" s="498">
        <f>SUM(J121:J122)</f>
        <v>8500.1</v>
      </c>
      <c r="K120" s="571">
        <f>J123</f>
        <v>15736.449600000002</v>
      </c>
    </row>
    <row r="121" spans="1:11">
      <c r="A121" s="625">
        <f>B121</f>
        <v>0</v>
      </c>
      <c r="B121" s="332"/>
      <c r="C121" s="333" t="s">
        <v>82</v>
      </c>
      <c r="D121" s="332" t="str">
        <f>Gia_Tbi!$C$4</f>
        <v>Cái</v>
      </c>
      <c r="E121" s="332">
        <f>Gia_Tbi!$D$4</f>
        <v>0.4</v>
      </c>
      <c r="F121" s="409">
        <v>2</v>
      </c>
      <c r="G121" s="332">
        <f>Gia_Tbi!$E$4</f>
        <v>5</v>
      </c>
      <c r="H121" s="492">
        <f>Gia_Tbi!$F$4</f>
        <v>10000000</v>
      </c>
      <c r="I121" s="493">
        <f>Gia_Tbi!$G$4</f>
        <v>4000</v>
      </c>
      <c r="J121" s="499">
        <f>I121*F121</f>
        <v>8000</v>
      </c>
      <c r="K121" s="1157"/>
    </row>
    <row r="122" spans="1:11">
      <c r="A122" s="625">
        <f>B122</f>
        <v>0</v>
      </c>
      <c r="B122" s="332"/>
      <c r="C122" s="333" t="s">
        <v>25</v>
      </c>
      <c r="D122" s="332" t="str">
        <f>D139</f>
        <v>Cái</v>
      </c>
      <c r="E122" s="332">
        <f>Gia_Tbi!$D$6</f>
        <v>2.2000000000000002</v>
      </c>
      <c r="F122" s="409">
        <v>0.16669999999999999</v>
      </c>
      <c r="G122" s="332">
        <f>Gia_Tbi!$E$6</f>
        <v>8</v>
      </c>
      <c r="H122" s="492">
        <f>Gia_Tbi!$F$6</f>
        <v>12000000</v>
      </c>
      <c r="I122" s="493">
        <f>Gia_Tbi!$G$6</f>
        <v>3000</v>
      </c>
      <c r="J122" s="499">
        <f>I122*F122</f>
        <v>500.09999999999997</v>
      </c>
      <c r="K122" s="1157"/>
    </row>
    <row r="123" spans="1:11">
      <c r="A123" s="625">
        <f>B123</f>
        <v>0</v>
      </c>
      <c r="B123" s="332"/>
      <c r="C123" s="333" t="s">
        <v>8</v>
      </c>
      <c r="D123" s="332" t="str">
        <f>Gia_Tbi!$C$13</f>
        <v>KW</v>
      </c>
      <c r="E123" s="332"/>
      <c r="F123" s="409">
        <v>1.1667000000000001</v>
      </c>
      <c r="G123" s="494"/>
      <c r="H123" s="492">
        <f>Gia_Tbi!$F$13</f>
        <v>1686</v>
      </c>
      <c r="I123" s="493">
        <f>Gia_Tbi!$G$13</f>
        <v>13488</v>
      </c>
      <c r="J123" s="499">
        <f>I123*F123</f>
        <v>15736.449600000002</v>
      </c>
      <c r="K123" s="1157"/>
    </row>
    <row r="124" spans="1:11">
      <c r="A124" s="625"/>
      <c r="B124" s="715"/>
      <c r="C124" s="716"/>
      <c r="D124" s="715"/>
      <c r="E124" s="715"/>
      <c r="F124" s="738"/>
      <c r="G124" s="718"/>
      <c r="H124" s="730"/>
      <c r="I124" s="731"/>
      <c r="J124" s="719"/>
      <c r="K124" s="1163"/>
    </row>
    <row r="125" spans="1:11">
      <c r="A125" s="625"/>
      <c r="B125" s="725"/>
      <c r="D125" s="725"/>
      <c r="E125" s="725"/>
      <c r="F125" s="740"/>
      <c r="G125" s="727"/>
      <c r="H125" s="734"/>
      <c r="I125" s="735"/>
      <c r="J125" s="729"/>
      <c r="K125" s="1159"/>
    </row>
    <row r="126" spans="1:11" ht="94.5">
      <c r="A126" s="625" t="str">
        <f t="shared" si="0"/>
        <v>STT</v>
      </c>
      <c r="B126" s="326" t="s">
        <v>14</v>
      </c>
      <c r="C126" s="326" t="str">
        <f>C3</f>
        <v>Danh mục thiết bị</v>
      </c>
      <c r="D126" s="326" t="s">
        <v>21</v>
      </c>
      <c r="E126" s="326" t="s">
        <v>4</v>
      </c>
      <c r="F126" s="636" t="s">
        <v>911</v>
      </c>
      <c r="G126" s="326" t="s">
        <v>5</v>
      </c>
      <c r="H126" s="483" t="s">
        <v>19</v>
      </c>
      <c r="I126" s="483" t="s">
        <v>1</v>
      </c>
      <c r="J126" s="484" t="s">
        <v>615</v>
      </c>
      <c r="K126" s="484" t="s">
        <v>616</v>
      </c>
    </row>
    <row r="127" spans="1:11" ht="31.5">
      <c r="A127" s="625" t="s">
        <v>553</v>
      </c>
      <c r="B127" s="332">
        <f>NhanCong_Tinh!B42</f>
        <v>1</v>
      </c>
      <c r="C127" s="333" t="str">
        <f>NhanCong_Xa!C39:C39</f>
        <v>Chuẩn hóa các lớp đối tượng không gian kiểm kê đất đai</v>
      </c>
      <c r="D127" s="326"/>
      <c r="E127" s="487"/>
      <c r="F127" s="489"/>
      <c r="G127" s="328"/>
      <c r="H127" s="329"/>
      <c r="I127" s="330"/>
      <c r="J127" s="498"/>
      <c r="K127" s="572"/>
    </row>
    <row r="128" spans="1:11" ht="63">
      <c r="A128" s="625" t="s">
        <v>69</v>
      </c>
      <c r="B128" s="332" t="str">
        <f>NhanCong_Xa!B40</f>
        <v>1.1</v>
      </c>
      <c r="C128" s="333"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128" s="326"/>
      <c r="E128" s="487"/>
      <c r="F128" s="489"/>
      <c r="G128" s="328"/>
      <c r="H128" s="329"/>
      <c r="I128" s="330"/>
      <c r="J128" s="498">
        <f>SUM(J129:J131)</f>
        <v>252199.9</v>
      </c>
      <c r="K128" s="571">
        <f>J132</f>
        <v>31471.5504</v>
      </c>
    </row>
    <row r="129" spans="1:11">
      <c r="A129" s="625">
        <f t="shared" si="0"/>
        <v>0</v>
      </c>
      <c r="B129" s="332"/>
      <c r="C129" s="333" t="s">
        <v>82</v>
      </c>
      <c r="D129" s="332" t="str">
        <f>Gia_Tbi!$C$4</f>
        <v>Cái</v>
      </c>
      <c r="E129" s="332">
        <f>Gia_Tbi!$D$4</f>
        <v>0.4</v>
      </c>
      <c r="F129" s="409">
        <v>4</v>
      </c>
      <c r="G129" s="332">
        <f>Gia_Tbi!$E$4</f>
        <v>5</v>
      </c>
      <c r="H129" s="492">
        <f>Gia_Tbi!$F$4</f>
        <v>10000000</v>
      </c>
      <c r="I129" s="493">
        <f>Gia_Tbi!$G$4</f>
        <v>4000</v>
      </c>
      <c r="J129" s="499">
        <f>$I129*F129</f>
        <v>16000</v>
      </c>
      <c r="K129" s="1157"/>
    </row>
    <row r="130" spans="1:11" s="331" customFormat="1">
      <c r="A130" s="625">
        <f t="shared" si="0"/>
        <v>0</v>
      </c>
      <c r="B130" s="332"/>
      <c r="C130" s="333" t="str">
        <f>Gia_Tbi!$B$16</f>
        <v xml:space="preserve">Phần mềm biên tập bản đồ </v>
      </c>
      <c r="D130" s="332" t="str">
        <f>Gia_Tbi!$C$16</f>
        <v>Bộ</v>
      </c>
      <c r="E130" s="332">
        <f>Gia_Tbi!$D$16</f>
        <v>0.4</v>
      </c>
      <c r="F130" s="409">
        <v>4</v>
      </c>
      <c r="G130" s="332">
        <f>Gia_Tbi!$E$16</f>
        <v>5</v>
      </c>
      <c r="H130" s="621">
        <f>Gia_Tbi!$F$16</f>
        <v>147000000</v>
      </c>
      <c r="I130" s="352">
        <f>Gia_Tbi!$G$16</f>
        <v>58800</v>
      </c>
      <c r="J130" s="499">
        <f>$I130*F130</f>
        <v>235200</v>
      </c>
      <c r="K130" s="1157"/>
    </row>
    <row r="131" spans="1:11">
      <c r="A131" s="625">
        <f t="shared" si="0"/>
        <v>0</v>
      </c>
      <c r="B131" s="332"/>
      <c r="C131" s="333" t="s">
        <v>25</v>
      </c>
      <c r="D131" s="332" t="str">
        <f>Gia_Tbi!$C$6</f>
        <v>Cái</v>
      </c>
      <c r="E131" s="332">
        <f>Gia_Tbi!$D$6</f>
        <v>2.2000000000000002</v>
      </c>
      <c r="F131" s="409">
        <v>0.33329999999999999</v>
      </c>
      <c r="G131" s="332">
        <f>Gia_Tbi!$E$6</f>
        <v>8</v>
      </c>
      <c r="H131" s="492">
        <f>Gia_Tbi!$F$6</f>
        <v>12000000</v>
      </c>
      <c r="I131" s="493">
        <f>Gia_Tbi!$G$6</f>
        <v>3000</v>
      </c>
      <c r="J131" s="499">
        <f>$I131*F131</f>
        <v>999.9</v>
      </c>
      <c r="K131" s="1157"/>
    </row>
    <row r="132" spans="1:11">
      <c r="A132" s="625">
        <f t="shared" si="0"/>
        <v>0</v>
      </c>
      <c r="B132" s="332"/>
      <c r="C132" s="333" t="s">
        <v>8</v>
      </c>
      <c r="D132" s="332" t="str">
        <f>Gia_Tbi!$C$13</f>
        <v>KW</v>
      </c>
      <c r="E132" s="332"/>
      <c r="F132" s="409">
        <v>2.3332999999999999</v>
      </c>
      <c r="G132" s="494"/>
      <c r="H132" s="492">
        <f>Gia_Tbi!$F$13</f>
        <v>1686</v>
      </c>
      <c r="I132" s="493">
        <f>Gia_Tbi!$G$13</f>
        <v>13488</v>
      </c>
      <c r="J132" s="499">
        <f>$I132*F132</f>
        <v>31471.5504</v>
      </c>
      <c r="K132" s="1157"/>
    </row>
    <row r="133" spans="1:11" s="331" customFormat="1" ht="31.5">
      <c r="A133" s="625" t="s">
        <v>70</v>
      </c>
      <c r="B133" s="332" t="str">
        <f>NhanCong_Xa!B41</f>
        <v>1.2</v>
      </c>
      <c r="C133" s="333" t="str">
        <f>NhanCong_Xa!C41:C41</f>
        <v>Chuẩn hóa các lớp đối tượng không gian kiểm kê đất đai chưa phù hợp</v>
      </c>
      <c r="D133" s="326"/>
      <c r="E133" s="332"/>
      <c r="F133" s="489"/>
      <c r="G133" s="494"/>
      <c r="H133" s="329"/>
      <c r="I133" s="330"/>
      <c r="J133" s="498">
        <f>SUM(J134:J136)</f>
        <v>353080.1</v>
      </c>
      <c r="K133" s="571">
        <f>J137</f>
        <v>44061.249600000003</v>
      </c>
    </row>
    <row r="134" spans="1:11" s="331" customFormat="1">
      <c r="A134" s="625">
        <f t="shared" si="0"/>
        <v>0</v>
      </c>
      <c r="B134" s="332"/>
      <c r="C134" s="333" t="s">
        <v>82</v>
      </c>
      <c r="D134" s="332" t="str">
        <f>Gia_Tbi!$C$4</f>
        <v>Cái</v>
      </c>
      <c r="E134" s="332">
        <f>Gia_Tbi!$D$4</f>
        <v>0.4</v>
      </c>
      <c r="F134" s="409">
        <v>5.6</v>
      </c>
      <c r="G134" s="332">
        <f>Gia_Tbi!$E$4</f>
        <v>5</v>
      </c>
      <c r="H134" s="492">
        <f>Gia_Tbi!$F$4</f>
        <v>10000000</v>
      </c>
      <c r="I134" s="493">
        <f>Gia_Tbi!$G$4</f>
        <v>4000</v>
      </c>
      <c r="J134" s="499">
        <f>$I134*F134</f>
        <v>22400</v>
      </c>
      <c r="K134" s="1157"/>
    </row>
    <row r="135" spans="1:11" s="331" customFormat="1">
      <c r="A135" s="625">
        <f t="shared" si="0"/>
        <v>0</v>
      </c>
      <c r="B135" s="332"/>
      <c r="C135" s="333" t="str">
        <f>Gia_Tbi!$B$16</f>
        <v xml:space="preserve">Phần mềm biên tập bản đồ </v>
      </c>
      <c r="D135" s="332" t="str">
        <f>Gia_Tbi!$C$16</f>
        <v>Bộ</v>
      </c>
      <c r="E135" s="332">
        <f>Gia_Tbi!$D$16</f>
        <v>0.4</v>
      </c>
      <c r="F135" s="409">
        <v>5.6</v>
      </c>
      <c r="G135" s="332">
        <f>Gia_Tbi!$E$16</f>
        <v>5</v>
      </c>
      <c r="H135" s="621">
        <f>Gia_Tbi!$F$16</f>
        <v>147000000</v>
      </c>
      <c r="I135" s="352">
        <f>Gia_Tbi!$G$16</f>
        <v>58800</v>
      </c>
      <c r="J135" s="499">
        <f>$I135*F135</f>
        <v>329280</v>
      </c>
      <c r="K135" s="1157"/>
    </row>
    <row r="136" spans="1:11" s="331" customFormat="1">
      <c r="A136" s="625">
        <f t="shared" si="0"/>
        <v>0</v>
      </c>
      <c r="B136" s="332"/>
      <c r="C136" s="333" t="s">
        <v>25</v>
      </c>
      <c r="D136" s="332" t="str">
        <f>Gia_Tbi!$C$6</f>
        <v>Cái</v>
      </c>
      <c r="E136" s="332">
        <f>Gia_Tbi!$D$6</f>
        <v>2.2000000000000002</v>
      </c>
      <c r="F136" s="409">
        <v>0.4667</v>
      </c>
      <c r="G136" s="332">
        <f>Gia_Tbi!$E$6</f>
        <v>8</v>
      </c>
      <c r="H136" s="492">
        <f>Gia_Tbi!$F$6</f>
        <v>12000000</v>
      </c>
      <c r="I136" s="493">
        <f>Gia_Tbi!$G$6</f>
        <v>3000</v>
      </c>
      <c r="J136" s="499">
        <f>$I136*F136</f>
        <v>1400.1</v>
      </c>
      <c r="K136" s="1157"/>
    </row>
    <row r="137" spans="1:11" s="331" customFormat="1">
      <c r="A137" s="625">
        <f t="shared" si="0"/>
        <v>0</v>
      </c>
      <c r="B137" s="332"/>
      <c r="C137" s="333" t="s">
        <v>8</v>
      </c>
      <c r="D137" s="332" t="str">
        <f>Gia_Tbi!$C$13</f>
        <v>KW</v>
      </c>
      <c r="E137" s="332"/>
      <c r="F137" s="409">
        <v>3.2667000000000002</v>
      </c>
      <c r="G137" s="494"/>
      <c r="H137" s="492">
        <f>Gia_Tbi!$F$13</f>
        <v>1686</v>
      </c>
      <c r="I137" s="493">
        <f>Gia_Tbi!$G$13</f>
        <v>13488</v>
      </c>
      <c r="J137" s="499">
        <f>$I137*F137</f>
        <v>44061.249600000003</v>
      </c>
      <c r="K137" s="1157"/>
    </row>
    <row r="138" spans="1:11" ht="31.5">
      <c r="A138" s="625" t="s">
        <v>691</v>
      </c>
      <c r="B138" s="332" t="str">
        <f>NhanCong_Xa!B42</f>
        <v>1.3</v>
      </c>
      <c r="C138" s="333" t="str">
        <f>NhanCong_Xa!C42:C42</f>
        <v>Nhập bổ sung các thông tin thuộc tính cho đối tượng không gian kiểm kê đất đai còn thiếu (nếu có)</v>
      </c>
      <c r="D138" s="332"/>
      <c r="E138" s="332"/>
      <c r="F138" s="409"/>
      <c r="G138" s="332"/>
      <c r="H138" s="497"/>
      <c r="I138" s="497"/>
      <c r="J138" s="498">
        <f>SUM(J139:J141)</f>
        <v>50440.1</v>
      </c>
      <c r="K138" s="571">
        <f>J142</f>
        <v>6294.8496000000005</v>
      </c>
    </row>
    <row r="139" spans="1:11">
      <c r="A139" s="625">
        <f t="shared" si="0"/>
        <v>0</v>
      </c>
      <c r="B139" s="332"/>
      <c r="C139" s="333" t="s">
        <v>82</v>
      </c>
      <c r="D139" s="332" t="str">
        <f>Gia_Tbi!$C$4</f>
        <v>Cái</v>
      </c>
      <c r="E139" s="332">
        <f>Gia_Tbi!$D$4</f>
        <v>0.4</v>
      </c>
      <c r="F139" s="409">
        <v>0.8</v>
      </c>
      <c r="G139" s="332">
        <f>Gia_Tbi!$E$4</f>
        <v>5</v>
      </c>
      <c r="H139" s="492">
        <f>Gia_Tbi!$F$4</f>
        <v>10000000</v>
      </c>
      <c r="I139" s="493">
        <f>Gia_Tbi!$G$4</f>
        <v>4000</v>
      </c>
      <c r="J139" s="499">
        <f>$I139*F139</f>
        <v>3200</v>
      </c>
      <c r="K139" s="1157"/>
    </row>
    <row r="140" spans="1:11">
      <c r="A140" s="625">
        <f t="shared" si="0"/>
        <v>0</v>
      </c>
      <c r="B140" s="332"/>
      <c r="C140" s="333" t="str">
        <f>Gia_Tbi!$B$16</f>
        <v xml:space="preserve">Phần mềm biên tập bản đồ </v>
      </c>
      <c r="D140" s="332" t="str">
        <f>Gia_Tbi!$C$16</f>
        <v>Bộ</v>
      </c>
      <c r="E140" s="332">
        <f>Gia_Tbi!$D$16</f>
        <v>0.4</v>
      </c>
      <c r="F140" s="409">
        <v>0.8</v>
      </c>
      <c r="G140" s="332">
        <f>Gia_Tbi!$E$16</f>
        <v>5</v>
      </c>
      <c r="H140" s="621">
        <f>Gia_Tbi!$F$16</f>
        <v>147000000</v>
      </c>
      <c r="I140" s="352">
        <f>Gia_Tbi!$G$16</f>
        <v>58800</v>
      </c>
      <c r="J140" s="499">
        <f>$I140*F140</f>
        <v>47040</v>
      </c>
      <c r="K140" s="1157"/>
    </row>
    <row r="141" spans="1:11">
      <c r="A141" s="625">
        <f t="shared" si="0"/>
        <v>0</v>
      </c>
      <c r="B141" s="332"/>
      <c r="C141" s="333" t="s">
        <v>25</v>
      </c>
      <c r="D141" s="332" t="str">
        <f>D134</f>
        <v>Cái</v>
      </c>
      <c r="E141" s="332">
        <f>Gia_Tbi!$D$6</f>
        <v>2.2000000000000002</v>
      </c>
      <c r="F141" s="409">
        <v>6.6699999999999995E-2</v>
      </c>
      <c r="G141" s="332">
        <f>Gia_Tbi!$E$6</f>
        <v>8</v>
      </c>
      <c r="H141" s="492">
        <f>Gia_Tbi!$F$6</f>
        <v>12000000</v>
      </c>
      <c r="I141" s="493">
        <f>Gia_Tbi!$G$6</f>
        <v>3000</v>
      </c>
      <c r="J141" s="499">
        <f>$I141*F141</f>
        <v>200.1</v>
      </c>
      <c r="K141" s="573"/>
    </row>
    <row r="142" spans="1:11">
      <c r="A142" s="625">
        <f t="shared" si="0"/>
        <v>0</v>
      </c>
      <c r="B142" s="332"/>
      <c r="C142" s="333" t="s">
        <v>8</v>
      </c>
      <c r="D142" s="332" t="str">
        <f>Gia_Tbi!$C$13</f>
        <v>KW</v>
      </c>
      <c r="E142" s="332"/>
      <c r="F142" s="409">
        <v>0.4667</v>
      </c>
      <c r="G142" s="494"/>
      <c r="H142" s="492">
        <f>Gia_Tbi!$F$13</f>
        <v>1686</v>
      </c>
      <c r="I142" s="493">
        <f>Gia_Tbi!$G$13</f>
        <v>13488</v>
      </c>
      <c r="J142" s="499">
        <f>$I142*F142</f>
        <v>6294.8496000000005</v>
      </c>
      <c r="K142" s="573"/>
    </row>
    <row r="143" spans="1:11" ht="31.5">
      <c r="A143" s="625" t="s">
        <v>694</v>
      </c>
      <c r="B143" s="332" t="str">
        <f>NhanCong_Xa!B43</f>
        <v>1.4</v>
      </c>
      <c r="C143" s="333" t="str">
        <f>NhanCong_Xa!C43</f>
        <v>Rà soát chuẩn hóa thông tin thuộc tính cho từng đối tượng không gian kiểm kê đất đai</v>
      </c>
      <c r="D143" s="332"/>
      <c r="E143" s="332"/>
      <c r="F143" s="409"/>
      <c r="G143" s="332"/>
      <c r="H143" s="497"/>
      <c r="I143" s="497"/>
      <c r="J143" s="498">
        <f>SUM(J144:J146)</f>
        <v>353080.1</v>
      </c>
      <c r="K143" s="571">
        <f>J147</f>
        <v>44061.249600000003</v>
      </c>
    </row>
    <row r="144" spans="1:11">
      <c r="A144" s="625">
        <f t="shared" si="0"/>
        <v>0</v>
      </c>
      <c r="B144" s="332"/>
      <c r="C144" s="333" t="s">
        <v>82</v>
      </c>
      <c r="D144" s="332" t="str">
        <f>Gia_Tbi!$C$4</f>
        <v>Cái</v>
      </c>
      <c r="E144" s="332">
        <f>Gia_Tbi!$D$4</f>
        <v>0.4</v>
      </c>
      <c r="F144" s="409">
        <v>5.6</v>
      </c>
      <c r="G144" s="332">
        <f>Gia_Tbi!$E$4</f>
        <v>5</v>
      </c>
      <c r="H144" s="492">
        <f>Gia_Tbi!$F$4</f>
        <v>10000000</v>
      </c>
      <c r="I144" s="493">
        <f>Gia_Tbi!$G$4</f>
        <v>4000</v>
      </c>
      <c r="J144" s="499">
        <f>$I144*F144</f>
        <v>22400</v>
      </c>
      <c r="K144" s="1157"/>
    </row>
    <row r="145" spans="1:11">
      <c r="A145" s="625">
        <f t="shared" si="0"/>
        <v>0</v>
      </c>
      <c r="B145" s="332"/>
      <c r="C145" s="333" t="str">
        <f>Gia_Tbi!$B$16</f>
        <v xml:space="preserve">Phần mềm biên tập bản đồ </v>
      </c>
      <c r="D145" s="332" t="str">
        <f>Gia_Tbi!$C$16</f>
        <v>Bộ</v>
      </c>
      <c r="E145" s="332">
        <f>Gia_Tbi!$D$16</f>
        <v>0.4</v>
      </c>
      <c r="F145" s="409">
        <v>5.6</v>
      </c>
      <c r="G145" s="332">
        <f>Gia_Tbi!$E$16</f>
        <v>5</v>
      </c>
      <c r="H145" s="621">
        <f>Gia_Tbi!$F$16</f>
        <v>147000000</v>
      </c>
      <c r="I145" s="352">
        <f>Gia_Tbi!$G$16</f>
        <v>58800</v>
      </c>
      <c r="J145" s="499">
        <f>$I145*F145</f>
        <v>329280</v>
      </c>
      <c r="K145" s="1157"/>
    </row>
    <row r="146" spans="1:11">
      <c r="A146" s="625">
        <f t="shared" si="0"/>
        <v>0</v>
      </c>
      <c r="B146" s="332"/>
      <c r="C146" s="333" t="s">
        <v>25</v>
      </c>
      <c r="D146" s="332" t="str">
        <f>D139</f>
        <v>Cái</v>
      </c>
      <c r="E146" s="332">
        <f>Gia_Tbi!$D$6</f>
        <v>2.2000000000000002</v>
      </c>
      <c r="F146" s="409">
        <v>0.4667</v>
      </c>
      <c r="G146" s="332">
        <f>Gia_Tbi!$E$6</f>
        <v>8</v>
      </c>
      <c r="H146" s="492">
        <f>Gia_Tbi!$F$6</f>
        <v>12000000</v>
      </c>
      <c r="I146" s="493">
        <f>Gia_Tbi!$G$6</f>
        <v>3000</v>
      </c>
      <c r="J146" s="499">
        <f>$I146*F146</f>
        <v>1400.1</v>
      </c>
      <c r="K146" s="573"/>
    </row>
    <row r="147" spans="1:11">
      <c r="A147" s="625">
        <f t="shared" si="0"/>
        <v>0</v>
      </c>
      <c r="B147" s="332"/>
      <c r="C147" s="333" t="s">
        <v>8</v>
      </c>
      <c r="D147" s="332" t="str">
        <f>Gia_Tbi!$C$13</f>
        <v>KW</v>
      </c>
      <c r="E147" s="332"/>
      <c r="F147" s="409">
        <v>3.2667000000000002</v>
      </c>
      <c r="G147" s="494"/>
      <c r="H147" s="492">
        <f>Gia_Tbi!$F$13</f>
        <v>1686</v>
      </c>
      <c r="I147" s="493">
        <f>Gia_Tbi!$G$13</f>
        <v>13488</v>
      </c>
      <c r="J147" s="499">
        <f>$I147*F147</f>
        <v>44061.249600000003</v>
      </c>
      <c r="K147" s="573"/>
    </row>
    <row r="148" spans="1:11">
      <c r="A148" s="625" t="s">
        <v>864</v>
      </c>
      <c r="B148" s="332">
        <f>NhanCong_Tinh!B47</f>
        <v>2</v>
      </c>
      <c r="C148" s="332" t="str">
        <f>NhanCong_Tinh!C47</f>
        <v>Chuyển đổi và tích hợp không gian kiểm kê đất đai</v>
      </c>
      <c r="D148" s="332"/>
      <c r="E148" s="332"/>
      <c r="F148" s="409"/>
      <c r="G148" s="494"/>
      <c r="H148" s="492"/>
      <c r="I148" s="493"/>
      <c r="J148" s="499"/>
      <c r="K148" s="573"/>
    </row>
    <row r="149" spans="1:11" ht="47.25">
      <c r="A149" s="625" t="s">
        <v>865</v>
      </c>
      <c r="B149" s="332" t="str">
        <f>NhanCong_Xa!B45</f>
        <v>2.1</v>
      </c>
      <c r="C149" s="333" t="str">
        <f>NhanCong_Xa!C45:C45</f>
        <v>Chuyển đổi các lớp đối tượng không gian kiểm kê đất đai từ tệp (File) bản đồ số vào cơ sở dữ liệu theo đơn vị hành chính</v>
      </c>
      <c r="D149" s="332"/>
      <c r="E149" s="332"/>
      <c r="F149" s="409"/>
      <c r="G149" s="332"/>
      <c r="H149" s="497"/>
      <c r="I149" s="497"/>
      <c r="J149" s="498">
        <f>SUM(J150:J155)</f>
        <v>116019.9</v>
      </c>
      <c r="K149" s="571">
        <f>J156</f>
        <v>12588.350399999999</v>
      </c>
    </row>
    <row r="150" spans="1:11">
      <c r="A150" s="625">
        <f t="shared" ref="A150:A164" si="11">B150</f>
        <v>0</v>
      </c>
      <c r="B150" s="332"/>
      <c r="C150" s="333" t="s">
        <v>82</v>
      </c>
      <c r="D150" s="332" t="str">
        <f>Gia_Tbi!$C$4</f>
        <v>Cái</v>
      </c>
      <c r="E150" s="332">
        <f>Gia_Tbi!$D$4</f>
        <v>0.4</v>
      </c>
      <c r="F150" s="409">
        <v>1.6</v>
      </c>
      <c r="G150" s="332">
        <f>Gia_Tbi!$E$4</f>
        <v>5</v>
      </c>
      <c r="H150" s="497">
        <f>Gia_Tbi!F4</f>
        <v>10000000</v>
      </c>
      <c r="I150" s="497">
        <f>Gia_Tbi!G4</f>
        <v>4000</v>
      </c>
      <c r="J150" s="499">
        <f t="shared" ref="J150:J156" si="12">$I150*F150</f>
        <v>6400</v>
      </c>
      <c r="K150" s="573"/>
    </row>
    <row r="151" spans="1:11">
      <c r="A151" s="625">
        <f t="shared" si="11"/>
        <v>0</v>
      </c>
      <c r="B151" s="332"/>
      <c r="C151" s="333" t="str">
        <f>Gia_Tbi!$B$16</f>
        <v xml:space="preserve">Phần mềm biên tập bản đồ </v>
      </c>
      <c r="D151" s="332" t="str">
        <f>Gia_Tbi!$C$16</f>
        <v>Bộ</v>
      </c>
      <c r="E151" s="332">
        <f>Gia_Tbi!$D$16</f>
        <v>0.4</v>
      </c>
      <c r="F151" s="409">
        <v>1.6</v>
      </c>
      <c r="G151" s="332">
        <f>Gia_Tbi!$E$16</f>
        <v>5</v>
      </c>
      <c r="H151" s="621">
        <f>Gia_Tbi!$F$16</f>
        <v>147000000</v>
      </c>
      <c r="I151" s="352">
        <f>Gia_Tbi!$G$16</f>
        <v>58800</v>
      </c>
      <c r="J151" s="499">
        <f t="shared" si="12"/>
        <v>94080</v>
      </c>
      <c r="K151" s="1157"/>
    </row>
    <row r="152" spans="1:11">
      <c r="A152" s="625">
        <f t="shared" si="11"/>
        <v>0</v>
      </c>
      <c r="B152" s="332"/>
      <c r="C152" s="333" t="s">
        <v>928</v>
      </c>
      <c r="D152" s="332" t="str">
        <f>Gia_Tbi!$C$10</f>
        <v>Cái</v>
      </c>
      <c r="E152" s="332">
        <f>Gia_Tbi!$D$10</f>
        <v>1</v>
      </c>
      <c r="F152" s="409">
        <v>0.4</v>
      </c>
      <c r="G152" s="353">
        <f>Gia_Tbi!$E$10</f>
        <v>10</v>
      </c>
      <c r="H152" s="497">
        <f>Gia_Tbi!$F$10</f>
        <v>80000000</v>
      </c>
      <c r="I152" s="497">
        <f>Gia_Tbi!$G$10</f>
        <v>16000</v>
      </c>
      <c r="J152" s="499">
        <f t="shared" si="12"/>
        <v>6400</v>
      </c>
      <c r="K152" s="573"/>
    </row>
    <row r="153" spans="1:11">
      <c r="A153" s="625">
        <f t="shared" si="11"/>
        <v>0</v>
      </c>
      <c r="B153" s="332"/>
      <c r="C153" s="333" t="str">
        <f>Gia_Tbi!$B$15</f>
        <v>Hệ quản trị dữ liệu không gian</v>
      </c>
      <c r="D153" s="332" t="str">
        <f>Gia_Tbi!$C$15</f>
        <v>Bộ</v>
      </c>
      <c r="E153" s="332" t="str">
        <f>Gia_Tbi!$D$15</f>
        <v/>
      </c>
      <c r="F153" s="409">
        <v>0.1</v>
      </c>
      <c r="G153" s="332">
        <f>Gia_Tbi!$E$15</f>
        <v>10</v>
      </c>
      <c r="H153" s="621">
        <f>Gia_Tbi!$F$15</f>
        <v>357000000</v>
      </c>
      <c r="I153" s="352">
        <f>Gia_Tbi!$G$15</f>
        <v>71400</v>
      </c>
      <c r="J153" s="499">
        <f t="shared" si="12"/>
        <v>7140</v>
      </c>
      <c r="K153" s="573"/>
    </row>
    <row r="154" spans="1:11">
      <c r="A154" s="625">
        <f t="shared" si="11"/>
        <v>0</v>
      </c>
      <c r="B154" s="332"/>
      <c r="C154" s="333" t="s">
        <v>557</v>
      </c>
      <c r="D154" s="332" t="str">
        <f>Gia_Tbi!$C$12</f>
        <v>Bộ</v>
      </c>
      <c r="E154" s="332">
        <f>Gia_Tbi!$D$12</f>
        <v>0.1</v>
      </c>
      <c r="F154" s="409">
        <v>1.6</v>
      </c>
      <c r="G154" s="353">
        <f>Gia_Tbi!$E$12</f>
        <v>5</v>
      </c>
      <c r="H154" s="497">
        <f>Gia_Tbi!$F$12</f>
        <v>2500000</v>
      </c>
      <c r="I154" s="497">
        <f>Gia_Tbi!$G$12</f>
        <v>1000</v>
      </c>
      <c r="J154" s="499">
        <f t="shared" si="12"/>
        <v>1600</v>
      </c>
      <c r="K154" s="573"/>
    </row>
    <row r="155" spans="1:11">
      <c r="A155" s="625">
        <f t="shared" si="11"/>
        <v>0</v>
      </c>
      <c r="B155" s="332"/>
      <c r="C155" s="333" t="s">
        <v>25</v>
      </c>
      <c r="D155" s="332" t="str">
        <f>Gia_Tbi!$C$6</f>
        <v>Cái</v>
      </c>
      <c r="E155" s="332">
        <f>Gia_Tbi!$D$6</f>
        <v>2.2000000000000002</v>
      </c>
      <c r="F155" s="409">
        <v>0.1333</v>
      </c>
      <c r="G155" s="332">
        <f>Gia_Tbi!$E$6</f>
        <v>8</v>
      </c>
      <c r="H155" s="497">
        <f>Gia_Tbi!$F$6</f>
        <v>12000000</v>
      </c>
      <c r="I155" s="497">
        <f>Gia_Tbi!$G$6</f>
        <v>3000</v>
      </c>
      <c r="J155" s="499">
        <f t="shared" si="12"/>
        <v>399.9</v>
      </c>
      <c r="K155" s="1157"/>
    </row>
    <row r="156" spans="1:11">
      <c r="A156" s="625">
        <f t="shared" si="11"/>
        <v>0</v>
      </c>
      <c r="B156" s="332"/>
      <c r="C156" s="333" t="s">
        <v>8</v>
      </c>
      <c r="D156" s="332" t="str">
        <f>Gia_Tbi!$C$13</f>
        <v>KW</v>
      </c>
      <c r="E156" s="332"/>
      <c r="F156" s="409">
        <v>0.93330000000000002</v>
      </c>
      <c r="G156" s="494"/>
      <c r="H156" s="497">
        <f>Gia_Tbi!$F$13</f>
        <v>1686</v>
      </c>
      <c r="I156" s="497">
        <f>Gia_Tbi!$G$13</f>
        <v>13488</v>
      </c>
      <c r="J156" s="499">
        <f t="shared" si="12"/>
        <v>12588.350399999999</v>
      </c>
      <c r="K156" s="1157"/>
    </row>
    <row r="157" spans="1:11" ht="31.5">
      <c r="A157" s="625" t="s">
        <v>866</v>
      </c>
      <c r="B157" s="332" t="str">
        <f>NhanCong_Xa!B46</f>
        <v>2.2</v>
      </c>
      <c r="C157" s="333" t="str">
        <f>NhanCong_Xa!C46:C46</f>
        <v>Rà soát dữ liệu không gian để xử lý các lỗi dọc biên giữa các đơn vị hành chính tiếp giáp nhau</v>
      </c>
      <c r="D157" s="332"/>
      <c r="E157" s="332"/>
      <c r="F157" s="409"/>
      <c r="G157" s="332"/>
      <c r="H157" s="497"/>
      <c r="I157" s="497"/>
      <c r="J157" s="498">
        <f>SUM(J158:J163)</f>
        <v>174030</v>
      </c>
      <c r="K157" s="571">
        <f>J164</f>
        <v>18883.199999999997</v>
      </c>
    </row>
    <row r="158" spans="1:11">
      <c r="A158" s="625">
        <f t="shared" si="11"/>
        <v>0</v>
      </c>
      <c r="B158" s="332"/>
      <c r="C158" s="333" t="s">
        <v>82</v>
      </c>
      <c r="D158" s="332" t="str">
        <f>Gia_Tbi!$C$4</f>
        <v>Cái</v>
      </c>
      <c r="E158" s="332">
        <f>Gia_Tbi!$D$4</f>
        <v>0.4</v>
      </c>
      <c r="F158" s="409">
        <v>2.4</v>
      </c>
      <c r="G158" s="332">
        <f>Gia_Tbi!$E$4</f>
        <v>5</v>
      </c>
      <c r="H158" s="497">
        <f>Gia_Tbi!$F$4</f>
        <v>10000000</v>
      </c>
      <c r="I158" s="497">
        <f>Gia_Tbi!$G$4</f>
        <v>4000</v>
      </c>
      <c r="J158" s="499">
        <f t="shared" ref="J158:J164" si="13">$I158*F158</f>
        <v>9600</v>
      </c>
      <c r="K158" s="1157"/>
    </row>
    <row r="159" spans="1:11">
      <c r="A159" s="625">
        <f t="shared" si="11"/>
        <v>0</v>
      </c>
      <c r="B159" s="332"/>
      <c r="C159" s="333" t="str">
        <f>Gia_Tbi!$B$16</f>
        <v xml:space="preserve">Phần mềm biên tập bản đồ </v>
      </c>
      <c r="D159" s="332" t="str">
        <f>Gia_Tbi!$C$16</f>
        <v>Bộ</v>
      </c>
      <c r="E159" s="332">
        <f>Gia_Tbi!$D$16</f>
        <v>0.4</v>
      </c>
      <c r="F159" s="409">
        <v>2.4</v>
      </c>
      <c r="G159" s="332">
        <f>Gia_Tbi!$E$16</f>
        <v>5</v>
      </c>
      <c r="H159" s="621">
        <f>Gia_Tbi!$F$16</f>
        <v>147000000</v>
      </c>
      <c r="I159" s="352">
        <f>Gia_Tbi!$G$16</f>
        <v>58800</v>
      </c>
      <c r="J159" s="499">
        <f t="shared" si="13"/>
        <v>141120</v>
      </c>
      <c r="K159" s="1157"/>
    </row>
    <row r="160" spans="1:11">
      <c r="A160" s="625">
        <f t="shared" si="11"/>
        <v>0</v>
      </c>
      <c r="B160" s="332"/>
      <c r="C160" s="333" t="s">
        <v>928</v>
      </c>
      <c r="D160" s="332" t="str">
        <f>Gia_Tbi!$C$10</f>
        <v>Cái</v>
      </c>
      <c r="E160" s="332">
        <f>Gia_Tbi!$D$10</f>
        <v>1</v>
      </c>
      <c r="F160" s="409">
        <v>0.6</v>
      </c>
      <c r="G160" s="353">
        <f>Gia_Tbi!$E$10</f>
        <v>10</v>
      </c>
      <c r="H160" s="497">
        <f>Gia_Tbi!$F$10</f>
        <v>80000000</v>
      </c>
      <c r="I160" s="497">
        <f>Gia_Tbi!$G$10</f>
        <v>16000</v>
      </c>
      <c r="J160" s="499">
        <f t="shared" si="13"/>
        <v>9600</v>
      </c>
      <c r="K160" s="1157"/>
    </row>
    <row r="161" spans="1:11">
      <c r="A161" s="625">
        <f t="shared" si="11"/>
        <v>0</v>
      </c>
      <c r="B161" s="332"/>
      <c r="C161" s="333" t="str">
        <f>Gia_Tbi!$B$15</f>
        <v>Hệ quản trị dữ liệu không gian</v>
      </c>
      <c r="D161" s="332" t="str">
        <f>Gia_Tbi!$C$15</f>
        <v>Bộ</v>
      </c>
      <c r="E161" s="332" t="str">
        <f>Gia_Tbi!$D$15</f>
        <v/>
      </c>
      <c r="F161" s="409">
        <v>0.15</v>
      </c>
      <c r="G161" s="332">
        <f>Gia_Tbi!$E$15</f>
        <v>10</v>
      </c>
      <c r="H161" s="621">
        <f>Gia_Tbi!$F$15</f>
        <v>357000000</v>
      </c>
      <c r="I161" s="352">
        <f>Gia_Tbi!$G$15</f>
        <v>71400</v>
      </c>
      <c r="J161" s="499">
        <f t="shared" si="13"/>
        <v>10710</v>
      </c>
      <c r="K161" s="573"/>
    </row>
    <row r="162" spans="1:11">
      <c r="A162" s="625">
        <f t="shared" si="11"/>
        <v>0</v>
      </c>
      <c r="B162" s="332"/>
      <c r="C162" s="333" t="s">
        <v>557</v>
      </c>
      <c r="D162" s="332" t="str">
        <f>Gia_Tbi!$C$12</f>
        <v>Bộ</v>
      </c>
      <c r="E162" s="332">
        <f>Gia_Tbi!$D$12</f>
        <v>0.1</v>
      </c>
      <c r="F162" s="409">
        <v>2.4</v>
      </c>
      <c r="G162" s="353">
        <f>Gia_Tbi!$E$12</f>
        <v>5</v>
      </c>
      <c r="H162" s="497">
        <f>Gia_Tbi!$F$12</f>
        <v>2500000</v>
      </c>
      <c r="I162" s="497">
        <f>Gia_Tbi!$G$12</f>
        <v>1000</v>
      </c>
      <c r="J162" s="499">
        <f t="shared" si="13"/>
        <v>2400</v>
      </c>
      <c r="K162" s="1157"/>
    </row>
    <row r="163" spans="1:11">
      <c r="A163" s="625">
        <f t="shared" si="11"/>
        <v>0</v>
      </c>
      <c r="B163" s="332"/>
      <c r="C163" s="333" t="s">
        <v>25</v>
      </c>
      <c r="D163" s="332" t="str">
        <f>Gia_Tbi!$C$6</f>
        <v>Cái</v>
      </c>
      <c r="E163" s="332">
        <f>Gia_Tbi!$D$6</f>
        <v>2.2000000000000002</v>
      </c>
      <c r="F163" s="409">
        <v>0.2</v>
      </c>
      <c r="G163" s="332">
        <f>Gia_Tbi!$E$6</f>
        <v>8</v>
      </c>
      <c r="H163" s="497">
        <f>Gia_Tbi!$F$6</f>
        <v>12000000</v>
      </c>
      <c r="I163" s="497">
        <f>Gia_Tbi!$G$6</f>
        <v>3000</v>
      </c>
      <c r="J163" s="499">
        <f t="shared" si="13"/>
        <v>600</v>
      </c>
      <c r="K163" s="1157"/>
    </row>
    <row r="164" spans="1:11">
      <c r="A164" s="625">
        <f t="shared" si="11"/>
        <v>0</v>
      </c>
      <c r="B164" s="332"/>
      <c r="C164" s="333" t="s">
        <v>8</v>
      </c>
      <c r="D164" s="332" t="str">
        <f>Gia_Tbi!$C$13</f>
        <v>KW</v>
      </c>
      <c r="E164" s="332"/>
      <c r="F164" s="409">
        <v>1.4</v>
      </c>
      <c r="G164" s="494"/>
      <c r="H164" s="497">
        <f>Gia_Tbi!$F$13</f>
        <v>1686</v>
      </c>
      <c r="I164" s="497">
        <f>Gia_Tbi!$G$13</f>
        <v>13488</v>
      </c>
      <c r="J164" s="499">
        <f t="shared" si="13"/>
        <v>18883.199999999997</v>
      </c>
      <c r="K164" s="1157"/>
    </row>
    <row r="165" spans="1:11">
      <c r="K165" s="389"/>
    </row>
  </sheetData>
  <mergeCells count="1">
    <mergeCell ref="B1:K1"/>
  </mergeCells>
  <pageMargins left="0.61811023600000004" right="0.118110236220472" top="0.69488189" bottom="0.40748031499999998" header="0.31496062992126" footer="0.31496062992126"/>
  <pageSetup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78"/>
  <sheetViews>
    <sheetView topLeftCell="B1" zoomScale="85" zoomScaleNormal="85" workbookViewId="0">
      <selection activeCell="D45" sqref="D45"/>
    </sheetView>
  </sheetViews>
  <sheetFormatPr defaultColWidth="9" defaultRowHeight="15.75"/>
  <cols>
    <col min="1" max="1" width="0" style="517" hidden="1" customWidth="1"/>
    <col min="2" max="2" width="5" style="518" customWidth="1"/>
    <col min="3" max="3" width="35.5" style="517" customWidth="1"/>
    <col min="4" max="4" width="9.5" style="518" customWidth="1"/>
    <col min="5" max="5" width="9.125" style="935" customWidth="1"/>
    <col min="6" max="6" width="10.5" style="925" customWidth="1"/>
    <col min="7" max="7" width="9" style="517" customWidth="1"/>
    <col min="8" max="8" width="9.5" style="517" customWidth="1"/>
    <col min="9" max="9" width="10" style="517" bestFit="1" customWidth="1"/>
    <col min="10" max="16384" width="9" style="517"/>
  </cols>
  <sheetData>
    <row r="1" spans="1:11">
      <c r="B1" s="1250" t="s">
        <v>1003</v>
      </c>
      <c r="C1" s="1250"/>
      <c r="D1" s="1250"/>
      <c r="E1" s="1250"/>
      <c r="F1" s="1250"/>
      <c r="G1" s="1250"/>
      <c r="H1" s="1250"/>
    </row>
    <row r="2" spans="1:11">
      <c r="E2" s="924" t="s">
        <v>79</v>
      </c>
      <c r="F2" s="925" t="s">
        <v>78</v>
      </c>
      <c r="G2" s="517">
        <v>4</v>
      </c>
    </row>
    <row r="3" spans="1:11" s="521" customFormat="1" ht="47.25">
      <c r="B3" s="614" t="s">
        <v>14</v>
      </c>
      <c r="C3" s="614" t="s">
        <v>2</v>
      </c>
      <c r="D3" s="614" t="s">
        <v>21</v>
      </c>
      <c r="E3" s="614" t="s">
        <v>103</v>
      </c>
      <c r="F3" s="614" t="s">
        <v>909</v>
      </c>
      <c r="G3" s="337" t="s">
        <v>910</v>
      </c>
      <c r="H3" s="337" t="s">
        <v>81</v>
      </c>
    </row>
    <row r="4" spans="1:11">
      <c r="B4" s="909">
        <v>1</v>
      </c>
      <c r="C4" s="560" t="s">
        <v>52</v>
      </c>
      <c r="D4" s="358" t="str">
        <f>Gia_Dcu!$C$6</f>
        <v>Cái</v>
      </c>
      <c r="E4" s="926">
        <f>Gia_Dcu!$F$6</f>
        <v>21.634615384615383</v>
      </c>
      <c r="F4" s="358">
        <f>Gia_Dcu!$D$6</f>
        <v>24</v>
      </c>
      <c r="G4" s="927">
        <v>2.1</v>
      </c>
      <c r="H4" s="384">
        <f t="shared" ref="H4:H9" si="0">$E4*G4</f>
        <v>45.432692307692307</v>
      </c>
    </row>
    <row r="5" spans="1:11">
      <c r="B5" s="909">
        <v>2</v>
      </c>
      <c r="C5" s="560" t="s">
        <v>53</v>
      </c>
      <c r="D5" s="358" t="str">
        <f>Gia_Dcu!$C$7</f>
        <v>Cái</v>
      </c>
      <c r="E5" s="926">
        <f>Gia_Dcu!$F$7</f>
        <v>961.53846153846155</v>
      </c>
      <c r="F5" s="358">
        <f>Gia_Dcu!$D$7</f>
        <v>60</v>
      </c>
      <c r="G5" s="927">
        <v>3.5</v>
      </c>
      <c r="H5" s="384">
        <f t="shared" si="0"/>
        <v>3365.3846153846152</v>
      </c>
    </row>
    <row r="6" spans="1:11">
      <c r="B6" s="909">
        <v>3</v>
      </c>
      <c r="C6" s="560" t="s">
        <v>54</v>
      </c>
      <c r="D6" s="358" t="str">
        <f>Gia_Dcu!$C$8</f>
        <v>Cái</v>
      </c>
      <c r="E6" s="926">
        <f>Gia_Dcu!$F$8</f>
        <v>230.76923076923077</v>
      </c>
      <c r="F6" s="358">
        <f>Gia_Dcu!$D$8</f>
        <v>60</v>
      </c>
      <c r="G6" s="927">
        <v>10.5</v>
      </c>
      <c r="H6" s="384">
        <f t="shared" si="0"/>
        <v>2423.0769230769233</v>
      </c>
    </row>
    <row r="7" spans="1:11">
      <c r="B7" s="909">
        <v>4</v>
      </c>
      <c r="C7" s="560" t="s">
        <v>27</v>
      </c>
      <c r="D7" s="358" t="str">
        <f>Gia_Dcu!$C$9</f>
        <v>Cái</v>
      </c>
      <c r="E7" s="926">
        <f>Gia_Dcu!$F$9</f>
        <v>483.33333333333331</v>
      </c>
      <c r="F7" s="358">
        <f>Gia_Dcu!$D$9</f>
        <v>60</v>
      </c>
      <c r="G7" s="927">
        <v>10.5</v>
      </c>
      <c r="H7" s="384">
        <f t="shared" si="0"/>
        <v>5075</v>
      </c>
    </row>
    <row r="8" spans="1:11">
      <c r="B8" s="909">
        <v>5</v>
      </c>
      <c r="C8" s="560" t="s">
        <v>55</v>
      </c>
      <c r="D8" s="358" t="str">
        <f>Gia_Dcu!$C$10</f>
        <v>Cái</v>
      </c>
      <c r="E8" s="926">
        <f>Gia_Dcu!$F$10</f>
        <v>557.69230769230774</v>
      </c>
      <c r="F8" s="358">
        <f>Gia_Dcu!$D$10</f>
        <v>60</v>
      </c>
      <c r="G8" s="927">
        <v>2.625</v>
      </c>
      <c r="H8" s="384">
        <f t="shared" si="0"/>
        <v>1463.9423076923078</v>
      </c>
    </row>
    <row r="9" spans="1:11">
      <c r="B9" s="909">
        <v>6</v>
      </c>
      <c r="C9" s="560" t="s">
        <v>56</v>
      </c>
      <c r="D9" s="358" t="str">
        <f>Gia_Dcu!$C$11</f>
        <v>Cái</v>
      </c>
      <c r="E9" s="926">
        <f>Gia_Dcu!$F$11</f>
        <v>208.33333333333334</v>
      </c>
      <c r="F9" s="358">
        <f>Gia_Dcu!$D$11</f>
        <v>12</v>
      </c>
      <c r="G9" s="927">
        <v>10.5</v>
      </c>
      <c r="H9" s="384">
        <f t="shared" si="0"/>
        <v>2187.5</v>
      </c>
    </row>
    <row r="10" spans="1:11">
      <c r="B10" s="909">
        <v>7</v>
      </c>
      <c r="C10" s="560" t="s">
        <v>59</v>
      </c>
      <c r="D10" s="358" t="s">
        <v>907</v>
      </c>
      <c r="E10" s="926">
        <f>Gia_Dcu!$F$14</f>
        <v>13488</v>
      </c>
      <c r="F10" s="928"/>
      <c r="G10" s="927">
        <v>1.365</v>
      </c>
      <c r="H10" s="384">
        <f>$E10*G10*100%</f>
        <v>18411.12</v>
      </c>
    </row>
    <row r="11" spans="1:11">
      <c r="B11" s="909"/>
      <c r="C11" s="560" t="s">
        <v>156</v>
      </c>
      <c r="D11" s="358"/>
      <c r="E11" s="926"/>
      <c r="F11" s="928"/>
      <c r="G11" s="927"/>
      <c r="H11" s="588">
        <f>SUM(H4:H10)*1.05</f>
        <v>34620.029365384624</v>
      </c>
    </row>
    <row r="12" spans="1:11">
      <c r="B12" s="929"/>
      <c r="C12" s="930"/>
      <c r="D12" s="770"/>
      <c r="E12" s="610"/>
      <c r="F12" s="931"/>
      <c r="G12" s="932"/>
      <c r="H12" s="933"/>
      <c r="I12" s="934"/>
      <c r="K12" s="925"/>
    </row>
    <row r="13" spans="1:11" ht="42" customHeight="1">
      <c r="B13" s="614" t="s">
        <v>14</v>
      </c>
      <c r="C13" s="614" t="s">
        <v>162</v>
      </c>
      <c r="D13" s="614" t="s">
        <v>21</v>
      </c>
      <c r="E13" s="614" t="s">
        <v>28</v>
      </c>
      <c r="F13" s="337" t="s">
        <v>779</v>
      </c>
    </row>
    <row r="14" spans="1:11">
      <c r="A14" s="517">
        <v>1</v>
      </c>
      <c r="B14" s="343">
        <f>NhanCong_Xa!B4</f>
        <v>1</v>
      </c>
      <c r="C14" s="523" t="str">
        <f>NhanCong_Xa!C4:C4</f>
        <v>Công tác chuẩn bị</v>
      </c>
      <c r="D14" s="870"/>
      <c r="E14" s="937"/>
      <c r="F14" s="361"/>
    </row>
    <row r="15" spans="1:11" ht="94.5">
      <c r="A15" s="517" t="s">
        <v>767</v>
      </c>
      <c r="B15" s="870" t="str">
        <f>NhanCong_Xa!B5</f>
        <v>1.1</v>
      </c>
      <c r="C15" s="406" t="str">
        <f>NhanCong_Xa!C5:C5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15" s="358" t="str">
        <f>NhanCong_Xa!D5</f>
        <v>Bộ dữ liệu theo xã</v>
      </c>
      <c r="E15" s="938">
        <v>0.1905</v>
      </c>
      <c r="F15" s="361">
        <f>E15*$H$11</f>
        <v>6595.1155941057714</v>
      </c>
    </row>
    <row r="16" spans="1:11" ht="63">
      <c r="A16" s="517" t="s">
        <v>768</v>
      </c>
      <c r="B16" s="870" t="str">
        <f>NhanCong_Xa!B6</f>
        <v>1.2</v>
      </c>
      <c r="C16" s="406" t="str">
        <f>NhanCong_Xa!C6:C6</f>
        <v>Chuẩn bị nhân lực, địa điểm làm việc; Chuẩn bị vật tư, thiết bị, dụng cụ, phần mềm phục vụ cho công tác xây dựng cơ sở dữ liệu thống kê, kiểm kê đất đai</v>
      </c>
      <c r="D16" s="358" t="str">
        <f>NhanCong_Xa!D6</f>
        <v>Bộ dữ liệu theo xã</v>
      </c>
      <c r="E16" s="938">
        <v>0.1905</v>
      </c>
      <c r="F16" s="361">
        <f>E16*$H$11</f>
        <v>6595.1155941057714</v>
      </c>
    </row>
    <row r="17" spans="1:8">
      <c r="A17" s="517">
        <v>8</v>
      </c>
      <c r="B17" s="343">
        <f>NhanCong_Xa!B7</f>
        <v>2</v>
      </c>
      <c r="C17" s="523" t="str">
        <f>NhanCong_Xa!C7:C7</f>
        <v>Xây dựng siêu dữ liệu thống kê, kiểm kê đất đai</v>
      </c>
      <c r="D17" s="870"/>
      <c r="E17" s="938"/>
      <c r="F17" s="361"/>
    </row>
    <row r="18" spans="1:8" ht="47.25">
      <c r="A18" s="517" t="s">
        <v>876</v>
      </c>
      <c r="B18" s="870" t="str">
        <f>NhanCong_Xa!B8</f>
        <v>2.1</v>
      </c>
      <c r="C18" s="406" t="str">
        <f>NhanCong_Xa!C8:C8</f>
        <v>Thu nhận các thông tin cần thiết để xây dựng siêu dữ liệu (thông tin mô tả dữ liệu) thống kê, kiểm kê đất đai</v>
      </c>
      <c r="D18" s="358" t="str">
        <f>NhanCong_Xa!D8</f>
        <v>Bộ dữ liệu theo xã</v>
      </c>
      <c r="E18" s="938">
        <v>9.5200000000000007E-2</v>
      </c>
      <c r="F18" s="361">
        <f>E18*$H$11</f>
        <v>3295.8267955846163</v>
      </c>
    </row>
    <row r="19" spans="1:8" ht="31.5">
      <c r="A19" s="517" t="s">
        <v>877</v>
      </c>
      <c r="B19" s="870" t="str">
        <f>NhanCong_Xa!B9</f>
        <v>2.2</v>
      </c>
      <c r="C19" s="406" t="str">
        <f>NhanCong_Xa!C9:C9</f>
        <v>Nhập thông tin siêu dữ liệu kiểm kê đất đai</v>
      </c>
      <c r="D19" s="358" t="str">
        <f>NhanCong_Xa!D9</f>
        <v>Bộ dữ liệu theo xã</v>
      </c>
      <c r="E19" s="938">
        <v>4.7600000000000003E-2</v>
      </c>
      <c r="F19" s="361">
        <f>E19*$H$11</f>
        <v>1647.9133977923082</v>
      </c>
    </row>
    <row r="20" spans="1:8" ht="31.5">
      <c r="A20" s="517">
        <v>9</v>
      </c>
      <c r="B20" s="343">
        <f>NhanCong_Xa!B10</f>
        <v>3</v>
      </c>
      <c r="C20" s="407" t="str">
        <f>NhanCong_Xa!C10:C10</f>
        <v>Phục vụ kiểm tra, nghiệm thu cơ sở dữ liệu thống kê, kiểm kê đất đai</v>
      </c>
      <c r="D20" s="358"/>
      <c r="E20" s="938"/>
      <c r="F20" s="361"/>
    </row>
    <row r="21" spans="1:8" ht="31.5">
      <c r="A21" s="517" t="s">
        <v>878</v>
      </c>
      <c r="B21" s="870" t="str">
        <f>NhanCong_Xa!B11</f>
        <v>3.1</v>
      </c>
      <c r="C21" s="406" t="str">
        <f>NhanCong_Xa!C11:C11</f>
        <v>Đơn vị thi công chuẩn bị tài liệu và phục vụ giám sát kiểm tra, nghiệm thu.</v>
      </c>
      <c r="D21" s="358" t="str">
        <f>NhanCong_Xa!D11</f>
        <v>Bộ dữ liệu theo xã</v>
      </c>
      <c r="E21" s="938">
        <v>9.5200000000000007E-2</v>
      </c>
      <c r="F21" s="361">
        <f>E21*$H$11</f>
        <v>3295.8267955846163</v>
      </c>
    </row>
    <row r="22" spans="1:8" ht="63">
      <c r="A22" s="517" t="s">
        <v>879</v>
      </c>
      <c r="B22" s="870" t="str">
        <f>NhanCong_Xa!B12</f>
        <v>3.2</v>
      </c>
      <c r="C22" s="406" t="str">
        <f>NhanCong_Xa!C12:C12</f>
        <v>Thực hiện kiểm tra tổng thể cơ sở dữ liệu thống kê, kiểm kê đất đai và tích hợp vào hệ thống ngay sau khi được nghiệm thu để phục vụ quản lý, vận hành, khai thác sử dụng.</v>
      </c>
      <c r="D22" s="358" t="str">
        <f>NhanCong_Xa!D12</f>
        <v>Bộ dữ liệu theo xã</v>
      </c>
      <c r="E22" s="938">
        <v>0.2858</v>
      </c>
      <c r="F22" s="361">
        <f>E22*$H$11</f>
        <v>9894.404392626926</v>
      </c>
    </row>
    <row r="23" spans="1:8" ht="31.5">
      <c r="A23" s="517" t="s">
        <v>880</v>
      </c>
      <c r="B23" s="870" t="str">
        <f>NhanCong_Xa!B13</f>
        <v>3.3</v>
      </c>
      <c r="C23" s="600" t="str">
        <f>NhanCong_Xa!C13</f>
        <v>Đóng gói giao nộp cơ sở dữ liệu thống kê, kiểm kê đất đai</v>
      </c>
      <c r="D23" s="411" t="str">
        <f>NhanCong_Xa!D13</f>
        <v>Bộ dữ liệu theo xã</v>
      </c>
      <c r="E23" s="938">
        <v>9.5200000000000007E-2</v>
      </c>
      <c r="F23" s="361">
        <f>E23*$H$11</f>
        <v>3295.8267955846163</v>
      </c>
    </row>
    <row r="24" spans="1:8">
      <c r="B24" s="756"/>
      <c r="C24" s="757"/>
      <c r="D24" s="1012"/>
      <c r="E24" s="939">
        <f>SUM(E15:E23)</f>
        <v>1</v>
      </c>
      <c r="F24" s="940">
        <f>+SUM(F15:F23)</f>
        <v>34620.029365384624</v>
      </c>
    </row>
    <row r="25" spans="1:8">
      <c r="B25" s="770"/>
      <c r="C25" s="609"/>
      <c r="D25" s="770"/>
      <c r="E25" s="941"/>
      <c r="F25" s="942"/>
    </row>
    <row r="26" spans="1:8" ht="94.5">
      <c r="B26" s="614" t="s">
        <v>14</v>
      </c>
      <c r="C26" s="614" t="s">
        <v>2</v>
      </c>
      <c r="D26" s="614" t="s">
        <v>21</v>
      </c>
      <c r="E26" s="614" t="s">
        <v>103</v>
      </c>
      <c r="F26" s="614" t="s">
        <v>909</v>
      </c>
      <c r="G26" s="337" t="s">
        <v>1015</v>
      </c>
      <c r="H26" s="337" t="s">
        <v>81</v>
      </c>
    </row>
    <row r="27" spans="1:8">
      <c r="B27" s="909">
        <v>1</v>
      </c>
      <c r="C27" s="560" t="s">
        <v>52</v>
      </c>
      <c r="D27" s="358" t="str">
        <f>Gia_Dcu!$C$6</f>
        <v>Cái</v>
      </c>
      <c r="E27" s="926">
        <f>Gia_Dcu!$F$6</f>
        <v>21.634615384615383</v>
      </c>
      <c r="F27" s="358">
        <f>Gia_Dcu!$D$6</f>
        <v>24</v>
      </c>
      <c r="G27" s="927">
        <v>3.9</v>
      </c>
      <c r="H27" s="384">
        <f t="shared" ref="H27:H32" si="1">$E27*G27</f>
        <v>84.374999999999986</v>
      </c>
    </row>
    <row r="28" spans="1:8">
      <c r="B28" s="909">
        <v>2</v>
      </c>
      <c r="C28" s="560" t="s">
        <v>53</v>
      </c>
      <c r="D28" s="358" t="str">
        <f>Gia_Dcu!$C$7</f>
        <v>Cái</v>
      </c>
      <c r="E28" s="926">
        <f>Gia_Dcu!$F$7</f>
        <v>961.53846153846155</v>
      </c>
      <c r="F28" s="358">
        <f>Gia_Dcu!$D$7</f>
        <v>60</v>
      </c>
      <c r="G28" s="927">
        <v>6.5</v>
      </c>
      <c r="H28" s="384">
        <f t="shared" si="1"/>
        <v>6250</v>
      </c>
    </row>
    <row r="29" spans="1:8">
      <c r="B29" s="909">
        <v>3</v>
      </c>
      <c r="C29" s="560" t="s">
        <v>54</v>
      </c>
      <c r="D29" s="358" t="str">
        <f>Gia_Dcu!$C$8</f>
        <v>Cái</v>
      </c>
      <c r="E29" s="926">
        <f>Gia_Dcu!$F$8</f>
        <v>230.76923076923077</v>
      </c>
      <c r="F29" s="358">
        <f>Gia_Dcu!$D$8</f>
        <v>60</v>
      </c>
      <c r="G29" s="927">
        <v>19.5</v>
      </c>
      <c r="H29" s="384">
        <f t="shared" si="1"/>
        <v>4500</v>
      </c>
    </row>
    <row r="30" spans="1:8">
      <c r="B30" s="909">
        <v>4</v>
      </c>
      <c r="C30" s="560" t="s">
        <v>27</v>
      </c>
      <c r="D30" s="358" t="str">
        <f>Gia_Dcu!$C$9</f>
        <v>Cái</v>
      </c>
      <c r="E30" s="926">
        <f>Gia_Dcu!$F$9</f>
        <v>483.33333333333331</v>
      </c>
      <c r="F30" s="358">
        <f>Gia_Dcu!$D$9</f>
        <v>60</v>
      </c>
      <c r="G30" s="927">
        <v>19.5</v>
      </c>
      <c r="H30" s="384">
        <f t="shared" si="1"/>
        <v>9425</v>
      </c>
    </row>
    <row r="31" spans="1:8">
      <c r="B31" s="909">
        <v>5</v>
      </c>
      <c r="C31" s="560" t="s">
        <v>55</v>
      </c>
      <c r="D31" s="358" t="str">
        <f>Gia_Dcu!$C$10</f>
        <v>Cái</v>
      </c>
      <c r="E31" s="926">
        <f>Gia_Dcu!$F$10</f>
        <v>557.69230769230774</v>
      </c>
      <c r="F31" s="358">
        <f>Gia_Dcu!$D$10</f>
        <v>60</v>
      </c>
      <c r="G31" s="927">
        <v>4.875</v>
      </c>
      <c r="H31" s="384">
        <f t="shared" si="1"/>
        <v>2718.75</v>
      </c>
    </row>
    <row r="32" spans="1:8">
      <c r="B32" s="909">
        <v>6</v>
      </c>
      <c r="C32" s="560" t="s">
        <v>56</v>
      </c>
      <c r="D32" s="358" t="str">
        <f>Gia_Dcu!$C$11</f>
        <v>Cái</v>
      </c>
      <c r="E32" s="926">
        <f>Gia_Dcu!$F$11</f>
        <v>208.33333333333334</v>
      </c>
      <c r="F32" s="358">
        <f>Gia_Dcu!$D$11</f>
        <v>12</v>
      </c>
      <c r="G32" s="927">
        <v>19.5</v>
      </c>
      <c r="H32" s="384">
        <f t="shared" si="1"/>
        <v>4062.5</v>
      </c>
    </row>
    <row r="33" spans="1:8">
      <c r="B33" s="909">
        <v>7</v>
      </c>
      <c r="C33" s="560" t="s">
        <v>59</v>
      </c>
      <c r="D33" s="358" t="s">
        <v>907</v>
      </c>
      <c r="E33" s="926">
        <f>Gia_Dcu!$F$14</f>
        <v>13488</v>
      </c>
      <c r="F33" s="928"/>
      <c r="G33" s="927">
        <v>2.5350000000000001</v>
      </c>
      <c r="H33" s="384">
        <f>$E33*G33*100%</f>
        <v>34192.080000000002</v>
      </c>
    </row>
    <row r="34" spans="1:8">
      <c r="B34" s="870"/>
      <c r="C34" s="523" t="s">
        <v>156</v>
      </c>
      <c r="D34" s="945"/>
      <c r="E34" s="378"/>
      <c r="F34" s="523"/>
      <c r="G34" s="523"/>
      <c r="H34" s="378">
        <f>SUM(H27:H33)*1.05</f>
        <v>64294.340250000001</v>
      </c>
    </row>
    <row r="35" spans="1:8">
      <c r="F35" s="936"/>
    </row>
    <row r="36" spans="1:8" ht="31.5">
      <c r="B36" s="614" t="s">
        <v>14</v>
      </c>
      <c r="C36" s="614" t="s">
        <v>162</v>
      </c>
      <c r="D36" s="614" t="s">
        <v>21</v>
      </c>
      <c r="E36" s="614" t="s">
        <v>28</v>
      </c>
      <c r="F36" s="337" t="s">
        <v>779</v>
      </c>
    </row>
    <row r="37" spans="1:8">
      <c r="A37" s="517">
        <v>2</v>
      </c>
      <c r="B37" s="343">
        <f>NhanCong_Xa!B16</f>
        <v>1</v>
      </c>
      <c r="C37" s="523" t="str">
        <f>NhanCong_Xa!C16:C16</f>
        <v>Thu thập tài liệu, dữ liệu</v>
      </c>
      <c r="D37" s="870"/>
      <c r="E37" s="938"/>
      <c r="F37" s="361"/>
    </row>
    <row r="38" spans="1:8">
      <c r="A38" s="517" t="s">
        <v>827</v>
      </c>
      <c r="B38" s="870" t="str">
        <f>NhanCong_Xa!B17</f>
        <v>1.1</v>
      </c>
      <c r="C38" s="600" t="str">
        <f>NhanCong_Xa!C17</f>
        <v>Thu thập tài liệu, dữ liệu thống kê</v>
      </c>
      <c r="D38" s="870" t="str">
        <f>NhanCong_Xa!D17</f>
        <v>Năm TK</v>
      </c>
      <c r="E38" s="938">
        <v>0.1026</v>
      </c>
      <c r="F38" s="361">
        <f>E38*$H$34</f>
        <v>6596.5993096499997</v>
      </c>
    </row>
    <row r="39" spans="1:8">
      <c r="A39" s="517" t="s">
        <v>830</v>
      </c>
      <c r="B39" s="870" t="str">
        <f>NhanCong_Xa!B18</f>
        <v>1.2</v>
      </c>
      <c r="C39" s="600" t="str">
        <f>NhanCong_Xa!C18</f>
        <v>Thu thập tài liệu, dữ liệu kiểm kê</v>
      </c>
      <c r="D39" s="870" t="str">
        <f>NhanCong_Xa!D18</f>
        <v>Kỳ KK</v>
      </c>
      <c r="E39" s="938">
        <v>0.15379999999999999</v>
      </c>
      <c r="F39" s="361">
        <f>E39*$H$34</f>
        <v>9888.4695304500001</v>
      </c>
    </row>
    <row r="40" spans="1:8">
      <c r="A40" s="517">
        <v>3</v>
      </c>
      <c r="B40" s="343">
        <f>NhanCong_Xa!B19</f>
        <v>2</v>
      </c>
      <c r="C40" s="523" t="str">
        <f>NhanCong_Xa!C19:C19</f>
        <v>Rà soát, đánh giá, phân loại và sắp xếp tài liệu, dữ liệu</v>
      </c>
      <c r="D40" s="870"/>
      <c r="E40" s="938"/>
      <c r="F40" s="361"/>
    </row>
    <row r="41" spans="1:8" ht="47.25">
      <c r="A41" s="517" t="s">
        <v>771</v>
      </c>
      <c r="B41" s="870" t="str">
        <f>NhanCong_Xa!B20</f>
        <v>2.1</v>
      </c>
      <c r="C41" s="411" t="str">
        <f>NhanCong_Xa!C20</f>
        <v>Rà soát, đánh giá, phân loại và sắp xếp tài liệu, dữ liệu thống kê và lập báo cáo kết quản thực hiện</v>
      </c>
      <c r="D41" s="870" t="str">
        <f>NhanCong_Xa!D20</f>
        <v>Năm TK</v>
      </c>
      <c r="E41" s="938">
        <v>0.1026</v>
      </c>
      <c r="F41" s="361">
        <f>E41*$H$34</f>
        <v>6596.5993096499997</v>
      </c>
    </row>
    <row r="42" spans="1:8" ht="47.25">
      <c r="A42" s="517" t="s">
        <v>774</v>
      </c>
      <c r="B42" s="870" t="str">
        <f>NhanCong_Xa!B21</f>
        <v>2.2</v>
      </c>
      <c r="C42" s="411" t="str">
        <f>NhanCong_Xa!C21</f>
        <v>Rà soát, đánh giá, phân loại và sắp xếp tài liệu, dữ liệu kiểm kê và lập báo cáo kết quản thực hiện</v>
      </c>
      <c r="D42" s="870" t="str">
        <f>NhanCong_Xa!D21</f>
        <v>Kỳ KK</v>
      </c>
      <c r="E42" s="938">
        <v>0.25640000000000002</v>
      </c>
      <c r="F42" s="361">
        <f>E42*$H$34</f>
        <v>16485.068840100001</v>
      </c>
    </row>
    <row r="43" spans="1:8">
      <c r="A43" s="517">
        <v>5</v>
      </c>
      <c r="B43" s="343">
        <f>NhanCong_Xa!B22</f>
        <v>3</v>
      </c>
      <c r="C43" s="523" t="str">
        <f>NhanCong_Xa!C22:C22</f>
        <v>Quét giấy tờ pháp lý và xử lý tệp tin</v>
      </c>
      <c r="D43" s="870"/>
      <c r="E43" s="938"/>
      <c r="F43" s="361">
        <f>E43*$H$34</f>
        <v>0</v>
      </c>
    </row>
    <row r="44" spans="1:8" ht="110.25">
      <c r="B44" s="358" t="s">
        <v>771</v>
      </c>
      <c r="C44" s="406" t="s">
        <v>813</v>
      </c>
      <c r="D44" s="870"/>
      <c r="E44" s="938"/>
      <c r="F44" s="361"/>
    </row>
    <row r="45" spans="1:8">
      <c r="B45" s="358" t="s">
        <v>62</v>
      </c>
      <c r="C45" s="406" t="s">
        <v>569</v>
      </c>
      <c r="D45" s="870"/>
      <c r="E45" s="938"/>
      <c r="F45" s="361">
        <v>77.430000000000007</v>
      </c>
    </row>
    <row r="46" spans="1:8">
      <c r="B46" s="358" t="s">
        <v>63</v>
      </c>
      <c r="C46" s="406" t="s">
        <v>570</v>
      </c>
      <c r="D46" s="870"/>
      <c r="E46" s="938"/>
      <c r="F46" s="361">
        <v>76.540000000000006</v>
      </c>
    </row>
    <row r="47" spans="1:8" ht="110.25">
      <c r="B47" s="358" t="s">
        <v>774</v>
      </c>
      <c r="C47" s="406" t="s">
        <v>814</v>
      </c>
      <c r="D47" s="870"/>
      <c r="E47" s="938"/>
      <c r="F47" s="361">
        <v>56.31</v>
      </c>
    </row>
    <row r="48" spans="1:8" ht="47.25">
      <c r="A48" s="517" t="s">
        <v>869</v>
      </c>
      <c r="B48" s="870" t="str">
        <f>NhanCong_Xa!B27</f>
        <v>3.3</v>
      </c>
      <c r="C48" s="406" t="str">
        <f>NhanCong_Xa!C27:C27</f>
        <v>Tạo danh mục tra cứu hồ sơ quét trong cơ sở dữ liệu thống kê, kiểm kê đất đai</v>
      </c>
      <c r="D48" s="358" t="str">
        <f>NhanCong_Xa!D27</f>
        <v>Năm TK hoặc Kỳ KK</v>
      </c>
      <c r="E48" s="938">
        <v>5.1299999999999998E-2</v>
      </c>
      <c r="F48" s="361">
        <f>E48*$H$34</f>
        <v>3298.2996548249998</v>
      </c>
    </row>
    <row r="49" spans="1:8">
      <c r="A49" s="517">
        <v>6</v>
      </c>
      <c r="B49" s="343">
        <f>NhanCong_Xa!B28</f>
        <v>4</v>
      </c>
      <c r="C49" s="523" t="str">
        <f>NhanCong_Xa!C28:C28</f>
        <v>Xây dựng dữ liệu thuộc tính thống kê, kiểm kê đất đai</v>
      </c>
      <c r="D49" s="870"/>
      <c r="E49" s="938"/>
      <c r="F49" s="361"/>
    </row>
    <row r="50" spans="1:8">
      <c r="A50" s="517" t="s">
        <v>870</v>
      </c>
      <c r="B50" s="870" t="str">
        <f>NhanCong_Xa!B29</f>
        <v>4.1</v>
      </c>
      <c r="C50" s="411" t="str">
        <f>NhanCong_Xa!C29</f>
        <v>Đối với tài liệu, số liệu là bảng, biểu dạng số</v>
      </c>
      <c r="D50" s="870"/>
      <c r="E50" s="938"/>
      <c r="F50" s="361"/>
    </row>
    <row r="51" spans="1:8" ht="47.25" customHeight="1">
      <c r="A51" s="517" t="s">
        <v>871</v>
      </c>
      <c r="B51" s="870" t="str">
        <f>NhanCong_Xa!B30</f>
        <v>4.1.1</v>
      </c>
      <c r="C51" s="406" t="str">
        <f>NhanCong_Xa!C30:C30</f>
        <v>Lập mô hình chuyển đổi cơ sở dữ liệu thống kê, kiểm kê đất đai</v>
      </c>
      <c r="D51" s="358" t="str">
        <f>NhanCong_Xa!D30</f>
        <v>Năm TK hoặc Kỳ KK</v>
      </c>
      <c r="E51" s="938">
        <v>2.5600000000000001E-2</v>
      </c>
      <c r="F51" s="361">
        <f t="shared" ref="F51:F56" si="2">E51*$H$34</f>
        <v>1645.9351104000002</v>
      </c>
    </row>
    <row r="52" spans="1:8" ht="47.25">
      <c r="A52" s="517" t="s">
        <v>872</v>
      </c>
      <c r="B52" s="870" t="str">
        <f>NhanCong_Xa!B31</f>
        <v>4.1.2</v>
      </c>
      <c r="C52" s="406" t="str">
        <f>NhanCong_Xa!C31:C31</f>
        <v>Chuyển đổi vào cơ sở dữ liệu thống kê, kiểm kê đất đai</v>
      </c>
      <c r="D52" s="358" t="str">
        <f>NhanCong_Xa!D31</f>
        <v>Năm TK hoặc Kỳ KK</v>
      </c>
      <c r="E52" s="938">
        <v>5.1299999999999998E-2</v>
      </c>
      <c r="F52" s="361">
        <f t="shared" si="2"/>
        <v>3298.2996548249998</v>
      </c>
    </row>
    <row r="53" spans="1:8" ht="47.25">
      <c r="A53" s="517" t="s">
        <v>873</v>
      </c>
      <c r="B53" s="870" t="str">
        <f>NhanCong_Xa!B32</f>
        <v>4.2</v>
      </c>
      <c r="C53" s="406" t="str">
        <f>NhanCong_Xa!C32:C32</f>
        <v>Đối với tài liệu, số liệu là báo cáo dạng số thì tạo danh mục tra cứu trong cơ sở dữ liệu thống kê, kiểm kê đất đai</v>
      </c>
      <c r="D53" s="358" t="str">
        <f>NhanCong_Xa!D32</f>
        <v>Năm TK hoặc Kỳ KK</v>
      </c>
      <c r="E53" s="938">
        <v>7.6899999999999996E-2</v>
      </c>
      <c r="F53" s="361">
        <f t="shared" si="2"/>
        <v>4944.234765225</v>
      </c>
    </row>
    <row r="54" spans="1:8" ht="31.5">
      <c r="A54" s="517">
        <v>7</v>
      </c>
      <c r="B54" s="343">
        <f>NhanCong_Xa!B33</f>
        <v>5</v>
      </c>
      <c r="C54" s="407" t="str">
        <f>NhanCong_Xa!C33:C33</f>
        <v>Đối soát, hoàn thiện dữ liệu thống kê, kiểm kê đất đai</v>
      </c>
      <c r="D54" s="870" t="str">
        <f>NhanCong_Xa!D34</f>
        <v>Năm TK</v>
      </c>
      <c r="E54" s="938"/>
      <c r="F54" s="361">
        <f t="shared" si="2"/>
        <v>0</v>
      </c>
    </row>
    <row r="55" spans="1:8">
      <c r="A55" s="517" t="s">
        <v>874</v>
      </c>
      <c r="B55" s="870" t="str">
        <f>NhanCong_Xa!B34</f>
        <v>5.1</v>
      </c>
      <c r="C55" s="411" t="str">
        <f>NhanCong_Xa!C34</f>
        <v>Đối soát, hoàn thiện dữ liệu thống kê đất đai</v>
      </c>
      <c r="D55" s="870" t="str">
        <f>NhanCong_Xa!D34</f>
        <v>Năm TK</v>
      </c>
      <c r="E55" s="938">
        <v>5.1299999999999998E-2</v>
      </c>
      <c r="F55" s="361">
        <f t="shared" si="2"/>
        <v>3298.2996548249998</v>
      </c>
    </row>
    <row r="56" spans="1:8">
      <c r="A56" s="517" t="s">
        <v>875</v>
      </c>
      <c r="B56" s="870" t="str">
        <f>NhanCong_Xa!B35</f>
        <v>5.2</v>
      </c>
      <c r="C56" s="411" t="str">
        <f>NhanCong_Xa!C35</f>
        <v>Đối soát, hoàn thiện dữ liệu kiểm kê đất đai</v>
      </c>
      <c r="D56" s="870" t="str">
        <f>NhanCong_Xa!D35</f>
        <v>Kỳ KK</v>
      </c>
      <c r="E56" s="938">
        <v>0.12820000000000001</v>
      </c>
      <c r="F56" s="361">
        <f t="shared" si="2"/>
        <v>8242.5344200500003</v>
      </c>
    </row>
    <row r="57" spans="1:8">
      <c r="B57" s="756"/>
      <c r="C57" s="778"/>
      <c r="D57" s="756"/>
      <c r="E57" s="939">
        <f>SUM(E38:E56)</f>
        <v>0.99999999999999989</v>
      </c>
      <c r="F57" s="940">
        <f>SUM(F38:F56)</f>
        <v>64504.620250000007</v>
      </c>
    </row>
    <row r="58" spans="1:8">
      <c r="A58" s="761"/>
      <c r="B58" s="770"/>
      <c r="D58" s="770"/>
      <c r="E58" s="941"/>
      <c r="F58" s="948"/>
    </row>
    <row r="59" spans="1:8" ht="63">
      <c r="B59" s="614" t="s">
        <v>14</v>
      </c>
      <c r="C59" s="614" t="s">
        <v>2</v>
      </c>
      <c r="D59" s="614" t="s">
        <v>21</v>
      </c>
      <c r="E59" s="614" t="s">
        <v>103</v>
      </c>
      <c r="F59" s="614" t="s">
        <v>909</v>
      </c>
      <c r="G59" s="337" t="s">
        <v>898</v>
      </c>
      <c r="H59" s="337" t="s">
        <v>81</v>
      </c>
    </row>
    <row r="60" spans="1:8">
      <c r="B60" s="909">
        <v>1</v>
      </c>
      <c r="C60" s="560" t="s">
        <v>52</v>
      </c>
      <c r="D60" s="358" t="str">
        <f>Gia_Dcu!$C$6</f>
        <v>Cái</v>
      </c>
      <c r="E60" s="926">
        <f>Gia_Dcu!$F$6</f>
        <v>21.634615384615383</v>
      </c>
      <c r="F60" s="358">
        <f>Gia_Dcu!$D$6</f>
        <v>24</v>
      </c>
      <c r="G60" s="927">
        <v>5</v>
      </c>
      <c r="H60" s="384">
        <f t="shared" ref="H60:H65" si="3">$E60*G60</f>
        <v>108.17307692307692</v>
      </c>
    </row>
    <row r="61" spans="1:8">
      <c r="B61" s="909">
        <v>2</v>
      </c>
      <c r="C61" s="560" t="s">
        <v>53</v>
      </c>
      <c r="D61" s="358" t="str">
        <f>Gia_Dcu!$C$7</f>
        <v>Cái</v>
      </c>
      <c r="E61" s="926">
        <f>Gia_Dcu!$F$7</f>
        <v>961.53846153846155</v>
      </c>
      <c r="F61" s="358">
        <f>Gia_Dcu!$D$7</f>
        <v>60</v>
      </c>
      <c r="G61" s="927">
        <v>8.3332999999999995</v>
      </c>
      <c r="H61" s="384">
        <f t="shared" si="3"/>
        <v>8012.788461538461</v>
      </c>
    </row>
    <row r="62" spans="1:8">
      <c r="B62" s="909">
        <v>3</v>
      </c>
      <c r="C62" s="560" t="s">
        <v>54</v>
      </c>
      <c r="D62" s="358" t="str">
        <f>Gia_Dcu!$C$8</f>
        <v>Cái</v>
      </c>
      <c r="E62" s="926">
        <f>Gia_Dcu!$F$8</f>
        <v>230.76923076923077</v>
      </c>
      <c r="F62" s="358">
        <f>Gia_Dcu!$D$8</f>
        <v>60</v>
      </c>
      <c r="G62" s="927">
        <v>25</v>
      </c>
      <c r="H62" s="384">
        <f t="shared" si="3"/>
        <v>5769.2307692307695</v>
      </c>
    </row>
    <row r="63" spans="1:8">
      <c r="B63" s="909">
        <v>4</v>
      </c>
      <c r="C63" s="560" t="s">
        <v>27</v>
      </c>
      <c r="D63" s="358" t="str">
        <f>Gia_Dcu!$C$9</f>
        <v>Cái</v>
      </c>
      <c r="E63" s="926">
        <f>Gia_Dcu!$F$9</f>
        <v>483.33333333333331</v>
      </c>
      <c r="F63" s="358">
        <f>Gia_Dcu!$D$9</f>
        <v>60</v>
      </c>
      <c r="G63" s="927">
        <v>25</v>
      </c>
      <c r="H63" s="384">
        <f t="shared" si="3"/>
        <v>12083.333333333332</v>
      </c>
    </row>
    <row r="64" spans="1:8">
      <c r="B64" s="909">
        <v>5</v>
      </c>
      <c r="C64" s="560" t="s">
        <v>55</v>
      </c>
      <c r="D64" s="358" t="str">
        <f>Gia_Dcu!$C$10</f>
        <v>Cái</v>
      </c>
      <c r="E64" s="926">
        <f>Gia_Dcu!$F$10</f>
        <v>557.69230769230774</v>
      </c>
      <c r="F64" s="358">
        <f>Gia_Dcu!$D$10</f>
        <v>60</v>
      </c>
      <c r="G64" s="927">
        <v>6.25</v>
      </c>
      <c r="H64" s="384">
        <f t="shared" si="3"/>
        <v>3485.5769230769233</v>
      </c>
    </row>
    <row r="65" spans="1:8">
      <c r="B65" s="909">
        <v>6</v>
      </c>
      <c r="C65" s="560" t="s">
        <v>56</v>
      </c>
      <c r="D65" s="358" t="str">
        <f>Gia_Dcu!$C$11</f>
        <v>Cái</v>
      </c>
      <c r="E65" s="926">
        <f>Gia_Dcu!$F$11</f>
        <v>208.33333333333334</v>
      </c>
      <c r="F65" s="358">
        <f>Gia_Dcu!$D$11</f>
        <v>12</v>
      </c>
      <c r="G65" s="927">
        <v>25</v>
      </c>
      <c r="H65" s="384">
        <f t="shared" si="3"/>
        <v>5208.3333333333339</v>
      </c>
    </row>
    <row r="66" spans="1:8">
      <c r="B66" s="909">
        <v>7</v>
      </c>
      <c r="C66" s="560" t="s">
        <v>59</v>
      </c>
      <c r="D66" s="358" t="s">
        <v>907</v>
      </c>
      <c r="E66" s="926">
        <f>Gia_Dcu!$F$14</f>
        <v>13488</v>
      </c>
      <c r="F66" s="928"/>
      <c r="G66" s="927">
        <v>3.25</v>
      </c>
      <c r="H66" s="384">
        <f>$E66*G66*100%</f>
        <v>43836</v>
      </c>
    </row>
    <row r="67" spans="1:8">
      <c r="B67" s="870"/>
      <c r="C67" s="523" t="s">
        <v>156</v>
      </c>
      <c r="D67" s="945"/>
      <c r="E67" s="378"/>
      <c r="F67" s="523"/>
      <c r="G67" s="523"/>
      <c r="H67" s="378">
        <f>SUM(H60:H66)*1.05</f>
        <v>82428.607692307705</v>
      </c>
    </row>
    <row r="68" spans="1:8">
      <c r="F68" s="936"/>
    </row>
    <row r="69" spans="1:8" ht="31.5">
      <c r="B69" s="614" t="s">
        <v>14</v>
      </c>
      <c r="C69" s="614" t="s">
        <v>162</v>
      </c>
      <c r="D69" s="614" t="s">
        <v>21</v>
      </c>
      <c r="E69" s="614" t="s">
        <v>28</v>
      </c>
      <c r="F69" s="337" t="s">
        <v>779</v>
      </c>
    </row>
    <row r="70" spans="1:8" ht="31.5">
      <c r="A70" s="517" t="s">
        <v>553</v>
      </c>
      <c r="B70" s="870">
        <f>NhanCong_Xa!B39</f>
        <v>1</v>
      </c>
      <c r="C70" s="406" t="str">
        <f>NhanCong_Xa!C39:C39</f>
        <v>Chuẩn hóa các lớp đối tượng không gian kiểm kê đất đai</v>
      </c>
      <c r="D70" s="870"/>
      <c r="E70" s="938"/>
      <c r="F70" s="361"/>
    </row>
    <row r="71" spans="1:8" ht="78.75">
      <c r="A71" s="517" t="s">
        <v>69</v>
      </c>
      <c r="B71" s="870" t="str">
        <f>NhanCong_Xa!B40</f>
        <v>1.1</v>
      </c>
      <c r="C71" s="406"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D71" s="358" t="str">
        <f>NhanCong_Xa!D40</f>
        <v>Lớp dữ liệu</v>
      </c>
      <c r="E71" s="938">
        <v>0.2</v>
      </c>
      <c r="F71" s="361">
        <f t="shared" ref="F71:F77" si="4">E71*$H$67</f>
        <v>16485.721538461541</v>
      </c>
    </row>
    <row r="72" spans="1:8" ht="31.5">
      <c r="A72" s="517" t="s">
        <v>70</v>
      </c>
      <c r="B72" s="870" t="str">
        <f>NhanCong_Xa!B41</f>
        <v>1.2</v>
      </c>
      <c r="C72" s="406" t="str">
        <f>NhanCong_Xa!C41:C41</f>
        <v>Chuẩn hóa các lớp đối tượng không gian kiểm kê đất đai chưa phù hợp</v>
      </c>
      <c r="D72" s="358" t="str">
        <f>NhanCong_Xa!D41</f>
        <v>Lớp dữ liệu</v>
      </c>
      <c r="E72" s="938">
        <v>0.28000000000000003</v>
      </c>
      <c r="F72" s="361">
        <f t="shared" si="4"/>
        <v>23080.01015384616</v>
      </c>
      <c r="G72" s="949"/>
    </row>
    <row r="73" spans="1:8" ht="47.25">
      <c r="A73" s="517" t="s">
        <v>691</v>
      </c>
      <c r="B73" s="870" t="str">
        <f>NhanCong_Xa!B42</f>
        <v>1.3</v>
      </c>
      <c r="C73" s="406" t="str">
        <f>NhanCong_Xa!C42:C42</f>
        <v>Nhập bổ sung các thông tin thuộc tính cho đối tượng không gian kiểm kê đất đai còn thiếu (nếu có)</v>
      </c>
      <c r="D73" s="358" t="str">
        <f>NhanCong_Xa!D42</f>
        <v>Lớp dữ liệu</v>
      </c>
      <c r="E73" s="938">
        <v>0.04</v>
      </c>
      <c r="F73" s="361">
        <f t="shared" si="4"/>
        <v>3297.1443076923083</v>
      </c>
    </row>
    <row r="74" spans="1:8" ht="31.5">
      <c r="A74" s="517" t="s">
        <v>694</v>
      </c>
      <c r="B74" s="870" t="str">
        <f>NhanCong_Xa!B43</f>
        <v>1.4</v>
      </c>
      <c r="C74" s="406" t="str">
        <f>NhanCong_Xa!C43:C43</f>
        <v>Rà soát chuẩn hóa thông tin thuộc tính cho từng đối tượng không gian kiểm kê đất đai</v>
      </c>
      <c r="D74" s="358" t="str">
        <f>NhanCong_Xa!D43</f>
        <v>Lớp dữ liệu</v>
      </c>
      <c r="E74" s="938">
        <v>0.28000000000000003</v>
      </c>
      <c r="F74" s="361">
        <f t="shared" si="4"/>
        <v>23080.01015384616</v>
      </c>
    </row>
    <row r="75" spans="1:8" ht="31.5">
      <c r="A75" s="517" t="s">
        <v>864</v>
      </c>
      <c r="B75" s="870">
        <f>NhanCong_Xa!B44</f>
        <v>2</v>
      </c>
      <c r="C75" s="406" t="str">
        <f>NhanCong_Xa!C44:C44</f>
        <v>Chuyển đổi và tích hợp không gian kiểm kê đất đai</v>
      </c>
      <c r="D75" s="358" t="str">
        <f>NhanCong_Xa!D43</f>
        <v>Lớp dữ liệu</v>
      </c>
      <c r="E75" s="938"/>
      <c r="F75" s="361">
        <f t="shared" si="4"/>
        <v>0</v>
      </c>
    </row>
    <row r="76" spans="1:8" ht="47.25">
      <c r="A76" s="517" t="s">
        <v>865</v>
      </c>
      <c r="B76" s="870" t="str">
        <f>NhanCong_Xa!B45</f>
        <v>2.1</v>
      </c>
      <c r="C76" s="406" t="str">
        <f>NhanCong_Xa!C45:C45</f>
        <v>Chuyển đổi các lớp đối tượng không gian kiểm kê đất đai từ tệp (File) bản đồ số vào cơ sở dữ liệu theo đơn vị hành chính</v>
      </c>
      <c r="D76" s="358" t="str">
        <f>NhanCong_Xa!D45</f>
        <v>Lớp dữ liệu</v>
      </c>
      <c r="E76" s="938">
        <v>0.08</v>
      </c>
      <c r="F76" s="361">
        <f t="shared" si="4"/>
        <v>6594.2886153846166</v>
      </c>
    </row>
    <row r="77" spans="1:8" ht="47.25">
      <c r="A77" s="517" t="s">
        <v>866</v>
      </c>
      <c r="B77" s="870" t="str">
        <f>NhanCong_Xa!B46</f>
        <v>2.2</v>
      </c>
      <c r="C77" s="406" t="str">
        <f>NhanCong_Xa!C46:C46</f>
        <v>Rà soát dữ liệu không gian để xử lý các lỗi dọc biên giữa các đơn vị hành chính tiếp giáp nhau</v>
      </c>
      <c r="D77" s="358" t="str">
        <f>NhanCong_Xa!D46</f>
        <v>Lớp dữ liệu</v>
      </c>
      <c r="E77" s="938">
        <v>0.12</v>
      </c>
      <c r="F77" s="361">
        <f t="shared" si="4"/>
        <v>9891.4329230769235</v>
      </c>
    </row>
    <row r="78" spans="1:8">
      <c r="B78" s="870"/>
      <c r="C78" s="406"/>
      <c r="D78" s="358"/>
      <c r="E78" s="938">
        <f>SUM(E71:E77)</f>
        <v>1</v>
      </c>
      <c r="F78" s="950">
        <f>SUM(F71:F77)</f>
        <v>82428.607692307705</v>
      </c>
    </row>
  </sheetData>
  <mergeCells count="1">
    <mergeCell ref="B1:H1"/>
  </mergeCells>
  <printOptions horizontalCentered="1"/>
  <pageMargins left="0.655511811" right="0.118110236220472" top="0.31496062992126" bottom="0.31496062992126" header="0.511811023622047" footer="0.23622047244094499"/>
  <pageSetup paperSize="9" orientation="portrait" horizontalDpi="1200" verticalDpi="1200"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7"/>
  <sheetViews>
    <sheetView zoomScale="84" zoomScaleNormal="84" workbookViewId="0">
      <selection activeCell="J11" sqref="J11"/>
    </sheetView>
  </sheetViews>
  <sheetFormatPr defaultColWidth="9" defaultRowHeight="15.75"/>
  <cols>
    <col min="1" max="1" width="4.625" style="518" customWidth="1"/>
    <col min="2" max="2" width="38.375" style="517" customWidth="1"/>
    <col min="3" max="3" width="7" style="522" customWidth="1"/>
    <col min="4" max="4" width="12.75" style="520" customWidth="1"/>
    <col min="5" max="5" width="10.5" style="530" customWidth="1"/>
    <col min="6" max="6" width="9.875" style="520" customWidth="1"/>
    <col min="7" max="16384" width="9" style="517"/>
  </cols>
  <sheetData>
    <row r="1" spans="1:6">
      <c r="A1" s="1197" t="s">
        <v>1008</v>
      </c>
      <c r="B1" s="1197"/>
      <c r="C1" s="1197"/>
      <c r="D1" s="1197"/>
      <c r="E1" s="1197"/>
      <c r="F1" s="1197"/>
    </row>
    <row r="2" spans="1:6">
      <c r="C2" s="519"/>
      <c r="D2" s="520" t="s">
        <v>78</v>
      </c>
      <c r="E2" s="529" t="s">
        <v>79</v>
      </c>
      <c r="F2" s="520" t="s">
        <v>1009</v>
      </c>
    </row>
    <row r="3" spans="1:6" s="521" customFormat="1" ht="47.25">
      <c r="A3" s="614" t="s">
        <v>14</v>
      </c>
      <c r="B3" s="614" t="s">
        <v>3</v>
      </c>
      <c r="C3" s="614" t="s">
        <v>21</v>
      </c>
      <c r="D3" s="346" t="str">
        <f>Dcu_Tinh!G3</f>
        <v>Định mức
(tính cho 01 tỉnh)</v>
      </c>
      <c r="E3" s="563" t="s">
        <v>19</v>
      </c>
      <c r="F3" s="1052" t="s">
        <v>601</v>
      </c>
    </row>
    <row r="4" spans="1:6">
      <c r="A4" s="358">
        <v>1</v>
      </c>
      <c r="B4" s="584" t="s">
        <v>85</v>
      </c>
      <c r="C4" s="671" t="str">
        <f>Gia_VLieu!$C$4</f>
        <v>Gram</v>
      </c>
      <c r="D4" s="915">
        <v>0.76400000000000001</v>
      </c>
      <c r="E4" s="585">
        <f>Gia_VLieu!$D$4</f>
        <v>45000</v>
      </c>
      <c r="F4" s="1053">
        <f>E4*D4</f>
        <v>34380</v>
      </c>
    </row>
    <row r="5" spans="1:6">
      <c r="A5" s="358">
        <v>2</v>
      </c>
      <c r="B5" s="584" t="s">
        <v>86</v>
      </c>
      <c r="C5" s="671" t="str">
        <f>Gia_VLieu!$C$5</f>
        <v>Hộp</v>
      </c>
      <c r="D5" s="915">
        <v>9.5000000000000001E-2</v>
      </c>
      <c r="E5" s="585">
        <f>Gia_VLieu!$D$5</f>
        <v>1450000</v>
      </c>
      <c r="F5" s="1053">
        <f t="shared" ref="F5:F10" si="0">E5*D5</f>
        <v>137750</v>
      </c>
    </row>
    <row r="6" spans="1:6">
      <c r="A6" s="358">
        <v>3</v>
      </c>
      <c r="B6" s="584" t="s">
        <v>88</v>
      </c>
      <c r="C6" s="671" t="str">
        <f>Gia_VLieu!$C$6</f>
        <v>Quyển</v>
      </c>
      <c r="D6" s="915">
        <v>1.528</v>
      </c>
      <c r="E6" s="585">
        <f>Gia_VLieu!$D$6</f>
        <v>10000</v>
      </c>
      <c r="F6" s="1053">
        <f t="shared" si="0"/>
        <v>15280</v>
      </c>
    </row>
    <row r="7" spans="1:6">
      <c r="A7" s="358">
        <v>4</v>
      </c>
      <c r="B7" s="584" t="s">
        <v>22</v>
      </c>
      <c r="C7" s="671" t="str">
        <f>Gia_VLieu!$C$7</f>
        <v>Cái</v>
      </c>
      <c r="D7" s="915">
        <v>3.819</v>
      </c>
      <c r="E7" s="585">
        <f>Gia_VLieu!$D$7</f>
        <v>2000</v>
      </c>
      <c r="F7" s="1053">
        <f t="shared" si="0"/>
        <v>7638</v>
      </c>
    </row>
    <row r="8" spans="1:6">
      <c r="A8" s="358">
        <v>5</v>
      </c>
      <c r="B8" s="584" t="s">
        <v>90</v>
      </c>
      <c r="C8" s="671" t="str">
        <f>Gia_VLieu!$C$8</f>
        <v>Cái</v>
      </c>
      <c r="D8" s="915">
        <v>1.909</v>
      </c>
      <c r="E8" s="585">
        <f>Gia_VLieu!$D$9</f>
        <v>10000</v>
      </c>
      <c r="F8" s="1053">
        <f t="shared" si="0"/>
        <v>19090</v>
      </c>
    </row>
    <row r="9" spans="1:6">
      <c r="A9" s="358">
        <v>6</v>
      </c>
      <c r="B9" s="584" t="s">
        <v>91</v>
      </c>
      <c r="C9" s="671" t="str">
        <f>Gia_VLieu!$C$10</f>
        <v>Hộp</v>
      </c>
      <c r="D9" s="915">
        <v>0.76400000000000001</v>
      </c>
      <c r="E9" s="585">
        <f>Gia_VLieu!$D$10</f>
        <v>2500</v>
      </c>
      <c r="F9" s="1053">
        <f t="shared" si="0"/>
        <v>1910</v>
      </c>
    </row>
    <row r="10" spans="1:6">
      <c r="A10" s="358">
        <v>7</v>
      </c>
      <c r="B10" s="584" t="s">
        <v>92</v>
      </c>
      <c r="C10" s="671" t="str">
        <f>Gia_VLieu!$C$11</f>
        <v>Hộp</v>
      </c>
      <c r="D10" s="915">
        <v>0.38200000000000001</v>
      </c>
      <c r="E10" s="585">
        <f>Gia_VLieu!$D$12</f>
        <v>8000</v>
      </c>
      <c r="F10" s="1053">
        <f t="shared" si="0"/>
        <v>3056</v>
      </c>
    </row>
    <row r="11" spans="1:6">
      <c r="A11" s="358">
        <v>8</v>
      </c>
      <c r="B11" s="584" t="s">
        <v>94</v>
      </c>
      <c r="C11" s="671" t="str">
        <f>Gia_VLieu!$C$13</f>
        <v>Cái</v>
      </c>
      <c r="D11" s="915">
        <v>1.909</v>
      </c>
      <c r="E11" s="585">
        <f>Gia_VLieu!$D$13</f>
        <v>15000</v>
      </c>
      <c r="F11" s="1053">
        <f>E11*D11</f>
        <v>28635</v>
      </c>
    </row>
    <row r="12" spans="1:6">
      <c r="A12" s="870"/>
      <c r="B12" s="525" t="s">
        <v>979</v>
      </c>
      <c r="C12" s="870"/>
      <c r="D12" s="525"/>
      <c r="E12" s="525"/>
      <c r="F12" s="1054">
        <f>SUM(F4:F11)*108%</f>
        <v>267558.12</v>
      </c>
    </row>
    <row r="15" spans="1:6">
      <c r="A15" s="614" t="s">
        <v>14</v>
      </c>
      <c r="B15" s="614" t="s">
        <v>162</v>
      </c>
      <c r="C15" s="346" t="s">
        <v>28</v>
      </c>
      <c r="D15" s="564" t="s">
        <v>20</v>
      </c>
      <c r="E15" s="517"/>
    </row>
    <row r="16" spans="1:6">
      <c r="A16" s="343">
        <f>NhanCong_Xa!B4</f>
        <v>1</v>
      </c>
      <c r="B16" s="523" t="str">
        <f>NhanCong_Xa!C4:C4</f>
        <v>Công tác chuẩn bị</v>
      </c>
      <c r="C16" s="525"/>
      <c r="D16" s="565"/>
      <c r="E16" s="517"/>
    </row>
    <row r="17" spans="1:6" ht="94.5">
      <c r="A17" s="870" t="str">
        <f>NhanCong_Xa!B5</f>
        <v>1.1</v>
      </c>
      <c r="B17" s="406" t="str">
        <f>NhanCong_Xa!C5:C5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C17" s="526">
        <v>0.1905</v>
      </c>
      <c r="D17" s="565">
        <f>C17*F$12</f>
        <v>50969.821859999996</v>
      </c>
      <c r="E17" s="517"/>
    </row>
    <row r="18" spans="1:6" ht="63">
      <c r="A18" s="870" t="str">
        <f>NhanCong_Xa!B6</f>
        <v>1.2</v>
      </c>
      <c r="B18" s="406" t="str">
        <f>NhanCong_Xa!C6:C6</f>
        <v>Chuẩn bị nhân lực, địa điểm làm việc; Chuẩn bị vật tư, thiết bị, dụng cụ, phần mềm phục vụ cho công tác xây dựng cơ sở dữ liệu thống kê, kiểm kê đất đai</v>
      </c>
      <c r="C18" s="526">
        <v>0.1905</v>
      </c>
      <c r="D18" s="565">
        <f t="shared" ref="D18:D24" si="1">C18*F$12</f>
        <v>50969.821859999996</v>
      </c>
      <c r="E18" s="517"/>
    </row>
    <row r="19" spans="1:6">
      <c r="A19" s="343">
        <f>NhanCong_Xa!B7</f>
        <v>2</v>
      </c>
      <c r="B19" s="523" t="str">
        <f>NhanCong_Xa!C7:C7</f>
        <v>Xây dựng siêu dữ liệu thống kê, kiểm kê đất đai</v>
      </c>
      <c r="C19" s="526"/>
      <c r="D19" s="565">
        <f t="shared" si="1"/>
        <v>0</v>
      </c>
      <c r="E19" s="517"/>
    </row>
    <row r="20" spans="1:6" ht="47.25">
      <c r="A20" s="870" t="str">
        <f>NhanCong_Xa!B8</f>
        <v>2.1</v>
      </c>
      <c r="B20" s="406" t="str">
        <f>NhanCong_Xa!C8:C8</f>
        <v>Thu nhận các thông tin cần thiết để xây dựng siêu dữ liệu (thông tin mô tả dữ liệu) thống kê, kiểm kê đất đai</v>
      </c>
      <c r="C20" s="526">
        <v>9.5200000000000007E-2</v>
      </c>
      <c r="D20" s="565">
        <f t="shared" si="1"/>
        <v>25471.533024</v>
      </c>
      <c r="E20" s="517"/>
    </row>
    <row r="21" spans="1:6">
      <c r="A21" s="870" t="str">
        <f>NhanCong_Xa!B9</f>
        <v>2.2</v>
      </c>
      <c r="B21" s="406" t="str">
        <f>NhanCong_Xa!C9:C9</f>
        <v>Nhập thông tin siêu dữ liệu kiểm kê đất đai</v>
      </c>
      <c r="C21" s="526">
        <v>4.7600000000000003E-2</v>
      </c>
      <c r="D21" s="565">
        <f t="shared" si="1"/>
        <v>12735.766512</v>
      </c>
      <c r="E21" s="517"/>
    </row>
    <row r="22" spans="1:6" ht="31.5">
      <c r="A22" s="343">
        <f>NhanCong_Xa!B10</f>
        <v>3</v>
      </c>
      <c r="B22" s="407" t="str">
        <f>NhanCong_Xa!C10:C10</f>
        <v>Phục vụ kiểm tra, nghiệm thu cơ sở dữ liệu thống kê, kiểm kê đất đai</v>
      </c>
      <c r="C22" s="526"/>
      <c r="D22" s="565">
        <f t="shared" si="1"/>
        <v>0</v>
      </c>
      <c r="E22" s="517"/>
    </row>
    <row r="23" spans="1:6" ht="31.5">
      <c r="A23" s="870" t="str">
        <f>NhanCong_Xa!B11</f>
        <v>3.1</v>
      </c>
      <c r="B23" s="406" t="str">
        <f>NhanCong_Xa!C11:C11</f>
        <v>Đơn vị thi công chuẩn bị tài liệu và phục vụ giám sát kiểm tra, nghiệm thu.</v>
      </c>
      <c r="C23" s="526">
        <v>9.5200000000000007E-2</v>
      </c>
      <c r="D23" s="565">
        <f t="shared" si="1"/>
        <v>25471.533024</v>
      </c>
      <c r="E23" s="517"/>
    </row>
    <row r="24" spans="1:6" ht="63">
      <c r="A24" s="870" t="str">
        <f>NhanCong_Xa!B12</f>
        <v>3.2</v>
      </c>
      <c r="B24" s="406" t="str">
        <f>NhanCong_Xa!C12:C12</f>
        <v>Thực hiện kiểm tra tổng thể cơ sở dữ liệu thống kê, kiểm kê đất đai và tích hợp vào hệ thống ngay sau khi được nghiệm thu để phục vụ quản lý, vận hành, khai thác sử dụng.</v>
      </c>
      <c r="C24" s="526">
        <v>0.2858</v>
      </c>
      <c r="D24" s="565">
        <f t="shared" si="1"/>
        <v>76468.110696000003</v>
      </c>
      <c r="E24" s="517"/>
    </row>
    <row r="25" spans="1:6">
      <c r="A25" s="870" t="str">
        <f>NhanCong_Xa!B13</f>
        <v>3.3</v>
      </c>
      <c r="B25" s="600" t="str">
        <f>NhanCong_Xa!C13</f>
        <v>Đóng gói giao nộp cơ sở dữ liệu thống kê, kiểm kê đất đai</v>
      </c>
      <c r="C25" s="526">
        <v>9.5200000000000007E-2</v>
      </c>
      <c r="D25" s="565">
        <f>C25*F$12</f>
        <v>25471.533024</v>
      </c>
      <c r="E25" s="517"/>
    </row>
    <row r="26" spans="1:6">
      <c r="A26" s="920"/>
      <c r="B26" s="1165"/>
      <c r="C26" s="1169">
        <f>SUM(C17:C25)</f>
        <v>1</v>
      </c>
      <c r="D26" s="1170">
        <f>SUM(D17:D25)</f>
        <v>267558.12</v>
      </c>
      <c r="E26" s="517"/>
    </row>
    <row r="27" spans="1:6">
      <c r="A27" s="756"/>
      <c r="B27" s="757"/>
      <c r="C27" s="759"/>
      <c r="D27" s="755"/>
      <c r="E27" s="772"/>
      <c r="F27" s="775"/>
    </row>
    <row r="28" spans="1:6">
      <c r="A28" s="762"/>
      <c r="B28" s="763"/>
      <c r="C28" s="765"/>
      <c r="D28" s="761"/>
      <c r="E28" s="764"/>
      <c r="F28" s="767"/>
    </row>
    <row r="29" spans="1:6" ht="78.75">
      <c r="A29" s="916" t="s">
        <v>14</v>
      </c>
      <c r="B29" s="916" t="str">
        <f>B3</f>
        <v>Danh mục vật liệu</v>
      </c>
      <c r="C29" s="916" t="s">
        <v>21</v>
      </c>
      <c r="D29" s="346" t="str">
        <f>Dcu_Tinh!G26</f>
        <v>Định mức
(tính cho 01 kỳ kk hoặc 01 năm thống kê)</v>
      </c>
      <c r="E29" s="563" t="s">
        <v>19</v>
      </c>
      <c r="F29" s="1052" t="s">
        <v>601</v>
      </c>
    </row>
    <row r="30" spans="1:6">
      <c r="A30" s="358">
        <v>1</v>
      </c>
      <c r="B30" s="584" t="s">
        <v>85</v>
      </c>
      <c r="C30" s="671" t="str">
        <f>Gia_VLieu!$C$4</f>
        <v>Gram</v>
      </c>
      <c r="D30" s="915">
        <v>1.4179999999999999</v>
      </c>
      <c r="E30" s="585">
        <f>Gia_VLieu!$D$4</f>
        <v>45000</v>
      </c>
      <c r="F30" s="1053">
        <f t="shared" ref="F30:F37" si="2">E30*D30</f>
        <v>63810</v>
      </c>
    </row>
    <row r="31" spans="1:6">
      <c r="A31" s="358">
        <v>2</v>
      </c>
      <c r="B31" s="584" t="s">
        <v>86</v>
      </c>
      <c r="C31" s="671" t="str">
        <f>Gia_VLieu!$C$5</f>
        <v>Hộp</v>
      </c>
      <c r="D31" s="915">
        <v>0.17699999999999999</v>
      </c>
      <c r="E31" s="585">
        <f>Gia_VLieu!$D$5</f>
        <v>1450000</v>
      </c>
      <c r="F31" s="1053">
        <f t="shared" si="2"/>
        <v>256650</v>
      </c>
    </row>
    <row r="32" spans="1:6">
      <c r="A32" s="358">
        <v>3</v>
      </c>
      <c r="B32" s="584" t="s">
        <v>88</v>
      </c>
      <c r="C32" s="671" t="str">
        <f>Gia_VLieu!$C$6</f>
        <v>Quyển</v>
      </c>
      <c r="D32" s="915">
        <v>2.8370000000000002</v>
      </c>
      <c r="E32" s="585">
        <f>Gia_VLieu!$D$6</f>
        <v>10000</v>
      </c>
      <c r="F32" s="1053">
        <f t="shared" si="2"/>
        <v>28370.000000000004</v>
      </c>
    </row>
    <row r="33" spans="1:6">
      <c r="A33" s="358">
        <v>4</v>
      </c>
      <c r="B33" s="584" t="s">
        <v>22</v>
      </c>
      <c r="C33" s="671" t="str">
        <f>Gia_VLieu!$C$7</f>
        <v>Cái</v>
      </c>
      <c r="D33" s="915">
        <v>7.0919999999999996</v>
      </c>
      <c r="E33" s="585">
        <f>Gia_VLieu!$D$7</f>
        <v>2000</v>
      </c>
      <c r="F33" s="1053">
        <f t="shared" si="2"/>
        <v>14184</v>
      </c>
    </row>
    <row r="34" spans="1:6">
      <c r="A34" s="358">
        <v>5</v>
      </c>
      <c r="B34" s="584" t="s">
        <v>90</v>
      </c>
      <c r="C34" s="671" t="str">
        <f>Gia_VLieu!$C$8</f>
        <v>Cái</v>
      </c>
      <c r="D34" s="915">
        <v>3.5459999999999998</v>
      </c>
      <c r="E34" s="585">
        <f>Gia_VLieu!$D$9</f>
        <v>10000</v>
      </c>
      <c r="F34" s="1053">
        <f t="shared" si="2"/>
        <v>35460</v>
      </c>
    </row>
    <row r="35" spans="1:6">
      <c r="A35" s="358">
        <v>6</v>
      </c>
      <c r="B35" s="584" t="s">
        <v>91</v>
      </c>
      <c r="C35" s="671" t="str">
        <f>Gia_VLieu!$C$10</f>
        <v>Hộp</v>
      </c>
      <c r="D35" s="915">
        <v>1.4179999999999999</v>
      </c>
      <c r="E35" s="585">
        <f>Gia_VLieu!$D$10</f>
        <v>2500</v>
      </c>
      <c r="F35" s="1053">
        <f t="shared" si="2"/>
        <v>3545</v>
      </c>
    </row>
    <row r="36" spans="1:6">
      <c r="A36" s="358">
        <v>7</v>
      </c>
      <c r="B36" s="584" t="s">
        <v>92</v>
      </c>
      <c r="C36" s="671" t="str">
        <f>Gia_VLieu!$C$11</f>
        <v>Hộp</v>
      </c>
      <c r="D36" s="915">
        <v>0.70899999999999996</v>
      </c>
      <c r="E36" s="585">
        <f>Gia_VLieu!$D$12</f>
        <v>8000</v>
      </c>
      <c r="F36" s="1053">
        <f t="shared" si="2"/>
        <v>5672</v>
      </c>
    </row>
    <row r="37" spans="1:6">
      <c r="A37" s="358">
        <v>8</v>
      </c>
      <c r="B37" s="584" t="s">
        <v>94</v>
      </c>
      <c r="C37" s="671" t="str">
        <f>Gia_VLieu!$C$13</f>
        <v>Cái</v>
      </c>
      <c r="D37" s="915">
        <v>3.5459999999999998</v>
      </c>
      <c r="E37" s="585">
        <f>Gia_VLieu!$D$13</f>
        <v>15000</v>
      </c>
      <c r="F37" s="1053">
        <f t="shared" si="2"/>
        <v>53190</v>
      </c>
    </row>
    <row r="38" spans="1:6">
      <c r="B38" s="525" t="s">
        <v>979</v>
      </c>
      <c r="C38" s="870"/>
      <c r="D38" s="525"/>
      <c r="E38" s="525"/>
      <c r="F38" s="1054">
        <f>SUM(F30:F37)*108%</f>
        <v>497751.48000000004</v>
      </c>
    </row>
    <row r="41" spans="1:6">
      <c r="A41" s="614" t="s">
        <v>14</v>
      </c>
      <c r="B41" s="614" t="str">
        <f>B15</f>
        <v>Nội dung công việc</v>
      </c>
      <c r="C41" s="346" t="s">
        <v>28</v>
      </c>
      <c r="D41" s="564" t="s">
        <v>20</v>
      </c>
      <c r="E41" s="517"/>
    </row>
    <row r="42" spans="1:6">
      <c r="A42" s="343">
        <f>NhanCong_Xa!B16</f>
        <v>1</v>
      </c>
      <c r="B42" s="620" t="str">
        <f>NhanCong_Xa!C16:C16</f>
        <v>Thu thập tài liệu, dữ liệu</v>
      </c>
      <c r="C42" s="526"/>
      <c r="D42" s="565"/>
      <c r="E42" s="517"/>
    </row>
    <row r="43" spans="1:6">
      <c r="A43" s="870" t="str">
        <f>NhanCong_Xa!B17</f>
        <v>1.1</v>
      </c>
      <c r="B43" s="600" t="str">
        <f>NhanCong_Xa!C17</f>
        <v>Thu thập tài liệu, dữ liệu thống kê</v>
      </c>
      <c r="C43" s="526">
        <v>0.1026</v>
      </c>
      <c r="D43" s="565">
        <f t="shared" ref="D43:D61" si="3">C43*$F$38</f>
        <v>51069.301848000003</v>
      </c>
      <c r="E43" s="517"/>
    </row>
    <row r="44" spans="1:6">
      <c r="A44" s="870" t="str">
        <f>NhanCong_Xa!B18</f>
        <v>1.2</v>
      </c>
      <c r="B44" s="600" t="str">
        <f>NhanCong_Xa!C18</f>
        <v>Thu thập tài liệu, dữ liệu kiểm kê</v>
      </c>
      <c r="C44" s="526">
        <v>0.15379999999999999</v>
      </c>
      <c r="D44" s="565">
        <f t="shared" si="3"/>
        <v>76554.177624000004</v>
      </c>
      <c r="E44" s="517"/>
    </row>
    <row r="45" spans="1:6">
      <c r="A45" s="343">
        <f>NhanCong_Xa!B19</f>
        <v>2</v>
      </c>
      <c r="B45" s="620" t="str">
        <f>NhanCong_Xa!C19:C19</f>
        <v>Rà soát, đánh giá, phân loại và sắp xếp tài liệu, dữ liệu</v>
      </c>
      <c r="C45" s="526"/>
      <c r="D45" s="565">
        <f t="shared" si="3"/>
        <v>0</v>
      </c>
      <c r="E45" s="517"/>
    </row>
    <row r="46" spans="1:6" s="522" customFormat="1" ht="47.25">
      <c r="A46" s="870" t="str">
        <f>NhanCong_Xa!B20</f>
        <v>2.1</v>
      </c>
      <c r="B46" s="411" t="str">
        <f>NhanCong_Xa!C20</f>
        <v>Rà soát, đánh giá, phân loại và sắp xếp tài liệu, dữ liệu thống kê và lập báo cáo kết quản thực hiện</v>
      </c>
      <c r="C46" s="526">
        <v>0.1026</v>
      </c>
      <c r="D46" s="565">
        <f t="shared" si="3"/>
        <v>51069.301848000003</v>
      </c>
      <c r="F46" s="520"/>
    </row>
    <row r="47" spans="1:6" ht="47.25">
      <c r="A47" s="870" t="str">
        <f>NhanCong_Xa!B21</f>
        <v>2.2</v>
      </c>
      <c r="B47" s="411" t="str">
        <f>NhanCong_Xa!C21</f>
        <v>Rà soát, đánh giá, phân loại và sắp xếp tài liệu, dữ liệu kiểm kê và lập báo cáo kết quản thực hiện</v>
      </c>
      <c r="C47" s="526">
        <v>0.25640000000000002</v>
      </c>
      <c r="D47" s="565">
        <f t="shared" si="3"/>
        <v>127623.47947200002</v>
      </c>
      <c r="E47" s="517"/>
    </row>
    <row r="48" spans="1:6">
      <c r="A48" s="343">
        <f>NhanCong_Xa!B22</f>
        <v>3</v>
      </c>
      <c r="B48" s="620" t="str">
        <f>NhanCong_Xa!C22:C22</f>
        <v>Quét giấy tờ pháp lý và xử lý tệp tin</v>
      </c>
      <c r="C48" s="526"/>
      <c r="D48" s="565"/>
      <c r="E48" s="517"/>
    </row>
    <row r="49" spans="1:5" ht="110.25">
      <c r="A49" s="358" t="s">
        <v>771</v>
      </c>
      <c r="B49" s="411" t="s">
        <v>813</v>
      </c>
      <c r="C49" s="917"/>
      <c r="D49" s="918"/>
      <c r="E49" s="517"/>
    </row>
    <row r="50" spans="1:5" ht="31.5">
      <c r="A50" s="358" t="s">
        <v>62</v>
      </c>
      <c r="B50" s="411" t="s">
        <v>569</v>
      </c>
      <c r="C50" s="917"/>
      <c r="D50" s="918">
        <f>+'Vat-lieu_Huyen'!E50</f>
        <v>399.05</v>
      </c>
      <c r="E50" s="517"/>
    </row>
    <row r="51" spans="1:5" ht="31.5">
      <c r="A51" s="358" t="s">
        <v>63</v>
      </c>
      <c r="B51" s="411" t="s">
        <v>570</v>
      </c>
      <c r="C51" s="917"/>
      <c r="D51" s="918">
        <f>+'Vat-lieu_Huyen'!E51</f>
        <v>386.3</v>
      </c>
      <c r="E51" s="517"/>
    </row>
    <row r="52" spans="1:5" ht="110.25">
      <c r="A52" s="358" t="s">
        <v>774</v>
      </c>
      <c r="B52" s="411" t="s">
        <v>814</v>
      </c>
      <c r="C52" s="917"/>
      <c r="D52" s="918">
        <f>+'Vat-lieu_Huyen'!E52</f>
        <v>340.2</v>
      </c>
      <c r="E52" s="517"/>
    </row>
    <row r="53" spans="1:5" ht="31.5">
      <c r="A53" s="870" t="str">
        <f>NhanCong_Xa!B27</f>
        <v>3.3</v>
      </c>
      <c r="B53" s="411" t="str">
        <f>NhanCong_Xa!C27:C27</f>
        <v>Tạo danh mục tra cứu hồ sơ quét trong cơ sở dữ liệu thống kê, kiểm kê đất đai</v>
      </c>
      <c r="C53" s="526">
        <v>5.1299999999999998E-2</v>
      </c>
      <c r="D53" s="565">
        <f t="shared" si="3"/>
        <v>25534.650924000001</v>
      </c>
      <c r="E53" s="517"/>
    </row>
    <row r="54" spans="1:5">
      <c r="A54" s="343">
        <f>NhanCong_Xa!B28</f>
        <v>4</v>
      </c>
      <c r="B54" s="620" t="str">
        <f>NhanCong_Xa!C28:C28</f>
        <v>Xây dựng dữ liệu thuộc tính thống kê, kiểm kê đất đai</v>
      </c>
      <c r="C54" s="526"/>
      <c r="D54" s="565">
        <f t="shared" si="3"/>
        <v>0</v>
      </c>
      <c r="E54" s="517"/>
    </row>
    <row r="55" spans="1:5">
      <c r="A55" s="870" t="str">
        <f>NhanCong_Xa!B29</f>
        <v>4.1</v>
      </c>
      <c r="B55" s="411" t="str">
        <f>NhanCong_Xa!C29</f>
        <v>Đối với tài liệu, số liệu là bảng, biểu dạng số</v>
      </c>
      <c r="C55" s="526"/>
      <c r="D55" s="565">
        <f t="shared" si="3"/>
        <v>0</v>
      </c>
      <c r="E55" s="517"/>
    </row>
    <row r="56" spans="1:5">
      <c r="A56" s="870" t="str">
        <f>NhanCong_Xa!B30</f>
        <v>4.1.1</v>
      </c>
      <c r="B56" s="600" t="str">
        <f>NhanCong_Xa!C30:C30</f>
        <v>Lập mô hình chuyển đổi cơ sở dữ liệu thống kê, kiểm kê đất đai</v>
      </c>
      <c r="C56" s="526">
        <v>2.5600000000000001E-2</v>
      </c>
      <c r="D56" s="565">
        <f t="shared" si="3"/>
        <v>12742.437888000002</v>
      </c>
      <c r="E56" s="517"/>
    </row>
    <row r="57" spans="1:5" ht="31.5">
      <c r="A57" s="870" t="str">
        <f>NhanCong_Xa!B31</f>
        <v>4.1.2</v>
      </c>
      <c r="B57" s="411" t="str">
        <f>NhanCong_Xa!C31:C31</f>
        <v>Chuyển đổi vào cơ sở dữ liệu thống kê, kiểm kê đất đai</v>
      </c>
      <c r="C57" s="526">
        <v>5.1299999999999998E-2</v>
      </c>
      <c r="D57" s="565">
        <f t="shared" si="3"/>
        <v>25534.650924000001</v>
      </c>
      <c r="E57" s="517"/>
    </row>
    <row r="58" spans="1:5" ht="47.25">
      <c r="A58" s="870" t="str">
        <f>NhanCong_Xa!B32</f>
        <v>4.2</v>
      </c>
      <c r="B58" s="411" t="str">
        <f>NhanCong_Xa!C32:C32</f>
        <v>Đối với tài liệu, số liệu là báo cáo dạng số thì tạo danh mục tra cứu trong cơ sở dữ liệu thống kê, kiểm kê đất đai</v>
      </c>
      <c r="C58" s="526">
        <v>7.6899999999999996E-2</v>
      </c>
      <c r="D58" s="565">
        <f t="shared" si="3"/>
        <v>38277.088812000002</v>
      </c>
      <c r="E58" s="517"/>
    </row>
    <row r="59" spans="1:5" ht="31.5">
      <c r="A59" s="343">
        <f>NhanCong_Xa!B33</f>
        <v>5</v>
      </c>
      <c r="B59" s="919" t="str">
        <f>NhanCong_Xa!C33:C33</f>
        <v>Đối soát, hoàn thiện dữ liệu thống kê, kiểm kê đất đai</v>
      </c>
      <c r="C59" s="526"/>
      <c r="D59" s="565">
        <f t="shared" si="3"/>
        <v>0</v>
      </c>
      <c r="E59" s="517"/>
    </row>
    <row r="60" spans="1:5">
      <c r="A60" s="870" t="str">
        <f>NhanCong_Xa!B34</f>
        <v>5.1</v>
      </c>
      <c r="B60" s="600" t="str">
        <f>NhanCong_Xa!C34</f>
        <v>Đối soát, hoàn thiện dữ liệu thống kê đất đai</v>
      </c>
      <c r="C60" s="526">
        <v>5.1299999999999998E-2</v>
      </c>
      <c r="D60" s="565">
        <f t="shared" si="3"/>
        <v>25534.650924000001</v>
      </c>
      <c r="E60" s="517"/>
    </row>
    <row r="61" spans="1:5">
      <c r="A61" s="920" t="str">
        <f>NhanCong_Xa!B35</f>
        <v>5.2</v>
      </c>
      <c r="B61" s="921" t="str">
        <f>NhanCong_Xa!C35</f>
        <v>Đối soát, hoàn thiện dữ liệu kiểm kê đất đai</v>
      </c>
      <c r="C61" s="922">
        <v>0.12820000000000001</v>
      </c>
      <c r="D61" s="923">
        <f t="shared" si="3"/>
        <v>63811.73973600001</v>
      </c>
      <c r="E61" s="789"/>
    </row>
    <row r="62" spans="1:5">
      <c r="A62" s="756"/>
      <c r="B62" s="778"/>
      <c r="C62" s="759">
        <f>SUM(C43:C61)</f>
        <v>0.99999999999999989</v>
      </c>
      <c r="D62" s="758">
        <f>SUM(D43:D61)</f>
        <v>498877.03000000009</v>
      </c>
      <c r="E62" s="769"/>
    </row>
    <row r="63" spans="1:5">
      <c r="A63" s="770"/>
      <c r="B63" s="781"/>
      <c r="C63" s="773"/>
      <c r="D63" s="769"/>
      <c r="E63" s="772"/>
    </row>
    <row r="64" spans="1:5">
      <c r="A64" s="762"/>
      <c r="B64" s="785"/>
      <c r="C64" s="765"/>
      <c r="D64" s="761"/>
      <c r="E64" s="764"/>
    </row>
    <row r="65" spans="1:6" ht="47.25">
      <c r="A65" s="916" t="s">
        <v>14</v>
      </c>
      <c r="B65" s="916" t="str">
        <f>B29</f>
        <v>Danh mục vật liệu</v>
      </c>
      <c r="C65" s="916" t="s">
        <v>21</v>
      </c>
      <c r="D65" s="346" t="str">
        <f>Dcu_Tinh!G59</f>
        <v>Định mức
(tính cho 01 lớp dữ liệu)</v>
      </c>
      <c r="E65" s="563" t="s">
        <v>19</v>
      </c>
      <c r="F65" s="1052" t="s">
        <v>601</v>
      </c>
    </row>
    <row r="66" spans="1:6">
      <c r="A66" s="358">
        <v>1</v>
      </c>
      <c r="B66" s="584" t="s">
        <v>85</v>
      </c>
      <c r="C66" s="671" t="str">
        <f>Gia_VLieu!$C$4</f>
        <v>Gram</v>
      </c>
      <c r="D66" s="915">
        <v>1.8180000000000001</v>
      </c>
      <c r="E66" s="585">
        <f>Gia_VLieu!$D$4</f>
        <v>45000</v>
      </c>
      <c r="F66" s="1053">
        <f t="shared" ref="F66:F73" si="4">E66*D66</f>
        <v>81810</v>
      </c>
    </row>
    <row r="67" spans="1:6">
      <c r="A67" s="358">
        <v>2</v>
      </c>
      <c r="B67" s="584" t="s">
        <v>86</v>
      </c>
      <c r="C67" s="671" t="str">
        <f>Gia_VLieu!$C$5</f>
        <v>Hộp</v>
      </c>
      <c r="D67" s="915">
        <v>0.22700000000000001</v>
      </c>
      <c r="E67" s="585">
        <f>Gia_VLieu!$D$5</f>
        <v>1450000</v>
      </c>
      <c r="F67" s="1053">
        <f t="shared" si="4"/>
        <v>329150</v>
      </c>
    </row>
    <row r="68" spans="1:6">
      <c r="A68" s="358">
        <v>3</v>
      </c>
      <c r="B68" s="584" t="s">
        <v>88</v>
      </c>
      <c r="C68" s="671" t="str">
        <f>Gia_VLieu!$C$6</f>
        <v>Quyển</v>
      </c>
      <c r="D68" s="915">
        <v>3.6360000000000001</v>
      </c>
      <c r="E68" s="585">
        <f>Gia_VLieu!$D$6</f>
        <v>10000</v>
      </c>
      <c r="F68" s="1053">
        <f t="shared" si="4"/>
        <v>36360</v>
      </c>
    </row>
    <row r="69" spans="1:6">
      <c r="A69" s="358">
        <v>4</v>
      </c>
      <c r="B69" s="584" t="s">
        <v>22</v>
      </c>
      <c r="C69" s="671" t="str">
        <f>Gia_VLieu!$C$7</f>
        <v>Cái</v>
      </c>
      <c r="D69" s="915">
        <v>9.0890000000000004</v>
      </c>
      <c r="E69" s="585">
        <f>Gia_VLieu!$D$7</f>
        <v>2000</v>
      </c>
      <c r="F69" s="1053">
        <f t="shared" si="4"/>
        <v>18178</v>
      </c>
    </row>
    <row r="70" spans="1:6">
      <c r="A70" s="358">
        <v>5</v>
      </c>
      <c r="B70" s="584" t="s">
        <v>90</v>
      </c>
      <c r="C70" s="671" t="str">
        <f>Gia_VLieu!$C$8</f>
        <v>Cái</v>
      </c>
      <c r="D70" s="915">
        <v>4.5449999999999999</v>
      </c>
      <c r="E70" s="585">
        <f>Gia_VLieu!$D$9</f>
        <v>10000</v>
      </c>
      <c r="F70" s="1053">
        <f t="shared" si="4"/>
        <v>45450</v>
      </c>
    </row>
    <row r="71" spans="1:6">
      <c r="A71" s="358">
        <v>6</v>
      </c>
      <c r="B71" s="584" t="s">
        <v>91</v>
      </c>
      <c r="C71" s="671" t="str">
        <f>Gia_VLieu!$C$10</f>
        <v>Hộp</v>
      </c>
      <c r="D71" s="915">
        <v>1.8180000000000001</v>
      </c>
      <c r="E71" s="585">
        <f>Gia_VLieu!$D$10</f>
        <v>2500</v>
      </c>
      <c r="F71" s="1053">
        <f t="shared" si="4"/>
        <v>4545</v>
      </c>
    </row>
    <row r="72" spans="1:6">
      <c r="A72" s="358">
        <v>7</v>
      </c>
      <c r="B72" s="584" t="s">
        <v>92</v>
      </c>
      <c r="C72" s="671" t="str">
        <f>Gia_VLieu!$C$11</f>
        <v>Hộp</v>
      </c>
      <c r="D72" s="915">
        <v>0.90900000000000003</v>
      </c>
      <c r="E72" s="585">
        <f>Gia_VLieu!$D$12</f>
        <v>8000</v>
      </c>
      <c r="F72" s="1053">
        <f t="shared" si="4"/>
        <v>7272</v>
      </c>
    </row>
    <row r="73" spans="1:6">
      <c r="A73" s="358">
        <v>8</v>
      </c>
      <c r="B73" s="584" t="s">
        <v>94</v>
      </c>
      <c r="C73" s="671" t="str">
        <f>Gia_VLieu!$C$13</f>
        <v>Cái</v>
      </c>
      <c r="D73" s="915">
        <v>4.5449999999999999</v>
      </c>
      <c r="E73" s="585">
        <f>Gia_VLieu!$D$13</f>
        <v>15000</v>
      </c>
      <c r="F73" s="1053">
        <f t="shared" si="4"/>
        <v>68175</v>
      </c>
    </row>
    <row r="74" spans="1:6">
      <c r="A74" s="1164"/>
      <c r="B74" s="525" t="s">
        <v>979</v>
      </c>
      <c r="C74" s="870"/>
      <c r="D74" s="525"/>
      <c r="E74" s="525"/>
      <c r="F74" s="1054">
        <f>SUM(F66:F73)*108%</f>
        <v>638215.20000000007</v>
      </c>
    </row>
    <row r="75" spans="1:6">
      <c r="D75" s="637"/>
    </row>
    <row r="76" spans="1:6">
      <c r="D76" s="637"/>
    </row>
    <row r="77" spans="1:6">
      <c r="A77" s="614" t="s">
        <v>14</v>
      </c>
      <c r="B77" s="614" t="str">
        <f>B15</f>
        <v>Nội dung công việc</v>
      </c>
      <c r="C77" s="346" t="s">
        <v>28</v>
      </c>
      <c r="D77" s="564" t="s">
        <v>20</v>
      </c>
      <c r="E77" s="517"/>
    </row>
    <row r="78" spans="1:6" ht="31.5">
      <c r="A78" s="870">
        <f>NhanCong_Xa!B39</f>
        <v>1</v>
      </c>
      <c r="B78" s="411" t="str">
        <f>NhanCong_Xa!C39:C39</f>
        <v>Chuẩn hóa các lớp đối tượng không gian kiểm kê đất đai</v>
      </c>
      <c r="C78" s="526"/>
      <c r="D78" s="565"/>
      <c r="E78" s="517"/>
    </row>
    <row r="79" spans="1:6" ht="78.75">
      <c r="A79" s="339" t="str">
        <f>NhanCong_Xa!B40</f>
        <v>1.1</v>
      </c>
      <c r="B79" s="411" t="str">
        <f>NhanCong_Xa!C40:C40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C79" s="526">
        <v>0.2</v>
      </c>
      <c r="D79" s="1009">
        <f>C79*$F$74</f>
        <v>127643.04000000002</v>
      </c>
      <c r="E79" s="517"/>
    </row>
    <row r="80" spans="1:6" ht="31.5">
      <c r="A80" s="870" t="str">
        <f>NhanCong_Xa!B41</f>
        <v>1.2</v>
      </c>
      <c r="B80" s="411" t="str">
        <f>NhanCong_Xa!C41:C41</f>
        <v>Chuẩn hóa các lớp đối tượng không gian kiểm kê đất đai chưa phù hợp</v>
      </c>
      <c r="C80" s="526">
        <v>0.28000000000000003</v>
      </c>
      <c r="D80" s="1009">
        <f t="shared" ref="D80:D85" si="5">C80*$F$74</f>
        <v>178700.25600000002</v>
      </c>
      <c r="E80" s="517"/>
    </row>
    <row r="81" spans="1:5" ht="47.25">
      <c r="A81" s="870" t="str">
        <f>NhanCong_Xa!B42</f>
        <v>1.3</v>
      </c>
      <c r="B81" s="411" t="str">
        <f>NhanCong_Xa!C42:C42</f>
        <v>Nhập bổ sung các thông tin thuộc tính cho đối tượng không gian kiểm kê đất đai còn thiếu (nếu có)</v>
      </c>
      <c r="C81" s="526">
        <v>0.04</v>
      </c>
      <c r="D81" s="1009">
        <f t="shared" si="5"/>
        <v>25528.608000000004</v>
      </c>
      <c r="E81" s="517"/>
    </row>
    <row r="82" spans="1:5" ht="31.5">
      <c r="A82" s="870" t="str">
        <f>NhanCong_Xa!B43</f>
        <v>1.4</v>
      </c>
      <c r="B82" s="411" t="str">
        <f>NhanCong_Xa!C43:C43</f>
        <v>Rà soát chuẩn hóa thông tin thuộc tính cho từng đối tượng không gian kiểm kê đất đai</v>
      </c>
      <c r="C82" s="526">
        <v>0.28000000000000003</v>
      </c>
      <c r="D82" s="1009">
        <f t="shared" si="5"/>
        <v>178700.25600000002</v>
      </c>
      <c r="E82" s="517"/>
    </row>
    <row r="83" spans="1:5">
      <c r="A83" s="870">
        <f>NhanCong_Xa!B44</f>
        <v>2</v>
      </c>
      <c r="B83" s="600" t="str">
        <f>NhanCong_Xa!C44:C44</f>
        <v>Chuyển đổi và tích hợp không gian kiểm kê đất đai</v>
      </c>
      <c r="C83" s="526"/>
      <c r="D83" s="1009">
        <f t="shared" si="5"/>
        <v>0</v>
      </c>
      <c r="E83" s="517"/>
    </row>
    <row r="84" spans="1:5" ht="47.25">
      <c r="A84" s="870" t="str">
        <f>NhanCong_Xa!B45</f>
        <v>2.1</v>
      </c>
      <c r="B84" s="411" t="str">
        <f>NhanCong_Xa!C45:C45</f>
        <v>Chuyển đổi các lớp đối tượng không gian kiểm kê đất đai từ tệp (File) bản đồ số vào cơ sở dữ liệu theo đơn vị hành chính</v>
      </c>
      <c r="C84" s="526">
        <v>0.08</v>
      </c>
      <c r="D84" s="1009">
        <f t="shared" si="5"/>
        <v>51057.216000000008</v>
      </c>
      <c r="E84" s="517"/>
    </row>
    <row r="85" spans="1:5" ht="31.5">
      <c r="A85" s="870" t="str">
        <f>NhanCong_Xa!B46</f>
        <v>2.2</v>
      </c>
      <c r="B85" s="411" t="str">
        <f>NhanCong_Xa!C46:C46</f>
        <v>Rà soát dữ liệu không gian để xử lý các lỗi dọc biên giữa các đơn vị hành chính tiếp giáp nhau</v>
      </c>
      <c r="C85" s="526">
        <v>0.12</v>
      </c>
      <c r="D85" s="1009">
        <f t="shared" si="5"/>
        <v>76585.824000000008</v>
      </c>
      <c r="E85" s="517"/>
    </row>
    <row r="86" spans="1:5">
      <c r="A86" s="870"/>
      <c r="B86" s="406"/>
      <c r="C86" s="638">
        <f>SUM(C79:C85)</f>
        <v>1</v>
      </c>
      <c r="D86" s="1009">
        <f>SUM(D79:D85)</f>
        <v>638215.20000000007</v>
      </c>
      <c r="E86" s="517"/>
    </row>
    <row r="87" spans="1:5">
      <c r="D87" s="520">
        <f>+D86+D62+D26</f>
        <v>1404650.35</v>
      </c>
    </row>
  </sheetData>
  <mergeCells count="1">
    <mergeCell ref="A1:F1"/>
  </mergeCells>
  <pageMargins left="0.9055118110236221" right="0.11811023622047245" top="0.35433070866141736" bottom="0.35433070866141736" header="0.31496062992125984" footer="0.11811023622047245"/>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9"/>
  <sheetViews>
    <sheetView zoomScaleNormal="100" workbookViewId="0">
      <pane xSplit="3" ySplit="5" topLeftCell="D68" activePane="bottomRight" state="frozen"/>
      <selection pane="topRight" activeCell="E1" sqref="E1"/>
      <selection pane="bottomLeft" activeCell="A5" sqref="A5"/>
      <selection pane="bottomRight" activeCell="Q6" sqref="Q6"/>
    </sheetView>
  </sheetViews>
  <sheetFormatPr defaultColWidth="8.875" defaultRowHeight="12.75"/>
  <cols>
    <col min="1" max="1" width="4.875" style="892" customWidth="1"/>
    <col min="2" max="2" width="34.625" style="894" customWidth="1"/>
    <col min="3" max="3" width="9.25" style="834" customWidth="1"/>
    <col min="4" max="4" width="10.125" style="834" customWidth="1"/>
    <col min="5" max="5" width="7.375" style="834" customWidth="1"/>
    <col min="6" max="6" width="9" style="834" customWidth="1"/>
    <col min="7" max="7" width="8.875" style="834" customWidth="1"/>
    <col min="8" max="8" width="9.625" style="835" customWidth="1"/>
    <col min="9" max="9" width="9.625" style="833" customWidth="1"/>
    <col min="10" max="10" width="9.375" style="834" customWidth="1"/>
    <col min="11" max="11" width="9.625" style="833" customWidth="1"/>
    <col min="12" max="12" width="10.5" style="834" hidden="1" customWidth="1"/>
    <col min="13" max="13" width="9.625" style="823" hidden="1" customWidth="1"/>
    <col min="14" max="14" width="10.375" style="823" hidden="1" customWidth="1"/>
    <col min="15" max="16" width="8.875" style="823" customWidth="1"/>
    <col min="17" max="16384" width="8.875" style="823"/>
  </cols>
  <sheetData>
    <row r="1" spans="1:14" ht="16.5">
      <c r="A1" s="1256" t="s">
        <v>992</v>
      </c>
      <c r="B1" s="1256"/>
      <c r="C1" s="1256"/>
      <c r="D1" s="1256"/>
      <c r="E1" s="1256"/>
      <c r="F1" s="1256"/>
      <c r="G1" s="1256"/>
      <c r="H1" s="1256"/>
      <c r="I1" s="1256"/>
      <c r="J1" s="1256"/>
      <c r="K1" s="1256"/>
      <c r="L1" s="1256"/>
    </row>
    <row r="2" spans="1:14" ht="13.5">
      <c r="B2" s="824"/>
      <c r="C2" s="824"/>
      <c r="D2" s="824"/>
      <c r="E2" s="824"/>
      <c r="F2" s="824"/>
      <c r="G2" s="824"/>
      <c r="H2" s="824"/>
      <c r="I2" s="824"/>
      <c r="J2" s="1257" t="s">
        <v>602</v>
      </c>
      <c r="K2" s="1257"/>
      <c r="L2" s="1257"/>
      <c r="M2" s="824"/>
      <c r="N2" s="824"/>
    </row>
    <row r="3" spans="1:14" ht="17.25" customHeight="1">
      <c r="A3" s="1258" t="s">
        <v>14</v>
      </c>
      <c r="B3" s="1261" t="s">
        <v>162</v>
      </c>
      <c r="C3" s="1222" t="s">
        <v>604</v>
      </c>
      <c r="D3" s="1221" t="s">
        <v>609</v>
      </c>
      <c r="E3" s="1221"/>
      <c r="F3" s="1221"/>
      <c r="G3" s="1221"/>
      <c r="H3" s="1221"/>
      <c r="I3" s="1221"/>
      <c r="J3" s="1209" t="s">
        <v>610</v>
      </c>
      <c r="K3" s="1209" t="s">
        <v>611</v>
      </c>
      <c r="L3" s="1209" t="s">
        <v>991</v>
      </c>
      <c r="M3" s="825"/>
      <c r="N3" s="825"/>
    </row>
    <row r="4" spans="1:14" ht="21" customHeight="1">
      <c r="A4" s="1259"/>
      <c r="B4" s="1262"/>
      <c r="C4" s="1222"/>
      <c r="D4" s="1222" t="s">
        <v>605</v>
      </c>
      <c r="E4" s="1209" t="s">
        <v>606</v>
      </c>
      <c r="F4" s="1209" t="s">
        <v>607</v>
      </c>
      <c r="G4" s="1221" t="s">
        <v>608</v>
      </c>
      <c r="H4" s="1221"/>
      <c r="I4" s="1222" t="s">
        <v>156</v>
      </c>
      <c r="J4" s="1209"/>
      <c r="K4" s="1209"/>
      <c r="L4" s="1209"/>
      <c r="M4" s="1254" t="s">
        <v>837</v>
      </c>
      <c r="N4" s="1255" t="s">
        <v>20</v>
      </c>
    </row>
    <row r="5" spans="1:14" ht="51" customHeight="1">
      <c r="A5" s="1260"/>
      <c r="B5" s="1263"/>
      <c r="C5" s="1222"/>
      <c r="D5" s="1222"/>
      <c r="E5" s="1209"/>
      <c r="F5" s="1209"/>
      <c r="G5" s="874" t="s">
        <v>615</v>
      </c>
      <c r="H5" s="463" t="s">
        <v>616</v>
      </c>
      <c r="I5" s="1222"/>
      <c r="J5" s="1209"/>
      <c r="K5" s="1209" t="s">
        <v>613</v>
      </c>
      <c r="L5" s="1209" t="s">
        <v>613</v>
      </c>
      <c r="M5" s="1254"/>
      <c r="N5" s="1255"/>
    </row>
    <row r="6" spans="1:14">
      <c r="A6" s="873">
        <v>-1</v>
      </c>
      <c r="B6" s="893">
        <v>-2</v>
      </c>
      <c r="C6" s="873">
        <v>-3</v>
      </c>
      <c r="D6" s="873">
        <v>-4</v>
      </c>
      <c r="E6" s="873">
        <v>-5</v>
      </c>
      <c r="F6" s="873">
        <v>-6</v>
      </c>
      <c r="G6" s="873">
        <v>-7</v>
      </c>
      <c r="H6" s="893">
        <v>-8</v>
      </c>
      <c r="I6" s="873">
        <v>-9</v>
      </c>
      <c r="J6" s="873">
        <v>-10</v>
      </c>
      <c r="K6" s="893">
        <v>-11</v>
      </c>
      <c r="L6" s="873">
        <v>-12</v>
      </c>
      <c r="M6" s="826" t="s">
        <v>941</v>
      </c>
      <c r="N6" s="827" t="s">
        <v>942</v>
      </c>
    </row>
    <row r="7" spans="1:14" ht="15.75">
      <c r="A7" s="874">
        <v>1</v>
      </c>
      <c r="B7" s="466" t="str">
        <f>NhanCong_Xa!C4</f>
        <v>Công tác chuẩn bị</v>
      </c>
      <c r="C7" s="463"/>
      <c r="D7" s="464"/>
      <c r="E7" s="465"/>
      <c r="F7" s="465"/>
      <c r="G7" s="465"/>
      <c r="H7" s="465"/>
      <c r="I7" s="470"/>
      <c r="J7" s="464"/>
      <c r="K7" s="464"/>
      <c r="L7" s="464"/>
      <c r="M7" s="828"/>
      <c r="N7" s="829"/>
    </row>
    <row r="8" spans="1:14" ht="102" customHeight="1">
      <c r="A8" s="693" t="s">
        <v>767</v>
      </c>
      <c r="B8" s="598"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C8" s="468" t="s">
        <v>943</v>
      </c>
      <c r="D8" s="470">
        <f>+NhanCong_Tinh!H5</f>
        <v>767539.11538461526</v>
      </c>
      <c r="E8" s="470">
        <f>+Dcu_Tinh!F15</f>
        <v>6595.1155941057714</v>
      </c>
      <c r="F8" s="470">
        <f>+'Vat-lieu_Tinh'!D17</f>
        <v>50969.821859999996</v>
      </c>
      <c r="G8" s="470">
        <f>+'Thiet-bi_Tinh'!J5</f>
        <v>6799.9</v>
      </c>
      <c r="H8" s="470">
        <f>+'Thiet-bi_Tinh'!K5</f>
        <v>12588.350399999999</v>
      </c>
      <c r="I8" s="470">
        <f>SUM(D8:H8)</f>
        <v>844492.3032387211</v>
      </c>
      <c r="J8" s="470">
        <f t="shared" ref="J8:J9" si="0">I8*0.15</f>
        <v>126673.84548580815</v>
      </c>
      <c r="K8" s="470">
        <f>I8+J8</f>
        <v>971166.14872452919</v>
      </c>
      <c r="L8" s="470">
        <f>K8-G8</f>
        <v>964366.24872452917</v>
      </c>
      <c r="M8" s="830">
        <v>1</v>
      </c>
      <c r="N8" s="831">
        <f>L8*M8</f>
        <v>964366.24872452917</v>
      </c>
    </row>
    <row r="9" spans="1:14" ht="65.25" customHeight="1">
      <c r="A9" s="693" t="s">
        <v>768</v>
      </c>
      <c r="B9" s="598" t="str">
        <f>NhanCong_Xa!C6</f>
        <v>Chuẩn bị nhân lực, địa điểm làm việc; Chuẩn bị vật tư, thiết bị, dụng cụ, phần mềm phục vụ cho công tác xây dựng cơ sở dữ liệu thống kê, kiểm kê đất đai</v>
      </c>
      <c r="C9" s="468" t="s">
        <v>943</v>
      </c>
      <c r="D9" s="470">
        <f>+NhanCong_Tinh!H6</f>
        <v>730736.11538461538</v>
      </c>
      <c r="E9" s="470">
        <f>+Dcu_Tinh!F16</f>
        <v>6595.1155941057714</v>
      </c>
      <c r="F9" s="470">
        <f>+'Vat-lieu_Tinh'!D18</f>
        <v>50969.821859999996</v>
      </c>
      <c r="G9" s="470">
        <f>+'Thiet-bi_Tinh'!J9</f>
        <v>6799.9</v>
      </c>
      <c r="H9" s="470">
        <f>+'Thiet-bi_Tinh'!K9</f>
        <v>12588.350399999999</v>
      </c>
      <c r="I9" s="470">
        <f>SUM(D9:H9)</f>
        <v>807689.30323872122</v>
      </c>
      <c r="J9" s="470">
        <f t="shared" si="0"/>
        <v>121153.39548580817</v>
      </c>
      <c r="K9" s="470">
        <f t="shared" ref="K9" si="1">I9+J9</f>
        <v>928842.69872452936</v>
      </c>
      <c r="L9" s="470">
        <f t="shared" ref="L9" si="2">K9-G9</f>
        <v>922042.79872452933</v>
      </c>
      <c r="M9" s="830">
        <v>1</v>
      </c>
      <c r="N9" s="831">
        <f>L9*M9</f>
        <v>922042.79872452933</v>
      </c>
    </row>
    <row r="10" spans="1:14" ht="15.75">
      <c r="A10" s="874">
        <v>2</v>
      </c>
      <c r="B10" s="466" t="str">
        <f>NhanCong_Xa!C16</f>
        <v>Thu thập tài liệu, dữ liệu</v>
      </c>
      <c r="C10" s="463"/>
      <c r="D10" s="470"/>
      <c r="E10" s="470"/>
      <c r="F10" s="470"/>
      <c r="G10" s="470"/>
      <c r="H10" s="470"/>
      <c r="I10" s="470"/>
      <c r="J10" s="470"/>
      <c r="K10" s="470"/>
      <c r="L10" s="470"/>
      <c r="M10" s="830"/>
      <c r="N10" s="831"/>
    </row>
    <row r="11" spans="1:14" ht="15.75">
      <c r="A11" s="693" t="s">
        <v>827</v>
      </c>
      <c r="B11" s="598" t="str">
        <f>NhanCong_Xa!C17</f>
        <v>Thu thập tài liệu, dữ liệu thống kê</v>
      </c>
      <c r="C11" s="468" t="str">
        <f>NhanCong_Xa!D17</f>
        <v>Năm TK</v>
      </c>
      <c r="D11" s="470">
        <f>+NhanCong_Tinh!H17</f>
        <v>426942.30769230769</v>
      </c>
      <c r="E11" s="470">
        <f>+Dcu_Tinh!F38</f>
        <v>6596.5993096499997</v>
      </c>
      <c r="F11" s="470">
        <f>+'Vat-lieu_Tinh'!D43</f>
        <v>51069.301848000003</v>
      </c>
      <c r="G11" s="470">
        <f>+'Thiet-bi_Tinh'!J53</f>
        <v>6799.9</v>
      </c>
      <c r="H11" s="470">
        <f>+'Thiet-bi_Tinh'!K53</f>
        <v>12588.350399999999</v>
      </c>
      <c r="I11" s="470">
        <f t="shared" ref="I11:I12" si="3">SUM(D11:H11)</f>
        <v>503996.4592499577</v>
      </c>
      <c r="J11" s="470">
        <f t="shared" ref="J11:J12" si="4">I11*0.15</f>
        <v>75599.468887493655</v>
      </c>
      <c r="K11" s="470">
        <f t="shared" ref="K11:K12" si="5">I11+J11</f>
        <v>579595.92813745141</v>
      </c>
      <c r="L11" s="470">
        <f t="shared" ref="L11:L12" si="6">K11-G11</f>
        <v>572796.02813745139</v>
      </c>
      <c r="M11" s="830">
        <f>Chitietbangbieu!Y31</f>
        <v>14</v>
      </c>
      <c r="N11" s="831">
        <f>L11*M11</f>
        <v>8019144.3939243192</v>
      </c>
    </row>
    <row r="12" spans="1:14" ht="15.75">
      <c r="A12" s="693" t="s">
        <v>830</v>
      </c>
      <c r="B12" s="598" t="str">
        <f>NhanCong_Xa!C18</f>
        <v>Thu thập tài liệu, dữ liệu kiểm kê</v>
      </c>
      <c r="C12" s="468" t="str">
        <f>NhanCong_Xa!D18</f>
        <v>Kỳ KK</v>
      </c>
      <c r="D12" s="470">
        <f>+NhanCong_Tinh!H18</f>
        <v>583085.7115384615</v>
      </c>
      <c r="E12" s="470">
        <f>+Dcu_Tinh!F39</f>
        <v>9888.4695304500001</v>
      </c>
      <c r="F12" s="470">
        <f>+'Vat-lieu_Tinh'!D44</f>
        <v>76554.177624000004</v>
      </c>
      <c r="G12" s="470">
        <f>+'Thiet-bi_Tinh'!J57</f>
        <v>10200</v>
      </c>
      <c r="H12" s="470">
        <f>+'Thiet-bi_Tinh'!K57</f>
        <v>18883.199999999997</v>
      </c>
      <c r="I12" s="470">
        <f t="shared" si="3"/>
        <v>698611.55869291141</v>
      </c>
      <c r="J12" s="470">
        <f t="shared" si="4"/>
        <v>104791.7338039367</v>
      </c>
      <c r="K12" s="470">
        <f t="shared" si="5"/>
        <v>803403.29249684815</v>
      </c>
      <c r="L12" s="470">
        <f t="shared" si="6"/>
        <v>793203.29249684815</v>
      </c>
      <c r="M12" s="830">
        <f>Chitietbangbieu!Z31</f>
        <v>4</v>
      </c>
      <c r="N12" s="831">
        <f>L12*M12</f>
        <v>3172813.1699873926</v>
      </c>
    </row>
    <row r="13" spans="1:14" ht="31.5">
      <c r="A13" s="874">
        <v>3</v>
      </c>
      <c r="B13" s="466" t="str">
        <f>NhanCong_Xa!C19</f>
        <v>Rà soát, đánh giá, phân loại và sắp xếp tài liệu, dữ liệu</v>
      </c>
      <c r="C13" s="463"/>
      <c r="D13" s="470"/>
      <c r="E13" s="470"/>
      <c r="F13" s="470"/>
      <c r="G13" s="470"/>
      <c r="H13" s="470"/>
      <c r="I13" s="470"/>
      <c r="J13" s="470"/>
      <c r="K13" s="470"/>
      <c r="L13" s="470"/>
      <c r="M13" s="830"/>
      <c r="N13" s="831"/>
    </row>
    <row r="14" spans="1:14" ht="47.25">
      <c r="A14" s="693" t="s">
        <v>771</v>
      </c>
      <c r="B14" s="598" t="str">
        <f>NhanCong_Xa!C20</f>
        <v>Rà soát, đánh giá, phân loại và sắp xếp tài liệu, dữ liệu thống kê và lập báo cáo kết quản thực hiện</v>
      </c>
      <c r="C14" s="468" t="str">
        <f>NhanCong_Xa!D20</f>
        <v>Năm TK</v>
      </c>
      <c r="D14" s="470">
        <f>+NhanCong_Tinh!H20</f>
        <v>426942.30769230769</v>
      </c>
      <c r="E14" s="470">
        <f>+Dcu_Tinh!F41</f>
        <v>6596.5993096499997</v>
      </c>
      <c r="F14" s="470">
        <f>+'Vat-lieu_Tinh'!D46</f>
        <v>51069.301848000003</v>
      </c>
      <c r="G14" s="470">
        <f>+'Thiet-bi_Tinh'!J62</f>
        <v>6799.9</v>
      </c>
      <c r="H14" s="470">
        <f>+'Thiet-bi_Tinh'!K62</f>
        <v>12588.350399999999</v>
      </c>
      <c r="I14" s="470">
        <f t="shared" ref="I14:I15" si="7">SUM(D14:H14)</f>
        <v>503996.4592499577</v>
      </c>
      <c r="J14" s="470">
        <f t="shared" ref="J14:J15" si="8">I14*0.15</f>
        <v>75599.468887493655</v>
      </c>
      <c r="K14" s="470">
        <f t="shared" ref="K14:K15" si="9">I14+J14</f>
        <v>579595.92813745141</v>
      </c>
      <c r="L14" s="470">
        <f t="shared" ref="L14:L15" si="10">K14-G14</f>
        <v>572796.02813745139</v>
      </c>
      <c r="M14" s="830">
        <f>M11</f>
        <v>14</v>
      </c>
      <c r="N14" s="831">
        <f>L14*M14</f>
        <v>8019144.3939243192</v>
      </c>
    </row>
    <row r="15" spans="1:14" ht="47.25">
      <c r="A15" s="693" t="s">
        <v>774</v>
      </c>
      <c r="B15" s="598" t="str">
        <f>NhanCong_Xa!C21</f>
        <v>Rà soát, đánh giá, phân loại và sắp xếp tài liệu, dữ liệu kiểm kê và lập báo cáo kết quản thực hiện</v>
      </c>
      <c r="C15" s="468" t="str">
        <f>NhanCong_Xa!D21</f>
        <v>Kỳ KK</v>
      </c>
      <c r="D15" s="470">
        <f>+NhanCong_Tinh!H21</f>
        <v>971809.51923076925</v>
      </c>
      <c r="E15" s="470">
        <f>+Dcu_Tinh!F42</f>
        <v>16485.068840100001</v>
      </c>
      <c r="F15" s="470">
        <f>+'Vat-lieu_Tinh'!D47</f>
        <v>127623.47947200002</v>
      </c>
      <c r="G15" s="470">
        <f>+'Thiet-bi_Tinh'!J66</f>
        <v>16999.900000000001</v>
      </c>
      <c r="H15" s="470">
        <f>+'Thiet-bi_Tinh'!K66</f>
        <v>31471.5504</v>
      </c>
      <c r="I15" s="470">
        <f t="shared" si="7"/>
        <v>1164389.5179428691</v>
      </c>
      <c r="J15" s="470">
        <f t="shared" si="8"/>
        <v>174658.42769143035</v>
      </c>
      <c r="K15" s="470">
        <f t="shared" si="9"/>
        <v>1339047.9456342994</v>
      </c>
      <c r="L15" s="470">
        <f t="shared" si="10"/>
        <v>1322048.0456342995</v>
      </c>
      <c r="M15" s="830">
        <f>M12</f>
        <v>4</v>
      </c>
      <c r="N15" s="831">
        <f>L15*M15</f>
        <v>5288192.1825371981</v>
      </c>
    </row>
    <row r="16" spans="1:14" ht="31.5">
      <c r="A16" s="874">
        <v>4</v>
      </c>
      <c r="B16" s="466" t="str">
        <f>+NhanCong_Tinh!C42</f>
        <v>Chuẩn hóa các lớp đối tượng không gian kiểm kê đất đai</v>
      </c>
      <c r="C16" s="463"/>
      <c r="D16" s="470"/>
      <c r="E16" s="470"/>
      <c r="F16" s="470"/>
      <c r="G16" s="470"/>
      <c r="H16" s="470"/>
      <c r="I16" s="470"/>
      <c r="J16" s="470"/>
      <c r="K16" s="470"/>
      <c r="L16" s="470"/>
      <c r="M16" s="830"/>
      <c r="N16" s="831"/>
    </row>
    <row r="17" spans="1:14" ht="31.5">
      <c r="A17" s="693" t="s">
        <v>553</v>
      </c>
      <c r="B17" s="469" t="str">
        <f>NhanCong_Xa!C39</f>
        <v>Chuẩn hóa các lớp đối tượng không gian kiểm kê đất đai</v>
      </c>
      <c r="C17" s="468"/>
      <c r="D17" s="470"/>
      <c r="E17" s="470"/>
      <c r="F17" s="470"/>
      <c r="G17" s="470"/>
      <c r="H17" s="470"/>
      <c r="I17" s="470"/>
      <c r="J17" s="470"/>
      <c r="K17" s="470"/>
      <c r="L17" s="470"/>
      <c r="M17" s="830"/>
      <c r="N17" s="831"/>
    </row>
    <row r="18" spans="1:14" ht="85.5" customHeight="1">
      <c r="A18" s="693" t="s">
        <v>69</v>
      </c>
      <c r="B18" s="469" t="str">
        <f>NhanCong_Xa!C40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C18" s="468" t="str">
        <f>NhanCong_Xa!D40</f>
        <v>Lớp dữ liệu</v>
      </c>
      <c r="D18" s="470">
        <f>+NhanCong_Tinh!H43</f>
        <v>1067355.7692307692</v>
      </c>
      <c r="E18" s="470">
        <f>+Dcu_Tinh!F71</f>
        <v>16485.721538461541</v>
      </c>
      <c r="F18" s="470">
        <f>+'Vat-lieu_Tinh'!D79</f>
        <v>127643.04000000002</v>
      </c>
      <c r="G18" s="470">
        <f>+'Thiet-bi_Tinh'!J128</f>
        <v>252199.9</v>
      </c>
      <c r="H18" s="470">
        <f>+'Thiet-bi_Tinh'!K128</f>
        <v>31471.5504</v>
      </c>
      <c r="I18" s="470">
        <f>SUM(D18:H18)</f>
        <v>1495155.9811692308</v>
      </c>
      <c r="J18" s="470">
        <f>I18*0.15</f>
        <v>224273.3971753846</v>
      </c>
      <c r="K18" s="470">
        <f>I18+J18</f>
        <v>1719429.3783446155</v>
      </c>
      <c r="L18" s="470">
        <f>K18-G18</f>
        <v>1467229.4783446155</v>
      </c>
      <c r="M18" s="830">
        <v>4</v>
      </c>
      <c r="N18" s="831">
        <f>L18*M18</f>
        <v>5868917.9133784622</v>
      </c>
    </row>
    <row r="19" spans="1:14" ht="31.5">
      <c r="A19" s="693" t="s">
        <v>70</v>
      </c>
      <c r="B19" s="469" t="str">
        <f>NhanCong_Xa!C41</f>
        <v>Chuẩn hóa các lớp đối tượng không gian kiểm kê đất đai chưa phù hợp</v>
      </c>
      <c r="C19" s="468" t="str">
        <f>NhanCong_Xa!D41</f>
        <v>Lớp dữ liệu</v>
      </c>
      <c r="D19" s="470">
        <f>+NhanCong_Tinh!H44</f>
        <v>1494298.076923077</v>
      </c>
      <c r="E19" s="470">
        <f>+Dcu_Tinh!F72</f>
        <v>23080.01015384616</v>
      </c>
      <c r="F19" s="470">
        <f>+'Vat-lieu_Tinh'!D80</f>
        <v>178700.25600000002</v>
      </c>
      <c r="G19" s="470">
        <f>+'Thiet-bi_Tinh'!J133</f>
        <v>353080.1</v>
      </c>
      <c r="H19" s="470">
        <f>+'Thiet-bi_Tinh'!K133</f>
        <v>44061.249600000003</v>
      </c>
      <c r="I19" s="470">
        <f>SUM(D19:H19)</f>
        <v>2093219.692676923</v>
      </c>
      <c r="J19" s="470">
        <f>I19*0.15</f>
        <v>313982.95390153845</v>
      </c>
      <c r="K19" s="470">
        <f>I19+J19</f>
        <v>2407202.6465784614</v>
      </c>
      <c r="L19" s="470">
        <f>K19-G19</f>
        <v>2054122.5465784613</v>
      </c>
      <c r="M19" s="830">
        <f>Chitietbangbieu!$Z$31</f>
        <v>4</v>
      </c>
      <c r="N19" s="831">
        <f t="shared" ref="N19:N24" si="11">L19*M19</f>
        <v>8216490.1863138452</v>
      </c>
    </row>
    <row r="20" spans="1:14" s="832" customFormat="1" ht="47.25">
      <c r="A20" s="885" t="s">
        <v>691</v>
      </c>
      <c r="B20" s="469" t="str">
        <f>NhanCong_Xa!C42</f>
        <v>Nhập bổ sung các thông tin thuộc tính cho đối tượng không gian kiểm kê đất đai còn thiếu (nếu có)</v>
      </c>
      <c r="C20" s="468" t="str">
        <f>NhanCong_Xa!D42</f>
        <v>Lớp dữ liệu</v>
      </c>
      <c r="D20" s="470">
        <f>+NhanCong_Tinh!H45</f>
        <v>213471.15384615384</v>
      </c>
      <c r="E20" s="470">
        <f>+Dcu_Tinh!F73</f>
        <v>3297.1443076923083</v>
      </c>
      <c r="F20" s="470">
        <f>+'Vat-lieu_Tinh'!D81</f>
        <v>25528.608000000004</v>
      </c>
      <c r="G20" s="470">
        <f>+'Thiet-bi_Tinh'!J138</f>
        <v>50440.1</v>
      </c>
      <c r="H20" s="470">
        <f>+'Thiet-bi_Tinh'!K138</f>
        <v>6294.8496000000005</v>
      </c>
      <c r="I20" s="470">
        <f>SUM(D20:H20)</f>
        <v>299031.85575384618</v>
      </c>
      <c r="J20" s="470">
        <f>I20*0.15</f>
        <v>44854.778363076926</v>
      </c>
      <c r="K20" s="470">
        <f>I20+J20</f>
        <v>343886.63411692309</v>
      </c>
      <c r="L20" s="470">
        <f>K20-G20</f>
        <v>293446.53411692311</v>
      </c>
      <c r="M20" s="830">
        <f>Chitietbangbieu!$Z$31</f>
        <v>4</v>
      </c>
      <c r="N20" s="831">
        <f t="shared" si="11"/>
        <v>1173786.1364676924</v>
      </c>
    </row>
    <row r="21" spans="1:14" ht="37.5" customHeight="1">
      <c r="A21" s="693" t="s">
        <v>694</v>
      </c>
      <c r="B21" s="469" t="str">
        <f>NhanCong_Xa!C43</f>
        <v>Rà soát chuẩn hóa thông tin thuộc tính cho từng đối tượng không gian kiểm kê đất đai</v>
      </c>
      <c r="C21" s="468" t="str">
        <f>NhanCong_Xa!D43</f>
        <v>Lớp dữ liệu</v>
      </c>
      <c r="D21" s="470">
        <f>+NhanCong_Tinh!H46</f>
        <v>1494298.076923077</v>
      </c>
      <c r="E21" s="470">
        <f>+Dcu_Tinh!F74</f>
        <v>23080.01015384616</v>
      </c>
      <c r="F21" s="470">
        <f>+'Vat-lieu_Tinh'!D82</f>
        <v>178700.25600000002</v>
      </c>
      <c r="G21" s="470">
        <f>+'Thiet-bi_Tinh'!J143</f>
        <v>353080.1</v>
      </c>
      <c r="H21" s="470">
        <f>+'Thiet-bi_Tinh'!K143</f>
        <v>44061.249600000003</v>
      </c>
      <c r="I21" s="470">
        <f>SUM(D21:H21)</f>
        <v>2093219.692676923</v>
      </c>
      <c r="J21" s="470">
        <f>I21*0.15</f>
        <v>313982.95390153845</v>
      </c>
      <c r="K21" s="470">
        <f>I21+J21</f>
        <v>2407202.6465784614</v>
      </c>
      <c r="L21" s="470">
        <f>K21-G21</f>
        <v>2054122.5465784613</v>
      </c>
      <c r="M21" s="830">
        <f>Chitietbangbieu!$Z$31</f>
        <v>4</v>
      </c>
      <c r="N21" s="831">
        <f t="shared" si="11"/>
        <v>8216490.1863138452</v>
      </c>
    </row>
    <row r="22" spans="1:14" ht="31.5">
      <c r="A22" s="693" t="s">
        <v>864</v>
      </c>
      <c r="B22" s="469" t="str">
        <f>NhanCong_Xa!C44</f>
        <v>Chuyển đổi và tích hợp không gian kiểm kê đất đai</v>
      </c>
      <c r="C22" s="468"/>
      <c r="D22" s="470"/>
      <c r="E22" s="470"/>
      <c r="F22" s="470"/>
      <c r="G22" s="470"/>
      <c r="H22" s="470"/>
      <c r="I22" s="470"/>
      <c r="J22" s="470"/>
      <c r="K22" s="470"/>
      <c r="L22" s="470"/>
      <c r="M22" s="830"/>
      <c r="N22" s="831"/>
    </row>
    <row r="23" spans="1:14" ht="53.25" customHeight="1">
      <c r="A23" s="693" t="s">
        <v>865</v>
      </c>
      <c r="B23" s="469" t="str">
        <f>NhanCong_Xa!C45</f>
        <v>Chuyển đổi các lớp đối tượng không gian kiểm kê đất đai từ tệp (File) bản đồ số vào cơ sở dữ liệu theo đơn vị hành chính</v>
      </c>
      <c r="C23" s="468" t="str">
        <f>NhanCong_Xa!D45</f>
        <v>Lớp dữ liệu</v>
      </c>
      <c r="D23" s="470">
        <f>+NhanCong_Tinh!H48</f>
        <v>426942.30769230769</v>
      </c>
      <c r="E23" s="470">
        <f>+Dcu_Tinh!F76</f>
        <v>6594.2886153846166</v>
      </c>
      <c r="F23" s="470">
        <f>+'Vat-lieu_Tinh'!D84</f>
        <v>51057.216000000008</v>
      </c>
      <c r="G23" s="470">
        <f>+'Thiet-bi_Tinh'!J149</f>
        <v>116019.9</v>
      </c>
      <c r="H23" s="470">
        <f>+'Thiet-bi_Tinh'!K149</f>
        <v>12588.350399999999</v>
      </c>
      <c r="I23" s="470">
        <f>SUM(D23:H23)</f>
        <v>613202.06270769227</v>
      </c>
      <c r="J23" s="470">
        <f t="shared" ref="J23:J24" si="12">I23*0.15</f>
        <v>91980.309406153843</v>
      </c>
      <c r="K23" s="470">
        <f t="shared" ref="K23:K24" si="13">I23+J23</f>
        <v>705182.37211384613</v>
      </c>
      <c r="L23" s="470">
        <f t="shared" ref="L23:L24" si="14">K23-G23</f>
        <v>589162.4721138461</v>
      </c>
      <c r="M23" s="830">
        <f>M21</f>
        <v>4</v>
      </c>
      <c r="N23" s="831">
        <f t="shared" si="11"/>
        <v>2356649.8884553844</v>
      </c>
    </row>
    <row r="24" spans="1:14" ht="47.25">
      <c r="A24" s="693" t="s">
        <v>866</v>
      </c>
      <c r="B24" s="469" t="str">
        <f>NhanCong_Xa!C46</f>
        <v>Rà soát dữ liệu không gian để xử lý các lỗi dọc biên giữa các đơn vị hành chính tiếp giáp nhau</v>
      </c>
      <c r="C24" s="468" t="str">
        <f>NhanCong_Xa!D46</f>
        <v>Lớp dữ liệu</v>
      </c>
      <c r="D24" s="470">
        <f>+NhanCong_Tinh!H49</f>
        <v>640413.4615384615</v>
      </c>
      <c r="E24" s="470">
        <f>+Dcu_Tinh!F77</f>
        <v>9891.4329230769235</v>
      </c>
      <c r="F24" s="470">
        <f>+'Vat-lieu_Tinh'!D85</f>
        <v>76585.824000000008</v>
      </c>
      <c r="G24" s="470">
        <f>+'Thiet-bi_Tinh'!J157</f>
        <v>174030</v>
      </c>
      <c r="H24" s="470">
        <f>+'Thiet-bi_Tinh'!K157</f>
        <v>18883.199999999997</v>
      </c>
      <c r="I24" s="470">
        <f>SUM(D24:H24)</f>
        <v>919803.91846153839</v>
      </c>
      <c r="J24" s="470">
        <f t="shared" si="12"/>
        <v>137970.58776923074</v>
      </c>
      <c r="K24" s="470">
        <f t="shared" si="13"/>
        <v>1057774.5062307692</v>
      </c>
      <c r="L24" s="470">
        <f t="shared" si="14"/>
        <v>883744.50623076921</v>
      </c>
      <c r="M24" s="830">
        <f>M21</f>
        <v>4</v>
      </c>
      <c r="N24" s="831">
        <f t="shared" si="11"/>
        <v>3534978.0249230769</v>
      </c>
    </row>
    <row r="25" spans="1:14" ht="17.25" customHeight="1">
      <c r="A25" s="874">
        <v>5</v>
      </c>
      <c r="B25" s="466" t="str">
        <f>NhanCong_Xa!C22</f>
        <v>Quét giấy tờ pháp lý và xử lý tệp tin</v>
      </c>
      <c r="C25" s="468"/>
      <c r="D25" s="470"/>
      <c r="E25" s="470"/>
      <c r="F25" s="470"/>
      <c r="G25" s="470"/>
      <c r="H25" s="470"/>
      <c r="I25" s="470"/>
      <c r="J25" s="470"/>
      <c r="K25" s="470"/>
      <c r="L25" s="470"/>
      <c r="M25" s="830"/>
      <c r="N25" s="831"/>
    </row>
    <row r="26" spans="1:14" ht="126">
      <c r="A26" s="693" t="s">
        <v>867</v>
      </c>
      <c r="B26" s="469" t="str">
        <f>NhanCong_Xa!C23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C26" s="468"/>
      <c r="D26" s="470"/>
      <c r="E26" s="470"/>
      <c r="F26" s="470"/>
      <c r="G26" s="470"/>
      <c r="H26" s="470"/>
      <c r="I26" s="470"/>
      <c r="J26" s="470"/>
      <c r="K26" s="470"/>
      <c r="L26" s="470"/>
      <c r="M26" s="830"/>
      <c r="N26" s="831"/>
    </row>
    <row r="27" spans="1:14" ht="15.75">
      <c r="A27" s="693" t="s">
        <v>693</v>
      </c>
      <c r="B27" s="469" t="str">
        <f>NhanCong_Xa!C24</f>
        <v>Trang A3</v>
      </c>
      <c r="C27" s="468" t="str">
        <f>NhanCong_Xa!D24</f>
        <v>Trang A3</v>
      </c>
      <c r="D27" s="470">
        <f>+NhanCong_Tinh!H24</f>
        <v>2001.1158461538462</v>
      </c>
      <c r="E27" s="470">
        <f>Dcu_Tinh!F45</f>
        <v>77.430000000000007</v>
      </c>
      <c r="F27" s="470">
        <f>'Vat-lieu_Tinh'!D50</f>
        <v>399.05</v>
      </c>
      <c r="G27" s="470">
        <f>'Thiet-bi_Tinh'!J72</f>
        <v>168.48</v>
      </c>
      <c r="H27" s="470">
        <f>'Thiet-bi_Tinh'!K72</f>
        <v>230.6448</v>
      </c>
      <c r="I27" s="470">
        <f>SUM(D27:H27)</f>
        <v>2876.7206461538462</v>
      </c>
      <c r="J27" s="470">
        <f t="shared" ref="J27:J29" si="15">I27*0.15</f>
        <v>431.50809692307695</v>
      </c>
      <c r="K27" s="470">
        <f t="shared" ref="K27:K29" si="16">I27+J27</f>
        <v>3308.2287430769234</v>
      </c>
      <c r="L27" s="470">
        <f t="shared" ref="L27:L29" si="17">K27-G27</f>
        <v>3139.7487430769233</v>
      </c>
      <c r="M27" s="830">
        <f>Chitietbangbieu!S36+Chitietbangbieu!W36</f>
        <v>178</v>
      </c>
      <c r="N27" s="831">
        <f>L27*M27</f>
        <v>558875.27626769233</v>
      </c>
    </row>
    <row r="28" spans="1:14" ht="15.75">
      <c r="A28" s="693" t="s">
        <v>571</v>
      </c>
      <c r="B28" s="469" t="str">
        <f>NhanCong_Xa!C25</f>
        <v>Trang A4</v>
      </c>
      <c r="C28" s="468" t="str">
        <f>NhanCong_Xa!D25</f>
        <v>Trang A4</v>
      </c>
      <c r="D28" s="470">
        <f>+NhanCong_Tinh!H25</f>
        <v>1334.0772307692307</v>
      </c>
      <c r="E28" s="470">
        <f>Dcu_Tinh!F46</f>
        <v>76.540000000000006</v>
      </c>
      <c r="F28" s="470">
        <f>'Vat-lieu_Tinh'!D51</f>
        <v>386.3</v>
      </c>
      <c r="G28" s="470">
        <f>'Thiet-bi_Tinh'!J78</f>
        <v>55.900000000000006</v>
      </c>
      <c r="H28" s="470">
        <f>'Thiet-bi_Tinh'!K78</f>
        <v>136.22880000000001</v>
      </c>
      <c r="I28" s="470">
        <f>SUM(D28:H28)</f>
        <v>1989.0460307692308</v>
      </c>
      <c r="J28" s="470">
        <f t="shared" si="15"/>
        <v>298.35690461538462</v>
      </c>
      <c r="K28" s="470">
        <f t="shared" si="16"/>
        <v>2287.4029353846154</v>
      </c>
      <c r="L28" s="470">
        <f t="shared" si="17"/>
        <v>2231.5029353846153</v>
      </c>
      <c r="M28" s="830">
        <f>Chitietbangbieu!S35+Chitietbangbieu!W35</f>
        <v>1000</v>
      </c>
      <c r="N28" s="831">
        <f t="shared" ref="N28:N30" si="18">L28*M28</f>
        <v>2231502.9353846153</v>
      </c>
    </row>
    <row r="29" spans="1:14" ht="114.75" customHeight="1">
      <c r="A29" s="693" t="s">
        <v>868</v>
      </c>
      <c r="B29" s="469" t="str">
        <f>NhanCong_Xa!C26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C29" s="468" t="s">
        <v>839</v>
      </c>
      <c r="D29" s="470">
        <f>+NhanCong_Tinh!H26</f>
        <v>667.03861538461535</v>
      </c>
      <c r="E29" s="470">
        <f>Dcu_Tinh!F47</f>
        <v>56.31</v>
      </c>
      <c r="F29" s="470">
        <f>'Vat-lieu_Tinh'!D52</f>
        <v>340.2</v>
      </c>
      <c r="G29" s="470">
        <f>'Thiet-bi_Tinh'!J84</f>
        <v>13.700000000000001</v>
      </c>
      <c r="H29" s="470">
        <f>'Thiet-bi_Tinh'!K84</f>
        <v>25.627199999999998</v>
      </c>
      <c r="I29" s="470">
        <f>SUM(D29:H29)</f>
        <v>1102.8758153846154</v>
      </c>
      <c r="J29" s="470">
        <f t="shared" si="15"/>
        <v>165.4313723076923</v>
      </c>
      <c r="K29" s="470">
        <f t="shared" si="16"/>
        <v>1268.3071876923077</v>
      </c>
      <c r="L29" s="470">
        <f t="shared" si="17"/>
        <v>1254.6071876923077</v>
      </c>
      <c r="M29" s="830">
        <f>M27+M28</f>
        <v>1178</v>
      </c>
      <c r="N29" s="831">
        <f t="shared" si="18"/>
        <v>1477927.2671015384</v>
      </c>
    </row>
    <row r="30" spans="1:14" ht="47.25">
      <c r="A30" s="693" t="s">
        <v>869</v>
      </c>
      <c r="B30" s="469" t="str">
        <f>NhanCong_Xa!C27</f>
        <v>Tạo danh mục tra cứu hồ sơ quét trong cơ sở dữ liệu thống kê, kiểm kê đất đai</v>
      </c>
      <c r="C30" s="468" t="str">
        <f>NhanCong_Xa!D27</f>
        <v>Năm TK hoặc Kỳ KK</v>
      </c>
      <c r="D30" s="470">
        <f>+NhanCong_Tinh!H27</f>
        <v>166759.65384615384</v>
      </c>
      <c r="E30" s="470">
        <f>+Dcu_Tinh!F48</f>
        <v>3298.2996548249998</v>
      </c>
      <c r="F30" s="470">
        <f>+'Vat-lieu_Tinh'!D53</f>
        <v>25534.650924000001</v>
      </c>
      <c r="G30" s="470">
        <f>+'Thiet-bi_Tinh'!J88</f>
        <v>8235.34</v>
      </c>
      <c r="H30" s="470">
        <f>+'Thiet-bi_Tinh'!K88</f>
        <v>6294.8496000000005</v>
      </c>
      <c r="I30" s="470">
        <f>SUM(D30:H30)</f>
        <v>210122.79402497882</v>
      </c>
      <c r="J30" s="470">
        <f t="shared" ref="J30:J44" si="19">I30*0.15</f>
        <v>31518.419103746823</v>
      </c>
      <c r="K30" s="470">
        <f t="shared" ref="K30:K44" si="20">I30+J30</f>
        <v>241641.21312872565</v>
      </c>
      <c r="L30" s="470">
        <f t="shared" ref="L30:L44" si="21">K30-G30</f>
        <v>233405.87312872565</v>
      </c>
      <c r="M30" s="830">
        <f>Chitietbangbieu!Y31+Chitietbangbieu!Z31</f>
        <v>18</v>
      </c>
      <c r="N30" s="831">
        <f t="shared" si="18"/>
        <v>4201305.7163170613</v>
      </c>
    </row>
    <row r="31" spans="1:14" ht="31.5">
      <c r="A31" s="874">
        <v>6</v>
      </c>
      <c r="B31" s="466" t="str">
        <f>NhanCong_Xa!C28</f>
        <v>Xây dựng dữ liệu thuộc tính thống kê, kiểm kê đất đai</v>
      </c>
      <c r="C31" s="468"/>
      <c r="D31" s="470"/>
      <c r="E31" s="470"/>
      <c r="F31" s="470"/>
      <c r="G31" s="470"/>
      <c r="H31" s="470"/>
      <c r="I31" s="470"/>
      <c r="J31" s="470"/>
      <c r="K31" s="470"/>
      <c r="L31" s="470"/>
      <c r="M31" s="830"/>
      <c r="N31" s="831"/>
    </row>
    <row r="32" spans="1:14" ht="15.75">
      <c r="A32" s="693" t="s">
        <v>870</v>
      </c>
      <c r="B32" s="469" t="str">
        <f>NhanCong_Xa!C29</f>
        <v>Đối với tài liệu, số liệu là bảng, biểu dạng số</v>
      </c>
      <c r="C32" s="468"/>
      <c r="D32" s="470"/>
      <c r="E32" s="470"/>
      <c r="F32" s="470"/>
      <c r="G32" s="470"/>
      <c r="H32" s="470"/>
      <c r="I32" s="470"/>
      <c r="J32" s="470"/>
      <c r="K32" s="470"/>
      <c r="L32" s="470"/>
      <c r="M32" s="830"/>
      <c r="N32" s="831"/>
    </row>
    <row r="33" spans="1:16" ht="47.25">
      <c r="A33" s="693" t="s">
        <v>871</v>
      </c>
      <c r="B33" s="469" t="str">
        <f>NhanCong_Xa!C30</f>
        <v>Lập mô hình chuyển đổi cơ sở dữ liệu thống kê, kiểm kê đất đai</v>
      </c>
      <c r="C33" s="468" t="str">
        <f>NhanCong_Xa!D30</f>
        <v>Năm TK hoặc Kỳ KK</v>
      </c>
      <c r="D33" s="470">
        <f>+NhanCong_Tinh!H30</f>
        <v>106735.57692307692</v>
      </c>
      <c r="E33" s="470">
        <f>+Dcu_Tinh!F51</f>
        <v>1645.9351104000002</v>
      </c>
      <c r="F33" s="470">
        <f>+'Vat-lieu_Tinh'!D56</f>
        <v>12742.437888000002</v>
      </c>
      <c r="G33" s="470">
        <f>+'Thiet-bi_Tinh'!J97</f>
        <v>1699.9</v>
      </c>
      <c r="H33" s="470">
        <f>+'Thiet-bi_Tinh'!K97</f>
        <v>3146.7503999999999</v>
      </c>
      <c r="I33" s="470">
        <f>SUM(D33:H33)</f>
        <v>125970.60032147692</v>
      </c>
      <c r="J33" s="470">
        <f t="shared" ref="J33:J35" si="22">I33*0.15</f>
        <v>18895.590048221537</v>
      </c>
      <c r="K33" s="470">
        <f t="shared" ref="K33:K35" si="23">I33+J33</f>
        <v>144866.19036969845</v>
      </c>
      <c r="L33" s="470">
        <f t="shared" ref="L33:L35" si="24">K33-G33</f>
        <v>143166.29036969846</v>
      </c>
      <c r="M33" s="830">
        <f>M30</f>
        <v>18</v>
      </c>
      <c r="N33" s="831">
        <f t="shared" ref="N33:N45" si="25">L33*M33</f>
        <v>2576993.2266545724</v>
      </c>
    </row>
    <row r="34" spans="1:16" ht="47.25">
      <c r="A34" s="693" t="s">
        <v>872</v>
      </c>
      <c r="B34" s="469" t="str">
        <f>NhanCong_Xa!C31</f>
        <v>Chuyển đổi vào cơ sở dữ liệu thống kê, kiểm kê đất đai</v>
      </c>
      <c r="C34" s="468" t="str">
        <f>NhanCong_Xa!D31</f>
        <v>Năm TK hoặc Kỳ KK</v>
      </c>
      <c r="D34" s="470">
        <f>+NhanCong_Tinh!H31</f>
        <v>190115.40384615384</v>
      </c>
      <c r="E34" s="470">
        <f>+Dcu_Tinh!F52</f>
        <v>3298.2996548249998</v>
      </c>
      <c r="F34" s="470">
        <f>+'Vat-lieu_Tinh'!D57</f>
        <v>25534.650924000001</v>
      </c>
      <c r="G34" s="470">
        <f>+'Thiet-bi_Tinh'!J101</f>
        <v>8235.34</v>
      </c>
      <c r="H34" s="470">
        <f>+'Thiet-bi_Tinh'!K101</f>
        <v>6294.8496000000005</v>
      </c>
      <c r="I34" s="470">
        <f>SUM(D34:H34)</f>
        <v>233478.54402497882</v>
      </c>
      <c r="J34" s="470">
        <f t="shared" si="22"/>
        <v>35021.781603746822</v>
      </c>
      <c r="K34" s="470">
        <f t="shared" si="23"/>
        <v>268500.32562872564</v>
      </c>
      <c r="L34" s="470">
        <f t="shared" si="24"/>
        <v>260264.98562872564</v>
      </c>
      <c r="M34" s="830">
        <f>M30</f>
        <v>18</v>
      </c>
      <c r="N34" s="831">
        <f t="shared" si="25"/>
        <v>4684769.7413170617</v>
      </c>
    </row>
    <row r="35" spans="1:16" ht="47.25">
      <c r="A35" s="693" t="s">
        <v>873</v>
      </c>
      <c r="B35" s="469" t="str">
        <f>NhanCong_Xa!C32</f>
        <v>Đối với tài liệu, số liệu là báo cáo dạng số thì tạo danh mục tra cứu trong cơ sở dữ liệu thống kê, kiểm kê đất đai</v>
      </c>
      <c r="C35" s="468" t="str">
        <f>NhanCong_Xa!D32</f>
        <v>Năm TK hoặc Kỳ KK</v>
      </c>
      <c r="D35" s="470">
        <f>+NhanCong_Tinh!H32</f>
        <v>285173.10576923075</v>
      </c>
      <c r="E35" s="470">
        <f>+Dcu_Tinh!F53</f>
        <v>4944.234765225</v>
      </c>
      <c r="F35" s="470">
        <f>+'Vat-lieu_Tinh'!D58</f>
        <v>38277.088812000002</v>
      </c>
      <c r="G35" s="470">
        <f>+'Thiet-bi_Tinh'!J108</f>
        <v>12352.86</v>
      </c>
      <c r="H35" s="470">
        <f>+'Thiet-bi_Tinh'!K108</f>
        <v>9441.5999999999985</v>
      </c>
      <c r="I35" s="470">
        <f>SUM(D35:H35)</f>
        <v>350188.88934645569</v>
      </c>
      <c r="J35" s="470">
        <f t="shared" si="22"/>
        <v>52528.333401968353</v>
      </c>
      <c r="K35" s="470">
        <f t="shared" si="23"/>
        <v>402717.22274842404</v>
      </c>
      <c r="L35" s="470">
        <f t="shared" si="24"/>
        <v>390364.36274842406</v>
      </c>
      <c r="M35" s="830">
        <f>M30</f>
        <v>18</v>
      </c>
      <c r="N35" s="831">
        <f t="shared" si="25"/>
        <v>7026558.529471633</v>
      </c>
    </row>
    <row r="36" spans="1:16" ht="31.5">
      <c r="A36" s="874">
        <v>7</v>
      </c>
      <c r="B36" s="466" t="str">
        <f>NhanCong_Xa!C33</f>
        <v>Đối soát, hoàn thiện dữ liệu thống kê, kiểm kê đất đai</v>
      </c>
      <c r="C36" s="463"/>
      <c r="D36" s="470"/>
      <c r="E36" s="470"/>
      <c r="F36" s="470"/>
      <c r="G36" s="470"/>
      <c r="H36" s="470"/>
      <c r="I36" s="470"/>
      <c r="J36" s="470"/>
      <c r="K36" s="470"/>
      <c r="L36" s="470"/>
      <c r="M36" s="830"/>
      <c r="N36" s="831"/>
    </row>
    <row r="37" spans="1:16" ht="31.5">
      <c r="A37" s="693" t="s">
        <v>874</v>
      </c>
      <c r="B37" s="598" t="str">
        <f>NhanCong_Xa!C34</f>
        <v>Đối soát, hoàn thiện dữ liệu thống kê đất đai</v>
      </c>
      <c r="C37" s="468" t="str">
        <f>NhanCong_Xa!D34</f>
        <v>Năm TK</v>
      </c>
      <c r="D37" s="470">
        <f>+NhanCong_Tinh!H34</f>
        <v>213471.15384615384</v>
      </c>
      <c r="E37" s="470">
        <f>+Dcu_Tinh!F55</f>
        <v>3298.2996548249998</v>
      </c>
      <c r="F37" s="470">
        <f>+'Vat-lieu_Tinh'!D60</f>
        <v>25534.650924000001</v>
      </c>
      <c r="G37" s="470">
        <f>+'Thiet-bi_Tinh'!J116</f>
        <v>3400.1</v>
      </c>
      <c r="H37" s="470">
        <f>+'Thiet-bi_Tinh'!K116</f>
        <v>6294.8496000000005</v>
      </c>
      <c r="I37" s="470">
        <f t="shared" ref="I37:I38" si="26">SUM(D37:H37)</f>
        <v>251999.05402497883</v>
      </c>
      <c r="J37" s="470">
        <f t="shared" ref="J37:J38" si="27">I37*0.15</f>
        <v>37799.858103746825</v>
      </c>
      <c r="K37" s="470">
        <f t="shared" ref="K37:K38" si="28">I37+J37</f>
        <v>289798.91212872567</v>
      </c>
      <c r="L37" s="470">
        <f t="shared" ref="L37:L38" si="29">K37-G37</f>
        <v>286398.81212872569</v>
      </c>
      <c r="M37" s="830">
        <f>M11</f>
        <v>14</v>
      </c>
      <c r="N37" s="831">
        <f t="shared" si="25"/>
        <v>4009583.3698021597</v>
      </c>
    </row>
    <row r="38" spans="1:16" ht="15.75">
      <c r="A38" s="693" t="s">
        <v>875</v>
      </c>
      <c r="B38" s="598" t="str">
        <f>NhanCong_Xa!C35</f>
        <v>Đối soát, hoàn thiện dữ liệu kiểm kê đất đai</v>
      </c>
      <c r="C38" s="468" t="str">
        <f>NhanCong_Xa!D35</f>
        <v>Kỳ KK</v>
      </c>
      <c r="D38" s="470">
        <f>+NhanCong_Tinh!H35</f>
        <v>485904.75961538462</v>
      </c>
      <c r="E38" s="470">
        <f>+Dcu_Tinh!F56</f>
        <v>8242.5344200500003</v>
      </c>
      <c r="F38" s="470">
        <f>+'Vat-lieu_Tinh'!D61</f>
        <v>63811.73973600001</v>
      </c>
      <c r="G38" s="470">
        <f>+'Thiet-bi_Tinh'!J120</f>
        <v>8500.1</v>
      </c>
      <c r="H38" s="470">
        <f>+'Thiet-bi_Tinh'!K120</f>
        <v>15736.449600000002</v>
      </c>
      <c r="I38" s="470">
        <f t="shared" si="26"/>
        <v>582195.58337143459</v>
      </c>
      <c r="J38" s="470">
        <f t="shared" si="27"/>
        <v>87329.337505715186</v>
      </c>
      <c r="K38" s="470">
        <f t="shared" si="28"/>
        <v>669524.92087714979</v>
      </c>
      <c r="L38" s="470">
        <f t="shared" si="29"/>
        <v>661024.82087714982</v>
      </c>
      <c r="M38" s="830">
        <f>M12</f>
        <v>4</v>
      </c>
      <c r="N38" s="831">
        <f t="shared" si="25"/>
        <v>2644099.2835085993</v>
      </c>
    </row>
    <row r="39" spans="1:16" ht="31.5">
      <c r="A39" s="874">
        <v>8</v>
      </c>
      <c r="B39" s="466" t="str">
        <f>NhanCong_Xa!C7</f>
        <v>Xây dựng siêu dữ liệu thống kê, kiểm kê đất đai</v>
      </c>
      <c r="C39" s="463"/>
      <c r="D39" s="470"/>
      <c r="E39" s="470"/>
      <c r="F39" s="470"/>
      <c r="G39" s="470"/>
      <c r="H39" s="470"/>
      <c r="I39" s="470"/>
      <c r="J39" s="470"/>
      <c r="K39" s="470"/>
      <c r="L39" s="470"/>
      <c r="M39" s="830"/>
      <c r="N39" s="831"/>
    </row>
    <row r="40" spans="1:16" ht="47.25">
      <c r="A40" s="693" t="s">
        <v>876</v>
      </c>
      <c r="B40" s="469" t="str">
        <f>NhanCong_Xa!C8</f>
        <v>Thu nhận các thông tin cần thiết để xây dựng siêu dữ liệu (thông tin mô tả dữ liệu) thống kê, kiểm kê đất đai</v>
      </c>
      <c r="C40" s="468" t="s">
        <v>943</v>
      </c>
      <c r="D40" s="470">
        <f>+NhanCong_Tinh!H8</f>
        <v>166759.65384615384</v>
      </c>
      <c r="E40" s="470">
        <f>+Dcu_Tinh!F18</f>
        <v>3295.8267955846163</v>
      </c>
      <c r="F40" s="470">
        <f>+'Vat-lieu_Tinh'!D20</f>
        <v>25471.533024</v>
      </c>
      <c r="G40" s="470">
        <f>+'Thiet-bi_Tinh'!J14</f>
        <v>3400.1</v>
      </c>
      <c r="H40" s="470">
        <f>+'Thiet-bi_Tinh'!K14</f>
        <v>6294.8496000000005</v>
      </c>
      <c r="I40" s="470">
        <f>SUM(D40:H40)</f>
        <v>205221.96326573845</v>
      </c>
      <c r="J40" s="470">
        <f t="shared" si="19"/>
        <v>30783.294489860767</v>
      </c>
      <c r="K40" s="470">
        <f t="shared" si="20"/>
        <v>236005.25775559922</v>
      </c>
      <c r="L40" s="470">
        <f t="shared" si="21"/>
        <v>232605.15775559921</v>
      </c>
      <c r="M40" s="830">
        <f>1</f>
        <v>1</v>
      </c>
      <c r="N40" s="831">
        <f t="shared" si="25"/>
        <v>232605.15775559921</v>
      </c>
    </row>
    <row r="41" spans="1:16" ht="31.5" customHeight="1">
      <c r="A41" s="693" t="s">
        <v>877</v>
      </c>
      <c r="B41" s="469" t="str">
        <f>NhanCong_Xa!C9</f>
        <v>Nhập thông tin siêu dữ liệu kiểm kê đất đai</v>
      </c>
      <c r="C41" s="468" t="s">
        <v>943</v>
      </c>
      <c r="D41" s="470">
        <f>+NhanCong_Tinh!H9</f>
        <v>83379.826923076922</v>
      </c>
      <c r="E41" s="470">
        <f>+Dcu_Tinh!F19</f>
        <v>1647.9133977923082</v>
      </c>
      <c r="F41" s="470">
        <f>+'Vat-lieu_Tinh'!D21</f>
        <v>12735.766512</v>
      </c>
      <c r="G41" s="470">
        <f>+'Thiet-bi_Tinh'!J18</f>
        <v>1700</v>
      </c>
      <c r="H41" s="470">
        <f>+'Thiet-bi_Tinh'!K18</f>
        <v>3147.2000000000003</v>
      </c>
      <c r="I41" s="470">
        <f>SUM(D41:H41)</f>
        <v>102610.70683286923</v>
      </c>
      <c r="J41" s="470">
        <f t="shared" si="19"/>
        <v>15391.606024930383</v>
      </c>
      <c r="K41" s="470">
        <f t="shared" si="20"/>
        <v>118002.31285779961</v>
      </c>
      <c r="L41" s="470">
        <f t="shared" si="21"/>
        <v>116302.31285779961</v>
      </c>
      <c r="M41" s="830">
        <v>1</v>
      </c>
      <c r="N41" s="831">
        <f t="shared" si="25"/>
        <v>116302.31285779961</v>
      </c>
    </row>
    <row r="42" spans="1:16" ht="31.5">
      <c r="A42" s="874">
        <v>9</v>
      </c>
      <c r="B42" s="466" t="str">
        <f>NhanCong_Xa!C10</f>
        <v>Phục vụ kiểm tra, nghiệm thu cơ sở dữ liệu thống kê, kiểm kê đất đai</v>
      </c>
      <c r="C42" s="463"/>
      <c r="D42" s="470"/>
      <c r="E42" s="470"/>
      <c r="F42" s="470"/>
      <c r="G42" s="470"/>
      <c r="H42" s="470"/>
      <c r="I42" s="470"/>
      <c r="J42" s="470"/>
      <c r="K42" s="470"/>
      <c r="L42" s="470"/>
      <c r="M42" s="830"/>
      <c r="N42" s="831"/>
    </row>
    <row r="43" spans="1:16" ht="31.5">
      <c r="A43" s="693" t="s">
        <v>878</v>
      </c>
      <c r="B43" s="469" t="str">
        <f>NhanCong_Xa!C11</f>
        <v>Đơn vị thi công chuẩn bị tài liệu và phục vụ giám sát kiểm tra, nghiệm thu.</v>
      </c>
      <c r="C43" s="468" t="s">
        <v>943</v>
      </c>
      <c r="D43" s="470">
        <f>+NhanCong_Tinh!H11</f>
        <v>175252.65384615384</v>
      </c>
      <c r="E43" s="470">
        <f>+Dcu_Tinh!F21</f>
        <v>3295.8267955846163</v>
      </c>
      <c r="F43" s="470">
        <f>+'Vat-lieu_Tinh'!D23</f>
        <v>25471.533024</v>
      </c>
      <c r="G43" s="470">
        <f>+'Thiet-bi_Tinh'!J23</f>
        <v>22568.639999999996</v>
      </c>
      <c r="H43" s="470">
        <f>+'Thiet-bi_Tinh'!K23</f>
        <v>6726.4655999999995</v>
      </c>
      <c r="I43" s="470">
        <f>SUM(D43:H43)</f>
        <v>233315.11926573844</v>
      </c>
      <c r="J43" s="470">
        <f t="shared" si="19"/>
        <v>34997.267889860763</v>
      </c>
      <c r="K43" s="470">
        <f t="shared" si="20"/>
        <v>268312.38715559919</v>
      </c>
      <c r="L43" s="470">
        <f t="shared" si="21"/>
        <v>245743.74715559921</v>
      </c>
      <c r="M43" s="830">
        <v>1</v>
      </c>
      <c r="N43" s="831">
        <f t="shared" si="25"/>
        <v>245743.74715559921</v>
      </c>
    </row>
    <row r="44" spans="1:16" ht="68.25" customHeight="1">
      <c r="A44" s="693" t="s">
        <v>879</v>
      </c>
      <c r="B44" s="469" t="str">
        <f>NhanCong_Xa!C12</f>
        <v>Thực hiện kiểm tra tổng thể cơ sở dữ liệu thống kê, kiểm kê đất đai và tích hợp vào hệ thống ngay sau khi được nghiệm thu để phục vụ quản lý, vận hành, khai thác sử dụng.</v>
      </c>
      <c r="C44" s="468" t="s">
        <v>943</v>
      </c>
      <c r="D44" s="470">
        <f>+NhanCong_Tinh!H12</f>
        <v>640413.4615384615</v>
      </c>
      <c r="E44" s="470">
        <f>+Dcu_Tinh!F22</f>
        <v>9894.404392626926</v>
      </c>
      <c r="F44" s="470">
        <f>+'Vat-lieu_Tinh'!D24</f>
        <v>76468.110696000003</v>
      </c>
      <c r="G44" s="470">
        <f>+'Thiet-bi_Tinh'!J32</f>
        <v>67705.72</v>
      </c>
      <c r="H44" s="470">
        <f>+'Thiet-bi_Tinh'!K32</f>
        <v>31507.967999999997</v>
      </c>
      <c r="I44" s="470">
        <f>SUM(D44:H44)</f>
        <v>825989.66462708847</v>
      </c>
      <c r="J44" s="470">
        <f t="shared" si="19"/>
        <v>123898.44969406327</v>
      </c>
      <c r="K44" s="470">
        <f t="shared" si="20"/>
        <v>949888.11432115175</v>
      </c>
      <c r="L44" s="470">
        <f t="shared" si="21"/>
        <v>882182.39432115178</v>
      </c>
      <c r="M44" s="830">
        <v>1</v>
      </c>
      <c r="N44" s="831">
        <f t="shared" si="25"/>
        <v>882182.39432115178</v>
      </c>
    </row>
    <row r="45" spans="1:16" ht="33.75" customHeight="1">
      <c r="A45" s="693" t="s">
        <v>880</v>
      </c>
      <c r="B45" s="598" t="str">
        <f>NhanCong_Xa!C13</f>
        <v>Đóng gói giao nộp cơ sở dữ liệu thống kê, kiểm kê đất đai</v>
      </c>
      <c r="C45" s="468" t="s">
        <v>943</v>
      </c>
      <c r="D45" s="470">
        <f>+NhanCong_Tinh!H13</f>
        <v>175252.65384615384</v>
      </c>
      <c r="E45" s="470">
        <f>+Dcu_Tinh!F23</f>
        <v>3295.8267955846163</v>
      </c>
      <c r="F45" s="470">
        <f>+'Vat-lieu_Tinh'!D25</f>
        <v>25471.533024</v>
      </c>
      <c r="G45" s="470">
        <f>+'Thiet-bi_Tinh'!J41</f>
        <v>30568.639999999996</v>
      </c>
      <c r="H45" s="470">
        <f>+'Thiet-bi_Tinh'!K41</f>
        <v>6726.4655999999995</v>
      </c>
      <c r="I45" s="470">
        <f>SUM(D45:H45)</f>
        <v>241315.11926573844</v>
      </c>
      <c r="J45" s="470">
        <f t="shared" ref="J45" si="30">I45*0.15</f>
        <v>36197.267889860763</v>
      </c>
      <c r="K45" s="470">
        <f t="shared" ref="K45" si="31">I45+J45</f>
        <v>277512.38715559919</v>
      </c>
      <c r="L45" s="470">
        <f t="shared" ref="L45" si="32">K45-G45</f>
        <v>246943.74715559921</v>
      </c>
      <c r="M45" s="830">
        <v>1</v>
      </c>
      <c r="N45" s="831">
        <f t="shared" si="25"/>
        <v>246943.74715559921</v>
      </c>
    </row>
    <row r="46" spans="1:16" ht="15.75">
      <c r="A46" s="693"/>
      <c r="B46" s="464" t="s">
        <v>37</v>
      </c>
      <c r="C46" s="464"/>
      <c r="D46" s="464">
        <f>SUM(D8:D45)</f>
        <v>11937054.058615385</v>
      </c>
      <c r="E46" s="464">
        <f>SUM(E8:E45)</f>
        <v>181553.25730769234</v>
      </c>
      <c r="F46" s="464">
        <f t="shared" ref="F46:L46" si="33">SUM(F8:F45)</f>
        <v>1404650.35</v>
      </c>
      <c r="G46" s="464">
        <f t="shared" si="33"/>
        <v>1521854.42</v>
      </c>
      <c r="H46" s="464">
        <f t="shared" si="33"/>
        <v>360073.4</v>
      </c>
      <c r="I46" s="464">
        <f t="shared" si="33"/>
        <v>15405185.485923078</v>
      </c>
      <c r="J46" s="464">
        <f t="shared" si="33"/>
        <v>2310777.8228884605</v>
      </c>
      <c r="K46" s="464">
        <f t="shared" si="33"/>
        <v>17715963.308811538</v>
      </c>
      <c r="L46" s="464">
        <f t="shared" si="33"/>
        <v>16194108.888811538</v>
      </c>
      <c r="M46" s="830"/>
      <c r="N46" s="829">
        <f>SUM(N8:N45)</f>
        <v>86888408.228745297</v>
      </c>
    </row>
    <row r="48" spans="1:16" ht="99" hidden="1" customHeight="1">
      <c r="B48" s="1251" t="s">
        <v>990</v>
      </c>
      <c r="C48" s="1252"/>
      <c r="D48" s="1252"/>
      <c r="E48" s="1252"/>
      <c r="F48" s="1252"/>
      <c r="G48" s="1252"/>
      <c r="H48" s="1252"/>
      <c r="I48" s="1252"/>
      <c r="J48" s="1252"/>
      <c r="K48" s="1252"/>
      <c r="L48" s="1252"/>
      <c r="M48" s="1252"/>
      <c r="N48" s="1252"/>
      <c r="O48" s="1252"/>
      <c r="P48" s="1252"/>
    </row>
    <row r="49" spans="2:14" hidden="1">
      <c r="B49" s="1253" t="s">
        <v>985</v>
      </c>
      <c r="C49" s="1253"/>
      <c r="D49" s="1253"/>
      <c r="E49" s="1253"/>
      <c r="F49" s="1253"/>
      <c r="G49" s="1253"/>
      <c r="H49" s="1253"/>
      <c r="I49" s="1253"/>
      <c r="J49" s="833"/>
      <c r="K49" s="834"/>
      <c r="L49" s="833"/>
      <c r="M49" s="834"/>
      <c r="N49" s="834"/>
    </row>
  </sheetData>
  <mergeCells count="18">
    <mergeCell ref="A1:L1"/>
    <mergeCell ref="J2:L2"/>
    <mergeCell ref="J3:J5"/>
    <mergeCell ref="K3:K5"/>
    <mergeCell ref="L3:L5"/>
    <mergeCell ref="A3:A5"/>
    <mergeCell ref="B3:B5"/>
    <mergeCell ref="C3:C5"/>
    <mergeCell ref="D3:I3"/>
    <mergeCell ref="B48:P48"/>
    <mergeCell ref="B49:I49"/>
    <mergeCell ref="M4:M5"/>
    <mergeCell ref="N4:N5"/>
    <mergeCell ref="D4:D5"/>
    <mergeCell ref="E4:E5"/>
    <mergeCell ref="F4:F5"/>
    <mergeCell ref="G4:H4"/>
    <mergeCell ref="I4:I5"/>
  </mergeCells>
  <pageMargins left="0.82874015700000003" right="7.8740157480315001E-2" top="0.53740157499999996" bottom="0.44685039399999998" header="0.31496062992126" footer="0.31496062992126"/>
  <pageSetup paperSize="9" firstPageNumber="26" orientation="landscape" useFirstPageNumber="1"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topLeftCell="A16" zoomScale="85" zoomScaleNormal="85" workbookViewId="0">
      <selection activeCell="D42" sqref="D42"/>
    </sheetView>
  </sheetViews>
  <sheetFormatPr defaultRowHeight="12.75"/>
  <cols>
    <col min="1" max="1" width="5" style="422" bestFit="1" customWidth="1"/>
    <col min="2" max="2" width="42.625" style="422" customWidth="1"/>
    <col min="3" max="3" width="7.625" style="422" bestFit="1" customWidth="1"/>
    <col min="4" max="4" width="6" style="422" bestFit="1" customWidth="1"/>
    <col min="5" max="5" width="15.375" style="422" customWidth="1"/>
    <col min="6" max="6" width="12.625" style="449" customWidth="1"/>
    <col min="7" max="7" width="12.125" style="449" customWidth="1"/>
    <col min="8" max="8" width="16.125" style="449" customWidth="1"/>
    <col min="9" max="9" width="13.375" style="449" customWidth="1"/>
    <col min="10" max="10" width="12.125" style="449" customWidth="1"/>
    <col min="11" max="11" width="13.375" style="449" bestFit="1" customWidth="1"/>
    <col min="12" max="12" width="15" style="421" customWidth="1"/>
    <col min="13" max="13" width="15.375" style="422" customWidth="1"/>
    <col min="14" max="253" width="8.625" style="422"/>
    <col min="254" max="254" width="5" style="422" bestFit="1" customWidth="1"/>
    <col min="255" max="255" width="3" style="422" bestFit="1" customWidth="1"/>
    <col min="256" max="256" width="42.375" style="422" customWidth="1"/>
    <col min="257" max="257" width="7.625" style="422" bestFit="1" customWidth="1"/>
    <col min="258" max="259" width="0" style="422" hidden="1" customWidth="1"/>
    <col min="260" max="260" width="6" style="422" bestFit="1" customWidth="1"/>
    <col min="261" max="261" width="11.375" style="422" customWidth="1"/>
    <col min="262" max="262" width="12.625" style="422" bestFit="1" customWidth="1"/>
    <col min="263" max="263" width="12.125" style="422" bestFit="1" customWidth="1"/>
    <col min="264" max="264" width="16.125" style="422" customWidth="1"/>
    <col min="265" max="265" width="13.375" style="422" bestFit="1" customWidth="1"/>
    <col min="266" max="266" width="12.125" style="422" customWidth="1"/>
    <col min="267" max="267" width="13.375" style="422" bestFit="1" customWidth="1"/>
    <col min="268" max="509" width="8.625" style="422"/>
    <col min="510" max="510" width="5" style="422" bestFit="1" customWidth="1"/>
    <col min="511" max="511" width="3" style="422" bestFit="1" customWidth="1"/>
    <col min="512" max="512" width="42.375" style="422" customWidth="1"/>
    <col min="513" max="513" width="7.625" style="422" bestFit="1" customWidth="1"/>
    <col min="514" max="515" width="0" style="422" hidden="1" customWidth="1"/>
    <col min="516" max="516" width="6" style="422" bestFit="1" customWidth="1"/>
    <col min="517" max="517" width="11.375" style="422" customWidth="1"/>
    <col min="518" max="518" width="12.625" style="422" bestFit="1" customWidth="1"/>
    <col min="519" max="519" width="12.125" style="422" bestFit="1" customWidth="1"/>
    <col min="520" max="520" width="16.125" style="422" customWidth="1"/>
    <col min="521" max="521" width="13.375" style="422" bestFit="1" customWidth="1"/>
    <col min="522" max="522" width="12.125" style="422" customWidth="1"/>
    <col min="523" max="523" width="13.375" style="422" bestFit="1" customWidth="1"/>
    <col min="524" max="765" width="8.625" style="422"/>
    <col min="766" max="766" width="5" style="422" bestFit="1" customWidth="1"/>
    <col min="767" max="767" width="3" style="422" bestFit="1" customWidth="1"/>
    <col min="768" max="768" width="42.375" style="422" customWidth="1"/>
    <col min="769" max="769" width="7.625" style="422" bestFit="1" customWidth="1"/>
    <col min="770" max="771" width="0" style="422" hidden="1" customWidth="1"/>
    <col min="772" max="772" width="6" style="422" bestFit="1" customWidth="1"/>
    <col min="773" max="773" width="11.375" style="422" customWidth="1"/>
    <col min="774" max="774" width="12.625" style="422" bestFit="1" customWidth="1"/>
    <col min="775" max="775" width="12.125" style="422" bestFit="1" customWidth="1"/>
    <col min="776" max="776" width="16.125" style="422" customWidth="1"/>
    <col min="777" max="777" width="13.375" style="422" bestFit="1" customWidth="1"/>
    <col min="778" max="778" width="12.125" style="422" customWidth="1"/>
    <col min="779" max="779" width="13.375" style="422" bestFit="1" customWidth="1"/>
    <col min="780" max="1021" width="8.625" style="422"/>
    <col min="1022" max="1022" width="5" style="422" bestFit="1" customWidth="1"/>
    <col min="1023" max="1023" width="3" style="422" bestFit="1" customWidth="1"/>
    <col min="1024" max="1024" width="42.375" style="422" customWidth="1"/>
    <col min="1025" max="1025" width="7.625" style="422" bestFit="1" customWidth="1"/>
    <col min="1026" max="1027" width="0" style="422" hidden="1" customWidth="1"/>
    <col min="1028" max="1028" width="6" style="422" bestFit="1" customWidth="1"/>
    <col min="1029" max="1029" width="11.375" style="422" customWidth="1"/>
    <col min="1030" max="1030" width="12.625" style="422" bestFit="1" customWidth="1"/>
    <col min="1031" max="1031" width="12.125" style="422" bestFit="1" customWidth="1"/>
    <col min="1032" max="1032" width="16.125" style="422" customWidth="1"/>
    <col min="1033" max="1033" width="13.375" style="422" bestFit="1" customWidth="1"/>
    <col min="1034" max="1034" width="12.125" style="422" customWidth="1"/>
    <col min="1035" max="1035" width="13.375" style="422" bestFit="1" customWidth="1"/>
    <col min="1036" max="1277" width="8.625" style="422"/>
    <col min="1278" max="1278" width="5" style="422" bestFit="1" customWidth="1"/>
    <col min="1279" max="1279" width="3" style="422" bestFit="1" customWidth="1"/>
    <col min="1280" max="1280" width="42.375" style="422" customWidth="1"/>
    <col min="1281" max="1281" width="7.625" style="422" bestFit="1" customWidth="1"/>
    <col min="1282" max="1283" width="0" style="422" hidden="1" customWidth="1"/>
    <col min="1284" max="1284" width="6" style="422" bestFit="1" customWidth="1"/>
    <col min="1285" max="1285" width="11.375" style="422" customWidth="1"/>
    <col min="1286" max="1286" width="12.625" style="422" bestFit="1" customWidth="1"/>
    <col min="1287" max="1287" width="12.125" style="422" bestFit="1" customWidth="1"/>
    <col min="1288" max="1288" width="16.125" style="422" customWidth="1"/>
    <col min="1289" max="1289" width="13.375" style="422" bestFit="1" customWidth="1"/>
    <col min="1290" max="1290" width="12.125" style="422" customWidth="1"/>
    <col min="1291" max="1291" width="13.375" style="422" bestFit="1" customWidth="1"/>
    <col min="1292" max="1533" width="8.625" style="422"/>
    <col min="1534" max="1534" width="5" style="422" bestFit="1" customWidth="1"/>
    <col min="1535" max="1535" width="3" style="422" bestFit="1" customWidth="1"/>
    <col min="1536" max="1536" width="42.375" style="422" customWidth="1"/>
    <col min="1537" max="1537" width="7.625" style="422" bestFit="1" customWidth="1"/>
    <col min="1538" max="1539" width="0" style="422" hidden="1" customWidth="1"/>
    <col min="1540" max="1540" width="6" style="422" bestFit="1" customWidth="1"/>
    <col min="1541" max="1541" width="11.375" style="422" customWidth="1"/>
    <col min="1542" max="1542" width="12.625" style="422" bestFit="1" customWidth="1"/>
    <col min="1543" max="1543" width="12.125" style="422" bestFit="1" customWidth="1"/>
    <col min="1544" max="1544" width="16.125" style="422" customWidth="1"/>
    <col min="1545" max="1545" width="13.375" style="422" bestFit="1" customWidth="1"/>
    <col min="1546" max="1546" width="12.125" style="422" customWidth="1"/>
    <col min="1547" max="1547" width="13.375" style="422" bestFit="1" customWidth="1"/>
    <col min="1548" max="1789" width="8.625" style="422"/>
    <col min="1790" max="1790" width="5" style="422" bestFit="1" customWidth="1"/>
    <col min="1791" max="1791" width="3" style="422" bestFit="1" customWidth="1"/>
    <col min="1792" max="1792" width="42.375" style="422" customWidth="1"/>
    <col min="1793" max="1793" width="7.625" style="422" bestFit="1" customWidth="1"/>
    <col min="1794" max="1795" width="0" style="422" hidden="1" customWidth="1"/>
    <col min="1796" max="1796" width="6" style="422" bestFit="1" customWidth="1"/>
    <col min="1797" max="1797" width="11.375" style="422" customWidth="1"/>
    <col min="1798" max="1798" width="12.625" style="422" bestFit="1" customWidth="1"/>
    <col min="1799" max="1799" width="12.125" style="422" bestFit="1" customWidth="1"/>
    <col min="1800" max="1800" width="16.125" style="422" customWidth="1"/>
    <col min="1801" max="1801" width="13.375" style="422" bestFit="1" customWidth="1"/>
    <col min="1802" max="1802" width="12.125" style="422" customWidth="1"/>
    <col min="1803" max="1803" width="13.375" style="422" bestFit="1" customWidth="1"/>
    <col min="1804" max="2045" width="8.625" style="422"/>
    <col min="2046" max="2046" width="5" style="422" bestFit="1" customWidth="1"/>
    <col min="2047" max="2047" width="3" style="422" bestFit="1" customWidth="1"/>
    <col min="2048" max="2048" width="42.375" style="422" customWidth="1"/>
    <col min="2049" max="2049" width="7.625" style="422" bestFit="1" customWidth="1"/>
    <col min="2050" max="2051" width="0" style="422" hidden="1" customWidth="1"/>
    <col min="2052" max="2052" width="6" style="422" bestFit="1" customWidth="1"/>
    <col min="2053" max="2053" width="11.375" style="422" customWidth="1"/>
    <col min="2054" max="2054" width="12.625" style="422" bestFit="1" customWidth="1"/>
    <col min="2055" max="2055" width="12.125" style="422" bestFit="1" customWidth="1"/>
    <col min="2056" max="2056" width="16.125" style="422" customWidth="1"/>
    <col min="2057" max="2057" width="13.375" style="422" bestFit="1" customWidth="1"/>
    <col min="2058" max="2058" width="12.125" style="422" customWidth="1"/>
    <col min="2059" max="2059" width="13.375" style="422" bestFit="1" customWidth="1"/>
    <col min="2060" max="2301" width="8.625" style="422"/>
    <col min="2302" max="2302" width="5" style="422" bestFit="1" customWidth="1"/>
    <col min="2303" max="2303" width="3" style="422" bestFit="1" customWidth="1"/>
    <col min="2304" max="2304" width="42.375" style="422" customWidth="1"/>
    <col min="2305" max="2305" width="7.625" style="422" bestFit="1" customWidth="1"/>
    <col min="2306" max="2307" width="0" style="422" hidden="1" customWidth="1"/>
    <col min="2308" max="2308" width="6" style="422" bestFit="1" customWidth="1"/>
    <col min="2309" max="2309" width="11.375" style="422" customWidth="1"/>
    <col min="2310" max="2310" width="12.625" style="422" bestFit="1" customWidth="1"/>
    <col min="2311" max="2311" width="12.125" style="422" bestFit="1" customWidth="1"/>
    <col min="2312" max="2312" width="16.125" style="422" customWidth="1"/>
    <col min="2313" max="2313" width="13.375" style="422" bestFit="1" customWidth="1"/>
    <col min="2314" max="2314" width="12.125" style="422" customWidth="1"/>
    <col min="2315" max="2315" width="13.375" style="422" bestFit="1" customWidth="1"/>
    <col min="2316" max="2557" width="8.625" style="422"/>
    <col min="2558" max="2558" width="5" style="422" bestFit="1" customWidth="1"/>
    <col min="2559" max="2559" width="3" style="422" bestFit="1" customWidth="1"/>
    <col min="2560" max="2560" width="42.375" style="422" customWidth="1"/>
    <col min="2561" max="2561" width="7.625" style="422" bestFit="1" customWidth="1"/>
    <col min="2562" max="2563" width="0" style="422" hidden="1" customWidth="1"/>
    <col min="2564" max="2564" width="6" style="422" bestFit="1" customWidth="1"/>
    <col min="2565" max="2565" width="11.375" style="422" customWidth="1"/>
    <col min="2566" max="2566" width="12.625" style="422" bestFit="1" customWidth="1"/>
    <col min="2567" max="2567" width="12.125" style="422" bestFit="1" customWidth="1"/>
    <col min="2568" max="2568" width="16.125" style="422" customWidth="1"/>
    <col min="2569" max="2569" width="13.375" style="422" bestFit="1" customWidth="1"/>
    <col min="2570" max="2570" width="12.125" style="422" customWidth="1"/>
    <col min="2571" max="2571" width="13.375" style="422" bestFit="1" customWidth="1"/>
    <col min="2572" max="2813" width="8.625" style="422"/>
    <col min="2814" max="2814" width="5" style="422" bestFit="1" customWidth="1"/>
    <col min="2815" max="2815" width="3" style="422" bestFit="1" customWidth="1"/>
    <col min="2816" max="2816" width="42.375" style="422" customWidth="1"/>
    <col min="2817" max="2817" width="7.625" style="422" bestFit="1" customWidth="1"/>
    <col min="2818" max="2819" width="0" style="422" hidden="1" customWidth="1"/>
    <col min="2820" max="2820" width="6" style="422" bestFit="1" customWidth="1"/>
    <col min="2821" max="2821" width="11.375" style="422" customWidth="1"/>
    <col min="2822" max="2822" width="12.625" style="422" bestFit="1" customWidth="1"/>
    <col min="2823" max="2823" width="12.125" style="422" bestFit="1" customWidth="1"/>
    <col min="2824" max="2824" width="16.125" style="422" customWidth="1"/>
    <col min="2825" max="2825" width="13.375" style="422" bestFit="1" customWidth="1"/>
    <col min="2826" max="2826" width="12.125" style="422" customWidth="1"/>
    <col min="2827" max="2827" width="13.375" style="422" bestFit="1" customWidth="1"/>
    <col min="2828" max="3069" width="8.625" style="422"/>
    <col min="3070" max="3070" width="5" style="422" bestFit="1" customWidth="1"/>
    <col min="3071" max="3071" width="3" style="422" bestFit="1" customWidth="1"/>
    <col min="3072" max="3072" width="42.375" style="422" customWidth="1"/>
    <col min="3073" max="3073" width="7.625" style="422" bestFit="1" customWidth="1"/>
    <col min="3074" max="3075" width="0" style="422" hidden="1" customWidth="1"/>
    <col min="3076" max="3076" width="6" style="422" bestFit="1" customWidth="1"/>
    <col min="3077" max="3077" width="11.375" style="422" customWidth="1"/>
    <col min="3078" max="3078" width="12.625" style="422" bestFit="1" customWidth="1"/>
    <col min="3079" max="3079" width="12.125" style="422" bestFit="1" customWidth="1"/>
    <col min="3080" max="3080" width="16.125" style="422" customWidth="1"/>
    <col min="3081" max="3081" width="13.375" style="422" bestFit="1" customWidth="1"/>
    <col min="3082" max="3082" width="12.125" style="422" customWidth="1"/>
    <col min="3083" max="3083" width="13.375" style="422" bestFit="1" customWidth="1"/>
    <col min="3084" max="3325" width="8.625" style="422"/>
    <col min="3326" max="3326" width="5" style="422" bestFit="1" customWidth="1"/>
    <col min="3327" max="3327" width="3" style="422" bestFit="1" customWidth="1"/>
    <col min="3328" max="3328" width="42.375" style="422" customWidth="1"/>
    <col min="3329" max="3329" width="7.625" style="422" bestFit="1" customWidth="1"/>
    <col min="3330" max="3331" width="0" style="422" hidden="1" customWidth="1"/>
    <col min="3332" max="3332" width="6" style="422" bestFit="1" customWidth="1"/>
    <col min="3333" max="3333" width="11.375" style="422" customWidth="1"/>
    <col min="3334" max="3334" width="12.625" style="422" bestFit="1" customWidth="1"/>
    <col min="3335" max="3335" width="12.125" style="422" bestFit="1" customWidth="1"/>
    <col min="3336" max="3336" width="16.125" style="422" customWidth="1"/>
    <col min="3337" max="3337" width="13.375" style="422" bestFit="1" customWidth="1"/>
    <col min="3338" max="3338" width="12.125" style="422" customWidth="1"/>
    <col min="3339" max="3339" width="13.375" style="422" bestFit="1" customWidth="1"/>
    <col min="3340" max="3581" width="8.625" style="422"/>
    <col min="3582" max="3582" width="5" style="422" bestFit="1" customWidth="1"/>
    <col min="3583" max="3583" width="3" style="422" bestFit="1" customWidth="1"/>
    <col min="3584" max="3584" width="42.375" style="422" customWidth="1"/>
    <col min="3585" max="3585" width="7.625" style="422" bestFit="1" customWidth="1"/>
    <col min="3586" max="3587" width="0" style="422" hidden="1" customWidth="1"/>
    <col min="3588" max="3588" width="6" style="422" bestFit="1" customWidth="1"/>
    <col min="3589" max="3589" width="11.375" style="422" customWidth="1"/>
    <col min="3590" max="3590" width="12.625" style="422" bestFit="1" customWidth="1"/>
    <col min="3591" max="3591" width="12.125" style="422" bestFit="1" customWidth="1"/>
    <col min="3592" max="3592" width="16.125" style="422" customWidth="1"/>
    <col min="3593" max="3593" width="13.375" style="422" bestFit="1" customWidth="1"/>
    <col min="3594" max="3594" width="12.125" style="422" customWidth="1"/>
    <col min="3595" max="3595" width="13.375" style="422" bestFit="1" customWidth="1"/>
    <col min="3596" max="3837" width="8.625" style="422"/>
    <col min="3838" max="3838" width="5" style="422" bestFit="1" customWidth="1"/>
    <col min="3839" max="3839" width="3" style="422" bestFit="1" customWidth="1"/>
    <col min="3840" max="3840" width="42.375" style="422" customWidth="1"/>
    <col min="3841" max="3841" width="7.625" style="422" bestFit="1" customWidth="1"/>
    <col min="3842" max="3843" width="0" style="422" hidden="1" customWidth="1"/>
    <col min="3844" max="3844" width="6" style="422" bestFit="1" customWidth="1"/>
    <col min="3845" max="3845" width="11.375" style="422" customWidth="1"/>
    <col min="3846" max="3846" width="12.625" style="422" bestFit="1" customWidth="1"/>
    <col min="3847" max="3847" width="12.125" style="422" bestFit="1" customWidth="1"/>
    <col min="3848" max="3848" width="16.125" style="422" customWidth="1"/>
    <col min="3849" max="3849" width="13.375" style="422" bestFit="1" customWidth="1"/>
    <col min="3850" max="3850" width="12.125" style="422" customWidth="1"/>
    <col min="3851" max="3851" width="13.375" style="422" bestFit="1" customWidth="1"/>
    <col min="3852" max="4093" width="8.625" style="422"/>
    <col min="4094" max="4094" width="5" style="422" bestFit="1" customWidth="1"/>
    <col min="4095" max="4095" width="3" style="422" bestFit="1" customWidth="1"/>
    <col min="4096" max="4096" width="42.375" style="422" customWidth="1"/>
    <col min="4097" max="4097" width="7.625" style="422" bestFit="1" customWidth="1"/>
    <col min="4098" max="4099" width="0" style="422" hidden="1" customWidth="1"/>
    <col min="4100" max="4100" width="6" style="422" bestFit="1" customWidth="1"/>
    <col min="4101" max="4101" width="11.375" style="422" customWidth="1"/>
    <col min="4102" max="4102" width="12.625" style="422" bestFit="1" customWidth="1"/>
    <col min="4103" max="4103" width="12.125" style="422" bestFit="1" customWidth="1"/>
    <col min="4104" max="4104" width="16.125" style="422" customWidth="1"/>
    <col min="4105" max="4105" width="13.375" style="422" bestFit="1" customWidth="1"/>
    <col min="4106" max="4106" width="12.125" style="422" customWidth="1"/>
    <col min="4107" max="4107" width="13.375" style="422" bestFit="1" customWidth="1"/>
    <col min="4108" max="4349" width="8.625" style="422"/>
    <col min="4350" max="4350" width="5" style="422" bestFit="1" customWidth="1"/>
    <col min="4351" max="4351" width="3" style="422" bestFit="1" customWidth="1"/>
    <col min="4352" max="4352" width="42.375" style="422" customWidth="1"/>
    <col min="4353" max="4353" width="7.625" style="422" bestFit="1" customWidth="1"/>
    <col min="4354" max="4355" width="0" style="422" hidden="1" customWidth="1"/>
    <col min="4356" max="4356" width="6" style="422" bestFit="1" customWidth="1"/>
    <col min="4357" max="4357" width="11.375" style="422" customWidth="1"/>
    <col min="4358" max="4358" width="12.625" style="422" bestFit="1" customWidth="1"/>
    <col min="4359" max="4359" width="12.125" style="422" bestFit="1" customWidth="1"/>
    <col min="4360" max="4360" width="16.125" style="422" customWidth="1"/>
    <col min="4361" max="4361" width="13.375" style="422" bestFit="1" customWidth="1"/>
    <col min="4362" max="4362" width="12.125" style="422" customWidth="1"/>
    <col min="4363" max="4363" width="13.375" style="422" bestFit="1" customWidth="1"/>
    <col min="4364" max="4605" width="8.625" style="422"/>
    <col min="4606" max="4606" width="5" style="422" bestFit="1" customWidth="1"/>
    <col min="4607" max="4607" width="3" style="422" bestFit="1" customWidth="1"/>
    <col min="4608" max="4608" width="42.375" style="422" customWidth="1"/>
    <col min="4609" max="4609" width="7.625" style="422" bestFit="1" customWidth="1"/>
    <col min="4610" max="4611" width="0" style="422" hidden="1" customWidth="1"/>
    <col min="4612" max="4612" width="6" style="422" bestFit="1" customWidth="1"/>
    <col min="4613" max="4613" width="11.375" style="422" customWidth="1"/>
    <col min="4614" max="4614" width="12.625" style="422" bestFit="1" customWidth="1"/>
    <col min="4615" max="4615" width="12.125" style="422" bestFit="1" customWidth="1"/>
    <col min="4616" max="4616" width="16.125" style="422" customWidth="1"/>
    <col min="4617" max="4617" width="13.375" style="422" bestFit="1" customWidth="1"/>
    <col min="4618" max="4618" width="12.125" style="422" customWidth="1"/>
    <col min="4619" max="4619" width="13.375" style="422" bestFit="1" customWidth="1"/>
    <col min="4620" max="4861" width="8.625" style="422"/>
    <col min="4862" max="4862" width="5" style="422" bestFit="1" customWidth="1"/>
    <col min="4863" max="4863" width="3" style="422" bestFit="1" customWidth="1"/>
    <col min="4864" max="4864" width="42.375" style="422" customWidth="1"/>
    <col min="4865" max="4865" width="7.625" style="422" bestFit="1" customWidth="1"/>
    <col min="4866" max="4867" width="0" style="422" hidden="1" customWidth="1"/>
    <col min="4868" max="4868" width="6" style="422" bestFit="1" customWidth="1"/>
    <col min="4869" max="4869" width="11.375" style="422" customWidth="1"/>
    <col min="4870" max="4870" width="12.625" style="422" bestFit="1" customWidth="1"/>
    <col min="4871" max="4871" width="12.125" style="422" bestFit="1" customWidth="1"/>
    <col min="4872" max="4872" width="16.125" style="422" customWidth="1"/>
    <col min="4873" max="4873" width="13.375" style="422" bestFit="1" customWidth="1"/>
    <col min="4874" max="4874" width="12.125" style="422" customWidth="1"/>
    <col min="4875" max="4875" width="13.375" style="422" bestFit="1" customWidth="1"/>
    <col min="4876" max="5117" width="8.625" style="422"/>
    <col min="5118" max="5118" width="5" style="422" bestFit="1" customWidth="1"/>
    <col min="5119" max="5119" width="3" style="422" bestFit="1" customWidth="1"/>
    <col min="5120" max="5120" width="42.375" style="422" customWidth="1"/>
    <col min="5121" max="5121" width="7.625" style="422" bestFit="1" customWidth="1"/>
    <col min="5122" max="5123" width="0" style="422" hidden="1" customWidth="1"/>
    <col min="5124" max="5124" width="6" style="422" bestFit="1" customWidth="1"/>
    <col min="5125" max="5125" width="11.375" style="422" customWidth="1"/>
    <col min="5126" max="5126" width="12.625" style="422" bestFit="1" customWidth="1"/>
    <col min="5127" max="5127" width="12.125" style="422" bestFit="1" customWidth="1"/>
    <col min="5128" max="5128" width="16.125" style="422" customWidth="1"/>
    <col min="5129" max="5129" width="13.375" style="422" bestFit="1" customWidth="1"/>
    <col min="5130" max="5130" width="12.125" style="422" customWidth="1"/>
    <col min="5131" max="5131" width="13.375" style="422" bestFit="1" customWidth="1"/>
    <col min="5132" max="5373" width="8.625" style="422"/>
    <col min="5374" max="5374" width="5" style="422" bestFit="1" customWidth="1"/>
    <col min="5375" max="5375" width="3" style="422" bestFit="1" customWidth="1"/>
    <col min="5376" max="5376" width="42.375" style="422" customWidth="1"/>
    <col min="5377" max="5377" width="7.625" style="422" bestFit="1" customWidth="1"/>
    <col min="5378" max="5379" width="0" style="422" hidden="1" customWidth="1"/>
    <col min="5380" max="5380" width="6" style="422" bestFit="1" customWidth="1"/>
    <col min="5381" max="5381" width="11.375" style="422" customWidth="1"/>
    <col min="5382" max="5382" width="12.625" style="422" bestFit="1" customWidth="1"/>
    <col min="5383" max="5383" width="12.125" style="422" bestFit="1" customWidth="1"/>
    <col min="5384" max="5384" width="16.125" style="422" customWidth="1"/>
    <col min="5385" max="5385" width="13.375" style="422" bestFit="1" customWidth="1"/>
    <col min="5386" max="5386" width="12.125" style="422" customWidth="1"/>
    <col min="5387" max="5387" width="13.375" style="422" bestFit="1" customWidth="1"/>
    <col min="5388" max="5629" width="8.625" style="422"/>
    <col min="5630" max="5630" width="5" style="422" bestFit="1" customWidth="1"/>
    <col min="5631" max="5631" width="3" style="422" bestFit="1" customWidth="1"/>
    <col min="5632" max="5632" width="42.375" style="422" customWidth="1"/>
    <col min="5633" max="5633" width="7.625" style="422" bestFit="1" customWidth="1"/>
    <col min="5634" max="5635" width="0" style="422" hidden="1" customWidth="1"/>
    <col min="5636" max="5636" width="6" style="422" bestFit="1" customWidth="1"/>
    <col min="5637" max="5637" width="11.375" style="422" customWidth="1"/>
    <col min="5638" max="5638" width="12.625" style="422" bestFit="1" customWidth="1"/>
    <col min="5639" max="5639" width="12.125" style="422" bestFit="1" customWidth="1"/>
    <col min="5640" max="5640" width="16.125" style="422" customWidth="1"/>
    <col min="5641" max="5641" width="13.375" style="422" bestFit="1" customWidth="1"/>
    <col min="5642" max="5642" width="12.125" style="422" customWidth="1"/>
    <col min="5643" max="5643" width="13.375" style="422" bestFit="1" customWidth="1"/>
    <col min="5644" max="5885" width="8.625" style="422"/>
    <col min="5886" max="5886" width="5" style="422" bestFit="1" customWidth="1"/>
    <col min="5887" max="5887" width="3" style="422" bestFit="1" customWidth="1"/>
    <col min="5888" max="5888" width="42.375" style="422" customWidth="1"/>
    <col min="5889" max="5889" width="7.625" style="422" bestFit="1" customWidth="1"/>
    <col min="5890" max="5891" width="0" style="422" hidden="1" customWidth="1"/>
    <col min="5892" max="5892" width="6" style="422" bestFit="1" customWidth="1"/>
    <col min="5893" max="5893" width="11.375" style="422" customWidth="1"/>
    <col min="5894" max="5894" width="12.625" style="422" bestFit="1" customWidth="1"/>
    <col min="5895" max="5895" width="12.125" style="422" bestFit="1" customWidth="1"/>
    <col min="5896" max="5896" width="16.125" style="422" customWidth="1"/>
    <col min="5897" max="5897" width="13.375" style="422" bestFit="1" customWidth="1"/>
    <col min="5898" max="5898" width="12.125" style="422" customWidth="1"/>
    <col min="5899" max="5899" width="13.375" style="422" bestFit="1" customWidth="1"/>
    <col min="5900" max="6141" width="8.625" style="422"/>
    <col min="6142" max="6142" width="5" style="422" bestFit="1" customWidth="1"/>
    <col min="6143" max="6143" width="3" style="422" bestFit="1" customWidth="1"/>
    <col min="6144" max="6144" width="42.375" style="422" customWidth="1"/>
    <col min="6145" max="6145" width="7.625" style="422" bestFit="1" customWidth="1"/>
    <col min="6146" max="6147" width="0" style="422" hidden="1" customWidth="1"/>
    <col min="6148" max="6148" width="6" style="422" bestFit="1" customWidth="1"/>
    <col min="6149" max="6149" width="11.375" style="422" customWidth="1"/>
    <col min="6150" max="6150" width="12.625" style="422" bestFit="1" customWidth="1"/>
    <col min="6151" max="6151" width="12.125" style="422" bestFit="1" customWidth="1"/>
    <col min="6152" max="6152" width="16.125" style="422" customWidth="1"/>
    <col min="6153" max="6153" width="13.375" style="422" bestFit="1" customWidth="1"/>
    <col min="6154" max="6154" width="12.125" style="422" customWidth="1"/>
    <col min="6155" max="6155" width="13.375" style="422" bestFit="1" customWidth="1"/>
    <col min="6156" max="6397" width="8.625" style="422"/>
    <col min="6398" max="6398" width="5" style="422" bestFit="1" customWidth="1"/>
    <col min="6399" max="6399" width="3" style="422" bestFit="1" customWidth="1"/>
    <col min="6400" max="6400" width="42.375" style="422" customWidth="1"/>
    <col min="6401" max="6401" width="7.625" style="422" bestFit="1" customWidth="1"/>
    <col min="6402" max="6403" width="0" style="422" hidden="1" customWidth="1"/>
    <col min="6404" max="6404" width="6" style="422" bestFit="1" customWidth="1"/>
    <col min="6405" max="6405" width="11.375" style="422" customWidth="1"/>
    <col min="6406" max="6406" width="12.625" style="422" bestFit="1" customWidth="1"/>
    <col min="6407" max="6407" width="12.125" style="422" bestFit="1" customWidth="1"/>
    <col min="6408" max="6408" width="16.125" style="422" customWidth="1"/>
    <col min="6409" max="6409" width="13.375" style="422" bestFit="1" customWidth="1"/>
    <col min="6410" max="6410" width="12.125" style="422" customWidth="1"/>
    <col min="6411" max="6411" width="13.375" style="422" bestFit="1" customWidth="1"/>
    <col min="6412" max="6653" width="8.625" style="422"/>
    <col min="6654" max="6654" width="5" style="422" bestFit="1" customWidth="1"/>
    <col min="6655" max="6655" width="3" style="422" bestFit="1" customWidth="1"/>
    <col min="6656" max="6656" width="42.375" style="422" customWidth="1"/>
    <col min="6657" max="6657" width="7.625" style="422" bestFit="1" customWidth="1"/>
    <col min="6658" max="6659" width="0" style="422" hidden="1" customWidth="1"/>
    <col min="6660" max="6660" width="6" style="422" bestFit="1" customWidth="1"/>
    <col min="6661" max="6661" width="11.375" style="422" customWidth="1"/>
    <col min="6662" max="6662" width="12.625" style="422" bestFit="1" customWidth="1"/>
    <col min="6663" max="6663" width="12.125" style="422" bestFit="1" customWidth="1"/>
    <col min="6664" max="6664" width="16.125" style="422" customWidth="1"/>
    <col min="6665" max="6665" width="13.375" style="422" bestFit="1" customWidth="1"/>
    <col min="6666" max="6666" width="12.125" style="422" customWidth="1"/>
    <col min="6667" max="6667" width="13.375" style="422" bestFit="1" customWidth="1"/>
    <col min="6668" max="6909" width="8.625" style="422"/>
    <col min="6910" max="6910" width="5" style="422" bestFit="1" customWidth="1"/>
    <col min="6911" max="6911" width="3" style="422" bestFit="1" customWidth="1"/>
    <col min="6912" max="6912" width="42.375" style="422" customWidth="1"/>
    <col min="6913" max="6913" width="7.625" style="422" bestFit="1" customWidth="1"/>
    <col min="6914" max="6915" width="0" style="422" hidden="1" customWidth="1"/>
    <col min="6916" max="6916" width="6" style="422" bestFit="1" customWidth="1"/>
    <col min="6917" max="6917" width="11.375" style="422" customWidth="1"/>
    <col min="6918" max="6918" width="12.625" style="422" bestFit="1" customWidth="1"/>
    <col min="6919" max="6919" width="12.125" style="422" bestFit="1" customWidth="1"/>
    <col min="6920" max="6920" width="16.125" style="422" customWidth="1"/>
    <col min="6921" max="6921" width="13.375" style="422" bestFit="1" customWidth="1"/>
    <col min="6922" max="6922" width="12.125" style="422" customWidth="1"/>
    <col min="6923" max="6923" width="13.375" style="422" bestFit="1" customWidth="1"/>
    <col min="6924" max="7165" width="8.625" style="422"/>
    <col min="7166" max="7166" width="5" style="422" bestFit="1" customWidth="1"/>
    <col min="7167" max="7167" width="3" style="422" bestFit="1" customWidth="1"/>
    <col min="7168" max="7168" width="42.375" style="422" customWidth="1"/>
    <col min="7169" max="7169" width="7.625" style="422" bestFit="1" customWidth="1"/>
    <col min="7170" max="7171" width="0" style="422" hidden="1" customWidth="1"/>
    <col min="7172" max="7172" width="6" style="422" bestFit="1" customWidth="1"/>
    <col min="7173" max="7173" width="11.375" style="422" customWidth="1"/>
    <col min="7174" max="7174" width="12.625" style="422" bestFit="1" customWidth="1"/>
    <col min="7175" max="7175" width="12.125" style="422" bestFit="1" customWidth="1"/>
    <col min="7176" max="7176" width="16.125" style="422" customWidth="1"/>
    <col min="7177" max="7177" width="13.375" style="422" bestFit="1" customWidth="1"/>
    <col min="7178" max="7178" width="12.125" style="422" customWidth="1"/>
    <col min="7179" max="7179" width="13.375" style="422" bestFit="1" customWidth="1"/>
    <col min="7180" max="7421" width="8.625" style="422"/>
    <col min="7422" max="7422" width="5" style="422" bestFit="1" customWidth="1"/>
    <col min="7423" max="7423" width="3" style="422" bestFit="1" customWidth="1"/>
    <col min="7424" max="7424" width="42.375" style="422" customWidth="1"/>
    <col min="7425" max="7425" width="7.625" style="422" bestFit="1" customWidth="1"/>
    <col min="7426" max="7427" width="0" style="422" hidden="1" customWidth="1"/>
    <col min="7428" max="7428" width="6" style="422" bestFit="1" customWidth="1"/>
    <col min="7429" max="7429" width="11.375" style="422" customWidth="1"/>
    <col min="7430" max="7430" width="12.625" style="422" bestFit="1" customWidth="1"/>
    <col min="7431" max="7431" width="12.125" style="422" bestFit="1" customWidth="1"/>
    <col min="7432" max="7432" width="16.125" style="422" customWidth="1"/>
    <col min="7433" max="7433" width="13.375" style="422" bestFit="1" customWidth="1"/>
    <col min="7434" max="7434" width="12.125" style="422" customWidth="1"/>
    <col min="7435" max="7435" width="13.375" style="422" bestFit="1" customWidth="1"/>
    <col min="7436" max="7677" width="8.625" style="422"/>
    <col min="7678" max="7678" width="5" style="422" bestFit="1" customWidth="1"/>
    <col min="7679" max="7679" width="3" style="422" bestFit="1" customWidth="1"/>
    <col min="7680" max="7680" width="42.375" style="422" customWidth="1"/>
    <col min="7681" max="7681" width="7.625" style="422" bestFit="1" customWidth="1"/>
    <col min="7682" max="7683" width="0" style="422" hidden="1" customWidth="1"/>
    <col min="7684" max="7684" width="6" style="422" bestFit="1" customWidth="1"/>
    <col min="7685" max="7685" width="11.375" style="422" customWidth="1"/>
    <col min="7686" max="7686" width="12.625" style="422" bestFit="1" customWidth="1"/>
    <col min="7687" max="7687" width="12.125" style="422" bestFit="1" customWidth="1"/>
    <col min="7688" max="7688" width="16.125" style="422" customWidth="1"/>
    <col min="7689" max="7689" width="13.375" style="422" bestFit="1" customWidth="1"/>
    <col min="7690" max="7690" width="12.125" style="422" customWidth="1"/>
    <col min="7691" max="7691" width="13.375" style="422" bestFit="1" customWidth="1"/>
    <col min="7692" max="7933" width="8.625" style="422"/>
    <col min="7934" max="7934" width="5" style="422" bestFit="1" customWidth="1"/>
    <col min="7935" max="7935" width="3" style="422" bestFit="1" customWidth="1"/>
    <col min="7936" max="7936" width="42.375" style="422" customWidth="1"/>
    <col min="7937" max="7937" width="7.625" style="422" bestFit="1" customWidth="1"/>
    <col min="7938" max="7939" width="0" style="422" hidden="1" customWidth="1"/>
    <col min="7940" max="7940" width="6" style="422" bestFit="1" customWidth="1"/>
    <col min="7941" max="7941" width="11.375" style="422" customWidth="1"/>
    <col min="7942" max="7942" width="12.625" style="422" bestFit="1" customWidth="1"/>
    <col min="7943" max="7943" width="12.125" style="422" bestFit="1" customWidth="1"/>
    <col min="7944" max="7944" width="16.125" style="422" customWidth="1"/>
    <col min="7945" max="7945" width="13.375" style="422" bestFit="1" customWidth="1"/>
    <col min="7946" max="7946" width="12.125" style="422" customWidth="1"/>
    <col min="7947" max="7947" width="13.375" style="422" bestFit="1" customWidth="1"/>
    <col min="7948" max="8189" width="8.625" style="422"/>
    <col min="8190" max="8190" width="5" style="422" bestFit="1" customWidth="1"/>
    <col min="8191" max="8191" width="3" style="422" bestFit="1" customWidth="1"/>
    <col min="8192" max="8192" width="42.375" style="422" customWidth="1"/>
    <col min="8193" max="8193" width="7.625" style="422" bestFit="1" customWidth="1"/>
    <col min="8194" max="8195" width="0" style="422" hidden="1" customWidth="1"/>
    <col min="8196" max="8196" width="6" style="422" bestFit="1" customWidth="1"/>
    <col min="8197" max="8197" width="11.375" style="422" customWidth="1"/>
    <col min="8198" max="8198" width="12.625" style="422" bestFit="1" customWidth="1"/>
    <col min="8199" max="8199" width="12.125" style="422" bestFit="1" customWidth="1"/>
    <col min="8200" max="8200" width="16.125" style="422" customWidth="1"/>
    <col min="8201" max="8201" width="13.375" style="422" bestFit="1" customWidth="1"/>
    <col min="8202" max="8202" width="12.125" style="422" customWidth="1"/>
    <col min="8203" max="8203" width="13.375" style="422" bestFit="1" customWidth="1"/>
    <col min="8204" max="8445" width="8.625" style="422"/>
    <col min="8446" max="8446" width="5" style="422" bestFit="1" customWidth="1"/>
    <col min="8447" max="8447" width="3" style="422" bestFit="1" customWidth="1"/>
    <col min="8448" max="8448" width="42.375" style="422" customWidth="1"/>
    <col min="8449" max="8449" width="7.625" style="422" bestFit="1" customWidth="1"/>
    <col min="8450" max="8451" width="0" style="422" hidden="1" customWidth="1"/>
    <col min="8452" max="8452" width="6" style="422" bestFit="1" customWidth="1"/>
    <col min="8453" max="8453" width="11.375" style="422" customWidth="1"/>
    <col min="8454" max="8454" width="12.625" style="422" bestFit="1" customWidth="1"/>
    <col min="8455" max="8455" width="12.125" style="422" bestFit="1" customWidth="1"/>
    <col min="8456" max="8456" width="16.125" style="422" customWidth="1"/>
    <col min="8457" max="8457" width="13.375" style="422" bestFit="1" customWidth="1"/>
    <col min="8458" max="8458" width="12.125" style="422" customWidth="1"/>
    <col min="8459" max="8459" width="13.375" style="422" bestFit="1" customWidth="1"/>
    <col min="8460" max="8701" width="8.625" style="422"/>
    <col min="8702" max="8702" width="5" style="422" bestFit="1" customWidth="1"/>
    <col min="8703" max="8703" width="3" style="422" bestFit="1" customWidth="1"/>
    <col min="8704" max="8704" width="42.375" style="422" customWidth="1"/>
    <col min="8705" max="8705" width="7.625" style="422" bestFit="1" customWidth="1"/>
    <col min="8706" max="8707" width="0" style="422" hidden="1" customWidth="1"/>
    <col min="8708" max="8708" width="6" style="422" bestFit="1" customWidth="1"/>
    <col min="8709" max="8709" width="11.375" style="422" customWidth="1"/>
    <col min="8710" max="8710" width="12.625" style="422" bestFit="1" customWidth="1"/>
    <col min="8711" max="8711" width="12.125" style="422" bestFit="1" customWidth="1"/>
    <col min="8712" max="8712" width="16.125" style="422" customWidth="1"/>
    <col min="8713" max="8713" width="13.375" style="422" bestFit="1" customWidth="1"/>
    <col min="8714" max="8714" width="12.125" style="422" customWidth="1"/>
    <col min="8715" max="8715" width="13.375" style="422" bestFit="1" customWidth="1"/>
    <col min="8716" max="8957" width="8.625" style="422"/>
    <col min="8958" max="8958" width="5" style="422" bestFit="1" customWidth="1"/>
    <col min="8959" max="8959" width="3" style="422" bestFit="1" customWidth="1"/>
    <col min="8960" max="8960" width="42.375" style="422" customWidth="1"/>
    <col min="8961" max="8961" width="7.625" style="422" bestFit="1" customWidth="1"/>
    <col min="8962" max="8963" width="0" style="422" hidden="1" customWidth="1"/>
    <col min="8964" max="8964" width="6" style="422" bestFit="1" customWidth="1"/>
    <col min="8965" max="8965" width="11.375" style="422" customWidth="1"/>
    <col min="8966" max="8966" width="12.625" style="422" bestFit="1" customWidth="1"/>
    <col min="8967" max="8967" width="12.125" style="422" bestFit="1" customWidth="1"/>
    <col min="8968" max="8968" width="16.125" style="422" customWidth="1"/>
    <col min="8969" max="8969" width="13.375" style="422" bestFit="1" customWidth="1"/>
    <col min="8970" max="8970" width="12.125" style="422" customWidth="1"/>
    <col min="8971" max="8971" width="13.375" style="422" bestFit="1" customWidth="1"/>
    <col min="8972" max="9213" width="8.625" style="422"/>
    <col min="9214" max="9214" width="5" style="422" bestFit="1" customWidth="1"/>
    <col min="9215" max="9215" width="3" style="422" bestFit="1" customWidth="1"/>
    <col min="9216" max="9216" width="42.375" style="422" customWidth="1"/>
    <col min="9217" max="9217" width="7.625" style="422" bestFit="1" customWidth="1"/>
    <col min="9218" max="9219" width="0" style="422" hidden="1" customWidth="1"/>
    <col min="9220" max="9220" width="6" style="422" bestFit="1" customWidth="1"/>
    <col min="9221" max="9221" width="11.375" style="422" customWidth="1"/>
    <col min="9222" max="9222" width="12.625" style="422" bestFit="1" customWidth="1"/>
    <col min="9223" max="9223" width="12.125" style="422" bestFit="1" customWidth="1"/>
    <col min="9224" max="9224" width="16.125" style="422" customWidth="1"/>
    <col min="9225" max="9225" width="13.375" style="422" bestFit="1" customWidth="1"/>
    <col min="9226" max="9226" width="12.125" style="422" customWidth="1"/>
    <col min="9227" max="9227" width="13.375" style="422" bestFit="1" customWidth="1"/>
    <col min="9228" max="9469" width="8.625" style="422"/>
    <col min="9470" max="9470" width="5" style="422" bestFit="1" customWidth="1"/>
    <col min="9471" max="9471" width="3" style="422" bestFit="1" customWidth="1"/>
    <col min="9472" max="9472" width="42.375" style="422" customWidth="1"/>
    <col min="9473" max="9473" width="7.625" style="422" bestFit="1" customWidth="1"/>
    <col min="9474" max="9475" width="0" style="422" hidden="1" customWidth="1"/>
    <col min="9476" max="9476" width="6" style="422" bestFit="1" customWidth="1"/>
    <col min="9477" max="9477" width="11.375" style="422" customWidth="1"/>
    <col min="9478" max="9478" width="12.625" style="422" bestFit="1" customWidth="1"/>
    <col min="9479" max="9479" width="12.125" style="422" bestFit="1" customWidth="1"/>
    <col min="9480" max="9480" width="16.125" style="422" customWidth="1"/>
    <col min="9481" max="9481" width="13.375" style="422" bestFit="1" customWidth="1"/>
    <col min="9482" max="9482" width="12.125" style="422" customWidth="1"/>
    <col min="9483" max="9483" width="13.375" style="422" bestFit="1" customWidth="1"/>
    <col min="9484" max="9725" width="8.625" style="422"/>
    <col min="9726" max="9726" width="5" style="422" bestFit="1" customWidth="1"/>
    <col min="9727" max="9727" width="3" style="422" bestFit="1" customWidth="1"/>
    <col min="9728" max="9728" width="42.375" style="422" customWidth="1"/>
    <col min="9729" max="9729" width="7.625" style="422" bestFit="1" customWidth="1"/>
    <col min="9730" max="9731" width="0" style="422" hidden="1" customWidth="1"/>
    <col min="9732" max="9732" width="6" style="422" bestFit="1" customWidth="1"/>
    <col min="9733" max="9733" width="11.375" style="422" customWidth="1"/>
    <col min="9734" max="9734" width="12.625" style="422" bestFit="1" customWidth="1"/>
    <col min="9735" max="9735" width="12.125" style="422" bestFit="1" customWidth="1"/>
    <col min="9736" max="9736" width="16.125" style="422" customWidth="1"/>
    <col min="9737" max="9737" width="13.375" style="422" bestFit="1" customWidth="1"/>
    <col min="9738" max="9738" width="12.125" style="422" customWidth="1"/>
    <col min="9739" max="9739" width="13.375" style="422" bestFit="1" customWidth="1"/>
    <col min="9740" max="9981" width="8.625" style="422"/>
    <col min="9982" max="9982" width="5" style="422" bestFit="1" customWidth="1"/>
    <col min="9983" max="9983" width="3" style="422" bestFit="1" customWidth="1"/>
    <col min="9984" max="9984" width="42.375" style="422" customWidth="1"/>
    <col min="9985" max="9985" width="7.625" style="422" bestFit="1" customWidth="1"/>
    <col min="9986" max="9987" width="0" style="422" hidden="1" customWidth="1"/>
    <col min="9988" max="9988" width="6" style="422" bestFit="1" customWidth="1"/>
    <col min="9989" max="9989" width="11.375" style="422" customWidth="1"/>
    <col min="9990" max="9990" width="12.625" style="422" bestFit="1" customWidth="1"/>
    <col min="9991" max="9991" width="12.125" style="422" bestFit="1" customWidth="1"/>
    <col min="9992" max="9992" width="16.125" style="422" customWidth="1"/>
    <col min="9993" max="9993" width="13.375" style="422" bestFit="1" customWidth="1"/>
    <col min="9994" max="9994" width="12.125" style="422" customWidth="1"/>
    <col min="9995" max="9995" width="13.375" style="422" bestFit="1" customWidth="1"/>
    <col min="9996" max="10237" width="8.625" style="422"/>
    <col min="10238" max="10238" width="5" style="422" bestFit="1" customWidth="1"/>
    <col min="10239" max="10239" width="3" style="422" bestFit="1" customWidth="1"/>
    <col min="10240" max="10240" width="42.375" style="422" customWidth="1"/>
    <col min="10241" max="10241" width="7.625" style="422" bestFit="1" customWidth="1"/>
    <col min="10242" max="10243" width="0" style="422" hidden="1" customWidth="1"/>
    <col min="10244" max="10244" width="6" style="422" bestFit="1" customWidth="1"/>
    <col min="10245" max="10245" width="11.375" style="422" customWidth="1"/>
    <col min="10246" max="10246" width="12.625" style="422" bestFit="1" customWidth="1"/>
    <col min="10247" max="10247" width="12.125" style="422" bestFit="1" customWidth="1"/>
    <col min="10248" max="10248" width="16.125" style="422" customWidth="1"/>
    <col min="10249" max="10249" width="13.375" style="422" bestFit="1" customWidth="1"/>
    <col min="10250" max="10250" width="12.125" style="422" customWidth="1"/>
    <col min="10251" max="10251" width="13.375" style="422" bestFit="1" customWidth="1"/>
    <col min="10252" max="10493" width="8.625" style="422"/>
    <col min="10494" max="10494" width="5" style="422" bestFit="1" customWidth="1"/>
    <col min="10495" max="10495" width="3" style="422" bestFit="1" customWidth="1"/>
    <col min="10496" max="10496" width="42.375" style="422" customWidth="1"/>
    <col min="10497" max="10497" width="7.625" style="422" bestFit="1" customWidth="1"/>
    <col min="10498" max="10499" width="0" style="422" hidden="1" customWidth="1"/>
    <col min="10500" max="10500" width="6" style="422" bestFit="1" customWidth="1"/>
    <col min="10501" max="10501" width="11.375" style="422" customWidth="1"/>
    <col min="10502" max="10502" width="12.625" style="422" bestFit="1" customWidth="1"/>
    <col min="10503" max="10503" width="12.125" style="422" bestFit="1" customWidth="1"/>
    <col min="10504" max="10504" width="16.125" style="422" customWidth="1"/>
    <col min="10505" max="10505" width="13.375" style="422" bestFit="1" customWidth="1"/>
    <col min="10506" max="10506" width="12.125" style="422" customWidth="1"/>
    <col min="10507" max="10507" width="13.375" style="422" bestFit="1" customWidth="1"/>
    <col min="10508" max="10749" width="8.625" style="422"/>
    <col min="10750" max="10750" width="5" style="422" bestFit="1" customWidth="1"/>
    <col min="10751" max="10751" width="3" style="422" bestFit="1" customWidth="1"/>
    <col min="10752" max="10752" width="42.375" style="422" customWidth="1"/>
    <col min="10753" max="10753" width="7.625" style="422" bestFit="1" customWidth="1"/>
    <col min="10754" max="10755" width="0" style="422" hidden="1" customWidth="1"/>
    <col min="10756" max="10756" width="6" style="422" bestFit="1" customWidth="1"/>
    <col min="10757" max="10757" width="11.375" style="422" customWidth="1"/>
    <col min="10758" max="10758" width="12.625" style="422" bestFit="1" customWidth="1"/>
    <col min="10759" max="10759" width="12.125" style="422" bestFit="1" customWidth="1"/>
    <col min="10760" max="10760" width="16.125" style="422" customWidth="1"/>
    <col min="10761" max="10761" width="13.375" style="422" bestFit="1" customWidth="1"/>
    <col min="10762" max="10762" width="12.125" style="422" customWidth="1"/>
    <col min="10763" max="10763" width="13.375" style="422" bestFit="1" customWidth="1"/>
    <col min="10764" max="11005" width="8.625" style="422"/>
    <col min="11006" max="11006" width="5" style="422" bestFit="1" customWidth="1"/>
    <col min="11007" max="11007" width="3" style="422" bestFit="1" customWidth="1"/>
    <col min="11008" max="11008" width="42.375" style="422" customWidth="1"/>
    <col min="11009" max="11009" width="7.625" style="422" bestFit="1" customWidth="1"/>
    <col min="11010" max="11011" width="0" style="422" hidden="1" customWidth="1"/>
    <col min="11012" max="11012" width="6" style="422" bestFit="1" customWidth="1"/>
    <col min="11013" max="11013" width="11.375" style="422" customWidth="1"/>
    <col min="11014" max="11014" width="12.625" style="422" bestFit="1" customWidth="1"/>
    <col min="11015" max="11015" width="12.125" style="422" bestFit="1" customWidth="1"/>
    <col min="11016" max="11016" width="16.125" style="422" customWidth="1"/>
    <col min="11017" max="11017" width="13.375" style="422" bestFit="1" customWidth="1"/>
    <col min="11018" max="11018" width="12.125" style="422" customWidth="1"/>
    <col min="11019" max="11019" width="13.375" style="422" bestFit="1" customWidth="1"/>
    <col min="11020" max="11261" width="8.625" style="422"/>
    <col min="11262" max="11262" width="5" style="422" bestFit="1" customWidth="1"/>
    <col min="11263" max="11263" width="3" style="422" bestFit="1" customWidth="1"/>
    <col min="11264" max="11264" width="42.375" style="422" customWidth="1"/>
    <col min="11265" max="11265" width="7.625" style="422" bestFit="1" customWidth="1"/>
    <col min="11266" max="11267" width="0" style="422" hidden="1" customWidth="1"/>
    <col min="11268" max="11268" width="6" style="422" bestFit="1" customWidth="1"/>
    <col min="11269" max="11269" width="11.375" style="422" customWidth="1"/>
    <col min="11270" max="11270" width="12.625" style="422" bestFit="1" customWidth="1"/>
    <col min="11271" max="11271" width="12.125" style="422" bestFit="1" customWidth="1"/>
    <col min="11272" max="11272" width="16.125" style="422" customWidth="1"/>
    <col min="11273" max="11273" width="13.375" style="422" bestFit="1" customWidth="1"/>
    <col min="11274" max="11274" width="12.125" style="422" customWidth="1"/>
    <col min="11275" max="11275" width="13.375" style="422" bestFit="1" customWidth="1"/>
    <col min="11276" max="11517" width="8.625" style="422"/>
    <col min="11518" max="11518" width="5" style="422" bestFit="1" customWidth="1"/>
    <col min="11519" max="11519" width="3" style="422" bestFit="1" customWidth="1"/>
    <col min="11520" max="11520" width="42.375" style="422" customWidth="1"/>
    <col min="11521" max="11521" width="7.625" style="422" bestFit="1" customWidth="1"/>
    <col min="11522" max="11523" width="0" style="422" hidden="1" customWidth="1"/>
    <col min="11524" max="11524" width="6" style="422" bestFit="1" customWidth="1"/>
    <col min="11525" max="11525" width="11.375" style="422" customWidth="1"/>
    <col min="11526" max="11526" width="12.625" style="422" bestFit="1" customWidth="1"/>
    <col min="11527" max="11527" width="12.125" style="422" bestFit="1" customWidth="1"/>
    <col min="11528" max="11528" width="16.125" style="422" customWidth="1"/>
    <col min="11529" max="11529" width="13.375" style="422" bestFit="1" customWidth="1"/>
    <col min="11530" max="11530" width="12.125" style="422" customWidth="1"/>
    <col min="11531" max="11531" width="13.375" style="422" bestFit="1" customWidth="1"/>
    <col min="11532" max="11773" width="8.625" style="422"/>
    <col min="11774" max="11774" width="5" style="422" bestFit="1" customWidth="1"/>
    <col min="11775" max="11775" width="3" style="422" bestFit="1" customWidth="1"/>
    <col min="11776" max="11776" width="42.375" style="422" customWidth="1"/>
    <col min="11777" max="11777" width="7.625" style="422" bestFit="1" customWidth="1"/>
    <col min="11778" max="11779" width="0" style="422" hidden="1" customWidth="1"/>
    <col min="11780" max="11780" width="6" style="422" bestFit="1" customWidth="1"/>
    <col min="11781" max="11781" width="11.375" style="422" customWidth="1"/>
    <col min="11782" max="11782" width="12.625" style="422" bestFit="1" customWidth="1"/>
    <col min="11783" max="11783" width="12.125" style="422" bestFit="1" customWidth="1"/>
    <col min="11784" max="11784" width="16.125" style="422" customWidth="1"/>
    <col min="11785" max="11785" width="13.375" style="422" bestFit="1" customWidth="1"/>
    <col min="11786" max="11786" width="12.125" style="422" customWidth="1"/>
    <col min="11787" max="11787" width="13.375" style="422" bestFit="1" customWidth="1"/>
    <col min="11788" max="12029" width="8.625" style="422"/>
    <col min="12030" max="12030" width="5" style="422" bestFit="1" customWidth="1"/>
    <col min="12031" max="12031" width="3" style="422" bestFit="1" customWidth="1"/>
    <col min="12032" max="12032" width="42.375" style="422" customWidth="1"/>
    <col min="12033" max="12033" width="7.625" style="422" bestFit="1" customWidth="1"/>
    <col min="12034" max="12035" width="0" style="422" hidden="1" customWidth="1"/>
    <col min="12036" max="12036" width="6" style="422" bestFit="1" customWidth="1"/>
    <col min="12037" max="12037" width="11.375" style="422" customWidth="1"/>
    <col min="12038" max="12038" width="12.625" style="422" bestFit="1" customWidth="1"/>
    <col min="12039" max="12039" width="12.125" style="422" bestFit="1" customWidth="1"/>
    <col min="12040" max="12040" width="16.125" style="422" customWidth="1"/>
    <col min="12041" max="12041" width="13.375" style="422" bestFit="1" customWidth="1"/>
    <col min="12042" max="12042" width="12.125" style="422" customWidth="1"/>
    <col min="12043" max="12043" width="13.375" style="422" bestFit="1" customWidth="1"/>
    <col min="12044" max="12285" width="8.625" style="422"/>
    <col min="12286" max="12286" width="5" style="422" bestFit="1" customWidth="1"/>
    <col min="12287" max="12287" width="3" style="422" bestFit="1" customWidth="1"/>
    <col min="12288" max="12288" width="42.375" style="422" customWidth="1"/>
    <col min="12289" max="12289" width="7.625" style="422" bestFit="1" customWidth="1"/>
    <col min="12290" max="12291" width="0" style="422" hidden="1" customWidth="1"/>
    <col min="12292" max="12292" width="6" style="422" bestFit="1" customWidth="1"/>
    <col min="12293" max="12293" width="11.375" style="422" customWidth="1"/>
    <col min="12294" max="12294" width="12.625" style="422" bestFit="1" customWidth="1"/>
    <col min="12295" max="12295" width="12.125" style="422" bestFit="1" customWidth="1"/>
    <col min="12296" max="12296" width="16.125" style="422" customWidth="1"/>
    <col min="12297" max="12297" width="13.375" style="422" bestFit="1" customWidth="1"/>
    <col min="12298" max="12298" width="12.125" style="422" customWidth="1"/>
    <col min="12299" max="12299" width="13.375" style="422" bestFit="1" customWidth="1"/>
    <col min="12300" max="12541" width="8.625" style="422"/>
    <col min="12542" max="12542" width="5" style="422" bestFit="1" customWidth="1"/>
    <col min="12543" max="12543" width="3" style="422" bestFit="1" customWidth="1"/>
    <col min="12544" max="12544" width="42.375" style="422" customWidth="1"/>
    <col min="12545" max="12545" width="7.625" style="422" bestFit="1" customWidth="1"/>
    <col min="12546" max="12547" width="0" style="422" hidden="1" customWidth="1"/>
    <col min="12548" max="12548" width="6" style="422" bestFit="1" customWidth="1"/>
    <col min="12549" max="12549" width="11.375" style="422" customWidth="1"/>
    <col min="12550" max="12550" width="12.625" style="422" bestFit="1" customWidth="1"/>
    <col min="12551" max="12551" width="12.125" style="422" bestFit="1" customWidth="1"/>
    <col min="12552" max="12552" width="16.125" style="422" customWidth="1"/>
    <col min="12553" max="12553" width="13.375" style="422" bestFit="1" customWidth="1"/>
    <col min="12554" max="12554" width="12.125" style="422" customWidth="1"/>
    <col min="12555" max="12555" width="13.375" style="422" bestFit="1" customWidth="1"/>
    <col min="12556" max="12797" width="8.625" style="422"/>
    <col min="12798" max="12798" width="5" style="422" bestFit="1" customWidth="1"/>
    <col min="12799" max="12799" width="3" style="422" bestFit="1" customWidth="1"/>
    <col min="12800" max="12800" width="42.375" style="422" customWidth="1"/>
    <col min="12801" max="12801" width="7.625" style="422" bestFit="1" customWidth="1"/>
    <col min="12802" max="12803" width="0" style="422" hidden="1" customWidth="1"/>
    <col min="12804" max="12804" width="6" style="422" bestFit="1" customWidth="1"/>
    <col min="12805" max="12805" width="11.375" style="422" customWidth="1"/>
    <col min="12806" max="12806" width="12.625" style="422" bestFit="1" customWidth="1"/>
    <col min="12807" max="12807" width="12.125" style="422" bestFit="1" customWidth="1"/>
    <col min="12808" max="12808" width="16.125" style="422" customWidth="1"/>
    <col min="12809" max="12809" width="13.375" style="422" bestFit="1" customWidth="1"/>
    <col min="12810" max="12810" width="12.125" style="422" customWidth="1"/>
    <col min="12811" max="12811" width="13.375" style="422" bestFit="1" customWidth="1"/>
    <col min="12812" max="13053" width="8.625" style="422"/>
    <col min="13054" max="13054" width="5" style="422" bestFit="1" customWidth="1"/>
    <col min="13055" max="13055" width="3" style="422" bestFit="1" customWidth="1"/>
    <col min="13056" max="13056" width="42.375" style="422" customWidth="1"/>
    <col min="13057" max="13057" width="7.625" style="422" bestFit="1" customWidth="1"/>
    <col min="13058" max="13059" width="0" style="422" hidden="1" customWidth="1"/>
    <col min="13060" max="13060" width="6" style="422" bestFit="1" customWidth="1"/>
    <col min="13061" max="13061" width="11.375" style="422" customWidth="1"/>
    <col min="13062" max="13062" width="12.625" style="422" bestFit="1" customWidth="1"/>
    <col min="13063" max="13063" width="12.125" style="422" bestFit="1" customWidth="1"/>
    <col min="13064" max="13064" width="16.125" style="422" customWidth="1"/>
    <col min="13065" max="13065" width="13.375" style="422" bestFit="1" customWidth="1"/>
    <col min="13066" max="13066" width="12.125" style="422" customWidth="1"/>
    <col min="13067" max="13067" width="13.375" style="422" bestFit="1" customWidth="1"/>
    <col min="13068" max="13309" width="8.625" style="422"/>
    <col min="13310" max="13310" width="5" style="422" bestFit="1" customWidth="1"/>
    <col min="13311" max="13311" width="3" style="422" bestFit="1" customWidth="1"/>
    <col min="13312" max="13312" width="42.375" style="422" customWidth="1"/>
    <col min="13313" max="13313" width="7.625" style="422" bestFit="1" customWidth="1"/>
    <col min="13314" max="13315" width="0" style="422" hidden="1" customWidth="1"/>
    <col min="13316" max="13316" width="6" style="422" bestFit="1" customWidth="1"/>
    <col min="13317" max="13317" width="11.375" style="422" customWidth="1"/>
    <col min="13318" max="13318" width="12.625" style="422" bestFit="1" customWidth="1"/>
    <col min="13319" max="13319" width="12.125" style="422" bestFit="1" customWidth="1"/>
    <col min="13320" max="13320" width="16.125" style="422" customWidth="1"/>
    <col min="13321" max="13321" width="13.375" style="422" bestFit="1" customWidth="1"/>
    <col min="13322" max="13322" width="12.125" style="422" customWidth="1"/>
    <col min="13323" max="13323" width="13.375" style="422" bestFit="1" customWidth="1"/>
    <col min="13324" max="13565" width="8.625" style="422"/>
    <col min="13566" max="13566" width="5" style="422" bestFit="1" customWidth="1"/>
    <col min="13567" max="13567" width="3" style="422" bestFit="1" customWidth="1"/>
    <col min="13568" max="13568" width="42.375" style="422" customWidth="1"/>
    <col min="13569" max="13569" width="7.625" style="422" bestFit="1" customWidth="1"/>
    <col min="13570" max="13571" width="0" style="422" hidden="1" customWidth="1"/>
    <col min="13572" max="13572" width="6" style="422" bestFit="1" customWidth="1"/>
    <col min="13573" max="13573" width="11.375" style="422" customWidth="1"/>
    <col min="13574" max="13574" width="12.625" style="422" bestFit="1" customWidth="1"/>
    <col min="13575" max="13575" width="12.125" style="422" bestFit="1" customWidth="1"/>
    <col min="13576" max="13576" width="16.125" style="422" customWidth="1"/>
    <col min="13577" max="13577" width="13.375" style="422" bestFit="1" customWidth="1"/>
    <col min="13578" max="13578" width="12.125" style="422" customWidth="1"/>
    <col min="13579" max="13579" width="13.375" style="422" bestFit="1" customWidth="1"/>
    <col min="13580" max="13821" width="8.625" style="422"/>
    <col min="13822" max="13822" width="5" style="422" bestFit="1" customWidth="1"/>
    <col min="13823" max="13823" width="3" style="422" bestFit="1" customWidth="1"/>
    <col min="13824" max="13824" width="42.375" style="422" customWidth="1"/>
    <col min="13825" max="13825" width="7.625" style="422" bestFit="1" customWidth="1"/>
    <col min="13826" max="13827" width="0" style="422" hidden="1" customWidth="1"/>
    <col min="13828" max="13828" width="6" style="422" bestFit="1" customWidth="1"/>
    <col min="13829" max="13829" width="11.375" style="422" customWidth="1"/>
    <col min="13830" max="13830" width="12.625" style="422" bestFit="1" customWidth="1"/>
    <col min="13831" max="13831" width="12.125" style="422" bestFit="1" customWidth="1"/>
    <col min="13832" max="13832" width="16.125" style="422" customWidth="1"/>
    <col min="13833" max="13833" width="13.375" style="422" bestFit="1" customWidth="1"/>
    <col min="13834" max="13834" width="12.125" style="422" customWidth="1"/>
    <col min="13835" max="13835" width="13.375" style="422" bestFit="1" customWidth="1"/>
    <col min="13836" max="14077" width="8.625" style="422"/>
    <col min="14078" max="14078" width="5" style="422" bestFit="1" customWidth="1"/>
    <col min="14079" max="14079" width="3" style="422" bestFit="1" customWidth="1"/>
    <col min="14080" max="14080" width="42.375" style="422" customWidth="1"/>
    <col min="14081" max="14081" width="7.625" style="422" bestFit="1" customWidth="1"/>
    <col min="14082" max="14083" width="0" style="422" hidden="1" customWidth="1"/>
    <col min="14084" max="14084" width="6" style="422" bestFit="1" customWidth="1"/>
    <col min="14085" max="14085" width="11.375" style="422" customWidth="1"/>
    <col min="14086" max="14086" width="12.625" style="422" bestFit="1" customWidth="1"/>
    <col min="14087" max="14087" width="12.125" style="422" bestFit="1" customWidth="1"/>
    <col min="14088" max="14088" width="16.125" style="422" customWidth="1"/>
    <col min="14089" max="14089" width="13.375" style="422" bestFit="1" customWidth="1"/>
    <col min="14090" max="14090" width="12.125" style="422" customWidth="1"/>
    <col min="14091" max="14091" width="13.375" style="422" bestFit="1" customWidth="1"/>
    <col min="14092" max="14333" width="8.625" style="422"/>
    <col min="14334" max="14334" width="5" style="422" bestFit="1" customWidth="1"/>
    <col min="14335" max="14335" width="3" style="422" bestFit="1" customWidth="1"/>
    <col min="14336" max="14336" width="42.375" style="422" customWidth="1"/>
    <col min="14337" max="14337" width="7.625" style="422" bestFit="1" customWidth="1"/>
    <col min="14338" max="14339" width="0" style="422" hidden="1" customWidth="1"/>
    <col min="14340" max="14340" width="6" style="422" bestFit="1" customWidth="1"/>
    <col min="14341" max="14341" width="11.375" style="422" customWidth="1"/>
    <col min="14342" max="14342" width="12.625" style="422" bestFit="1" customWidth="1"/>
    <col min="14343" max="14343" width="12.125" style="422" bestFit="1" customWidth="1"/>
    <col min="14344" max="14344" width="16.125" style="422" customWidth="1"/>
    <col min="14345" max="14345" width="13.375" style="422" bestFit="1" customWidth="1"/>
    <col min="14346" max="14346" width="12.125" style="422" customWidth="1"/>
    <col min="14347" max="14347" width="13.375" style="422" bestFit="1" customWidth="1"/>
    <col min="14348" max="14589" width="8.625" style="422"/>
    <col min="14590" max="14590" width="5" style="422" bestFit="1" customWidth="1"/>
    <col min="14591" max="14591" width="3" style="422" bestFit="1" customWidth="1"/>
    <col min="14592" max="14592" width="42.375" style="422" customWidth="1"/>
    <col min="14593" max="14593" width="7.625" style="422" bestFit="1" customWidth="1"/>
    <col min="14594" max="14595" width="0" style="422" hidden="1" customWidth="1"/>
    <col min="14596" max="14596" width="6" style="422" bestFit="1" customWidth="1"/>
    <col min="14597" max="14597" width="11.375" style="422" customWidth="1"/>
    <col min="14598" max="14598" width="12.625" style="422" bestFit="1" customWidth="1"/>
    <col min="14599" max="14599" width="12.125" style="422" bestFit="1" customWidth="1"/>
    <col min="14600" max="14600" width="16.125" style="422" customWidth="1"/>
    <col min="14601" max="14601" width="13.375" style="422" bestFit="1" customWidth="1"/>
    <col min="14602" max="14602" width="12.125" style="422" customWidth="1"/>
    <col min="14603" max="14603" width="13.375" style="422" bestFit="1" customWidth="1"/>
    <col min="14604" max="14845" width="8.625" style="422"/>
    <col min="14846" max="14846" width="5" style="422" bestFit="1" customWidth="1"/>
    <col min="14847" max="14847" width="3" style="422" bestFit="1" customWidth="1"/>
    <col min="14848" max="14848" width="42.375" style="422" customWidth="1"/>
    <col min="14849" max="14849" width="7.625" style="422" bestFit="1" customWidth="1"/>
    <col min="14850" max="14851" width="0" style="422" hidden="1" customWidth="1"/>
    <col min="14852" max="14852" width="6" style="422" bestFit="1" customWidth="1"/>
    <col min="14853" max="14853" width="11.375" style="422" customWidth="1"/>
    <col min="14854" max="14854" width="12.625" style="422" bestFit="1" customWidth="1"/>
    <col min="14855" max="14855" width="12.125" style="422" bestFit="1" customWidth="1"/>
    <col min="14856" max="14856" width="16.125" style="422" customWidth="1"/>
    <col min="14857" max="14857" width="13.375" style="422" bestFit="1" customWidth="1"/>
    <col min="14858" max="14858" width="12.125" style="422" customWidth="1"/>
    <col min="14859" max="14859" width="13.375" style="422" bestFit="1" customWidth="1"/>
    <col min="14860" max="15101" width="8.625" style="422"/>
    <col min="15102" max="15102" width="5" style="422" bestFit="1" customWidth="1"/>
    <col min="15103" max="15103" width="3" style="422" bestFit="1" customWidth="1"/>
    <col min="15104" max="15104" width="42.375" style="422" customWidth="1"/>
    <col min="15105" max="15105" width="7.625" style="422" bestFit="1" customWidth="1"/>
    <col min="15106" max="15107" width="0" style="422" hidden="1" customWidth="1"/>
    <col min="15108" max="15108" width="6" style="422" bestFit="1" customWidth="1"/>
    <col min="15109" max="15109" width="11.375" style="422" customWidth="1"/>
    <col min="15110" max="15110" width="12.625" style="422" bestFit="1" customWidth="1"/>
    <col min="15111" max="15111" width="12.125" style="422" bestFit="1" customWidth="1"/>
    <col min="15112" max="15112" width="16.125" style="422" customWidth="1"/>
    <col min="15113" max="15113" width="13.375" style="422" bestFit="1" customWidth="1"/>
    <col min="15114" max="15114" width="12.125" style="422" customWidth="1"/>
    <col min="15115" max="15115" width="13.375" style="422" bestFit="1" customWidth="1"/>
    <col min="15116" max="15357" width="8.625" style="422"/>
    <col min="15358" max="15358" width="5" style="422" bestFit="1" customWidth="1"/>
    <col min="15359" max="15359" width="3" style="422" bestFit="1" customWidth="1"/>
    <col min="15360" max="15360" width="42.375" style="422" customWidth="1"/>
    <col min="15361" max="15361" width="7.625" style="422" bestFit="1" customWidth="1"/>
    <col min="15362" max="15363" width="0" style="422" hidden="1" customWidth="1"/>
    <col min="15364" max="15364" width="6" style="422" bestFit="1" customWidth="1"/>
    <col min="15365" max="15365" width="11.375" style="422" customWidth="1"/>
    <col min="15366" max="15366" width="12.625" style="422" bestFit="1" customWidth="1"/>
    <col min="15367" max="15367" width="12.125" style="422" bestFit="1" customWidth="1"/>
    <col min="15368" max="15368" width="16.125" style="422" customWidth="1"/>
    <col min="15369" max="15369" width="13.375" style="422" bestFit="1" customWidth="1"/>
    <col min="15370" max="15370" width="12.125" style="422" customWidth="1"/>
    <col min="15371" max="15371" width="13.375" style="422" bestFit="1" customWidth="1"/>
    <col min="15372" max="15613" width="8.625" style="422"/>
    <col min="15614" max="15614" width="5" style="422" bestFit="1" customWidth="1"/>
    <col min="15615" max="15615" width="3" style="422" bestFit="1" customWidth="1"/>
    <col min="15616" max="15616" width="42.375" style="422" customWidth="1"/>
    <col min="15617" max="15617" width="7.625" style="422" bestFit="1" customWidth="1"/>
    <col min="15618" max="15619" width="0" style="422" hidden="1" customWidth="1"/>
    <col min="15620" max="15620" width="6" style="422" bestFit="1" customWidth="1"/>
    <col min="15621" max="15621" width="11.375" style="422" customWidth="1"/>
    <col min="15622" max="15622" width="12.625" style="422" bestFit="1" customWidth="1"/>
    <col min="15623" max="15623" width="12.125" style="422" bestFit="1" customWidth="1"/>
    <col min="15624" max="15624" width="16.125" style="422" customWidth="1"/>
    <col min="15625" max="15625" width="13.375" style="422" bestFit="1" customWidth="1"/>
    <col min="15626" max="15626" width="12.125" style="422" customWidth="1"/>
    <col min="15627" max="15627" width="13.375" style="422" bestFit="1" customWidth="1"/>
    <col min="15628" max="15869" width="8.625" style="422"/>
    <col min="15870" max="15870" width="5" style="422" bestFit="1" customWidth="1"/>
    <col min="15871" max="15871" width="3" style="422" bestFit="1" customWidth="1"/>
    <col min="15872" max="15872" width="42.375" style="422" customWidth="1"/>
    <col min="15873" max="15873" width="7.625" style="422" bestFit="1" customWidth="1"/>
    <col min="15874" max="15875" width="0" style="422" hidden="1" customWidth="1"/>
    <col min="15876" max="15876" width="6" style="422" bestFit="1" customWidth="1"/>
    <col min="15877" max="15877" width="11.375" style="422" customWidth="1"/>
    <col min="15878" max="15878" width="12.625" style="422" bestFit="1" customWidth="1"/>
    <col min="15879" max="15879" width="12.125" style="422" bestFit="1" customWidth="1"/>
    <col min="15880" max="15880" width="16.125" style="422" customWidth="1"/>
    <col min="15881" max="15881" width="13.375" style="422" bestFit="1" customWidth="1"/>
    <col min="15882" max="15882" width="12.125" style="422" customWidth="1"/>
    <col min="15883" max="15883" width="13.375" style="422" bestFit="1" customWidth="1"/>
    <col min="15884" max="16125" width="8.625" style="422"/>
    <col min="16126" max="16126" width="5" style="422" bestFit="1" customWidth="1"/>
    <col min="16127" max="16127" width="3" style="422" bestFit="1" customWidth="1"/>
    <col min="16128" max="16128" width="42.375" style="422" customWidth="1"/>
    <col min="16129" max="16129" width="7.625" style="422" bestFit="1" customWidth="1"/>
    <col min="16130" max="16131" width="0" style="422" hidden="1" customWidth="1"/>
    <col min="16132" max="16132" width="6" style="422" bestFit="1" customWidth="1"/>
    <col min="16133" max="16133" width="11.375" style="422" customWidth="1"/>
    <col min="16134" max="16134" width="12.625" style="422" bestFit="1" customWidth="1"/>
    <col min="16135" max="16135" width="12.125" style="422" bestFit="1" customWidth="1"/>
    <col min="16136" max="16136" width="16.125" style="422" customWidth="1"/>
    <col min="16137" max="16137" width="13.375" style="422" bestFit="1" customWidth="1"/>
    <col min="16138" max="16138" width="12.125" style="422" customWidth="1"/>
    <col min="16139" max="16139" width="13.375" style="422" bestFit="1" customWidth="1"/>
    <col min="16140" max="16384" width="8.625" style="422"/>
  </cols>
  <sheetData>
    <row r="1" spans="1:13" ht="14.25">
      <c r="A1" s="1211" t="s">
        <v>750</v>
      </c>
      <c r="B1" s="1211"/>
      <c r="C1" s="1211"/>
      <c r="D1" s="1211"/>
      <c r="E1" s="1211"/>
      <c r="F1" s="1211"/>
      <c r="G1" s="1211"/>
      <c r="H1" s="1211"/>
      <c r="I1" s="1211"/>
      <c r="J1" s="1211"/>
      <c r="K1" s="1211"/>
    </row>
    <row r="2" spans="1:13" ht="15">
      <c r="A2" s="1212"/>
      <c r="B2" s="1212"/>
      <c r="C2" s="1212"/>
      <c r="D2" s="1212"/>
      <c r="E2" s="1212"/>
      <c r="F2" s="1212"/>
      <c r="G2" s="1212"/>
      <c r="H2" s="1212"/>
      <c r="I2" s="1212"/>
      <c r="J2" s="1212"/>
      <c r="K2" s="1212"/>
    </row>
    <row r="3" spans="1:13" ht="15">
      <c r="A3" s="423"/>
      <c r="B3" s="423"/>
      <c r="C3" s="423"/>
      <c r="D3" s="424"/>
      <c r="E3" s="425"/>
      <c r="F3" s="426"/>
      <c r="G3" s="476"/>
      <c r="H3" s="476"/>
      <c r="I3" s="476"/>
      <c r="J3" s="1213" t="s">
        <v>734</v>
      </c>
      <c r="K3" s="1213"/>
    </row>
    <row r="4" spans="1:13" ht="63" customHeight="1">
      <c r="A4" s="428" t="s">
        <v>9</v>
      </c>
      <c r="B4" s="428" t="s">
        <v>162</v>
      </c>
      <c r="C4" s="428" t="s">
        <v>21</v>
      </c>
      <c r="D4" s="429" t="s">
        <v>686</v>
      </c>
      <c r="E4" s="430" t="s">
        <v>103</v>
      </c>
      <c r="F4" s="429" t="s">
        <v>735</v>
      </c>
      <c r="G4" s="429" t="s">
        <v>736</v>
      </c>
      <c r="H4" s="429" t="s">
        <v>737</v>
      </c>
      <c r="I4" s="429" t="s">
        <v>738</v>
      </c>
      <c r="J4" s="429" t="s">
        <v>739</v>
      </c>
      <c r="K4" s="429" t="s">
        <v>744</v>
      </c>
      <c r="L4" s="431"/>
    </row>
    <row r="5" spans="1:13" ht="15.75" customHeight="1">
      <c r="A5" s="432" t="s">
        <v>15</v>
      </c>
      <c r="B5" s="433" t="s">
        <v>740</v>
      </c>
      <c r="C5" s="434"/>
      <c r="D5" s="435"/>
      <c r="E5" s="436"/>
      <c r="F5" s="437"/>
      <c r="G5" s="437"/>
      <c r="H5" s="437"/>
      <c r="I5" s="437"/>
      <c r="J5" s="437"/>
      <c r="K5" s="437"/>
    </row>
    <row r="6" spans="1:13" s="439" customFormat="1" ht="15">
      <c r="A6" s="432">
        <f>NhanCong_Xa!B4</f>
        <v>1</v>
      </c>
      <c r="B6" s="433" t="str">
        <f>NhanCong_Xa!C4</f>
        <v>Công tác chuẩn bị</v>
      </c>
      <c r="C6" s="434"/>
      <c r="D6" s="435"/>
      <c r="E6" s="438"/>
      <c r="F6" s="437"/>
      <c r="G6" s="437"/>
      <c r="H6" s="437"/>
      <c r="I6" s="437"/>
      <c r="J6" s="437"/>
      <c r="K6" s="437" t="e">
        <f>K7+K8+K9</f>
        <v>#N/A</v>
      </c>
      <c r="L6" s="421"/>
    </row>
    <row r="7" spans="1:13" ht="75">
      <c r="A7" s="440" t="str">
        <f>NhanCong_Xa!B5</f>
        <v>1.1</v>
      </c>
      <c r="B7" s="441"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C7" s="452" t="str">
        <f>NhanCong_Xa!D5</f>
        <v>Bộ dữ liệu theo xã</v>
      </c>
      <c r="D7" s="442">
        <f>Chitietbangbieu!$AA$31</f>
        <v>18</v>
      </c>
      <c r="E7" s="436" t="e">
        <f>VLOOKUP(A7,DonGia_Tinh!$B$8:$L$45,13,FALSE)</f>
        <v>#N/A</v>
      </c>
      <c r="F7" s="443" t="e">
        <f>D7*E7</f>
        <v>#N/A</v>
      </c>
      <c r="G7" s="443" t="e">
        <f>F7*15%</f>
        <v>#N/A</v>
      </c>
      <c r="H7" s="443" t="e">
        <f>F7*4%</f>
        <v>#N/A</v>
      </c>
      <c r="I7" s="443" t="e">
        <f>F7+G7+H7</f>
        <v>#N/A</v>
      </c>
      <c r="J7" s="443" t="e">
        <f>I7*10%</f>
        <v>#N/A</v>
      </c>
      <c r="K7" s="443" t="e">
        <f>I7+J7</f>
        <v>#N/A</v>
      </c>
    </row>
    <row r="8" spans="1:13" ht="45">
      <c r="A8" s="440" t="str">
        <f>NhanCong_Xa!B6</f>
        <v>1.2</v>
      </c>
      <c r="B8" s="441" t="str">
        <f>NhanCong_Xa!C6</f>
        <v>Chuẩn bị nhân lực, địa điểm làm việc; Chuẩn bị vật tư, thiết bị, dụng cụ, phần mềm phục vụ cho công tác xây dựng cơ sở dữ liệu thống kê, kiểm kê đất đai</v>
      </c>
      <c r="C8" s="452" t="str">
        <f>NhanCong_Xa!D6</f>
        <v>Bộ dữ liệu theo xã</v>
      </c>
      <c r="D8" s="442">
        <f>Chitietbangbieu!$AA$31</f>
        <v>18</v>
      </c>
      <c r="E8" s="436" t="e">
        <f>VLOOKUP(A8,DonGia_Tinh!$B$8:$L$45,13,FALSE)</f>
        <v>#N/A</v>
      </c>
      <c r="F8" s="443" t="e">
        <f t="shared" ref="F8:F38" si="0">D8*E8</f>
        <v>#N/A</v>
      </c>
      <c r="G8" s="443" t="e">
        <f t="shared" ref="G8:G38" si="1">F8*15%</f>
        <v>#N/A</v>
      </c>
      <c r="H8" s="443" t="e">
        <f t="shared" ref="H8:H38" si="2">F8*4%</f>
        <v>#N/A</v>
      </c>
      <c r="I8" s="443" t="e">
        <f t="shared" ref="I8:I38" si="3">F8+G8+H8</f>
        <v>#N/A</v>
      </c>
      <c r="J8" s="443" t="e">
        <f t="shared" ref="J8:J38" si="4">I8*10%</f>
        <v>#N/A</v>
      </c>
      <c r="K8" s="443" t="e">
        <f t="shared" ref="K8:K38" si="5">I8+J8</f>
        <v>#N/A</v>
      </c>
    </row>
    <row r="9" spans="1:13" ht="15">
      <c r="A9" s="440" t="e">
        <f>NhanCong_Xa!#REF!</f>
        <v>#REF!</v>
      </c>
      <c r="B9" s="441" t="e">
        <f>NhanCong_Xa!#REF!</f>
        <v>#REF!</v>
      </c>
      <c r="C9" s="452" t="e">
        <f>NhanCong_Xa!#REF!</f>
        <v>#REF!</v>
      </c>
      <c r="D9" s="442">
        <f>Chitietbangbieu!$AA$31</f>
        <v>18</v>
      </c>
      <c r="E9" s="436" t="e">
        <f>VLOOKUP(A9,DonGia_Tinh!$B$8:$L$45,13,FALSE)</f>
        <v>#REF!</v>
      </c>
      <c r="F9" s="443" t="e">
        <f t="shared" si="0"/>
        <v>#REF!</v>
      </c>
      <c r="G9" s="443" t="e">
        <f t="shared" si="1"/>
        <v>#REF!</v>
      </c>
      <c r="H9" s="443" t="e">
        <f t="shared" si="2"/>
        <v>#REF!</v>
      </c>
      <c r="I9" s="443" t="e">
        <f t="shared" si="3"/>
        <v>#REF!</v>
      </c>
      <c r="J9" s="443" t="e">
        <f t="shared" si="4"/>
        <v>#REF!</v>
      </c>
      <c r="K9" s="443" t="e">
        <f t="shared" si="5"/>
        <v>#REF!</v>
      </c>
    </row>
    <row r="10" spans="1:13" s="439" customFormat="1" ht="15">
      <c r="A10" s="432">
        <f>NhanCong_Xa!B16</f>
        <v>1</v>
      </c>
      <c r="B10" s="433" t="str">
        <f>NhanCong_Xa!C16</f>
        <v>Thu thập tài liệu, dữ liệu</v>
      </c>
      <c r="C10" s="452">
        <f>NhanCong_Xa!D16</f>
        <v>0</v>
      </c>
      <c r="D10" s="442">
        <f>Chitietbangbieu!$AA$31</f>
        <v>18</v>
      </c>
      <c r="E10" s="436" t="e">
        <f>VLOOKUP(A10,DonGia_Tinh!$B$8:$L$45,13,FALSE)</f>
        <v>#N/A</v>
      </c>
      <c r="F10" s="443" t="e">
        <f t="shared" si="0"/>
        <v>#N/A</v>
      </c>
      <c r="G10" s="443" t="e">
        <f t="shared" si="1"/>
        <v>#N/A</v>
      </c>
      <c r="H10" s="443" t="e">
        <f t="shared" si="2"/>
        <v>#N/A</v>
      </c>
      <c r="I10" s="443" t="e">
        <f t="shared" si="3"/>
        <v>#N/A</v>
      </c>
      <c r="J10" s="443" t="e">
        <f t="shared" si="4"/>
        <v>#N/A</v>
      </c>
      <c r="K10" s="437" t="e">
        <f t="shared" si="5"/>
        <v>#N/A</v>
      </c>
      <c r="L10" s="421"/>
    </row>
    <row r="11" spans="1:13" s="439" customFormat="1" ht="28.5">
      <c r="A11" s="432">
        <f>NhanCong_Xa!B19</f>
        <v>2</v>
      </c>
      <c r="B11" s="433" t="str">
        <f>NhanCong_Xa!C19</f>
        <v>Rà soát, đánh giá, phân loại và sắp xếp tài liệu, dữ liệu</v>
      </c>
      <c r="C11" s="452">
        <f>NhanCong_Xa!D19</f>
        <v>0</v>
      </c>
      <c r="D11" s="442">
        <f>Chitietbangbieu!$AA$31</f>
        <v>18</v>
      </c>
      <c r="E11" s="436" t="e">
        <f>VLOOKUP(A11,DonGia_Tinh!$B$8:$L$45,13,FALSE)</f>
        <v>#N/A</v>
      </c>
      <c r="F11" s="443" t="e">
        <f t="shared" si="0"/>
        <v>#N/A</v>
      </c>
      <c r="G11" s="443" t="e">
        <f t="shared" si="1"/>
        <v>#N/A</v>
      </c>
      <c r="H11" s="443" t="e">
        <f t="shared" si="2"/>
        <v>#N/A</v>
      </c>
      <c r="I11" s="443" t="e">
        <f t="shared" si="3"/>
        <v>#N/A</v>
      </c>
      <c r="J11" s="443" t="e">
        <f t="shared" si="4"/>
        <v>#N/A</v>
      </c>
      <c r="K11" s="437" t="e">
        <f t="shared" si="5"/>
        <v>#N/A</v>
      </c>
      <c r="L11" s="421"/>
      <c r="M11" s="444"/>
    </row>
    <row r="12" spans="1:13" s="439" customFormat="1" ht="15">
      <c r="A12" s="432" t="e">
        <f>NhanCong_Xa!#REF!</f>
        <v>#REF!</v>
      </c>
      <c r="B12" s="433" t="e">
        <f>NhanCong_Xa!#REF!</f>
        <v>#REF!</v>
      </c>
      <c r="C12" s="452"/>
      <c r="D12" s="435"/>
      <c r="E12" s="436" t="e">
        <f>VLOOKUP(A12,DonGia_Tinh!$B$8:$L$44,13,FALSE)</f>
        <v>#REF!</v>
      </c>
      <c r="F12" s="443" t="e">
        <f t="shared" si="0"/>
        <v>#REF!</v>
      </c>
      <c r="G12" s="443" t="e">
        <f t="shared" si="1"/>
        <v>#REF!</v>
      </c>
      <c r="H12" s="443" t="e">
        <f t="shared" si="2"/>
        <v>#REF!</v>
      </c>
      <c r="I12" s="443" t="e">
        <f t="shared" si="3"/>
        <v>#REF!</v>
      </c>
      <c r="J12" s="443" t="e">
        <f t="shared" si="4"/>
        <v>#REF!</v>
      </c>
      <c r="K12" s="437" t="e">
        <f>K13+K18</f>
        <v>#N/A</v>
      </c>
      <c r="L12" s="421"/>
      <c r="M12" s="444"/>
    </row>
    <row r="13" spans="1:13" ht="30">
      <c r="A13" s="440">
        <f>NhanCong_Xa!B39</f>
        <v>1</v>
      </c>
      <c r="B13" s="441" t="str">
        <f>NhanCong_Xa!C39</f>
        <v>Chuẩn hóa các lớp đối tượng không gian kiểm kê đất đai</v>
      </c>
      <c r="C13" s="452"/>
      <c r="D13" s="442"/>
      <c r="E13" s="436">
        <f>DonGia_Tinh!I17</f>
        <v>0</v>
      </c>
      <c r="F13" s="443">
        <f t="shared" si="0"/>
        <v>0</v>
      </c>
      <c r="G13" s="443">
        <f t="shared" si="1"/>
        <v>0</v>
      </c>
      <c r="H13" s="443">
        <f t="shared" si="2"/>
        <v>0</v>
      </c>
      <c r="I13" s="443">
        <f t="shared" si="3"/>
        <v>0</v>
      </c>
      <c r="J13" s="443">
        <f t="shared" si="4"/>
        <v>0</v>
      </c>
      <c r="K13" s="443" t="e">
        <f>K14+K15+K16+K17</f>
        <v>#N/A</v>
      </c>
    </row>
    <row r="14" spans="1:13" ht="60">
      <c r="A14" s="440" t="str">
        <f>NhanCong_Xa!B40</f>
        <v>1.1</v>
      </c>
      <c r="B14" s="441" t="str">
        <f>NhanCong_Xa!C40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C14" s="452" t="str">
        <f>NhanCong_Xa!D40</f>
        <v>Lớp dữ liệu</v>
      </c>
      <c r="D14" s="442">
        <f>Chitietbangbieu!$S$37</f>
        <v>1</v>
      </c>
      <c r="E14" s="436" t="e">
        <f>VLOOKUP(A14,DonGia_Tinh!$B$8:$L$45,13,FALSE)</f>
        <v>#N/A</v>
      </c>
      <c r="F14" s="443" t="e">
        <f t="shared" si="0"/>
        <v>#N/A</v>
      </c>
      <c r="G14" s="443" t="e">
        <f t="shared" si="1"/>
        <v>#N/A</v>
      </c>
      <c r="H14" s="443" t="e">
        <f t="shared" si="2"/>
        <v>#N/A</v>
      </c>
      <c r="I14" s="443" t="e">
        <f t="shared" si="3"/>
        <v>#N/A</v>
      </c>
      <c r="J14" s="443" t="e">
        <f t="shared" si="4"/>
        <v>#N/A</v>
      </c>
      <c r="K14" s="443" t="e">
        <f t="shared" si="5"/>
        <v>#N/A</v>
      </c>
    </row>
    <row r="15" spans="1:13" ht="36" customHeight="1">
      <c r="A15" s="440" t="str">
        <f>NhanCong_Xa!B41</f>
        <v>1.2</v>
      </c>
      <c r="B15" s="441" t="str">
        <f>NhanCong_Xa!C41</f>
        <v>Chuẩn hóa các lớp đối tượng không gian kiểm kê đất đai chưa phù hợp</v>
      </c>
      <c r="C15" s="452" t="str">
        <f>NhanCong_Xa!D41</f>
        <v>Lớp dữ liệu</v>
      </c>
      <c r="D15" s="442">
        <f>Chitietbangbieu!$S$37</f>
        <v>1</v>
      </c>
      <c r="E15" s="436" t="e">
        <f>VLOOKUP(A15,DonGia_Tinh!$B$8:$L$45,13,FALSE)</f>
        <v>#N/A</v>
      </c>
      <c r="F15" s="443" t="e">
        <f t="shared" si="0"/>
        <v>#N/A</v>
      </c>
      <c r="G15" s="443" t="e">
        <f t="shared" si="1"/>
        <v>#N/A</v>
      </c>
      <c r="H15" s="443" t="e">
        <f t="shared" si="2"/>
        <v>#N/A</v>
      </c>
      <c r="I15" s="443" t="e">
        <f t="shared" si="3"/>
        <v>#N/A</v>
      </c>
      <c r="J15" s="443" t="e">
        <f t="shared" si="4"/>
        <v>#N/A</v>
      </c>
      <c r="K15" s="443" t="e">
        <f t="shared" si="5"/>
        <v>#N/A</v>
      </c>
    </row>
    <row r="16" spans="1:13" ht="30">
      <c r="A16" s="440" t="str">
        <f>NhanCong_Xa!B42</f>
        <v>1.3</v>
      </c>
      <c r="B16" s="441" t="str">
        <f>NhanCong_Xa!C42</f>
        <v>Nhập bổ sung các thông tin thuộc tính cho đối tượng không gian kiểm kê đất đai còn thiếu (nếu có)</v>
      </c>
      <c r="C16" s="452" t="str">
        <f>NhanCong_Xa!D42</f>
        <v>Lớp dữ liệu</v>
      </c>
      <c r="D16" s="442">
        <f>Chitietbangbieu!$S$37</f>
        <v>1</v>
      </c>
      <c r="E16" s="436" t="e">
        <f>VLOOKUP(A16,DonGia_Tinh!$B$8:$L$45,13,FALSE)</f>
        <v>#N/A</v>
      </c>
      <c r="F16" s="443" t="e">
        <f t="shared" si="0"/>
        <v>#N/A</v>
      </c>
      <c r="G16" s="443" t="e">
        <f t="shared" si="1"/>
        <v>#N/A</v>
      </c>
      <c r="H16" s="443" t="e">
        <f t="shared" si="2"/>
        <v>#N/A</v>
      </c>
      <c r="I16" s="443" t="e">
        <f t="shared" si="3"/>
        <v>#N/A</v>
      </c>
      <c r="J16" s="443" t="e">
        <f t="shared" si="4"/>
        <v>#N/A</v>
      </c>
      <c r="K16" s="443" t="e">
        <f t="shared" si="5"/>
        <v>#N/A</v>
      </c>
    </row>
    <row r="17" spans="1:12" ht="30">
      <c r="A17" s="440" t="str">
        <f>NhanCong_Xa!B43</f>
        <v>1.4</v>
      </c>
      <c r="B17" s="441" t="str">
        <f>NhanCong_Xa!C43</f>
        <v>Rà soát chuẩn hóa thông tin thuộc tính cho từng đối tượng không gian kiểm kê đất đai</v>
      </c>
      <c r="C17" s="452" t="str">
        <f>NhanCong_Xa!D43</f>
        <v>Lớp dữ liệu</v>
      </c>
      <c r="D17" s="442">
        <f>Chitietbangbieu!$S$37</f>
        <v>1</v>
      </c>
      <c r="E17" s="436" t="e">
        <f>VLOOKUP(A17,DonGia_Tinh!$B$8:$L$45,13,FALSE)</f>
        <v>#N/A</v>
      </c>
      <c r="F17" s="443" t="e">
        <f t="shared" si="0"/>
        <v>#N/A</v>
      </c>
      <c r="G17" s="443" t="e">
        <f t="shared" si="1"/>
        <v>#N/A</v>
      </c>
      <c r="H17" s="443" t="e">
        <f t="shared" si="2"/>
        <v>#N/A</v>
      </c>
      <c r="I17" s="443" t="e">
        <f t="shared" si="3"/>
        <v>#N/A</v>
      </c>
      <c r="J17" s="443" t="e">
        <f t="shared" si="4"/>
        <v>#N/A</v>
      </c>
      <c r="K17" s="443" t="e">
        <f t="shared" si="5"/>
        <v>#N/A</v>
      </c>
    </row>
    <row r="18" spans="1:12" ht="15">
      <c r="A18" s="440">
        <f>NhanCong_Xa!B44</f>
        <v>2</v>
      </c>
      <c r="B18" s="441" t="str">
        <f>NhanCong_Xa!C44</f>
        <v>Chuyển đổi và tích hợp không gian kiểm kê đất đai</v>
      </c>
      <c r="C18" s="452"/>
      <c r="D18" s="442">
        <f>Chitietbangbieu!$S$37</f>
        <v>1</v>
      </c>
      <c r="E18" s="436">
        <f>DonGia_Tinh!I22</f>
        <v>0</v>
      </c>
      <c r="F18" s="443">
        <f t="shared" si="0"/>
        <v>0</v>
      </c>
      <c r="G18" s="443">
        <f t="shared" si="1"/>
        <v>0</v>
      </c>
      <c r="H18" s="443">
        <f t="shared" si="2"/>
        <v>0</v>
      </c>
      <c r="I18" s="443">
        <f t="shared" si="3"/>
        <v>0</v>
      </c>
      <c r="J18" s="443">
        <f t="shared" si="4"/>
        <v>0</v>
      </c>
      <c r="K18" s="443" t="e">
        <f>K19+K20</f>
        <v>#N/A</v>
      </c>
    </row>
    <row r="19" spans="1:12" ht="45">
      <c r="A19" s="440" t="str">
        <f>NhanCong_Xa!B45</f>
        <v>2.1</v>
      </c>
      <c r="B19" s="441" t="str">
        <f>NhanCong_Xa!C45</f>
        <v>Chuyển đổi các lớp đối tượng không gian kiểm kê đất đai từ tệp (File) bản đồ số vào cơ sở dữ liệu theo đơn vị hành chính</v>
      </c>
      <c r="C19" s="452" t="str">
        <f>NhanCong_Xa!D45</f>
        <v>Lớp dữ liệu</v>
      </c>
      <c r="D19" s="442">
        <f>Chitietbangbieu!$S$37</f>
        <v>1</v>
      </c>
      <c r="E19" s="436" t="e">
        <f>VLOOKUP(A19,DonGia_Tinh!$B$8:$L$45,13,FALSE)</f>
        <v>#N/A</v>
      </c>
      <c r="F19" s="443" t="e">
        <f t="shared" si="0"/>
        <v>#N/A</v>
      </c>
      <c r="G19" s="443" t="e">
        <f t="shared" si="1"/>
        <v>#N/A</v>
      </c>
      <c r="H19" s="443" t="e">
        <f t="shared" si="2"/>
        <v>#N/A</v>
      </c>
      <c r="I19" s="443" t="e">
        <f t="shared" si="3"/>
        <v>#N/A</v>
      </c>
      <c r="J19" s="443" t="e">
        <f t="shared" si="4"/>
        <v>#N/A</v>
      </c>
      <c r="K19" s="443" t="e">
        <f t="shared" si="5"/>
        <v>#N/A</v>
      </c>
    </row>
    <row r="20" spans="1:12" ht="30">
      <c r="A20" s="440" t="str">
        <f>NhanCong_Xa!B46</f>
        <v>2.2</v>
      </c>
      <c r="B20" s="441" t="str">
        <f>NhanCong_Xa!C46</f>
        <v>Rà soát dữ liệu không gian để xử lý các lỗi dọc biên giữa các đơn vị hành chính tiếp giáp nhau</v>
      </c>
      <c r="C20" s="452" t="str">
        <f>NhanCong_Xa!D46</f>
        <v>Lớp dữ liệu</v>
      </c>
      <c r="D20" s="442">
        <f>Chitietbangbieu!$S$37</f>
        <v>1</v>
      </c>
      <c r="E20" s="436" t="e">
        <f>VLOOKUP(A20,DonGia_Tinh!$B$8:$L$45,13,FALSE)</f>
        <v>#N/A</v>
      </c>
      <c r="F20" s="443" t="e">
        <f t="shared" si="0"/>
        <v>#N/A</v>
      </c>
      <c r="G20" s="443" t="e">
        <f t="shared" si="1"/>
        <v>#N/A</v>
      </c>
      <c r="H20" s="443" t="e">
        <f t="shared" si="2"/>
        <v>#N/A</v>
      </c>
      <c r="I20" s="443" t="e">
        <f t="shared" si="3"/>
        <v>#N/A</v>
      </c>
      <c r="J20" s="443" t="e">
        <f t="shared" si="4"/>
        <v>#N/A</v>
      </c>
      <c r="K20" s="443" t="e">
        <f t="shared" si="5"/>
        <v>#N/A</v>
      </c>
    </row>
    <row r="21" spans="1:12" s="439" customFormat="1" ht="15">
      <c r="A21" s="432">
        <f>NhanCong_Xa!B22</f>
        <v>3</v>
      </c>
      <c r="B21" s="433" t="str">
        <f>NhanCong_Xa!C22</f>
        <v>Quét giấy tờ pháp lý và xử lý tệp tin</v>
      </c>
      <c r="C21" s="453"/>
      <c r="D21" s="435"/>
      <c r="E21" s="438">
        <f>DonGia_Tinh!I25</f>
        <v>0</v>
      </c>
      <c r="F21" s="443">
        <f t="shared" si="0"/>
        <v>0</v>
      </c>
      <c r="G21" s="443">
        <f t="shared" si="1"/>
        <v>0</v>
      </c>
      <c r="H21" s="443">
        <f t="shared" si="2"/>
        <v>0</v>
      </c>
      <c r="I21" s="443">
        <f t="shared" si="3"/>
        <v>0</v>
      </c>
      <c r="J21" s="443">
        <f t="shared" si="4"/>
        <v>0</v>
      </c>
      <c r="K21" s="437" t="e">
        <f>K22+K25+K26</f>
        <v>#N/A</v>
      </c>
      <c r="L21" s="421"/>
    </row>
    <row r="22" spans="1:12" ht="90">
      <c r="A22" s="440" t="str">
        <f>NhanCong_Xa!B23</f>
        <v>3.1</v>
      </c>
      <c r="B22" s="441" t="str">
        <f>NhanCong_Xa!C23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C22" s="452"/>
      <c r="D22" s="442"/>
      <c r="E22" s="436">
        <f>DonGia_Tinh!I26</f>
        <v>0</v>
      </c>
      <c r="F22" s="443">
        <f t="shared" si="0"/>
        <v>0</v>
      </c>
      <c r="G22" s="443">
        <f t="shared" si="1"/>
        <v>0</v>
      </c>
      <c r="H22" s="443">
        <f t="shared" si="2"/>
        <v>0</v>
      </c>
      <c r="I22" s="443">
        <f t="shared" si="3"/>
        <v>0</v>
      </c>
      <c r="J22" s="443">
        <f t="shared" si="4"/>
        <v>0</v>
      </c>
      <c r="K22" s="443" t="e">
        <f>K23+K24</f>
        <v>#N/A</v>
      </c>
    </row>
    <row r="23" spans="1:12" ht="30">
      <c r="A23" s="440" t="str">
        <f>NhanCong_Xa!B24</f>
        <v>3.1.1</v>
      </c>
      <c r="B23" s="441" t="str">
        <f>NhanCong_Xa!C24</f>
        <v>Trang A3</v>
      </c>
      <c r="C23" s="452" t="str">
        <f>NhanCong_Xa!D24</f>
        <v>Trang A3</v>
      </c>
      <c r="D23" s="442">
        <f>(Chitietbangbieu!S36+Chitietbangbieu!W36)</f>
        <v>178</v>
      </c>
      <c r="E23" s="436" t="e">
        <f>VLOOKUP(A23,DonGia_Tinh!$B$8:$L$44,13,FALSE)</f>
        <v>#N/A</v>
      </c>
      <c r="F23" s="443" t="e">
        <f t="shared" si="0"/>
        <v>#N/A</v>
      </c>
      <c r="G23" s="443" t="e">
        <f t="shared" si="1"/>
        <v>#N/A</v>
      </c>
      <c r="H23" s="443" t="e">
        <f t="shared" si="2"/>
        <v>#N/A</v>
      </c>
      <c r="I23" s="443" t="e">
        <f t="shared" si="3"/>
        <v>#N/A</v>
      </c>
      <c r="J23" s="443" t="e">
        <f t="shared" si="4"/>
        <v>#N/A</v>
      </c>
      <c r="K23" s="443" t="e">
        <f t="shared" si="5"/>
        <v>#N/A</v>
      </c>
    </row>
    <row r="24" spans="1:12" ht="30">
      <c r="A24" s="440" t="str">
        <f>NhanCong_Xa!B25</f>
        <v>3.1.2</v>
      </c>
      <c r="B24" s="441" t="str">
        <f>NhanCong_Xa!C25</f>
        <v>Trang A4</v>
      </c>
      <c r="C24" s="452" t="str">
        <f>NhanCong_Xa!D25</f>
        <v>Trang A4</v>
      </c>
      <c r="D24" s="442">
        <f>(Chitietbangbieu!S35+Chitietbangbieu!W35)</f>
        <v>1000</v>
      </c>
      <c r="E24" s="436" t="e">
        <f>VLOOKUP(A24,DonGia_Tinh!$B$8:$L$44,13,FALSE)</f>
        <v>#N/A</v>
      </c>
      <c r="F24" s="443" t="e">
        <f t="shared" si="0"/>
        <v>#N/A</v>
      </c>
      <c r="G24" s="443" t="e">
        <f t="shared" si="1"/>
        <v>#N/A</v>
      </c>
      <c r="H24" s="443" t="e">
        <f t="shared" si="2"/>
        <v>#N/A</v>
      </c>
      <c r="I24" s="443" t="e">
        <f t="shared" si="3"/>
        <v>#N/A</v>
      </c>
      <c r="J24" s="443" t="e">
        <f t="shared" si="4"/>
        <v>#N/A</v>
      </c>
      <c r="K24" s="443" t="e">
        <f t="shared" si="5"/>
        <v>#N/A</v>
      </c>
    </row>
    <row r="25" spans="1:12" ht="84.75" customHeight="1">
      <c r="A25" s="440" t="str">
        <f>NhanCong_Xa!B26</f>
        <v>3.2</v>
      </c>
      <c r="B25" s="441" t="str">
        <f>NhanCong_Xa!C26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C25" s="452" t="e">
        <f>NhanCong_Xa!#REF!</f>
        <v>#REF!</v>
      </c>
      <c r="D25" s="442">
        <f>D23+D24</f>
        <v>1178</v>
      </c>
      <c r="E25" s="436" t="e">
        <f>VLOOKUP(A25,DonGia_Tinh!$B$8:$L$44,13,FALSE)</f>
        <v>#N/A</v>
      </c>
      <c r="F25" s="443" t="e">
        <f t="shared" si="0"/>
        <v>#N/A</v>
      </c>
      <c r="G25" s="443" t="e">
        <f t="shared" si="1"/>
        <v>#N/A</v>
      </c>
      <c r="H25" s="443" t="e">
        <f t="shared" si="2"/>
        <v>#N/A</v>
      </c>
      <c r="I25" s="443" t="e">
        <f t="shared" si="3"/>
        <v>#N/A</v>
      </c>
      <c r="J25" s="443" t="e">
        <f t="shared" si="4"/>
        <v>#N/A</v>
      </c>
      <c r="K25" s="443" t="e">
        <f t="shared" si="5"/>
        <v>#N/A</v>
      </c>
    </row>
    <row r="26" spans="1:12" ht="60">
      <c r="A26" s="440" t="str">
        <f>NhanCong_Xa!B27</f>
        <v>3.3</v>
      </c>
      <c r="B26" s="441" t="str">
        <f>NhanCong_Xa!C27</f>
        <v>Tạo danh mục tra cứu hồ sơ quét trong cơ sở dữ liệu thống kê, kiểm kê đất đai</v>
      </c>
      <c r="C26" s="452" t="str">
        <f>NhanCong_Xa!D27</f>
        <v>Năm TK hoặc Kỳ KK</v>
      </c>
      <c r="D26" s="442">
        <f>Chitietbangbieu!$AA$31</f>
        <v>18</v>
      </c>
      <c r="E26" s="436" t="e">
        <f>VLOOKUP(A26,DonGia_Tinh!$B$8:$L$45,13,FALSE)</f>
        <v>#N/A</v>
      </c>
      <c r="F26" s="443" t="e">
        <f t="shared" si="0"/>
        <v>#N/A</v>
      </c>
      <c r="G26" s="443" t="e">
        <f t="shared" si="1"/>
        <v>#N/A</v>
      </c>
      <c r="H26" s="443" t="e">
        <f t="shared" si="2"/>
        <v>#N/A</v>
      </c>
      <c r="I26" s="443" t="e">
        <f t="shared" si="3"/>
        <v>#N/A</v>
      </c>
      <c r="J26" s="443" t="e">
        <f t="shared" si="4"/>
        <v>#N/A</v>
      </c>
      <c r="K26" s="443" t="e">
        <f t="shared" si="5"/>
        <v>#N/A</v>
      </c>
    </row>
    <row r="27" spans="1:12" s="439" customFormat="1" ht="28.5">
      <c r="A27" s="432">
        <f>NhanCong_Xa!B28</f>
        <v>4</v>
      </c>
      <c r="B27" s="433" t="str">
        <f>NhanCong_Xa!C28</f>
        <v>Xây dựng dữ liệu thuộc tính thống kê, kiểm kê đất đai</v>
      </c>
      <c r="C27" s="453"/>
      <c r="D27" s="435"/>
      <c r="E27" s="438">
        <f>DonGia_Tinh!I31</f>
        <v>0</v>
      </c>
      <c r="F27" s="437">
        <f t="shared" si="0"/>
        <v>0</v>
      </c>
      <c r="G27" s="437">
        <f t="shared" si="1"/>
        <v>0</v>
      </c>
      <c r="H27" s="437">
        <f t="shared" si="2"/>
        <v>0</v>
      </c>
      <c r="I27" s="437">
        <f t="shared" si="3"/>
        <v>0</v>
      </c>
      <c r="J27" s="437">
        <f t="shared" si="4"/>
        <v>0</v>
      </c>
      <c r="K27" s="437" t="e">
        <f>K28+K31</f>
        <v>#N/A</v>
      </c>
      <c r="L27" s="421"/>
    </row>
    <row r="28" spans="1:12" ht="15">
      <c r="A28" s="440" t="str">
        <f>NhanCong_Xa!B29</f>
        <v>4.1</v>
      </c>
      <c r="B28" s="441" t="str">
        <f>NhanCong_Xa!C29</f>
        <v>Đối với tài liệu, số liệu là bảng, biểu dạng số</v>
      </c>
      <c r="C28" s="452"/>
      <c r="D28" s="442"/>
      <c r="E28" s="436">
        <f>DonGia_Tinh!I32</f>
        <v>0</v>
      </c>
      <c r="F28" s="443">
        <f t="shared" si="0"/>
        <v>0</v>
      </c>
      <c r="G28" s="443">
        <f t="shared" si="1"/>
        <v>0</v>
      </c>
      <c r="H28" s="443">
        <f t="shared" si="2"/>
        <v>0</v>
      </c>
      <c r="I28" s="443">
        <f t="shared" si="3"/>
        <v>0</v>
      </c>
      <c r="J28" s="443">
        <f t="shared" si="4"/>
        <v>0</v>
      </c>
      <c r="K28" s="443" t="e">
        <f>K29+K30</f>
        <v>#N/A</v>
      </c>
    </row>
    <row r="29" spans="1:12" ht="60">
      <c r="A29" s="440" t="str">
        <f>NhanCong_Xa!B30</f>
        <v>4.1.1</v>
      </c>
      <c r="B29" s="441" t="str">
        <f>NhanCong_Xa!C30</f>
        <v>Lập mô hình chuyển đổi cơ sở dữ liệu thống kê, kiểm kê đất đai</v>
      </c>
      <c r="C29" s="452" t="str">
        <f>NhanCong_Xa!D30</f>
        <v>Năm TK hoặc Kỳ KK</v>
      </c>
      <c r="D29" s="442">
        <f>Chitietbangbieu!$AA$31</f>
        <v>18</v>
      </c>
      <c r="E29" s="436" t="e">
        <f>VLOOKUP(A29,DonGia_Tinh!$B$8:$L$45,13,FALSE)</f>
        <v>#N/A</v>
      </c>
      <c r="F29" s="443" t="e">
        <f t="shared" si="0"/>
        <v>#N/A</v>
      </c>
      <c r="G29" s="443" t="e">
        <f t="shared" si="1"/>
        <v>#N/A</v>
      </c>
      <c r="H29" s="443" t="e">
        <f t="shared" si="2"/>
        <v>#N/A</v>
      </c>
      <c r="I29" s="443" t="e">
        <f t="shared" si="3"/>
        <v>#N/A</v>
      </c>
      <c r="J29" s="443" t="e">
        <f t="shared" si="4"/>
        <v>#N/A</v>
      </c>
      <c r="K29" s="443" t="e">
        <f t="shared" si="5"/>
        <v>#N/A</v>
      </c>
    </row>
    <row r="30" spans="1:12" s="439" customFormat="1" ht="60">
      <c r="A30" s="440" t="str">
        <f>NhanCong_Xa!B31</f>
        <v>4.1.2</v>
      </c>
      <c r="B30" s="441" t="str">
        <f>NhanCong_Xa!C31</f>
        <v>Chuyển đổi vào cơ sở dữ liệu thống kê, kiểm kê đất đai</v>
      </c>
      <c r="C30" s="452" t="str">
        <f>NhanCong_Xa!D31</f>
        <v>Năm TK hoặc Kỳ KK</v>
      </c>
      <c r="D30" s="442">
        <f>Chitietbangbieu!$AA$31</f>
        <v>18</v>
      </c>
      <c r="E30" s="436" t="e">
        <f>VLOOKUP(A30,DonGia_Tinh!$B$8:$L$45,13,FALSE)</f>
        <v>#N/A</v>
      </c>
      <c r="F30" s="443" t="e">
        <f t="shared" si="0"/>
        <v>#N/A</v>
      </c>
      <c r="G30" s="443" t="e">
        <f t="shared" si="1"/>
        <v>#N/A</v>
      </c>
      <c r="H30" s="443" t="e">
        <f t="shared" si="2"/>
        <v>#N/A</v>
      </c>
      <c r="I30" s="443" t="e">
        <f t="shared" si="3"/>
        <v>#N/A</v>
      </c>
      <c r="J30" s="443" t="e">
        <f t="shared" si="4"/>
        <v>#N/A</v>
      </c>
      <c r="K30" s="443" t="e">
        <f t="shared" si="5"/>
        <v>#N/A</v>
      </c>
      <c r="L30" s="421"/>
    </row>
    <row r="31" spans="1:12" ht="60">
      <c r="A31" s="440" t="str">
        <f>NhanCong_Xa!B32</f>
        <v>4.2</v>
      </c>
      <c r="B31" s="441" t="str">
        <f>NhanCong_Xa!C32</f>
        <v>Đối với tài liệu, số liệu là báo cáo dạng số thì tạo danh mục tra cứu trong cơ sở dữ liệu thống kê, kiểm kê đất đai</v>
      </c>
      <c r="C31" s="452" t="str">
        <f>NhanCong_Xa!D32</f>
        <v>Năm TK hoặc Kỳ KK</v>
      </c>
      <c r="D31" s="442">
        <f>Chitietbangbieu!$AA$31</f>
        <v>18</v>
      </c>
      <c r="E31" s="436" t="e">
        <f>VLOOKUP(A31,DonGia_Tinh!$B$8:$L$45,13,FALSE)</f>
        <v>#N/A</v>
      </c>
      <c r="F31" s="443" t="e">
        <f t="shared" si="0"/>
        <v>#N/A</v>
      </c>
      <c r="G31" s="443" t="e">
        <f t="shared" si="1"/>
        <v>#N/A</v>
      </c>
      <c r="H31" s="443" t="e">
        <f t="shared" si="2"/>
        <v>#N/A</v>
      </c>
      <c r="I31" s="443" t="e">
        <f t="shared" si="3"/>
        <v>#N/A</v>
      </c>
      <c r="J31" s="443" t="e">
        <f t="shared" si="4"/>
        <v>#N/A</v>
      </c>
      <c r="K31" s="443" t="e">
        <f t="shared" si="5"/>
        <v>#N/A</v>
      </c>
    </row>
    <row r="32" spans="1:12" s="439" customFormat="1" ht="28.5">
      <c r="A32" s="432">
        <f>NhanCong_Xa!B33</f>
        <v>5</v>
      </c>
      <c r="B32" s="433" t="str">
        <f>NhanCong_Xa!C33</f>
        <v>Đối soát, hoàn thiện dữ liệu thống kê, kiểm kê đất đai</v>
      </c>
      <c r="C32" s="452" t="str">
        <f>NhanCong_Xa!D34</f>
        <v>Năm TK</v>
      </c>
      <c r="D32" s="442">
        <f>Chitietbangbieu!$AA$31</f>
        <v>18</v>
      </c>
      <c r="E32" s="436" t="e">
        <f>VLOOKUP(A32,DonGia_Tinh!$B$8:$L$45,13,FALSE)</f>
        <v>#N/A</v>
      </c>
      <c r="F32" s="443" t="e">
        <f t="shared" si="0"/>
        <v>#N/A</v>
      </c>
      <c r="G32" s="443" t="e">
        <f t="shared" si="1"/>
        <v>#N/A</v>
      </c>
      <c r="H32" s="443" t="e">
        <f t="shared" si="2"/>
        <v>#N/A</v>
      </c>
      <c r="I32" s="443" t="e">
        <f t="shared" si="3"/>
        <v>#N/A</v>
      </c>
      <c r="J32" s="443" t="e">
        <f t="shared" si="4"/>
        <v>#N/A</v>
      </c>
      <c r="K32" s="437" t="e">
        <f t="shared" si="5"/>
        <v>#N/A</v>
      </c>
      <c r="L32" s="445"/>
    </row>
    <row r="33" spans="1:12" ht="15.75">
      <c r="A33" s="432">
        <f>NhanCong_Xa!B7</f>
        <v>2</v>
      </c>
      <c r="B33" s="433" t="str">
        <f>NhanCong_Xa!C7</f>
        <v>Xây dựng siêu dữ liệu thống kê, kiểm kê đất đai</v>
      </c>
      <c r="C33" s="452"/>
      <c r="D33" s="442"/>
      <c r="E33" s="436">
        <f>DonGia_Tinh!I39</f>
        <v>0</v>
      </c>
      <c r="F33" s="443">
        <f t="shared" si="0"/>
        <v>0</v>
      </c>
      <c r="G33" s="443">
        <f t="shared" si="1"/>
        <v>0</v>
      </c>
      <c r="H33" s="443">
        <f t="shared" si="2"/>
        <v>0</v>
      </c>
      <c r="I33" s="443">
        <f t="shared" si="3"/>
        <v>0</v>
      </c>
      <c r="J33" s="443">
        <f t="shared" si="4"/>
        <v>0</v>
      </c>
      <c r="K33" s="437" t="e">
        <f>K34+K35</f>
        <v>#N/A</v>
      </c>
      <c r="L33" s="446"/>
    </row>
    <row r="34" spans="1:12" ht="45">
      <c r="A34" s="440" t="str">
        <f>NhanCong_Xa!B8</f>
        <v>2.1</v>
      </c>
      <c r="B34" s="441" t="str">
        <f>NhanCong_Xa!C8</f>
        <v>Thu nhận các thông tin cần thiết để xây dựng siêu dữ liệu (thông tin mô tả dữ liệu) thống kê, kiểm kê đất đai</v>
      </c>
      <c r="C34" s="452" t="str">
        <f>NhanCong_Xa!D8</f>
        <v>Bộ dữ liệu theo xã</v>
      </c>
      <c r="D34" s="442">
        <f>$D$32</f>
        <v>18</v>
      </c>
      <c r="E34" s="436" t="e">
        <f>VLOOKUP(A34,DonGia_Tinh!$B$8:$L$45,13,FALSE)</f>
        <v>#N/A</v>
      </c>
      <c r="F34" s="443" t="e">
        <f t="shared" si="0"/>
        <v>#N/A</v>
      </c>
      <c r="G34" s="443" t="e">
        <f t="shared" si="1"/>
        <v>#N/A</v>
      </c>
      <c r="H34" s="443" t="e">
        <f t="shared" si="2"/>
        <v>#N/A</v>
      </c>
      <c r="I34" s="443" t="e">
        <f t="shared" si="3"/>
        <v>#N/A</v>
      </c>
      <c r="J34" s="443" t="e">
        <f t="shared" si="4"/>
        <v>#N/A</v>
      </c>
      <c r="K34" s="443" t="e">
        <f t="shared" si="5"/>
        <v>#N/A</v>
      </c>
    </row>
    <row r="35" spans="1:12" s="439" customFormat="1" ht="24.75" customHeight="1">
      <c r="A35" s="440" t="str">
        <f>NhanCong_Xa!B9</f>
        <v>2.2</v>
      </c>
      <c r="B35" s="441" t="str">
        <f>NhanCong_Xa!C9</f>
        <v>Nhập thông tin siêu dữ liệu kiểm kê đất đai</v>
      </c>
      <c r="C35" s="452" t="str">
        <f>NhanCong_Xa!D9</f>
        <v>Bộ dữ liệu theo xã</v>
      </c>
      <c r="D35" s="442">
        <f>$D$32</f>
        <v>18</v>
      </c>
      <c r="E35" s="436" t="e">
        <f>VLOOKUP(A35,DonGia_Tinh!$B$8:$L$45,13,FALSE)</f>
        <v>#N/A</v>
      </c>
      <c r="F35" s="443" t="e">
        <f t="shared" si="0"/>
        <v>#N/A</v>
      </c>
      <c r="G35" s="443" t="e">
        <f t="shared" si="1"/>
        <v>#N/A</v>
      </c>
      <c r="H35" s="443" t="e">
        <f t="shared" si="2"/>
        <v>#N/A</v>
      </c>
      <c r="I35" s="443" t="e">
        <f t="shared" si="3"/>
        <v>#N/A</v>
      </c>
      <c r="J35" s="443" t="e">
        <f t="shared" si="4"/>
        <v>#N/A</v>
      </c>
      <c r="K35" s="443" t="e">
        <f t="shared" si="5"/>
        <v>#N/A</v>
      </c>
      <c r="L35" s="421"/>
    </row>
    <row r="36" spans="1:12" ht="28.5">
      <c r="A36" s="432">
        <f>NhanCong_Xa!B10</f>
        <v>3</v>
      </c>
      <c r="B36" s="433" t="str">
        <f>NhanCong_Xa!C10</f>
        <v>Phục vụ kiểm tra, nghiệm thu cơ sở dữ liệu thống kê, kiểm kê đất đai</v>
      </c>
      <c r="C36" s="452">
        <f>NhanCong_Xa!D10</f>
        <v>0</v>
      </c>
      <c r="D36" s="442"/>
      <c r="E36" s="436">
        <f>DonGia_Tinh!I42</f>
        <v>0</v>
      </c>
      <c r="F36" s="443">
        <f t="shared" si="0"/>
        <v>0</v>
      </c>
      <c r="G36" s="443">
        <f t="shared" si="1"/>
        <v>0</v>
      </c>
      <c r="H36" s="443">
        <f t="shared" si="2"/>
        <v>0</v>
      </c>
      <c r="I36" s="443">
        <f t="shared" si="3"/>
        <v>0</v>
      </c>
      <c r="J36" s="443">
        <f t="shared" si="4"/>
        <v>0</v>
      </c>
      <c r="K36" s="437" t="e">
        <f>K37+K38</f>
        <v>#N/A</v>
      </c>
    </row>
    <row r="37" spans="1:12" s="439" customFormat="1" ht="45">
      <c r="A37" s="440" t="str">
        <f>NhanCong_Xa!B11</f>
        <v>3.1</v>
      </c>
      <c r="B37" s="441" t="str">
        <f>NhanCong_Xa!C11</f>
        <v>Đơn vị thi công chuẩn bị tài liệu và phục vụ giám sát kiểm tra, nghiệm thu.</v>
      </c>
      <c r="C37" s="452" t="str">
        <f>NhanCong_Xa!D11</f>
        <v>Bộ dữ liệu theo xã</v>
      </c>
      <c r="D37" s="442">
        <f>Chitietbangbieu!$AA$31</f>
        <v>18</v>
      </c>
      <c r="E37" s="436" t="e">
        <f>VLOOKUP(A37,DonGia_Tinh!$B$8:$L$45,13,FALSE)</f>
        <v>#N/A</v>
      </c>
      <c r="F37" s="443" t="e">
        <f t="shared" si="0"/>
        <v>#N/A</v>
      </c>
      <c r="G37" s="443" t="e">
        <f t="shared" si="1"/>
        <v>#N/A</v>
      </c>
      <c r="H37" s="443" t="e">
        <f t="shared" si="2"/>
        <v>#N/A</v>
      </c>
      <c r="I37" s="443" t="e">
        <f t="shared" si="3"/>
        <v>#N/A</v>
      </c>
      <c r="J37" s="443" t="e">
        <f t="shared" si="4"/>
        <v>#N/A</v>
      </c>
      <c r="K37" s="443" t="e">
        <f t="shared" si="5"/>
        <v>#N/A</v>
      </c>
      <c r="L37" s="421"/>
    </row>
    <row r="38" spans="1:12" ht="60">
      <c r="A38" s="440" t="str">
        <f>NhanCong_Xa!B12</f>
        <v>3.2</v>
      </c>
      <c r="B38" s="441" t="str">
        <f>NhanCong_Xa!C12</f>
        <v>Thực hiện kiểm tra tổng thể cơ sở dữ liệu thống kê, kiểm kê đất đai và tích hợp vào hệ thống ngay sau khi được nghiệm thu để phục vụ quản lý, vận hành, khai thác sử dụng.</v>
      </c>
      <c r="C38" s="452" t="str">
        <f>NhanCong_Xa!D12</f>
        <v>Bộ dữ liệu theo xã</v>
      </c>
      <c r="D38" s="442">
        <f>Chitietbangbieu!$AA$31</f>
        <v>18</v>
      </c>
      <c r="E38" s="436" t="e">
        <f>VLOOKUP(A38,DonGia_Tinh!$B$8:$L$45,13,FALSE)</f>
        <v>#N/A</v>
      </c>
      <c r="F38" s="443" t="e">
        <f t="shared" si="0"/>
        <v>#N/A</v>
      </c>
      <c r="G38" s="443" t="e">
        <f t="shared" si="1"/>
        <v>#N/A</v>
      </c>
      <c r="H38" s="443" t="e">
        <f t="shared" si="2"/>
        <v>#N/A</v>
      </c>
      <c r="I38" s="443" t="e">
        <f t="shared" si="3"/>
        <v>#N/A</v>
      </c>
      <c r="J38" s="443" t="e">
        <f t="shared" si="4"/>
        <v>#N/A</v>
      </c>
      <c r="K38" s="443" t="e">
        <f t="shared" si="5"/>
        <v>#N/A</v>
      </c>
    </row>
    <row r="39" spans="1:12" ht="45">
      <c r="A39" s="440" t="str">
        <f>NhanCong_Xa!B13</f>
        <v>3.3</v>
      </c>
      <c r="B39" s="440" t="str">
        <f>NhanCong_Xa!C13</f>
        <v>Đóng gói giao nộp cơ sở dữ liệu thống kê, kiểm kê đất đai</v>
      </c>
      <c r="C39" s="452" t="str">
        <f>NhanCong_Xa!D13</f>
        <v>Bộ dữ liệu theo xã</v>
      </c>
      <c r="D39" s="442">
        <f>Chitietbangbieu!$AA$31</f>
        <v>18</v>
      </c>
      <c r="E39" s="436" t="e">
        <f>VLOOKUP(A39,DonGia_Tinh!$B$8:$L$45,13,FALSE)</f>
        <v>#N/A</v>
      </c>
      <c r="F39" s="443" t="e">
        <f t="shared" ref="F39" si="6">D39*E39</f>
        <v>#N/A</v>
      </c>
      <c r="G39" s="443" t="e">
        <f t="shared" ref="G39" si="7">F39*15%</f>
        <v>#N/A</v>
      </c>
      <c r="H39" s="443" t="e">
        <f t="shared" ref="H39" si="8">F39*4%</f>
        <v>#N/A</v>
      </c>
      <c r="I39" s="443" t="e">
        <f t="shared" ref="I39" si="9">F39+G39+H39</f>
        <v>#N/A</v>
      </c>
      <c r="J39" s="443" t="e">
        <f t="shared" ref="J39" si="10">I39*10%</f>
        <v>#N/A</v>
      </c>
      <c r="K39" s="443" t="e">
        <f t="shared" ref="K39" si="11">I39+J39</f>
        <v>#N/A</v>
      </c>
    </row>
    <row r="40" spans="1:12">
      <c r="K40" s="421" t="e">
        <f>K36+K33+K32+K27+K21+K12+K11+K10+K6</f>
        <v>#N/A</v>
      </c>
    </row>
  </sheetData>
  <mergeCells count="3">
    <mergeCell ref="A1:K1"/>
    <mergeCell ref="A2:K2"/>
    <mergeCell ref="J3:K3"/>
  </mergeCell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topLeftCell="A31" zoomScale="85" zoomScaleNormal="85" workbookViewId="0">
      <selection activeCell="E43" sqref="E43"/>
    </sheetView>
  </sheetViews>
  <sheetFormatPr defaultRowHeight="12.75"/>
  <cols>
    <col min="1" max="1" width="5" style="422" bestFit="1" customWidth="1"/>
    <col min="2" max="2" width="42.625" style="422" customWidth="1"/>
    <col min="3" max="3" width="7.625" style="422" bestFit="1" customWidth="1"/>
    <col min="4" max="4" width="6" style="422" bestFit="1" customWidth="1"/>
    <col min="5" max="5" width="11.125" style="422" customWidth="1"/>
    <col min="6" max="6" width="12.625" style="449" customWidth="1"/>
    <col min="7" max="7" width="12.125" style="449" customWidth="1"/>
    <col min="8" max="8" width="16.125" style="449" customWidth="1"/>
    <col min="9" max="9" width="13.375" style="449" customWidth="1"/>
    <col min="10" max="10" width="12.125" style="449" customWidth="1"/>
    <col min="11" max="11" width="13.375" style="449" bestFit="1" customWidth="1"/>
    <col min="12" max="12" width="15" style="421" customWidth="1"/>
    <col min="13" max="13" width="15.375" style="422" customWidth="1"/>
    <col min="14" max="253" width="8.625" style="422"/>
    <col min="254" max="254" width="5" style="422" bestFit="1" customWidth="1"/>
    <col min="255" max="255" width="3" style="422" bestFit="1" customWidth="1"/>
    <col min="256" max="256" width="42.375" style="422" customWidth="1"/>
    <col min="257" max="257" width="7.625" style="422" bestFit="1" customWidth="1"/>
    <col min="258" max="259" width="0" style="422" hidden="1" customWidth="1"/>
    <col min="260" max="260" width="6" style="422" bestFit="1" customWidth="1"/>
    <col min="261" max="261" width="11.375" style="422" customWidth="1"/>
    <col min="262" max="262" width="12.625" style="422" bestFit="1" customWidth="1"/>
    <col min="263" max="263" width="12.125" style="422" bestFit="1" customWidth="1"/>
    <col min="264" max="264" width="16.125" style="422" customWidth="1"/>
    <col min="265" max="265" width="13.375" style="422" bestFit="1" customWidth="1"/>
    <col min="266" max="266" width="12.125" style="422" customWidth="1"/>
    <col min="267" max="267" width="13.375" style="422" bestFit="1" customWidth="1"/>
    <col min="268" max="509" width="8.625" style="422"/>
    <col min="510" max="510" width="5" style="422" bestFit="1" customWidth="1"/>
    <col min="511" max="511" width="3" style="422" bestFit="1" customWidth="1"/>
    <col min="512" max="512" width="42.375" style="422" customWidth="1"/>
    <col min="513" max="513" width="7.625" style="422" bestFit="1" customWidth="1"/>
    <col min="514" max="515" width="0" style="422" hidden="1" customWidth="1"/>
    <col min="516" max="516" width="6" style="422" bestFit="1" customWidth="1"/>
    <col min="517" max="517" width="11.375" style="422" customWidth="1"/>
    <col min="518" max="518" width="12.625" style="422" bestFit="1" customWidth="1"/>
    <col min="519" max="519" width="12.125" style="422" bestFit="1" customWidth="1"/>
    <col min="520" max="520" width="16.125" style="422" customWidth="1"/>
    <col min="521" max="521" width="13.375" style="422" bestFit="1" customWidth="1"/>
    <col min="522" max="522" width="12.125" style="422" customWidth="1"/>
    <col min="523" max="523" width="13.375" style="422" bestFit="1" customWidth="1"/>
    <col min="524" max="765" width="8.625" style="422"/>
    <col min="766" max="766" width="5" style="422" bestFit="1" customWidth="1"/>
    <col min="767" max="767" width="3" style="422" bestFit="1" customWidth="1"/>
    <col min="768" max="768" width="42.375" style="422" customWidth="1"/>
    <col min="769" max="769" width="7.625" style="422" bestFit="1" customWidth="1"/>
    <col min="770" max="771" width="0" style="422" hidden="1" customWidth="1"/>
    <col min="772" max="772" width="6" style="422" bestFit="1" customWidth="1"/>
    <col min="773" max="773" width="11.375" style="422" customWidth="1"/>
    <col min="774" max="774" width="12.625" style="422" bestFit="1" customWidth="1"/>
    <col min="775" max="775" width="12.125" style="422" bestFit="1" customWidth="1"/>
    <col min="776" max="776" width="16.125" style="422" customWidth="1"/>
    <col min="777" max="777" width="13.375" style="422" bestFit="1" customWidth="1"/>
    <col min="778" max="778" width="12.125" style="422" customWidth="1"/>
    <col min="779" max="779" width="13.375" style="422" bestFit="1" customWidth="1"/>
    <col min="780" max="1021" width="8.625" style="422"/>
    <col min="1022" max="1022" width="5" style="422" bestFit="1" customWidth="1"/>
    <col min="1023" max="1023" width="3" style="422" bestFit="1" customWidth="1"/>
    <col min="1024" max="1024" width="42.375" style="422" customWidth="1"/>
    <col min="1025" max="1025" width="7.625" style="422" bestFit="1" customWidth="1"/>
    <col min="1026" max="1027" width="0" style="422" hidden="1" customWidth="1"/>
    <col min="1028" max="1028" width="6" style="422" bestFit="1" customWidth="1"/>
    <col min="1029" max="1029" width="11.375" style="422" customWidth="1"/>
    <col min="1030" max="1030" width="12.625" style="422" bestFit="1" customWidth="1"/>
    <col min="1031" max="1031" width="12.125" style="422" bestFit="1" customWidth="1"/>
    <col min="1032" max="1032" width="16.125" style="422" customWidth="1"/>
    <col min="1033" max="1033" width="13.375" style="422" bestFit="1" customWidth="1"/>
    <col min="1034" max="1034" width="12.125" style="422" customWidth="1"/>
    <col min="1035" max="1035" width="13.375" style="422" bestFit="1" customWidth="1"/>
    <col min="1036" max="1277" width="8.625" style="422"/>
    <col min="1278" max="1278" width="5" style="422" bestFit="1" customWidth="1"/>
    <col min="1279" max="1279" width="3" style="422" bestFit="1" customWidth="1"/>
    <col min="1280" max="1280" width="42.375" style="422" customWidth="1"/>
    <col min="1281" max="1281" width="7.625" style="422" bestFit="1" customWidth="1"/>
    <col min="1282" max="1283" width="0" style="422" hidden="1" customWidth="1"/>
    <col min="1284" max="1284" width="6" style="422" bestFit="1" customWidth="1"/>
    <col min="1285" max="1285" width="11.375" style="422" customWidth="1"/>
    <col min="1286" max="1286" width="12.625" style="422" bestFit="1" customWidth="1"/>
    <col min="1287" max="1287" width="12.125" style="422" bestFit="1" customWidth="1"/>
    <col min="1288" max="1288" width="16.125" style="422" customWidth="1"/>
    <col min="1289" max="1289" width="13.375" style="422" bestFit="1" customWidth="1"/>
    <col min="1290" max="1290" width="12.125" style="422" customWidth="1"/>
    <col min="1291" max="1291" width="13.375" style="422" bestFit="1" customWidth="1"/>
    <col min="1292" max="1533" width="8.625" style="422"/>
    <col min="1534" max="1534" width="5" style="422" bestFit="1" customWidth="1"/>
    <col min="1535" max="1535" width="3" style="422" bestFit="1" customWidth="1"/>
    <col min="1536" max="1536" width="42.375" style="422" customWidth="1"/>
    <col min="1537" max="1537" width="7.625" style="422" bestFit="1" customWidth="1"/>
    <col min="1538" max="1539" width="0" style="422" hidden="1" customWidth="1"/>
    <col min="1540" max="1540" width="6" style="422" bestFit="1" customWidth="1"/>
    <col min="1541" max="1541" width="11.375" style="422" customWidth="1"/>
    <col min="1542" max="1542" width="12.625" style="422" bestFit="1" customWidth="1"/>
    <col min="1543" max="1543" width="12.125" style="422" bestFit="1" customWidth="1"/>
    <col min="1544" max="1544" width="16.125" style="422" customWidth="1"/>
    <col min="1545" max="1545" width="13.375" style="422" bestFit="1" customWidth="1"/>
    <col min="1546" max="1546" width="12.125" style="422" customWidth="1"/>
    <col min="1547" max="1547" width="13.375" style="422" bestFit="1" customWidth="1"/>
    <col min="1548" max="1789" width="8.625" style="422"/>
    <col min="1790" max="1790" width="5" style="422" bestFit="1" customWidth="1"/>
    <col min="1791" max="1791" width="3" style="422" bestFit="1" customWidth="1"/>
    <col min="1792" max="1792" width="42.375" style="422" customWidth="1"/>
    <col min="1793" max="1793" width="7.625" style="422" bestFit="1" customWidth="1"/>
    <col min="1794" max="1795" width="0" style="422" hidden="1" customWidth="1"/>
    <col min="1796" max="1796" width="6" style="422" bestFit="1" customWidth="1"/>
    <col min="1797" max="1797" width="11.375" style="422" customWidth="1"/>
    <col min="1798" max="1798" width="12.625" style="422" bestFit="1" customWidth="1"/>
    <col min="1799" max="1799" width="12.125" style="422" bestFit="1" customWidth="1"/>
    <col min="1800" max="1800" width="16.125" style="422" customWidth="1"/>
    <col min="1801" max="1801" width="13.375" style="422" bestFit="1" customWidth="1"/>
    <col min="1802" max="1802" width="12.125" style="422" customWidth="1"/>
    <col min="1803" max="1803" width="13.375" style="422" bestFit="1" customWidth="1"/>
    <col min="1804" max="2045" width="8.625" style="422"/>
    <col min="2046" max="2046" width="5" style="422" bestFit="1" customWidth="1"/>
    <col min="2047" max="2047" width="3" style="422" bestFit="1" customWidth="1"/>
    <col min="2048" max="2048" width="42.375" style="422" customWidth="1"/>
    <col min="2049" max="2049" width="7.625" style="422" bestFit="1" customWidth="1"/>
    <col min="2050" max="2051" width="0" style="422" hidden="1" customWidth="1"/>
    <col min="2052" max="2052" width="6" style="422" bestFit="1" customWidth="1"/>
    <col min="2053" max="2053" width="11.375" style="422" customWidth="1"/>
    <col min="2054" max="2054" width="12.625" style="422" bestFit="1" customWidth="1"/>
    <col min="2055" max="2055" width="12.125" style="422" bestFit="1" customWidth="1"/>
    <col min="2056" max="2056" width="16.125" style="422" customWidth="1"/>
    <col min="2057" max="2057" width="13.375" style="422" bestFit="1" customWidth="1"/>
    <col min="2058" max="2058" width="12.125" style="422" customWidth="1"/>
    <col min="2059" max="2059" width="13.375" style="422" bestFit="1" customWidth="1"/>
    <col min="2060" max="2301" width="8.625" style="422"/>
    <col min="2302" max="2302" width="5" style="422" bestFit="1" customWidth="1"/>
    <col min="2303" max="2303" width="3" style="422" bestFit="1" customWidth="1"/>
    <col min="2304" max="2304" width="42.375" style="422" customWidth="1"/>
    <col min="2305" max="2305" width="7.625" style="422" bestFit="1" customWidth="1"/>
    <col min="2306" max="2307" width="0" style="422" hidden="1" customWidth="1"/>
    <col min="2308" max="2308" width="6" style="422" bestFit="1" customWidth="1"/>
    <col min="2309" max="2309" width="11.375" style="422" customWidth="1"/>
    <col min="2310" max="2310" width="12.625" style="422" bestFit="1" customWidth="1"/>
    <col min="2311" max="2311" width="12.125" style="422" bestFit="1" customWidth="1"/>
    <col min="2312" max="2312" width="16.125" style="422" customWidth="1"/>
    <col min="2313" max="2313" width="13.375" style="422" bestFit="1" customWidth="1"/>
    <col min="2314" max="2314" width="12.125" style="422" customWidth="1"/>
    <col min="2315" max="2315" width="13.375" style="422" bestFit="1" customWidth="1"/>
    <col min="2316" max="2557" width="8.625" style="422"/>
    <col min="2558" max="2558" width="5" style="422" bestFit="1" customWidth="1"/>
    <col min="2559" max="2559" width="3" style="422" bestFit="1" customWidth="1"/>
    <col min="2560" max="2560" width="42.375" style="422" customWidth="1"/>
    <col min="2561" max="2561" width="7.625" style="422" bestFit="1" customWidth="1"/>
    <col min="2562" max="2563" width="0" style="422" hidden="1" customWidth="1"/>
    <col min="2564" max="2564" width="6" style="422" bestFit="1" customWidth="1"/>
    <col min="2565" max="2565" width="11.375" style="422" customWidth="1"/>
    <col min="2566" max="2566" width="12.625" style="422" bestFit="1" customWidth="1"/>
    <col min="2567" max="2567" width="12.125" style="422" bestFit="1" customWidth="1"/>
    <col min="2568" max="2568" width="16.125" style="422" customWidth="1"/>
    <col min="2569" max="2569" width="13.375" style="422" bestFit="1" customWidth="1"/>
    <col min="2570" max="2570" width="12.125" style="422" customWidth="1"/>
    <col min="2571" max="2571" width="13.375" style="422" bestFit="1" customWidth="1"/>
    <col min="2572" max="2813" width="8.625" style="422"/>
    <col min="2814" max="2814" width="5" style="422" bestFit="1" customWidth="1"/>
    <col min="2815" max="2815" width="3" style="422" bestFit="1" customWidth="1"/>
    <col min="2816" max="2816" width="42.375" style="422" customWidth="1"/>
    <col min="2817" max="2817" width="7.625" style="422" bestFit="1" customWidth="1"/>
    <col min="2818" max="2819" width="0" style="422" hidden="1" customWidth="1"/>
    <col min="2820" max="2820" width="6" style="422" bestFit="1" customWidth="1"/>
    <col min="2821" max="2821" width="11.375" style="422" customWidth="1"/>
    <col min="2822" max="2822" width="12.625" style="422" bestFit="1" customWidth="1"/>
    <col min="2823" max="2823" width="12.125" style="422" bestFit="1" customWidth="1"/>
    <col min="2824" max="2824" width="16.125" style="422" customWidth="1"/>
    <col min="2825" max="2825" width="13.375" style="422" bestFit="1" customWidth="1"/>
    <col min="2826" max="2826" width="12.125" style="422" customWidth="1"/>
    <col min="2827" max="2827" width="13.375" style="422" bestFit="1" customWidth="1"/>
    <col min="2828" max="3069" width="8.625" style="422"/>
    <col min="3070" max="3070" width="5" style="422" bestFit="1" customWidth="1"/>
    <col min="3071" max="3071" width="3" style="422" bestFit="1" customWidth="1"/>
    <col min="3072" max="3072" width="42.375" style="422" customWidth="1"/>
    <col min="3073" max="3073" width="7.625" style="422" bestFit="1" customWidth="1"/>
    <col min="3074" max="3075" width="0" style="422" hidden="1" customWidth="1"/>
    <col min="3076" max="3076" width="6" style="422" bestFit="1" customWidth="1"/>
    <col min="3077" max="3077" width="11.375" style="422" customWidth="1"/>
    <col min="3078" max="3078" width="12.625" style="422" bestFit="1" customWidth="1"/>
    <col min="3079" max="3079" width="12.125" style="422" bestFit="1" customWidth="1"/>
    <col min="3080" max="3080" width="16.125" style="422" customWidth="1"/>
    <col min="3081" max="3081" width="13.375" style="422" bestFit="1" customWidth="1"/>
    <col min="3082" max="3082" width="12.125" style="422" customWidth="1"/>
    <col min="3083" max="3083" width="13.375" style="422" bestFit="1" customWidth="1"/>
    <col min="3084" max="3325" width="8.625" style="422"/>
    <col min="3326" max="3326" width="5" style="422" bestFit="1" customWidth="1"/>
    <col min="3327" max="3327" width="3" style="422" bestFit="1" customWidth="1"/>
    <col min="3328" max="3328" width="42.375" style="422" customWidth="1"/>
    <col min="3329" max="3329" width="7.625" style="422" bestFit="1" customWidth="1"/>
    <col min="3330" max="3331" width="0" style="422" hidden="1" customWidth="1"/>
    <col min="3332" max="3332" width="6" style="422" bestFit="1" customWidth="1"/>
    <col min="3333" max="3333" width="11.375" style="422" customWidth="1"/>
    <col min="3334" max="3334" width="12.625" style="422" bestFit="1" customWidth="1"/>
    <col min="3335" max="3335" width="12.125" style="422" bestFit="1" customWidth="1"/>
    <col min="3336" max="3336" width="16.125" style="422" customWidth="1"/>
    <col min="3337" max="3337" width="13.375" style="422" bestFit="1" customWidth="1"/>
    <col min="3338" max="3338" width="12.125" style="422" customWidth="1"/>
    <col min="3339" max="3339" width="13.375" style="422" bestFit="1" customWidth="1"/>
    <col min="3340" max="3581" width="8.625" style="422"/>
    <col min="3582" max="3582" width="5" style="422" bestFit="1" customWidth="1"/>
    <col min="3583" max="3583" width="3" style="422" bestFit="1" customWidth="1"/>
    <col min="3584" max="3584" width="42.375" style="422" customWidth="1"/>
    <col min="3585" max="3585" width="7.625" style="422" bestFit="1" customWidth="1"/>
    <col min="3586" max="3587" width="0" style="422" hidden="1" customWidth="1"/>
    <col min="3588" max="3588" width="6" style="422" bestFit="1" customWidth="1"/>
    <col min="3589" max="3589" width="11.375" style="422" customWidth="1"/>
    <col min="3590" max="3590" width="12.625" style="422" bestFit="1" customWidth="1"/>
    <col min="3591" max="3591" width="12.125" style="422" bestFit="1" customWidth="1"/>
    <col min="3592" max="3592" width="16.125" style="422" customWidth="1"/>
    <col min="3593" max="3593" width="13.375" style="422" bestFit="1" customWidth="1"/>
    <col min="3594" max="3594" width="12.125" style="422" customWidth="1"/>
    <col min="3595" max="3595" width="13.375" style="422" bestFit="1" customWidth="1"/>
    <col min="3596" max="3837" width="8.625" style="422"/>
    <col min="3838" max="3838" width="5" style="422" bestFit="1" customWidth="1"/>
    <col min="3839" max="3839" width="3" style="422" bestFit="1" customWidth="1"/>
    <col min="3840" max="3840" width="42.375" style="422" customWidth="1"/>
    <col min="3841" max="3841" width="7.625" style="422" bestFit="1" customWidth="1"/>
    <col min="3842" max="3843" width="0" style="422" hidden="1" customWidth="1"/>
    <col min="3844" max="3844" width="6" style="422" bestFit="1" customWidth="1"/>
    <col min="3845" max="3845" width="11.375" style="422" customWidth="1"/>
    <col min="3846" max="3846" width="12.625" style="422" bestFit="1" customWidth="1"/>
    <col min="3847" max="3847" width="12.125" style="422" bestFit="1" customWidth="1"/>
    <col min="3848" max="3848" width="16.125" style="422" customWidth="1"/>
    <col min="3849" max="3849" width="13.375" style="422" bestFit="1" customWidth="1"/>
    <col min="3850" max="3850" width="12.125" style="422" customWidth="1"/>
    <col min="3851" max="3851" width="13.375" style="422" bestFit="1" customWidth="1"/>
    <col min="3852" max="4093" width="8.625" style="422"/>
    <col min="4094" max="4094" width="5" style="422" bestFit="1" customWidth="1"/>
    <col min="4095" max="4095" width="3" style="422" bestFit="1" customWidth="1"/>
    <col min="4096" max="4096" width="42.375" style="422" customWidth="1"/>
    <col min="4097" max="4097" width="7.625" style="422" bestFit="1" customWidth="1"/>
    <col min="4098" max="4099" width="0" style="422" hidden="1" customWidth="1"/>
    <col min="4100" max="4100" width="6" style="422" bestFit="1" customWidth="1"/>
    <col min="4101" max="4101" width="11.375" style="422" customWidth="1"/>
    <col min="4102" max="4102" width="12.625" style="422" bestFit="1" customWidth="1"/>
    <col min="4103" max="4103" width="12.125" style="422" bestFit="1" customWidth="1"/>
    <col min="4104" max="4104" width="16.125" style="422" customWidth="1"/>
    <col min="4105" max="4105" width="13.375" style="422" bestFit="1" customWidth="1"/>
    <col min="4106" max="4106" width="12.125" style="422" customWidth="1"/>
    <col min="4107" max="4107" width="13.375" style="422" bestFit="1" customWidth="1"/>
    <col min="4108" max="4349" width="8.625" style="422"/>
    <col min="4350" max="4350" width="5" style="422" bestFit="1" customWidth="1"/>
    <col min="4351" max="4351" width="3" style="422" bestFit="1" customWidth="1"/>
    <col min="4352" max="4352" width="42.375" style="422" customWidth="1"/>
    <col min="4353" max="4353" width="7.625" style="422" bestFit="1" customWidth="1"/>
    <col min="4354" max="4355" width="0" style="422" hidden="1" customWidth="1"/>
    <col min="4356" max="4356" width="6" style="422" bestFit="1" customWidth="1"/>
    <col min="4357" max="4357" width="11.375" style="422" customWidth="1"/>
    <col min="4358" max="4358" width="12.625" style="422" bestFit="1" customWidth="1"/>
    <col min="4359" max="4359" width="12.125" style="422" bestFit="1" customWidth="1"/>
    <col min="4360" max="4360" width="16.125" style="422" customWidth="1"/>
    <col min="4361" max="4361" width="13.375" style="422" bestFit="1" customWidth="1"/>
    <col min="4362" max="4362" width="12.125" style="422" customWidth="1"/>
    <col min="4363" max="4363" width="13.375" style="422" bestFit="1" customWidth="1"/>
    <col min="4364" max="4605" width="8.625" style="422"/>
    <col min="4606" max="4606" width="5" style="422" bestFit="1" customWidth="1"/>
    <col min="4607" max="4607" width="3" style="422" bestFit="1" customWidth="1"/>
    <col min="4608" max="4608" width="42.375" style="422" customWidth="1"/>
    <col min="4609" max="4609" width="7.625" style="422" bestFit="1" customWidth="1"/>
    <col min="4610" max="4611" width="0" style="422" hidden="1" customWidth="1"/>
    <col min="4612" max="4612" width="6" style="422" bestFit="1" customWidth="1"/>
    <col min="4613" max="4613" width="11.375" style="422" customWidth="1"/>
    <col min="4614" max="4614" width="12.625" style="422" bestFit="1" customWidth="1"/>
    <col min="4615" max="4615" width="12.125" style="422" bestFit="1" customWidth="1"/>
    <col min="4616" max="4616" width="16.125" style="422" customWidth="1"/>
    <col min="4617" max="4617" width="13.375" style="422" bestFit="1" customWidth="1"/>
    <col min="4618" max="4618" width="12.125" style="422" customWidth="1"/>
    <col min="4619" max="4619" width="13.375" style="422" bestFit="1" customWidth="1"/>
    <col min="4620" max="4861" width="8.625" style="422"/>
    <col min="4862" max="4862" width="5" style="422" bestFit="1" customWidth="1"/>
    <col min="4863" max="4863" width="3" style="422" bestFit="1" customWidth="1"/>
    <col min="4864" max="4864" width="42.375" style="422" customWidth="1"/>
    <col min="4865" max="4865" width="7.625" style="422" bestFit="1" customWidth="1"/>
    <col min="4866" max="4867" width="0" style="422" hidden="1" customWidth="1"/>
    <col min="4868" max="4868" width="6" style="422" bestFit="1" customWidth="1"/>
    <col min="4869" max="4869" width="11.375" style="422" customWidth="1"/>
    <col min="4870" max="4870" width="12.625" style="422" bestFit="1" customWidth="1"/>
    <col min="4871" max="4871" width="12.125" style="422" bestFit="1" customWidth="1"/>
    <col min="4872" max="4872" width="16.125" style="422" customWidth="1"/>
    <col min="4873" max="4873" width="13.375" style="422" bestFit="1" customWidth="1"/>
    <col min="4874" max="4874" width="12.125" style="422" customWidth="1"/>
    <col min="4875" max="4875" width="13.375" style="422" bestFit="1" customWidth="1"/>
    <col min="4876" max="5117" width="8.625" style="422"/>
    <col min="5118" max="5118" width="5" style="422" bestFit="1" customWidth="1"/>
    <col min="5119" max="5119" width="3" style="422" bestFit="1" customWidth="1"/>
    <col min="5120" max="5120" width="42.375" style="422" customWidth="1"/>
    <col min="5121" max="5121" width="7.625" style="422" bestFit="1" customWidth="1"/>
    <col min="5122" max="5123" width="0" style="422" hidden="1" customWidth="1"/>
    <col min="5124" max="5124" width="6" style="422" bestFit="1" customWidth="1"/>
    <col min="5125" max="5125" width="11.375" style="422" customWidth="1"/>
    <col min="5126" max="5126" width="12.625" style="422" bestFit="1" customWidth="1"/>
    <col min="5127" max="5127" width="12.125" style="422" bestFit="1" customWidth="1"/>
    <col min="5128" max="5128" width="16.125" style="422" customWidth="1"/>
    <col min="5129" max="5129" width="13.375" style="422" bestFit="1" customWidth="1"/>
    <col min="5130" max="5130" width="12.125" style="422" customWidth="1"/>
    <col min="5131" max="5131" width="13.375" style="422" bestFit="1" customWidth="1"/>
    <col min="5132" max="5373" width="8.625" style="422"/>
    <col min="5374" max="5374" width="5" style="422" bestFit="1" customWidth="1"/>
    <col min="5375" max="5375" width="3" style="422" bestFit="1" customWidth="1"/>
    <col min="5376" max="5376" width="42.375" style="422" customWidth="1"/>
    <col min="5377" max="5377" width="7.625" style="422" bestFit="1" customWidth="1"/>
    <col min="5378" max="5379" width="0" style="422" hidden="1" customWidth="1"/>
    <col min="5380" max="5380" width="6" style="422" bestFit="1" customWidth="1"/>
    <col min="5381" max="5381" width="11.375" style="422" customWidth="1"/>
    <col min="5382" max="5382" width="12.625" style="422" bestFit="1" customWidth="1"/>
    <col min="5383" max="5383" width="12.125" style="422" bestFit="1" customWidth="1"/>
    <col min="5384" max="5384" width="16.125" style="422" customWidth="1"/>
    <col min="5385" max="5385" width="13.375" style="422" bestFit="1" customWidth="1"/>
    <col min="5386" max="5386" width="12.125" style="422" customWidth="1"/>
    <col min="5387" max="5387" width="13.375" style="422" bestFit="1" customWidth="1"/>
    <col min="5388" max="5629" width="8.625" style="422"/>
    <col min="5630" max="5630" width="5" style="422" bestFit="1" customWidth="1"/>
    <col min="5631" max="5631" width="3" style="422" bestFit="1" customWidth="1"/>
    <col min="5632" max="5632" width="42.375" style="422" customWidth="1"/>
    <col min="5633" max="5633" width="7.625" style="422" bestFit="1" customWidth="1"/>
    <col min="5634" max="5635" width="0" style="422" hidden="1" customWidth="1"/>
    <col min="5636" max="5636" width="6" style="422" bestFit="1" customWidth="1"/>
    <col min="5637" max="5637" width="11.375" style="422" customWidth="1"/>
    <col min="5638" max="5638" width="12.625" style="422" bestFit="1" customWidth="1"/>
    <col min="5639" max="5639" width="12.125" style="422" bestFit="1" customWidth="1"/>
    <col min="5640" max="5640" width="16.125" style="422" customWidth="1"/>
    <col min="5641" max="5641" width="13.375" style="422" bestFit="1" customWidth="1"/>
    <col min="5642" max="5642" width="12.125" style="422" customWidth="1"/>
    <col min="5643" max="5643" width="13.375" style="422" bestFit="1" customWidth="1"/>
    <col min="5644" max="5885" width="8.625" style="422"/>
    <col min="5886" max="5886" width="5" style="422" bestFit="1" customWidth="1"/>
    <col min="5887" max="5887" width="3" style="422" bestFit="1" customWidth="1"/>
    <col min="5888" max="5888" width="42.375" style="422" customWidth="1"/>
    <col min="5889" max="5889" width="7.625" style="422" bestFit="1" customWidth="1"/>
    <col min="5890" max="5891" width="0" style="422" hidden="1" customWidth="1"/>
    <col min="5892" max="5892" width="6" style="422" bestFit="1" customWidth="1"/>
    <col min="5893" max="5893" width="11.375" style="422" customWidth="1"/>
    <col min="5894" max="5894" width="12.625" style="422" bestFit="1" customWidth="1"/>
    <col min="5895" max="5895" width="12.125" style="422" bestFit="1" customWidth="1"/>
    <col min="5896" max="5896" width="16.125" style="422" customWidth="1"/>
    <col min="5897" max="5897" width="13.375" style="422" bestFit="1" customWidth="1"/>
    <col min="5898" max="5898" width="12.125" style="422" customWidth="1"/>
    <col min="5899" max="5899" width="13.375" style="422" bestFit="1" customWidth="1"/>
    <col min="5900" max="6141" width="8.625" style="422"/>
    <col min="6142" max="6142" width="5" style="422" bestFit="1" customWidth="1"/>
    <col min="6143" max="6143" width="3" style="422" bestFit="1" customWidth="1"/>
    <col min="6144" max="6144" width="42.375" style="422" customWidth="1"/>
    <col min="6145" max="6145" width="7.625" style="422" bestFit="1" customWidth="1"/>
    <col min="6146" max="6147" width="0" style="422" hidden="1" customWidth="1"/>
    <col min="6148" max="6148" width="6" style="422" bestFit="1" customWidth="1"/>
    <col min="6149" max="6149" width="11.375" style="422" customWidth="1"/>
    <col min="6150" max="6150" width="12.625" style="422" bestFit="1" customWidth="1"/>
    <col min="6151" max="6151" width="12.125" style="422" bestFit="1" customWidth="1"/>
    <col min="6152" max="6152" width="16.125" style="422" customWidth="1"/>
    <col min="6153" max="6153" width="13.375" style="422" bestFit="1" customWidth="1"/>
    <col min="6154" max="6154" width="12.125" style="422" customWidth="1"/>
    <col min="6155" max="6155" width="13.375" style="422" bestFit="1" customWidth="1"/>
    <col min="6156" max="6397" width="8.625" style="422"/>
    <col min="6398" max="6398" width="5" style="422" bestFit="1" customWidth="1"/>
    <col min="6399" max="6399" width="3" style="422" bestFit="1" customWidth="1"/>
    <col min="6400" max="6400" width="42.375" style="422" customWidth="1"/>
    <col min="6401" max="6401" width="7.625" style="422" bestFit="1" customWidth="1"/>
    <col min="6402" max="6403" width="0" style="422" hidden="1" customWidth="1"/>
    <col min="6404" max="6404" width="6" style="422" bestFit="1" customWidth="1"/>
    <col min="6405" max="6405" width="11.375" style="422" customWidth="1"/>
    <col min="6406" max="6406" width="12.625" style="422" bestFit="1" customWidth="1"/>
    <col min="6407" max="6407" width="12.125" style="422" bestFit="1" customWidth="1"/>
    <col min="6408" max="6408" width="16.125" style="422" customWidth="1"/>
    <col min="6409" max="6409" width="13.375" style="422" bestFit="1" customWidth="1"/>
    <col min="6410" max="6410" width="12.125" style="422" customWidth="1"/>
    <col min="6411" max="6411" width="13.375" style="422" bestFit="1" customWidth="1"/>
    <col min="6412" max="6653" width="8.625" style="422"/>
    <col min="6654" max="6654" width="5" style="422" bestFit="1" customWidth="1"/>
    <col min="6655" max="6655" width="3" style="422" bestFit="1" customWidth="1"/>
    <col min="6656" max="6656" width="42.375" style="422" customWidth="1"/>
    <col min="6657" max="6657" width="7.625" style="422" bestFit="1" customWidth="1"/>
    <col min="6658" max="6659" width="0" style="422" hidden="1" customWidth="1"/>
    <col min="6660" max="6660" width="6" style="422" bestFit="1" customWidth="1"/>
    <col min="6661" max="6661" width="11.375" style="422" customWidth="1"/>
    <col min="6662" max="6662" width="12.625" style="422" bestFit="1" customWidth="1"/>
    <col min="6663" max="6663" width="12.125" style="422" bestFit="1" customWidth="1"/>
    <col min="6664" max="6664" width="16.125" style="422" customWidth="1"/>
    <col min="6665" max="6665" width="13.375" style="422" bestFit="1" customWidth="1"/>
    <col min="6666" max="6666" width="12.125" style="422" customWidth="1"/>
    <col min="6667" max="6667" width="13.375" style="422" bestFit="1" customWidth="1"/>
    <col min="6668" max="6909" width="8.625" style="422"/>
    <col min="6910" max="6910" width="5" style="422" bestFit="1" customWidth="1"/>
    <col min="6911" max="6911" width="3" style="422" bestFit="1" customWidth="1"/>
    <col min="6912" max="6912" width="42.375" style="422" customWidth="1"/>
    <col min="6913" max="6913" width="7.625" style="422" bestFit="1" customWidth="1"/>
    <col min="6914" max="6915" width="0" style="422" hidden="1" customWidth="1"/>
    <col min="6916" max="6916" width="6" style="422" bestFit="1" customWidth="1"/>
    <col min="6917" max="6917" width="11.375" style="422" customWidth="1"/>
    <col min="6918" max="6918" width="12.625" style="422" bestFit="1" customWidth="1"/>
    <col min="6919" max="6919" width="12.125" style="422" bestFit="1" customWidth="1"/>
    <col min="6920" max="6920" width="16.125" style="422" customWidth="1"/>
    <col min="6921" max="6921" width="13.375" style="422" bestFit="1" customWidth="1"/>
    <col min="6922" max="6922" width="12.125" style="422" customWidth="1"/>
    <col min="6923" max="6923" width="13.375" style="422" bestFit="1" customWidth="1"/>
    <col min="6924" max="7165" width="8.625" style="422"/>
    <col min="7166" max="7166" width="5" style="422" bestFit="1" customWidth="1"/>
    <col min="7167" max="7167" width="3" style="422" bestFit="1" customWidth="1"/>
    <col min="7168" max="7168" width="42.375" style="422" customWidth="1"/>
    <col min="7169" max="7169" width="7.625" style="422" bestFit="1" customWidth="1"/>
    <col min="7170" max="7171" width="0" style="422" hidden="1" customWidth="1"/>
    <col min="7172" max="7172" width="6" style="422" bestFit="1" customWidth="1"/>
    <col min="7173" max="7173" width="11.375" style="422" customWidth="1"/>
    <col min="7174" max="7174" width="12.625" style="422" bestFit="1" customWidth="1"/>
    <col min="7175" max="7175" width="12.125" style="422" bestFit="1" customWidth="1"/>
    <col min="7176" max="7176" width="16.125" style="422" customWidth="1"/>
    <col min="7177" max="7177" width="13.375" style="422" bestFit="1" customWidth="1"/>
    <col min="7178" max="7178" width="12.125" style="422" customWidth="1"/>
    <col min="7179" max="7179" width="13.375" style="422" bestFit="1" customWidth="1"/>
    <col min="7180" max="7421" width="8.625" style="422"/>
    <col min="7422" max="7422" width="5" style="422" bestFit="1" customWidth="1"/>
    <col min="7423" max="7423" width="3" style="422" bestFit="1" customWidth="1"/>
    <col min="7424" max="7424" width="42.375" style="422" customWidth="1"/>
    <col min="7425" max="7425" width="7.625" style="422" bestFit="1" customWidth="1"/>
    <col min="7426" max="7427" width="0" style="422" hidden="1" customWidth="1"/>
    <col min="7428" max="7428" width="6" style="422" bestFit="1" customWidth="1"/>
    <col min="7429" max="7429" width="11.375" style="422" customWidth="1"/>
    <col min="7430" max="7430" width="12.625" style="422" bestFit="1" customWidth="1"/>
    <col min="7431" max="7431" width="12.125" style="422" bestFit="1" customWidth="1"/>
    <col min="7432" max="7432" width="16.125" style="422" customWidth="1"/>
    <col min="7433" max="7433" width="13.375" style="422" bestFit="1" customWidth="1"/>
    <col min="7434" max="7434" width="12.125" style="422" customWidth="1"/>
    <col min="7435" max="7435" width="13.375" style="422" bestFit="1" customWidth="1"/>
    <col min="7436" max="7677" width="8.625" style="422"/>
    <col min="7678" max="7678" width="5" style="422" bestFit="1" customWidth="1"/>
    <col min="7679" max="7679" width="3" style="422" bestFit="1" customWidth="1"/>
    <col min="7680" max="7680" width="42.375" style="422" customWidth="1"/>
    <col min="7681" max="7681" width="7.625" style="422" bestFit="1" customWidth="1"/>
    <col min="7682" max="7683" width="0" style="422" hidden="1" customWidth="1"/>
    <col min="7684" max="7684" width="6" style="422" bestFit="1" customWidth="1"/>
    <col min="7685" max="7685" width="11.375" style="422" customWidth="1"/>
    <col min="7686" max="7686" width="12.625" style="422" bestFit="1" customWidth="1"/>
    <col min="7687" max="7687" width="12.125" style="422" bestFit="1" customWidth="1"/>
    <col min="7688" max="7688" width="16.125" style="422" customWidth="1"/>
    <col min="7689" max="7689" width="13.375" style="422" bestFit="1" customWidth="1"/>
    <col min="7690" max="7690" width="12.125" style="422" customWidth="1"/>
    <col min="7691" max="7691" width="13.375" style="422" bestFit="1" customWidth="1"/>
    <col min="7692" max="7933" width="8.625" style="422"/>
    <col min="7934" max="7934" width="5" style="422" bestFit="1" customWidth="1"/>
    <col min="7935" max="7935" width="3" style="422" bestFit="1" customWidth="1"/>
    <col min="7936" max="7936" width="42.375" style="422" customWidth="1"/>
    <col min="7937" max="7937" width="7.625" style="422" bestFit="1" customWidth="1"/>
    <col min="7938" max="7939" width="0" style="422" hidden="1" customWidth="1"/>
    <col min="7940" max="7940" width="6" style="422" bestFit="1" customWidth="1"/>
    <col min="7941" max="7941" width="11.375" style="422" customWidth="1"/>
    <col min="7942" max="7942" width="12.625" style="422" bestFit="1" customWidth="1"/>
    <col min="7943" max="7943" width="12.125" style="422" bestFit="1" customWidth="1"/>
    <col min="7944" max="7944" width="16.125" style="422" customWidth="1"/>
    <col min="7945" max="7945" width="13.375" style="422" bestFit="1" customWidth="1"/>
    <col min="7946" max="7946" width="12.125" style="422" customWidth="1"/>
    <col min="7947" max="7947" width="13.375" style="422" bestFit="1" customWidth="1"/>
    <col min="7948" max="8189" width="8.625" style="422"/>
    <col min="8190" max="8190" width="5" style="422" bestFit="1" customWidth="1"/>
    <col min="8191" max="8191" width="3" style="422" bestFit="1" customWidth="1"/>
    <col min="8192" max="8192" width="42.375" style="422" customWidth="1"/>
    <col min="8193" max="8193" width="7.625" style="422" bestFit="1" customWidth="1"/>
    <col min="8194" max="8195" width="0" style="422" hidden="1" customWidth="1"/>
    <col min="8196" max="8196" width="6" style="422" bestFit="1" customWidth="1"/>
    <col min="8197" max="8197" width="11.375" style="422" customWidth="1"/>
    <col min="8198" max="8198" width="12.625" style="422" bestFit="1" customWidth="1"/>
    <col min="8199" max="8199" width="12.125" style="422" bestFit="1" customWidth="1"/>
    <col min="8200" max="8200" width="16.125" style="422" customWidth="1"/>
    <col min="8201" max="8201" width="13.375" style="422" bestFit="1" customWidth="1"/>
    <col min="8202" max="8202" width="12.125" style="422" customWidth="1"/>
    <col min="8203" max="8203" width="13.375" style="422" bestFit="1" customWidth="1"/>
    <col min="8204" max="8445" width="8.625" style="422"/>
    <col min="8446" max="8446" width="5" style="422" bestFit="1" customWidth="1"/>
    <col min="8447" max="8447" width="3" style="422" bestFit="1" customWidth="1"/>
    <col min="8448" max="8448" width="42.375" style="422" customWidth="1"/>
    <col min="8449" max="8449" width="7.625" style="422" bestFit="1" customWidth="1"/>
    <col min="8450" max="8451" width="0" style="422" hidden="1" customWidth="1"/>
    <col min="8452" max="8452" width="6" style="422" bestFit="1" customWidth="1"/>
    <col min="8453" max="8453" width="11.375" style="422" customWidth="1"/>
    <col min="8454" max="8454" width="12.625" style="422" bestFit="1" customWidth="1"/>
    <col min="8455" max="8455" width="12.125" style="422" bestFit="1" customWidth="1"/>
    <col min="8456" max="8456" width="16.125" style="422" customWidth="1"/>
    <col min="8457" max="8457" width="13.375" style="422" bestFit="1" customWidth="1"/>
    <col min="8458" max="8458" width="12.125" style="422" customWidth="1"/>
    <col min="8459" max="8459" width="13.375" style="422" bestFit="1" customWidth="1"/>
    <col min="8460" max="8701" width="8.625" style="422"/>
    <col min="8702" max="8702" width="5" style="422" bestFit="1" customWidth="1"/>
    <col min="8703" max="8703" width="3" style="422" bestFit="1" customWidth="1"/>
    <col min="8704" max="8704" width="42.375" style="422" customWidth="1"/>
    <col min="8705" max="8705" width="7.625" style="422" bestFit="1" customWidth="1"/>
    <col min="8706" max="8707" width="0" style="422" hidden="1" customWidth="1"/>
    <col min="8708" max="8708" width="6" style="422" bestFit="1" customWidth="1"/>
    <col min="8709" max="8709" width="11.375" style="422" customWidth="1"/>
    <col min="8710" max="8710" width="12.625" style="422" bestFit="1" customWidth="1"/>
    <col min="8711" max="8711" width="12.125" style="422" bestFit="1" customWidth="1"/>
    <col min="8712" max="8712" width="16.125" style="422" customWidth="1"/>
    <col min="8713" max="8713" width="13.375" style="422" bestFit="1" customWidth="1"/>
    <col min="8714" max="8714" width="12.125" style="422" customWidth="1"/>
    <col min="8715" max="8715" width="13.375" style="422" bestFit="1" customWidth="1"/>
    <col min="8716" max="8957" width="8.625" style="422"/>
    <col min="8958" max="8958" width="5" style="422" bestFit="1" customWidth="1"/>
    <col min="8959" max="8959" width="3" style="422" bestFit="1" customWidth="1"/>
    <col min="8960" max="8960" width="42.375" style="422" customWidth="1"/>
    <col min="8961" max="8961" width="7.625" style="422" bestFit="1" customWidth="1"/>
    <col min="8962" max="8963" width="0" style="422" hidden="1" customWidth="1"/>
    <col min="8964" max="8964" width="6" style="422" bestFit="1" customWidth="1"/>
    <col min="8965" max="8965" width="11.375" style="422" customWidth="1"/>
    <col min="8966" max="8966" width="12.625" style="422" bestFit="1" customWidth="1"/>
    <col min="8967" max="8967" width="12.125" style="422" bestFit="1" customWidth="1"/>
    <col min="8968" max="8968" width="16.125" style="422" customWidth="1"/>
    <col min="8969" max="8969" width="13.375" style="422" bestFit="1" customWidth="1"/>
    <col min="8970" max="8970" width="12.125" style="422" customWidth="1"/>
    <col min="8971" max="8971" width="13.375" style="422" bestFit="1" customWidth="1"/>
    <col min="8972" max="9213" width="8.625" style="422"/>
    <col min="9214" max="9214" width="5" style="422" bestFit="1" customWidth="1"/>
    <col min="9215" max="9215" width="3" style="422" bestFit="1" customWidth="1"/>
    <col min="9216" max="9216" width="42.375" style="422" customWidth="1"/>
    <col min="9217" max="9217" width="7.625" style="422" bestFit="1" customWidth="1"/>
    <col min="9218" max="9219" width="0" style="422" hidden="1" customWidth="1"/>
    <col min="9220" max="9220" width="6" style="422" bestFit="1" customWidth="1"/>
    <col min="9221" max="9221" width="11.375" style="422" customWidth="1"/>
    <col min="9222" max="9222" width="12.625" style="422" bestFit="1" customWidth="1"/>
    <col min="9223" max="9223" width="12.125" style="422" bestFit="1" customWidth="1"/>
    <col min="9224" max="9224" width="16.125" style="422" customWidth="1"/>
    <col min="9225" max="9225" width="13.375" style="422" bestFit="1" customWidth="1"/>
    <col min="9226" max="9226" width="12.125" style="422" customWidth="1"/>
    <col min="9227" max="9227" width="13.375" style="422" bestFit="1" customWidth="1"/>
    <col min="9228" max="9469" width="8.625" style="422"/>
    <col min="9470" max="9470" width="5" style="422" bestFit="1" customWidth="1"/>
    <col min="9471" max="9471" width="3" style="422" bestFit="1" customWidth="1"/>
    <col min="9472" max="9472" width="42.375" style="422" customWidth="1"/>
    <col min="9473" max="9473" width="7.625" style="422" bestFit="1" customWidth="1"/>
    <col min="9474" max="9475" width="0" style="422" hidden="1" customWidth="1"/>
    <col min="9476" max="9476" width="6" style="422" bestFit="1" customWidth="1"/>
    <col min="9477" max="9477" width="11.375" style="422" customWidth="1"/>
    <col min="9478" max="9478" width="12.625" style="422" bestFit="1" customWidth="1"/>
    <col min="9479" max="9479" width="12.125" style="422" bestFit="1" customWidth="1"/>
    <col min="9480" max="9480" width="16.125" style="422" customWidth="1"/>
    <col min="9481" max="9481" width="13.375" style="422" bestFit="1" customWidth="1"/>
    <col min="9482" max="9482" width="12.125" style="422" customWidth="1"/>
    <col min="9483" max="9483" width="13.375" style="422" bestFit="1" customWidth="1"/>
    <col min="9484" max="9725" width="8.625" style="422"/>
    <col min="9726" max="9726" width="5" style="422" bestFit="1" customWidth="1"/>
    <col min="9727" max="9727" width="3" style="422" bestFit="1" customWidth="1"/>
    <col min="9728" max="9728" width="42.375" style="422" customWidth="1"/>
    <col min="9729" max="9729" width="7.625" style="422" bestFit="1" customWidth="1"/>
    <col min="9730" max="9731" width="0" style="422" hidden="1" customWidth="1"/>
    <col min="9732" max="9732" width="6" style="422" bestFit="1" customWidth="1"/>
    <col min="9733" max="9733" width="11.375" style="422" customWidth="1"/>
    <col min="9734" max="9734" width="12.625" style="422" bestFit="1" customWidth="1"/>
    <col min="9735" max="9735" width="12.125" style="422" bestFit="1" customWidth="1"/>
    <col min="9736" max="9736" width="16.125" style="422" customWidth="1"/>
    <col min="9737" max="9737" width="13.375" style="422" bestFit="1" customWidth="1"/>
    <col min="9738" max="9738" width="12.125" style="422" customWidth="1"/>
    <col min="9739" max="9739" width="13.375" style="422" bestFit="1" customWidth="1"/>
    <col min="9740" max="9981" width="8.625" style="422"/>
    <col min="9982" max="9982" width="5" style="422" bestFit="1" customWidth="1"/>
    <col min="9983" max="9983" width="3" style="422" bestFit="1" customWidth="1"/>
    <col min="9984" max="9984" width="42.375" style="422" customWidth="1"/>
    <col min="9985" max="9985" width="7.625" style="422" bestFit="1" customWidth="1"/>
    <col min="9986" max="9987" width="0" style="422" hidden="1" customWidth="1"/>
    <col min="9988" max="9988" width="6" style="422" bestFit="1" customWidth="1"/>
    <col min="9989" max="9989" width="11.375" style="422" customWidth="1"/>
    <col min="9990" max="9990" width="12.625" style="422" bestFit="1" customWidth="1"/>
    <col min="9991" max="9991" width="12.125" style="422" bestFit="1" customWidth="1"/>
    <col min="9992" max="9992" width="16.125" style="422" customWidth="1"/>
    <col min="9993" max="9993" width="13.375" style="422" bestFit="1" customWidth="1"/>
    <col min="9994" max="9994" width="12.125" style="422" customWidth="1"/>
    <col min="9995" max="9995" width="13.375" style="422" bestFit="1" customWidth="1"/>
    <col min="9996" max="10237" width="8.625" style="422"/>
    <col min="10238" max="10238" width="5" style="422" bestFit="1" customWidth="1"/>
    <col min="10239" max="10239" width="3" style="422" bestFit="1" customWidth="1"/>
    <col min="10240" max="10240" width="42.375" style="422" customWidth="1"/>
    <col min="10241" max="10241" width="7.625" style="422" bestFit="1" customWidth="1"/>
    <col min="10242" max="10243" width="0" style="422" hidden="1" customWidth="1"/>
    <col min="10244" max="10244" width="6" style="422" bestFit="1" customWidth="1"/>
    <col min="10245" max="10245" width="11.375" style="422" customWidth="1"/>
    <col min="10246" max="10246" width="12.625" style="422" bestFit="1" customWidth="1"/>
    <col min="10247" max="10247" width="12.125" style="422" bestFit="1" customWidth="1"/>
    <col min="10248" max="10248" width="16.125" style="422" customWidth="1"/>
    <col min="10249" max="10249" width="13.375" style="422" bestFit="1" customWidth="1"/>
    <col min="10250" max="10250" width="12.125" style="422" customWidth="1"/>
    <col min="10251" max="10251" width="13.375" style="422" bestFit="1" customWidth="1"/>
    <col min="10252" max="10493" width="8.625" style="422"/>
    <col min="10494" max="10494" width="5" style="422" bestFit="1" customWidth="1"/>
    <col min="10495" max="10495" width="3" style="422" bestFit="1" customWidth="1"/>
    <col min="10496" max="10496" width="42.375" style="422" customWidth="1"/>
    <col min="10497" max="10497" width="7.625" style="422" bestFit="1" customWidth="1"/>
    <col min="10498" max="10499" width="0" style="422" hidden="1" customWidth="1"/>
    <col min="10500" max="10500" width="6" style="422" bestFit="1" customWidth="1"/>
    <col min="10501" max="10501" width="11.375" style="422" customWidth="1"/>
    <col min="10502" max="10502" width="12.625" style="422" bestFit="1" customWidth="1"/>
    <col min="10503" max="10503" width="12.125" style="422" bestFit="1" customWidth="1"/>
    <col min="10504" max="10504" width="16.125" style="422" customWidth="1"/>
    <col min="10505" max="10505" width="13.375" style="422" bestFit="1" customWidth="1"/>
    <col min="10506" max="10506" width="12.125" style="422" customWidth="1"/>
    <col min="10507" max="10507" width="13.375" style="422" bestFit="1" customWidth="1"/>
    <col min="10508" max="10749" width="8.625" style="422"/>
    <col min="10750" max="10750" width="5" style="422" bestFit="1" customWidth="1"/>
    <col min="10751" max="10751" width="3" style="422" bestFit="1" customWidth="1"/>
    <col min="10752" max="10752" width="42.375" style="422" customWidth="1"/>
    <col min="10753" max="10753" width="7.625" style="422" bestFit="1" customWidth="1"/>
    <col min="10754" max="10755" width="0" style="422" hidden="1" customWidth="1"/>
    <col min="10756" max="10756" width="6" style="422" bestFit="1" customWidth="1"/>
    <col min="10757" max="10757" width="11.375" style="422" customWidth="1"/>
    <col min="10758" max="10758" width="12.625" style="422" bestFit="1" customWidth="1"/>
    <col min="10759" max="10759" width="12.125" style="422" bestFit="1" customWidth="1"/>
    <col min="10760" max="10760" width="16.125" style="422" customWidth="1"/>
    <col min="10761" max="10761" width="13.375" style="422" bestFit="1" customWidth="1"/>
    <col min="10762" max="10762" width="12.125" style="422" customWidth="1"/>
    <col min="10763" max="10763" width="13.375" style="422" bestFit="1" customWidth="1"/>
    <col min="10764" max="11005" width="8.625" style="422"/>
    <col min="11006" max="11006" width="5" style="422" bestFit="1" customWidth="1"/>
    <col min="11007" max="11007" width="3" style="422" bestFit="1" customWidth="1"/>
    <col min="11008" max="11008" width="42.375" style="422" customWidth="1"/>
    <col min="11009" max="11009" width="7.625" style="422" bestFit="1" customWidth="1"/>
    <col min="11010" max="11011" width="0" style="422" hidden="1" customWidth="1"/>
    <col min="11012" max="11012" width="6" style="422" bestFit="1" customWidth="1"/>
    <col min="11013" max="11013" width="11.375" style="422" customWidth="1"/>
    <col min="11014" max="11014" width="12.625" style="422" bestFit="1" customWidth="1"/>
    <col min="11015" max="11015" width="12.125" style="422" bestFit="1" customWidth="1"/>
    <col min="11016" max="11016" width="16.125" style="422" customWidth="1"/>
    <col min="11017" max="11017" width="13.375" style="422" bestFit="1" customWidth="1"/>
    <col min="11018" max="11018" width="12.125" style="422" customWidth="1"/>
    <col min="11019" max="11019" width="13.375" style="422" bestFit="1" customWidth="1"/>
    <col min="11020" max="11261" width="8.625" style="422"/>
    <col min="11262" max="11262" width="5" style="422" bestFit="1" customWidth="1"/>
    <col min="11263" max="11263" width="3" style="422" bestFit="1" customWidth="1"/>
    <col min="11264" max="11264" width="42.375" style="422" customWidth="1"/>
    <col min="11265" max="11265" width="7.625" style="422" bestFit="1" customWidth="1"/>
    <col min="11266" max="11267" width="0" style="422" hidden="1" customWidth="1"/>
    <col min="11268" max="11268" width="6" style="422" bestFit="1" customWidth="1"/>
    <col min="11269" max="11269" width="11.375" style="422" customWidth="1"/>
    <col min="11270" max="11270" width="12.625" style="422" bestFit="1" customWidth="1"/>
    <col min="11271" max="11271" width="12.125" style="422" bestFit="1" customWidth="1"/>
    <col min="11272" max="11272" width="16.125" style="422" customWidth="1"/>
    <col min="11273" max="11273" width="13.375" style="422" bestFit="1" customWidth="1"/>
    <col min="11274" max="11274" width="12.125" style="422" customWidth="1"/>
    <col min="11275" max="11275" width="13.375" style="422" bestFit="1" customWidth="1"/>
    <col min="11276" max="11517" width="8.625" style="422"/>
    <col min="11518" max="11518" width="5" style="422" bestFit="1" customWidth="1"/>
    <col min="11519" max="11519" width="3" style="422" bestFit="1" customWidth="1"/>
    <col min="11520" max="11520" width="42.375" style="422" customWidth="1"/>
    <col min="11521" max="11521" width="7.625" style="422" bestFit="1" customWidth="1"/>
    <col min="11522" max="11523" width="0" style="422" hidden="1" customWidth="1"/>
    <col min="11524" max="11524" width="6" style="422" bestFit="1" customWidth="1"/>
    <col min="11525" max="11525" width="11.375" style="422" customWidth="1"/>
    <col min="11526" max="11526" width="12.625" style="422" bestFit="1" customWidth="1"/>
    <col min="11527" max="11527" width="12.125" style="422" bestFit="1" customWidth="1"/>
    <col min="11528" max="11528" width="16.125" style="422" customWidth="1"/>
    <col min="11529" max="11529" width="13.375" style="422" bestFit="1" customWidth="1"/>
    <col min="11530" max="11530" width="12.125" style="422" customWidth="1"/>
    <col min="11531" max="11531" width="13.375" style="422" bestFit="1" customWidth="1"/>
    <col min="11532" max="11773" width="8.625" style="422"/>
    <col min="11774" max="11774" width="5" style="422" bestFit="1" customWidth="1"/>
    <col min="11775" max="11775" width="3" style="422" bestFit="1" customWidth="1"/>
    <col min="11776" max="11776" width="42.375" style="422" customWidth="1"/>
    <col min="11777" max="11777" width="7.625" style="422" bestFit="1" customWidth="1"/>
    <col min="11778" max="11779" width="0" style="422" hidden="1" customWidth="1"/>
    <col min="11780" max="11780" width="6" style="422" bestFit="1" customWidth="1"/>
    <col min="11781" max="11781" width="11.375" style="422" customWidth="1"/>
    <col min="11782" max="11782" width="12.625" style="422" bestFit="1" customWidth="1"/>
    <col min="11783" max="11783" width="12.125" style="422" bestFit="1" customWidth="1"/>
    <col min="11784" max="11784" width="16.125" style="422" customWidth="1"/>
    <col min="11785" max="11785" width="13.375" style="422" bestFit="1" customWidth="1"/>
    <col min="11786" max="11786" width="12.125" style="422" customWidth="1"/>
    <col min="11787" max="11787" width="13.375" style="422" bestFit="1" customWidth="1"/>
    <col min="11788" max="12029" width="8.625" style="422"/>
    <col min="12030" max="12030" width="5" style="422" bestFit="1" customWidth="1"/>
    <col min="12031" max="12031" width="3" style="422" bestFit="1" customWidth="1"/>
    <col min="12032" max="12032" width="42.375" style="422" customWidth="1"/>
    <col min="12033" max="12033" width="7.625" style="422" bestFit="1" customWidth="1"/>
    <col min="12034" max="12035" width="0" style="422" hidden="1" customWidth="1"/>
    <col min="12036" max="12036" width="6" style="422" bestFit="1" customWidth="1"/>
    <col min="12037" max="12037" width="11.375" style="422" customWidth="1"/>
    <col min="12038" max="12038" width="12.625" style="422" bestFit="1" customWidth="1"/>
    <col min="12039" max="12039" width="12.125" style="422" bestFit="1" customWidth="1"/>
    <col min="12040" max="12040" width="16.125" style="422" customWidth="1"/>
    <col min="12041" max="12041" width="13.375" style="422" bestFit="1" customWidth="1"/>
    <col min="12042" max="12042" width="12.125" style="422" customWidth="1"/>
    <col min="12043" max="12043" width="13.375" style="422" bestFit="1" customWidth="1"/>
    <col min="12044" max="12285" width="8.625" style="422"/>
    <col min="12286" max="12286" width="5" style="422" bestFit="1" customWidth="1"/>
    <col min="12287" max="12287" width="3" style="422" bestFit="1" customWidth="1"/>
    <col min="12288" max="12288" width="42.375" style="422" customWidth="1"/>
    <col min="12289" max="12289" width="7.625" style="422" bestFit="1" customWidth="1"/>
    <col min="12290" max="12291" width="0" style="422" hidden="1" customWidth="1"/>
    <col min="12292" max="12292" width="6" style="422" bestFit="1" customWidth="1"/>
    <col min="12293" max="12293" width="11.375" style="422" customWidth="1"/>
    <col min="12294" max="12294" width="12.625" style="422" bestFit="1" customWidth="1"/>
    <col min="12295" max="12295" width="12.125" style="422" bestFit="1" customWidth="1"/>
    <col min="12296" max="12296" width="16.125" style="422" customWidth="1"/>
    <col min="12297" max="12297" width="13.375" style="422" bestFit="1" customWidth="1"/>
    <col min="12298" max="12298" width="12.125" style="422" customWidth="1"/>
    <col min="12299" max="12299" width="13.375" style="422" bestFit="1" customWidth="1"/>
    <col min="12300" max="12541" width="8.625" style="422"/>
    <col min="12542" max="12542" width="5" style="422" bestFit="1" customWidth="1"/>
    <col min="12543" max="12543" width="3" style="422" bestFit="1" customWidth="1"/>
    <col min="12544" max="12544" width="42.375" style="422" customWidth="1"/>
    <col min="12545" max="12545" width="7.625" style="422" bestFit="1" customWidth="1"/>
    <col min="12546" max="12547" width="0" style="422" hidden="1" customWidth="1"/>
    <col min="12548" max="12548" width="6" style="422" bestFit="1" customWidth="1"/>
    <col min="12549" max="12549" width="11.375" style="422" customWidth="1"/>
    <col min="12550" max="12550" width="12.625" style="422" bestFit="1" customWidth="1"/>
    <col min="12551" max="12551" width="12.125" style="422" bestFit="1" customWidth="1"/>
    <col min="12552" max="12552" width="16.125" style="422" customWidth="1"/>
    <col min="12553" max="12553" width="13.375" style="422" bestFit="1" customWidth="1"/>
    <col min="12554" max="12554" width="12.125" style="422" customWidth="1"/>
    <col min="12555" max="12555" width="13.375" style="422" bestFit="1" customWidth="1"/>
    <col min="12556" max="12797" width="8.625" style="422"/>
    <col min="12798" max="12798" width="5" style="422" bestFit="1" customWidth="1"/>
    <col min="12799" max="12799" width="3" style="422" bestFit="1" customWidth="1"/>
    <col min="12800" max="12800" width="42.375" style="422" customWidth="1"/>
    <col min="12801" max="12801" width="7.625" style="422" bestFit="1" customWidth="1"/>
    <col min="12802" max="12803" width="0" style="422" hidden="1" customWidth="1"/>
    <col min="12804" max="12804" width="6" style="422" bestFit="1" customWidth="1"/>
    <col min="12805" max="12805" width="11.375" style="422" customWidth="1"/>
    <col min="12806" max="12806" width="12.625" style="422" bestFit="1" customWidth="1"/>
    <col min="12807" max="12807" width="12.125" style="422" bestFit="1" customWidth="1"/>
    <col min="12808" max="12808" width="16.125" style="422" customWidth="1"/>
    <col min="12809" max="12809" width="13.375" style="422" bestFit="1" customWidth="1"/>
    <col min="12810" max="12810" width="12.125" style="422" customWidth="1"/>
    <col min="12811" max="12811" width="13.375" style="422" bestFit="1" customWidth="1"/>
    <col min="12812" max="13053" width="8.625" style="422"/>
    <col min="13054" max="13054" width="5" style="422" bestFit="1" customWidth="1"/>
    <col min="13055" max="13055" width="3" style="422" bestFit="1" customWidth="1"/>
    <col min="13056" max="13056" width="42.375" style="422" customWidth="1"/>
    <col min="13057" max="13057" width="7.625" style="422" bestFit="1" customWidth="1"/>
    <col min="13058" max="13059" width="0" style="422" hidden="1" customWidth="1"/>
    <col min="13060" max="13060" width="6" style="422" bestFit="1" customWidth="1"/>
    <col min="13061" max="13061" width="11.375" style="422" customWidth="1"/>
    <col min="13062" max="13062" width="12.625" style="422" bestFit="1" customWidth="1"/>
    <col min="13063" max="13063" width="12.125" style="422" bestFit="1" customWidth="1"/>
    <col min="13064" max="13064" width="16.125" style="422" customWidth="1"/>
    <col min="13065" max="13065" width="13.375" style="422" bestFit="1" customWidth="1"/>
    <col min="13066" max="13066" width="12.125" style="422" customWidth="1"/>
    <col min="13067" max="13067" width="13.375" style="422" bestFit="1" customWidth="1"/>
    <col min="13068" max="13309" width="8.625" style="422"/>
    <col min="13310" max="13310" width="5" style="422" bestFit="1" customWidth="1"/>
    <col min="13311" max="13311" width="3" style="422" bestFit="1" customWidth="1"/>
    <col min="13312" max="13312" width="42.375" style="422" customWidth="1"/>
    <col min="13313" max="13313" width="7.625" style="422" bestFit="1" customWidth="1"/>
    <col min="13314" max="13315" width="0" style="422" hidden="1" customWidth="1"/>
    <col min="13316" max="13316" width="6" style="422" bestFit="1" customWidth="1"/>
    <col min="13317" max="13317" width="11.375" style="422" customWidth="1"/>
    <col min="13318" max="13318" width="12.625" style="422" bestFit="1" customWidth="1"/>
    <col min="13319" max="13319" width="12.125" style="422" bestFit="1" customWidth="1"/>
    <col min="13320" max="13320" width="16.125" style="422" customWidth="1"/>
    <col min="13321" max="13321" width="13.375" style="422" bestFit="1" customWidth="1"/>
    <col min="13322" max="13322" width="12.125" style="422" customWidth="1"/>
    <col min="13323" max="13323" width="13.375" style="422" bestFit="1" customWidth="1"/>
    <col min="13324" max="13565" width="8.625" style="422"/>
    <col min="13566" max="13566" width="5" style="422" bestFit="1" customWidth="1"/>
    <col min="13567" max="13567" width="3" style="422" bestFit="1" customWidth="1"/>
    <col min="13568" max="13568" width="42.375" style="422" customWidth="1"/>
    <col min="13569" max="13569" width="7.625" style="422" bestFit="1" customWidth="1"/>
    <col min="13570" max="13571" width="0" style="422" hidden="1" customWidth="1"/>
    <col min="13572" max="13572" width="6" style="422" bestFit="1" customWidth="1"/>
    <col min="13573" max="13573" width="11.375" style="422" customWidth="1"/>
    <col min="13574" max="13574" width="12.625" style="422" bestFit="1" customWidth="1"/>
    <col min="13575" max="13575" width="12.125" style="422" bestFit="1" customWidth="1"/>
    <col min="13576" max="13576" width="16.125" style="422" customWidth="1"/>
    <col min="13577" max="13577" width="13.375" style="422" bestFit="1" customWidth="1"/>
    <col min="13578" max="13578" width="12.125" style="422" customWidth="1"/>
    <col min="13579" max="13579" width="13.375" style="422" bestFit="1" customWidth="1"/>
    <col min="13580" max="13821" width="8.625" style="422"/>
    <col min="13822" max="13822" width="5" style="422" bestFit="1" customWidth="1"/>
    <col min="13823" max="13823" width="3" style="422" bestFit="1" customWidth="1"/>
    <col min="13824" max="13824" width="42.375" style="422" customWidth="1"/>
    <col min="13825" max="13825" width="7.625" style="422" bestFit="1" customWidth="1"/>
    <col min="13826" max="13827" width="0" style="422" hidden="1" customWidth="1"/>
    <col min="13828" max="13828" width="6" style="422" bestFit="1" customWidth="1"/>
    <col min="13829" max="13829" width="11.375" style="422" customWidth="1"/>
    <col min="13830" max="13830" width="12.625" style="422" bestFit="1" customWidth="1"/>
    <col min="13831" max="13831" width="12.125" style="422" bestFit="1" customWidth="1"/>
    <col min="13832" max="13832" width="16.125" style="422" customWidth="1"/>
    <col min="13833" max="13833" width="13.375" style="422" bestFit="1" customWidth="1"/>
    <col min="13834" max="13834" width="12.125" style="422" customWidth="1"/>
    <col min="13835" max="13835" width="13.375" style="422" bestFit="1" customWidth="1"/>
    <col min="13836" max="14077" width="8.625" style="422"/>
    <col min="14078" max="14078" width="5" style="422" bestFit="1" customWidth="1"/>
    <col min="14079" max="14079" width="3" style="422" bestFit="1" customWidth="1"/>
    <col min="14080" max="14080" width="42.375" style="422" customWidth="1"/>
    <col min="14081" max="14081" width="7.625" style="422" bestFit="1" customWidth="1"/>
    <col min="14082" max="14083" width="0" style="422" hidden="1" customWidth="1"/>
    <col min="14084" max="14084" width="6" style="422" bestFit="1" customWidth="1"/>
    <col min="14085" max="14085" width="11.375" style="422" customWidth="1"/>
    <col min="14086" max="14086" width="12.625" style="422" bestFit="1" customWidth="1"/>
    <col min="14087" max="14087" width="12.125" style="422" bestFit="1" customWidth="1"/>
    <col min="14088" max="14088" width="16.125" style="422" customWidth="1"/>
    <col min="14089" max="14089" width="13.375" style="422" bestFit="1" customWidth="1"/>
    <col min="14090" max="14090" width="12.125" style="422" customWidth="1"/>
    <col min="14091" max="14091" width="13.375" style="422" bestFit="1" customWidth="1"/>
    <col min="14092" max="14333" width="8.625" style="422"/>
    <col min="14334" max="14334" width="5" style="422" bestFit="1" customWidth="1"/>
    <col min="14335" max="14335" width="3" style="422" bestFit="1" customWidth="1"/>
    <col min="14336" max="14336" width="42.375" style="422" customWidth="1"/>
    <col min="14337" max="14337" width="7.625" style="422" bestFit="1" customWidth="1"/>
    <col min="14338" max="14339" width="0" style="422" hidden="1" customWidth="1"/>
    <col min="14340" max="14340" width="6" style="422" bestFit="1" customWidth="1"/>
    <col min="14341" max="14341" width="11.375" style="422" customWidth="1"/>
    <col min="14342" max="14342" width="12.625" style="422" bestFit="1" customWidth="1"/>
    <col min="14343" max="14343" width="12.125" style="422" bestFit="1" customWidth="1"/>
    <col min="14344" max="14344" width="16.125" style="422" customWidth="1"/>
    <col min="14345" max="14345" width="13.375" style="422" bestFit="1" customWidth="1"/>
    <col min="14346" max="14346" width="12.125" style="422" customWidth="1"/>
    <col min="14347" max="14347" width="13.375" style="422" bestFit="1" customWidth="1"/>
    <col min="14348" max="14589" width="8.625" style="422"/>
    <col min="14590" max="14590" width="5" style="422" bestFit="1" customWidth="1"/>
    <col min="14591" max="14591" width="3" style="422" bestFit="1" customWidth="1"/>
    <col min="14592" max="14592" width="42.375" style="422" customWidth="1"/>
    <col min="14593" max="14593" width="7.625" style="422" bestFit="1" customWidth="1"/>
    <col min="14594" max="14595" width="0" style="422" hidden="1" customWidth="1"/>
    <col min="14596" max="14596" width="6" style="422" bestFit="1" customWidth="1"/>
    <col min="14597" max="14597" width="11.375" style="422" customWidth="1"/>
    <col min="14598" max="14598" width="12.625" style="422" bestFit="1" customWidth="1"/>
    <col min="14599" max="14599" width="12.125" style="422" bestFit="1" customWidth="1"/>
    <col min="14600" max="14600" width="16.125" style="422" customWidth="1"/>
    <col min="14601" max="14601" width="13.375" style="422" bestFit="1" customWidth="1"/>
    <col min="14602" max="14602" width="12.125" style="422" customWidth="1"/>
    <col min="14603" max="14603" width="13.375" style="422" bestFit="1" customWidth="1"/>
    <col min="14604" max="14845" width="8.625" style="422"/>
    <col min="14846" max="14846" width="5" style="422" bestFit="1" customWidth="1"/>
    <col min="14847" max="14847" width="3" style="422" bestFit="1" customWidth="1"/>
    <col min="14848" max="14848" width="42.375" style="422" customWidth="1"/>
    <col min="14849" max="14849" width="7.625" style="422" bestFit="1" customWidth="1"/>
    <col min="14850" max="14851" width="0" style="422" hidden="1" customWidth="1"/>
    <col min="14852" max="14852" width="6" style="422" bestFit="1" customWidth="1"/>
    <col min="14853" max="14853" width="11.375" style="422" customWidth="1"/>
    <col min="14854" max="14854" width="12.625" style="422" bestFit="1" customWidth="1"/>
    <col min="14855" max="14855" width="12.125" style="422" bestFit="1" customWidth="1"/>
    <col min="14856" max="14856" width="16.125" style="422" customWidth="1"/>
    <col min="14857" max="14857" width="13.375" style="422" bestFit="1" customWidth="1"/>
    <col min="14858" max="14858" width="12.125" style="422" customWidth="1"/>
    <col min="14859" max="14859" width="13.375" style="422" bestFit="1" customWidth="1"/>
    <col min="14860" max="15101" width="8.625" style="422"/>
    <col min="15102" max="15102" width="5" style="422" bestFit="1" customWidth="1"/>
    <col min="15103" max="15103" width="3" style="422" bestFit="1" customWidth="1"/>
    <col min="15104" max="15104" width="42.375" style="422" customWidth="1"/>
    <col min="15105" max="15105" width="7.625" style="422" bestFit="1" customWidth="1"/>
    <col min="15106" max="15107" width="0" style="422" hidden="1" customWidth="1"/>
    <col min="15108" max="15108" width="6" style="422" bestFit="1" customWidth="1"/>
    <col min="15109" max="15109" width="11.375" style="422" customWidth="1"/>
    <col min="15110" max="15110" width="12.625" style="422" bestFit="1" customWidth="1"/>
    <col min="15111" max="15111" width="12.125" style="422" bestFit="1" customWidth="1"/>
    <col min="15112" max="15112" width="16.125" style="422" customWidth="1"/>
    <col min="15113" max="15113" width="13.375" style="422" bestFit="1" customWidth="1"/>
    <col min="15114" max="15114" width="12.125" style="422" customWidth="1"/>
    <col min="15115" max="15115" width="13.375" style="422" bestFit="1" customWidth="1"/>
    <col min="15116" max="15357" width="8.625" style="422"/>
    <col min="15358" max="15358" width="5" style="422" bestFit="1" customWidth="1"/>
    <col min="15359" max="15359" width="3" style="422" bestFit="1" customWidth="1"/>
    <col min="15360" max="15360" width="42.375" style="422" customWidth="1"/>
    <col min="15361" max="15361" width="7.625" style="422" bestFit="1" customWidth="1"/>
    <col min="15362" max="15363" width="0" style="422" hidden="1" customWidth="1"/>
    <col min="15364" max="15364" width="6" style="422" bestFit="1" customWidth="1"/>
    <col min="15365" max="15365" width="11.375" style="422" customWidth="1"/>
    <col min="15366" max="15366" width="12.625" style="422" bestFit="1" customWidth="1"/>
    <col min="15367" max="15367" width="12.125" style="422" bestFit="1" customWidth="1"/>
    <col min="15368" max="15368" width="16.125" style="422" customWidth="1"/>
    <col min="15369" max="15369" width="13.375" style="422" bestFit="1" customWidth="1"/>
    <col min="15370" max="15370" width="12.125" style="422" customWidth="1"/>
    <col min="15371" max="15371" width="13.375" style="422" bestFit="1" customWidth="1"/>
    <col min="15372" max="15613" width="8.625" style="422"/>
    <col min="15614" max="15614" width="5" style="422" bestFit="1" customWidth="1"/>
    <col min="15615" max="15615" width="3" style="422" bestFit="1" customWidth="1"/>
    <col min="15616" max="15616" width="42.375" style="422" customWidth="1"/>
    <col min="15617" max="15617" width="7.625" style="422" bestFit="1" customWidth="1"/>
    <col min="15618" max="15619" width="0" style="422" hidden="1" customWidth="1"/>
    <col min="15620" max="15620" width="6" style="422" bestFit="1" customWidth="1"/>
    <col min="15621" max="15621" width="11.375" style="422" customWidth="1"/>
    <col min="15622" max="15622" width="12.625" style="422" bestFit="1" customWidth="1"/>
    <col min="15623" max="15623" width="12.125" style="422" bestFit="1" customWidth="1"/>
    <col min="15624" max="15624" width="16.125" style="422" customWidth="1"/>
    <col min="15625" max="15625" width="13.375" style="422" bestFit="1" customWidth="1"/>
    <col min="15626" max="15626" width="12.125" style="422" customWidth="1"/>
    <col min="15627" max="15627" width="13.375" style="422" bestFit="1" customWidth="1"/>
    <col min="15628" max="15869" width="8.625" style="422"/>
    <col min="15870" max="15870" width="5" style="422" bestFit="1" customWidth="1"/>
    <col min="15871" max="15871" width="3" style="422" bestFit="1" customWidth="1"/>
    <col min="15872" max="15872" width="42.375" style="422" customWidth="1"/>
    <col min="15873" max="15873" width="7.625" style="422" bestFit="1" customWidth="1"/>
    <col min="15874" max="15875" width="0" style="422" hidden="1" customWidth="1"/>
    <col min="15876" max="15876" width="6" style="422" bestFit="1" customWidth="1"/>
    <col min="15877" max="15877" width="11.375" style="422" customWidth="1"/>
    <col min="15878" max="15878" width="12.625" style="422" bestFit="1" customWidth="1"/>
    <col min="15879" max="15879" width="12.125" style="422" bestFit="1" customWidth="1"/>
    <col min="15880" max="15880" width="16.125" style="422" customWidth="1"/>
    <col min="15881" max="15881" width="13.375" style="422" bestFit="1" customWidth="1"/>
    <col min="15882" max="15882" width="12.125" style="422" customWidth="1"/>
    <col min="15883" max="15883" width="13.375" style="422" bestFit="1" customWidth="1"/>
    <col min="15884" max="16125" width="8.625" style="422"/>
    <col min="16126" max="16126" width="5" style="422" bestFit="1" customWidth="1"/>
    <col min="16127" max="16127" width="3" style="422" bestFit="1" customWidth="1"/>
    <col min="16128" max="16128" width="42.375" style="422" customWidth="1"/>
    <col min="16129" max="16129" width="7.625" style="422" bestFit="1" customWidth="1"/>
    <col min="16130" max="16131" width="0" style="422" hidden="1" customWidth="1"/>
    <col min="16132" max="16132" width="6" style="422" bestFit="1" customWidth="1"/>
    <col min="16133" max="16133" width="11.375" style="422" customWidth="1"/>
    <col min="16134" max="16134" width="12.625" style="422" bestFit="1" customWidth="1"/>
    <col min="16135" max="16135" width="12.125" style="422" bestFit="1" customWidth="1"/>
    <col min="16136" max="16136" width="16.125" style="422" customWidth="1"/>
    <col min="16137" max="16137" width="13.375" style="422" bestFit="1" customWidth="1"/>
    <col min="16138" max="16138" width="12.125" style="422" customWidth="1"/>
    <col min="16139" max="16139" width="13.375" style="422" bestFit="1" customWidth="1"/>
    <col min="16140" max="16384" width="8.625" style="422"/>
  </cols>
  <sheetData>
    <row r="1" spans="1:13" ht="14.25">
      <c r="A1" s="1211" t="s">
        <v>743</v>
      </c>
      <c r="B1" s="1211"/>
      <c r="C1" s="1211"/>
      <c r="D1" s="1211"/>
      <c r="E1" s="1211"/>
      <c r="F1" s="1211"/>
      <c r="G1" s="1211"/>
      <c r="H1" s="1211"/>
      <c r="I1" s="1211"/>
      <c r="J1" s="1211"/>
      <c r="K1" s="1211"/>
    </row>
    <row r="2" spans="1:13" ht="15">
      <c r="A2" s="1212"/>
      <c r="B2" s="1212"/>
      <c r="C2" s="1212"/>
      <c r="D2" s="1212"/>
      <c r="E2" s="1212"/>
      <c r="F2" s="1212"/>
      <c r="G2" s="1212"/>
      <c r="H2" s="1212"/>
      <c r="I2" s="1212"/>
      <c r="J2" s="1212"/>
      <c r="K2" s="1212"/>
    </row>
    <row r="3" spans="1:13" ht="15">
      <c r="A3" s="423"/>
      <c r="B3" s="423"/>
      <c r="C3" s="423"/>
      <c r="D3" s="424"/>
      <c r="E3" s="425"/>
      <c r="F3" s="426"/>
      <c r="G3" s="476"/>
      <c r="H3" s="476"/>
      <c r="I3" s="476"/>
      <c r="J3" s="1213" t="s">
        <v>734</v>
      </c>
      <c r="K3" s="1213"/>
    </row>
    <row r="4" spans="1:13" ht="63" customHeight="1">
      <c r="A4" s="428" t="s">
        <v>9</v>
      </c>
      <c r="B4" s="428" t="s">
        <v>162</v>
      </c>
      <c r="C4" s="428" t="s">
        <v>21</v>
      </c>
      <c r="D4" s="429" t="s">
        <v>686</v>
      </c>
      <c r="E4" s="430" t="s">
        <v>103</v>
      </c>
      <c r="F4" s="429" t="s">
        <v>735</v>
      </c>
      <c r="G4" s="429" t="s">
        <v>736</v>
      </c>
      <c r="H4" s="429" t="s">
        <v>737</v>
      </c>
      <c r="I4" s="429" t="s">
        <v>738</v>
      </c>
      <c r="J4" s="429" t="s">
        <v>739</v>
      </c>
      <c r="K4" s="429" t="s">
        <v>744</v>
      </c>
      <c r="L4" s="431"/>
    </row>
    <row r="5" spans="1:13" ht="15.75" customHeight="1">
      <c r="A5" s="432" t="s">
        <v>15</v>
      </c>
      <c r="B5" s="433" t="s">
        <v>740</v>
      </c>
      <c r="C5" s="434"/>
      <c r="D5" s="435"/>
      <c r="E5" s="436"/>
      <c r="F5" s="437"/>
      <c r="G5" s="437"/>
      <c r="H5" s="437"/>
      <c r="I5" s="437"/>
      <c r="J5" s="437"/>
      <c r="K5" s="437"/>
    </row>
    <row r="6" spans="1:13" s="439" customFormat="1" ht="15">
      <c r="A6" s="432">
        <f>NhanCong_Xa!B4</f>
        <v>1</v>
      </c>
      <c r="B6" s="433" t="str">
        <f>NhanCong_Xa!C4</f>
        <v>Công tác chuẩn bị</v>
      </c>
      <c r="C6" s="434"/>
      <c r="D6" s="435"/>
      <c r="E6" s="438"/>
      <c r="F6" s="437"/>
      <c r="G6" s="437"/>
      <c r="H6" s="437"/>
      <c r="I6" s="437"/>
      <c r="J6" s="437"/>
      <c r="K6" s="437" t="e">
        <f>K7+K8+K9</f>
        <v>#N/A</v>
      </c>
      <c r="L6" s="421"/>
    </row>
    <row r="7" spans="1:13" ht="75">
      <c r="A7" s="440" t="str">
        <f>NhanCong_Xa!B5</f>
        <v>1.1</v>
      </c>
      <c r="B7" s="441"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C7" s="452" t="str">
        <f>NhanCong_Xa!D5</f>
        <v>Bộ dữ liệu theo xã</v>
      </c>
      <c r="D7" s="442">
        <f>Chitietbangbieu!$AA$31</f>
        <v>18</v>
      </c>
      <c r="E7" s="436" t="e">
        <f>VLOOKUP(A7,DonGia_Huyen!$B$8:$L$44,13,FALSE)</f>
        <v>#N/A</v>
      </c>
      <c r="F7" s="443" t="e">
        <f>D7*E7</f>
        <v>#N/A</v>
      </c>
      <c r="G7" s="443" t="e">
        <f>F7*15%</f>
        <v>#N/A</v>
      </c>
      <c r="H7" s="443" t="e">
        <f>F7*4%</f>
        <v>#N/A</v>
      </c>
      <c r="I7" s="443" t="e">
        <f>F7+G7+H7</f>
        <v>#N/A</v>
      </c>
      <c r="J7" s="443" t="e">
        <f>I7*10%</f>
        <v>#N/A</v>
      </c>
      <c r="K7" s="443" t="e">
        <f>I7+J7</f>
        <v>#N/A</v>
      </c>
    </row>
    <row r="8" spans="1:13" ht="45">
      <c r="A8" s="440" t="str">
        <f>NhanCong_Xa!B6</f>
        <v>1.2</v>
      </c>
      <c r="B8" s="441" t="str">
        <f>NhanCong_Xa!C6</f>
        <v>Chuẩn bị nhân lực, địa điểm làm việc; Chuẩn bị vật tư, thiết bị, dụng cụ, phần mềm phục vụ cho công tác xây dựng cơ sở dữ liệu thống kê, kiểm kê đất đai</v>
      </c>
      <c r="C8" s="452" t="str">
        <f>NhanCong_Xa!D6</f>
        <v>Bộ dữ liệu theo xã</v>
      </c>
      <c r="D8" s="442">
        <f>Chitietbangbieu!$AA$31</f>
        <v>18</v>
      </c>
      <c r="E8" s="436" t="e">
        <f>VLOOKUP(A8,DonGia_Huyen!$B$8:$L$44,13,FALSE)</f>
        <v>#N/A</v>
      </c>
      <c r="F8" s="443" t="e">
        <f t="shared" ref="F8:F38" si="0">D8*E8</f>
        <v>#N/A</v>
      </c>
      <c r="G8" s="443" t="e">
        <f t="shared" ref="G8:G38" si="1">F8*15%</f>
        <v>#N/A</v>
      </c>
      <c r="H8" s="443" t="e">
        <f t="shared" ref="H8:H38" si="2">F8*4%</f>
        <v>#N/A</v>
      </c>
      <c r="I8" s="443" t="e">
        <f t="shared" ref="I8:I38" si="3">F8+G8+H8</f>
        <v>#N/A</v>
      </c>
      <c r="J8" s="443" t="e">
        <f t="shared" ref="J8:J38" si="4">I8*10%</f>
        <v>#N/A</v>
      </c>
      <c r="K8" s="443" t="e">
        <f t="shared" ref="K8:K38" si="5">I8+J8</f>
        <v>#N/A</v>
      </c>
    </row>
    <row r="9" spans="1:13" ht="15">
      <c r="A9" s="440" t="e">
        <f>NhanCong_Xa!#REF!</f>
        <v>#REF!</v>
      </c>
      <c r="B9" s="441" t="e">
        <f>NhanCong_Xa!#REF!</f>
        <v>#REF!</v>
      </c>
      <c r="C9" s="452" t="e">
        <f>NhanCong_Xa!#REF!</f>
        <v>#REF!</v>
      </c>
      <c r="D9" s="442">
        <f>Chitietbangbieu!$AA$31</f>
        <v>18</v>
      </c>
      <c r="E9" s="436" t="e">
        <f>VLOOKUP(A9,DonGia_Huyen!$B$8:$L$44,13,FALSE)</f>
        <v>#REF!</v>
      </c>
      <c r="F9" s="443" t="e">
        <f t="shared" si="0"/>
        <v>#REF!</v>
      </c>
      <c r="G9" s="443" t="e">
        <f t="shared" si="1"/>
        <v>#REF!</v>
      </c>
      <c r="H9" s="443" t="e">
        <f t="shared" si="2"/>
        <v>#REF!</v>
      </c>
      <c r="I9" s="443" t="e">
        <f t="shared" si="3"/>
        <v>#REF!</v>
      </c>
      <c r="J9" s="443" t="e">
        <f t="shared" si="4"/>
        <v>#REF!</v>
      </c>
      <c r="K9" s="443" t="e">
        <f t="shared" si="5"/>
        <v>#REF!</v>
      </c>
    </row>
    <row r="10" spans="1:13" s="439" customFormat="1" ht="15">
      <c r="A10" s="432">
        <f>NhanCong_Xa!B16</f>
        <v>1</v>
      </c>
      <c r="B10" s="433" t="str">
        <f>NhanCong_Xa!C16</f>
        <v>Thu thập tài liệu, dữ liệu</v>
      </c>
      <c r="C10" s="452">
        <f>NhanCong_Xa!D16</f>
        <v>0</v>
      </c>
      <c r="D10" s="442">
        <f>Chitietbangbieu!$AA$31</f>
        <v>18</v>
      </c>
      <c r="E10" s="436" t="e">
        <f>VLOOKUP(A10,DonGia_Huyen!$B$8:$L$44,13,FALSE)</f>
        <v>#N/A</v>
      </c>
      <c r="F10" s="443" t="e">
        <f t="shared" si="0"/>
        <v>#N/A</v>
      </c>
      <c r="G10" s="443" t="e">
        <f t="shared" si="1"/>
        <v>#N/A</v>
      </c>
      <c r="H10" s="443" t="e">
        <f t="shared" si="2"/>
        <v>#N/A</v>
      </c>
      <c r="I10" s="443" t="e">
        <f t="shared" si="3"/>
        <v>#N/A</v>
      </c>
      <c r="J10" s="443" t="e">
        <f t="shared" si="4"/>
        <v>#N/A</v>
      </c>
      <c r="K10" s="437" t="e">
        <f t="shared" si="5"/>
        <v>#N/A</v>
      </c>
      <c r="L10" s="421"/>
    </row>
    <row r="11" spans="1:13" s="439" customFormat="1" ht="28.5">
      <c r="A11" s="432">
        <f>NhanCong_Xa!B19</f>
        <v>2</v>
      </c>
      <c r="B11" s="433" t="str">
        <f>NhanCong_Xa!C19</f>
        <v>Rà soát, đánh giá, phân loại và sắp xếp tài liệu, dữ liệu</v>
      </c>
      <c r="C11" s="452">
        <f>NhanCong_Xa!D19</f>
        <v>0</v>
      </c>
      <c r="D11" s="442">
        <f>Chitietbangbieu!$AA$31</f>
        <v>18</v>
      </c>
      <c r="E11" s="436" t="e">
        <f>VLOOKUP(A11,DonGia_Huyen!$B$8:$L$44,13,FALSE)</f>
        <v>#N/A</v>
      </c>
      <c r="F11" s="443" t="e">
        <f t="shared" si="0"/>
        <v>#N/A</v>
      </c>
      <c r="G11" s="443" t="e">
        <f t="shared" si="1"/>
        <v>#N/A</v>
      </c>
      <c r="H11" s="443" t="e">
        <f t="shared" si="2"/>
        <v>#N/A</v>
      </c>
      <c r="I11" s="443" t="e">
        <f t="shared" si="3"/>
        <v>#N/A</v>
      </c>
      <c r="J11" s="443" t="e">
        <f t="shared" si="4"/>
        <v>#N/A</v>
      </c>
      <c r="K11" s="437" t="e">
        <f t="shared" si="5"/>
        <v>#N/A</v>
      </c>
      <c r="L11" s="421"/>
      <c r="M11" s="444"/>
    </row>
    <row r="12" spans="1:13" s="439" customFormat="1" ht="15">
      <c r="A12" s="432" t="e">
        <f>NhanCong_Xa!#REF!</f>
        <v>#REF!</v>
      </c>
      <c r="B12" s="433" t="e">
        <f>NhanCong_Xa!#REF!</f>
        <v>#REF!</v>
      </c>
      <c r="C12" s="452"/>
      <c r="D12" s="435"/>
      <c r="E12" s="436">
        <f>DonGia_Huyen!I16</f>
        <v>0</v>
      </c>
      <c r="F12" s="443">
        <f t="shared" si="0"/>
        <v>0</v>
      </c>
      <c r="G12" s="443">
        <f t="shared" si="1"/>
        <v>0</v>
      </c>
      <c r="H12" s="443">
        <f t="shared" si="2"/>
        <v>0</v>
      </c>
      <c r="I12" s="443">
        <f t="shared" si="3"/>
        <v>0</v>
      </c>
      <c r="J12" s="443">
        <f t="shared" si="4"/>
        <v>0</v>
      </c>
      <c r="K12" s="437" t="e">
        <f>K13+K18</f>
        <v>#N/A</v>
      </c>
      <c r="L12" s="421"/>
      <c r="M12" s="444"/>
    </row>
    <row r="13" spans="1:13" ht="30">
      <c r="A13" s="440">
        <f>NhanCong_Xa!B39</f>
        <v>1</v>
      </c>
      <c r="B13" s="441" t="str">
        <f>NhanCong_Xa!C39</f>
        <v>Chuẩn hóa các lớp đối tượng không gian kiểm kê đất đai</v>
      </c>
      <c r="C13" s="452"/>
      <c r="D13" s="442"/>
      <c r="E13" s="436">
        <f>DonGia_Huyen!I17</f>
        <v>0</v>
      </c>
      <c r="F13" s="443">
        <f t="shared" si="0"/>
        <v>0</v>
      </c>
      <c r="G13" s="443">
        <f t="shared" si="1"/>
        <v>0</v>
      </c>
      <c r="H13" s="443">
        <f t="shared" si="2"/>
        <v>0</v>
      </c>
      <c r="I13" s="443">
        <f t="shared" si="3"/>
        <v>0</v>
      </c>
      <c r="J13" s="443">
        <f t="shared" si="4"/>
        <v>0</v>
      </c>
      <c r="K13" s="443" t="e">
        <f>K14+K15+K16+K17</f>
        <v>#N/A</v>
      </c>
    </row>
    <row r="14" spans="1:13" ht="60">
      <c r="A14" s="440" t="str">
        <f>NhanCong_Xa!B40</f>
        <v>1.1</v>
      </c>
      <c r="B14" s="441" t="str">
        <f>NhanCong_Xa!C40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C14" s="452" t="str">
        <f>NhanCong_Xa!D40</f>
        <v>Lớp dữ liệu</v>
      </c>
      <c r="D14" s="442">
        <f>Chitietbangbieu!$R$37</f>
        <v>1</v>
      </c>
      <c r="E14" s="436" t="e">
        <f>VLOOKUP(A14,DonGia_Huyen!$B$8:$L$44,13,FALSE)</f>
        <v>#N/A</v>
      </c>
      <c r="F14" s="443" t="e">
        <f t="shared" si="0"/>
        <v>#N/A</v>
      </c>
      <c r="G14" s="443" t="e">
        <f t="shared" si="1"/>
        <v>#N/A</v>
      </c>
      <c r="H14" s="443" t="e">
        <f t="shared" si="2"/>
        <v>#N/A</v>
      </c>
      <c r="I14" s="443" t="e">
        <f t="shared" si="3"/>
        <v>#N/A</v>
      </c>
      <c r="J14" s="443" t="e">
        <f t="shared" si="4"/>
        <v>#N/A</v>
      </c>
      <c r="K14" s="443" t="e">
        <f t="shared" si="5"/>
        <v>#N/A</v>
      </c>
    </row>
    <row r="15" spans="1:13" ht="36" customHeight="1">
      <c r="A15" s="440" t="str">
        <f>NhanCong_Xa!B41</f>
        <v>1.2</v>
      </c>
      <c r="B15" s="441" t="str">
        <f>NhanCong_Xa!C41</f>
        <v>Chuẩn hóa các lớp đối tượng không gian kiểm kê đất đai chưa phù hợp</v>
      </c>
      <c r="C15" s="452" t="str">
        <f>NhanCong_Xa!D41</f>
        <v>Lớp dữ liệu</v>
      </c>
      <c r="D15" s="442">
        <f>Chitietbangbieu!$R$37</f>
        <v>1</v>
      </c>
      <c r="E15" s="436" t="e">
        <f>VLOOKUP(A15,DonGia_Huyen!$B$8:$L$44,13,FALSE)</f>
        <v>#N/A</v>
      </c>
      <c r="F15" s="443" t="e">
        <f t="shared" si="0"/>
        <v>#N/A</v>
      </c>
      <c r="G15" s="443" t="e">
        <f t="shared" si="1"/>
        <v>#N/A</v>
      </c>
      <c r="H15" s="443" t="e">
        <f t="shared" si="2"/>
        <v>#N/A</v>
      </c>
      <c r="I15" s="443" t="e">
        <f t="shared" si="3"/>
        <v>#N/A</v>
      </c>
      <c r="J15" s="443" t="e">
        <f t="shared" si="4"/>
        <v>#N/A</v>
      </c>
      <c r="K15" s="443" t="e">
        <f t="shared" si="5"/>
        <v>#N/A</v>
      </c>
    </row>
    <row r="16" spans="1:13" ht="30">
      <c r="A16" s="440" t="str">
        <f>NhanCong_Xa!B42</f>
        <v>1.3</v>
      </c>
      <c r="B16" s="441" t="str">
        <f>NhanCong_Xa!C42</f>
        <v>Nhập bổ sung các thông tin thuộc tính cho đối tượng không gian kiểm kê đất đai còn thiếu (nếu có)</v>
      </c>
      <c r="C16" s="452" t="str">
        <f>NhanCong_Xa!D42</f>
        <v>Lớp dữ liệu</v>
      </c>
      <c r="D16" s="442">
        <f>Chitietbangbieu!$R$37</f>
        <v>1</v>
      </c>
      <c r="E16" s="436" t="e">
        <f>VLOOKUP(A16,DonGia_Huyen!$B$8:$L$44,13,FALSE)</f>
        <v>#N/A</v>
      </c>
      <c r="F16" s="443" t="e">
        <f t="shared" si="0"/>
        <v>#N/A</v>
      </c>
      <c r="G16" s="443" t="e">
        <f t="shared" si="1"/>
        <v>#N/A</v>
      </c>
      <c r="H16" s="443" t="e">
        <f t="shared" si="2"/>
        <v>#N/A</v>
      </c>
      <c r="I16" s="443" t="e">
        <f t="shared" si="3"/>
        <v>#N/A</v>
      </c>
      <c r="J16" s="443" t="e">
        <f t="shared" si="4"/>
        <v>#N/A</v>
      </c>
      <c r="K16" s="443" t="e">
        <f t="shared" si="5"/>
        <v>#N/A</v>
      </c>
    </row>
    <row r="17" spans="1:12" ht="30">
      <c r="A17" s="440" t="str">
        <f>NhanCong_Xa!B43</f>
        <v>1.4</v>
      </c>
      <c r="B17" s="441" t="str">
        <f>NhanCong_Xa!C43</f>
        <v>Rà soát chuẩn hóa thông tin thuộc tính cho từng đối tượng không gian kiểm kê đất đai</v>
      </c>
      <c r="C17" s="452" t="str">
        <f>NhanCong_Xa!D43</f>
        <v>Lớp dữ liệu</v>
      </c>
      <c r="D17" s="442">
        <f>Chitietbangbieu!$R$37</f>
        <v>1</v>
      </c>
      <c r="E17" s="436" t="e">
        <f>VLOOKUP(A17,DonGia_Huyen!$B$8:$L$44,13,FALSE)</f>
        <v>#N/A</v>
      </c>
      <c r="F17" s="443" t="e">
        <f t="shared" si="0"/>
        <v>#N/A</v>
      </c>
      <c r="G17" s="443" t="e">
        <f t="shared" si="1"/>
        <v>#N/A</v>
      </c>
      <c r="H17" s="443" t="e">
        <f t="shared" si="2"/>
        <v>#N/A</v>
      </c>
      <c r="I17" s="443" t="e">
        <f t="shared" si="3"/>
        <v>#N/A</v>
      </c>
      <c r="J17" s="443" t="e">
        <f t="shared" si="4"/>
        <v>#N/A</v>
      </c>
      <c r="K17" s="443" t="e">
        <f t="shared" si="5"/>
        <v>#N/A</v>
      </c>
    </row>
    <row r="18" spans="1:12" ht="15">
      <c r="A18" s="440">
        <f>NhanCong_Xa!B44</f>
        <v>2</v>
      </c>
      <c r="B18" s="441" t="str">
        <f>NhanCong_Xa!C44</f>
        <v>Chuyển đổi và tích hợp không gian kiểm kê đất đai</v>
      </c>
      <c r="C18" s="452"/>
      <c r="D18" s="442"/>
      <c r="E18" s="436">
        <f>DonGia_Huyen!I22</f>
        <v>0</v>
      </c>
      <c r="F18" s="443">
        <f t="shared" si="0"/>
        <v>0</v>
      </c>
      <c r="G18" s="443">
        <f t="shared" si="1"/>
        <v>0</v>
      </c>
      <c r="H18" s="443">
        <f t="shared" si="2"/>
        <v>0</v>
      </c>
      <c r="I18" s="443">
        <f t="shared" si="3"/>
        <v>0</v>
      </c>
      <c r="J18" s="443">
        <f t="shared" si="4"/>
        <v>0</v>
      </c>
      <c r="K18" s="443" t="e">
        <f>K19+K20</f>
        <v>#N/A</v>
      </c>
    </row>
    <row r="19" spans="1:12" ht="45">
      <c r="A19" s="440" t="str">
        <f>NhanCong_Xa!B45</f>
        <v>2.1</v>
      </c>
      <c r="B19" s="441" t="str">
        <f>NhanCong_Xa!C45</f>
        <v>Chuyển đổi các lớp đối tượng không gian kiểm kê đất đai từ tệp (File) bản đồ số vào cơ sở dữ liệu theo đơn vị hành chính</v>
      </c>
      <c r="C19" s="452" t="str">
        <f>NhanCong_Xa!D45</f>
        <v>Lớp dữ liệu</v>
      </c>
      <c r="D19" s="442">
        <f>Chitietbangbieu!$R$37</f>
        <v>1</v>
      </c>
      <c r="E19" s="436" t="e">
        <f>VLOOKUP(A19,DonGia_Huyen!$B$8:$L$44,13,FALSE)</f>
        <v>#N/A</v>
      </c>
      <c r="F19" s="443" t="e">
        <f t="shared" si="0"/>
        <v>#N/A</v>
      </c>
      <c r="G19" s="443" t="e">
        <f t="shared" si="1"/>
        <v>#N/A</v>
      </c>
      <c r="H19" s="443" t="e">
        <f t="shared" si="2"/>
        <v>#N/A</v>
      </c>
      <c r="I19" s="443" t="e">
        <f t="shared" si="3"/>
        <v>#N/A</v>
      </c>
      <c r="J19" s="443" t="e">
        <f t="shared" si="4"/>
        <v>#N/A</v>
      </c>
      <c r="K19" s="443" t="e">
        <f t="shared" si="5"/>
        <v>#N/A</v>
      </c>
    </row>
    <row r="20" spans="1:12" ht="30">
      <c r="A20" s="440" t="str">
        <f>NhanCong_Xa!B46</f>
        <v>2.2</v>
      </c>
      <c r="B20" s="441" t="str">
        <f>NhanCong_Xa!C46</f>
        <v>Rà soát dữ liệu không gian để xử lý các lỗi dọc biên giữa các đơn vị hành chính tiếp giáp nhau</v>
      </c>
      <c r="C20" s="452" t="str">
        <f>NhanCong_Xa!D46</f>
        <v>Lớp dữ liệu</v>
      </c>
      <c r="D20" s="442">
        <f>Chitietbangbieu!$R$37</f>
        <v>1</v>
      </c>
      <c r="E20" s="436" t="e">
        <f>VLOOKUP(A20,DonGia_Huyen!$B$8:$L$44,13,FALSE)</f>
        <v>#N/A</v>
      </c>
      <c r="F20" s="443" t="e">
        <f t="shared" si="0"/>
        <v>#N/A</v>
      </c>
      <c r="G20" s="443" t="e">
        <f t="shared" si="1"/>
        <v>#N/A</v>
      </c>
      <c r="H20" s="443" t="e">
        <f t="shared" si="2"/>
        <v>#N/A</v>
      </c>
      <c r="I20" s="443" t="e">
        <f t="shared" si="3"/>
        <v>#N/A</v>
      </c>
      <c r="J20" s="443" t="e">
        <f t="shared" si="4"/>
        <v>#N/A</v>
      </c>
      <c r="K20" s="443" t="e">
        <f t="shared" si="5"/>
        <v>#N/A</v>
      </c>
    </row>
    <row r="21" spans="1:12" s="439" customFormat="1" ht="15">
      <c r="A21" s="432">
        <f>NhanCong_Xa!B22</f>
        <v>3</v>
      </c>
      <c r="B21" s="433" t="str">
        <f>NhanCong_Xa!C22</f>
        <v>Quét giấy tờ pháp lý và xử lý tệp tin</v>
      </c>
      <c r="C21" s="453"/>
      <c r="D21" s="435"/>
      <c r="E21" s="438">
        <f>DonGia_Huyen!I25</f>
        <v>0</v>
      </c>
      <c r="F21" s="443">
        <f t="shared" si="0"/>
        <v>0</v>
      </c>
      <c r="G21" s="443">
        <f t="shared" si="1"/>
        <v>0</v>
      </c>
      <c r="H21" s="443">
        <f t="shared" si="2"/>
        <v>0</v>
      </c>
      <c r="I21" s="443">
        <f t="shared" si="3"/>
        <v>0</v>
      </c>
      <c r="J21" s="443">
        <f t="shared" si="4"/>
        <v>0</v>
      </c>
      <c r="K21" s="437" t="e">
        <f>K22+K25+K26</f>
        <v>#N/A</v>
      </c>
      <c r="L21" s="421"/>
    </row>
    <row r="22" spans="1:12" ht="90">
      <c r="A22" s="440" t="str">
        <f>NhanCong_Xa!B23</f>
        <v>3.1</v>
      </c>
      <c r="B22" s="441" t="str">
        <f>NhanCong_Xa!C23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C22" s="452"/>
      <c r="D22" s="442"/>
      <c r="E22" s="436">
        <f>DonGia_Huyen!I26</f>
        <v>0</v>
      </c>
      <c r="F22" s="443">
        <f t="shared" si="0"/>
        <v>0</v>
      </c>
      <c r="G22" s="443">
        <f t="shared" si="1"/>
        <v>0</v>
      </c>
      <c r="H22" s="443">
        <f t="shared" si="2"/>
        <v>0</v>
      </c>
      <c r="I22" s="443">
        <f t="shared" si="3"/>
        <v>0</v>
      </c>
      <c r="J22" s="443">
        <f t="shared" si="4"/>
        <v>0</v>
      </c>
      <c r="K22" s="443" t="e">
        <f>K23+K24</f>
        <v>#N/A</v>
      </c>
    </row>
    <row r="23" spans="1:12" ht="30">
      <c r="A23" s="440" t="str">
        <f>NhanCong_Xa!B24</f>
        <v>3.1.1</v>
      </c>
      <c r="B23" s="441" t="str">
        <f>NhanCong_Xa!C24</f>
        <v>Trang A3</v>
      </c>
      <c r="C23" s="452" t="str">
        <f>NhanCong_Xa!D24</f>
        <v>Trang A3</v>
      </c>
      <c r="D23" s="442">
        <f>(Chitietbangbieu!R36+Chitietbangbieu!V36)</f>
        <v>174</v>
      </c>
      <c r="E23" s="436" t="e">
        <f>VLOOKUP(A23,DonGia_Huyen!$B$8:$L$44,13,FALSE)</f>
        <v>#N/A</v>
      </c>
      <c r="F23" s="443" t="e">
        <f t="shared" si="0"/>
        <v>#N/A</v>
      </c>
      <c r="G23" s="443" t="e">
        <f t="shared" si="1"/>
        <v>#N/A</v>
      </c>
      <c r="H23" s="443" t="e">
        <f t="shared" si="2"/>
        <v>#N/A</v>
      </c>
      <c r="I23" s="443" t="e">
        <f t="shared" si="3"/>
        <v>#N/A</v>
      </c>
      <c r="J23" s="443" t="e">
        <f t="shared" si="4"/>
        <v>#N/A</v>
      </c>
      <c r="K23" s="443" t="e">
        <f t="shared" si="5"/>
        <v>#N/A</v>
      </c>
    </row>
    <row r="24" spans="1:12" ht="30">
      <c r="A24" s="440" t="str">
        <f>NhanCong_Xa!B25</f>
        <v>3.1.2</v>
      </c>
      <c r="B24" s="441" t="str">
        <f>NhanCong_Xa!C25</f>
        <v>Trang A4</v>
      </c>
      <c r="C24" s="452" t="str">
        <f>NhanCong_Xa!D25</f>
        <v>Trang A4</v>
      </c>
      <c r="D24" s="442">
        <f>(Chitietbangbieu!R35+Chitietbangbieu!V35)</f>
        <v>1000</v>
      </c>
      <c r="E24" s="436" t="e">
        <f>VLOOKUP(A24,DonGia_Huyen!$B$8:$L$44,13,FALSE)</f>
        <v>#N/A</v>
      </c>
      <c r="F24" s="443" t="e">
        <f t="shared" si="0"/>
        <v>#N/A</v>
      </c>
      <c r="G24" s="443" t="e">
        <f t="shared" si="1"/>
        <v>#N/A</v>
      </c>
      <c r="H24" s="443" t="e">
        <f t="shared" si="2"/>
        <v>#N/A</v>
      </c>
      <c r="I24" s="443" t="e">
        <f t="shared" si="3"/>
        <v>#N/A</v>
      </c>
      <c r="J24" s="443" t="e">
        <f t="shared" si="4"/>
        <v>#N/A</v>
      </c>
      <c r="K24" s="443" t="e">
        <f t="shared" si="5"/>
        <v>#N/A</v>
      </c>
    </row>
    <row r="25" spans="1:12" ht="84.75" customHeight="1">
      <c r="A25" s="440" t="str">
        <f>NhanCong_Xa!B26</f>
        <v>3.2</v>
      </c>
      <c r="B25" s="441" t="str">
        <f>NhanCong_Xa!C26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C25" s="452" t="e">
        <f>NhanCong_Xa!#REF!</f>
        <v>#REF!</v>
      </c>
      <c r="D25" s="442">
        <f>D23+D24</f>
        <v>1174</v>
      </c>
      <c r="E25" s="436" t="e">
        <f>VLOOKUP(A25,DonGia_Huyen!$B$8:$L$44,13,FALSE)</f>
        <v>#N/A</v>
      </c>
      <c r="F25" s="443" t="e">
        <f t="shared" si="0"/>
        <v>#N/A</v>
      </c>
      <c r="G25" s="443" t="e">
        <f t="shared" si="1"/>
        <v>#N/A</v>
      </c>
      <c r="H25" s="443" t="e">
        <f t="shared" si="2"/>
        <v>#N/A</v>
      </c>
      <c r="I25" s="443" t="e">
        <f t="shared" si="3"/>
        <v>#N/A</v>
      </c>
      <c r="J25" s="443" t="e">
        <f t="shared" si="4"/>
        <v>#N/A</v>
      </c>
      <c r="K25" s="443" t="e">
        <f t="shared" si="5"/>
        <v>#N/A</v>
      </c>
    </row>
    <row r="26" spans="1:12" ht="60">
      <c r="A26" s="440" t="str">
        <f>NhanCong_Xa!B27</f>
        <v>3.3</v>
      </c>
      <c r="B26" s="441" t="str">
        <f>NhanCong_Xa!C27</f>
        <v>Tạo danh mục tra cứu hồ sơ quét trong cơ sở dữ liệu thống kê, kiểm kê đất đai</v>
      </c>
      <c r="C26" s="452" t="str">
        <f>NhanCong_Xa!D27</f>
        <v>Năm TK hoặc Kỳ KK</v>
      </c>
      <c r="D26" s="442">
        <f>Chitietbangbieu!$AA$31</f>
        <v>18</v>
      </c>
      <c r="E26" s="436" t="e">
        <f>VLOOKUP(A26,DonGia_Huyen!$B$8:$L$44,13,FALSE)</f>
        <v>#N/A</v>
      </c>
      <c r="F26" s="443" t="e">
        <f t="shared" si="0"/>
        <v>#N/A</v>
      </c>
      <c r="G26" s="443" t="e">
        <f t="shared" si="1"/>
        <v>#N/A</v>
      </c>
      <c r="H26" s="443" t="e">
        <f t="shared" si="2"/>
        <v>#N/A</v>
      </c>
      <c r="I26" s="443" t="e">
        <f t="shared" si="3"/>
        <v>#N/A</v>
      </c>
      <c r="J26" s="443" t="e">
        <f t="shared" si="4"/>
        <v>#N/A</v>
      </c>
      <c r="K26" s="443" t="e">
        <f t="shared" si="5"/>
        <v>#N/A</v>
      </c>
    </row>
    <row r="27" spans="1:12" s="439" customFormat="1" ht="28.5">
      <c r="A27" s="432">
        <f>NhanCong_Xa!B28</f>
        <v>4</v>
      </c>
      <c r="B27" s="433" t="str">
        <f>NhanCong_Xa!C28</f>
        <v>Xây dựng dữ liệu thuộc tính thống kê, kiểm kê đất đai</v>
      </c>
      <c r="C27" s="453"/>
      <c r="D27" s="435"/>
      <c r="E27" s="438">
        <f>DonGia_Huyen!I31</f>
        <v>0</v>
      </c>
      <c r="F27" s="437">
        <f t="shared" si="0"/>
        <v>0</v>
      </c>
      <c r="G27" s="437">
        <f t="shared" si="1"/>
        <v>0</v>
      </c>
      <c r="H27" s="437">
        <f t="shared" si="2"/>
        <v>0</v>
      </c>
      <c r="I27" s="437">
        <f t="shared" si="3"/>
        <v>0</v>
      </c>
      <c r="J27" s="437">
        <f t="shared" si="4"/>
        <v>0</v>
      </c>
      <c r="K27" s="437" t="e">
        <f>K28+K31</f>
        <v>#N/A</v>
      </c>
      <c r="L27" s="421"/>
    </row>
    <row r="28" spans="1:12" ht="15">
      <c r="A28" s="440" t="str">
        <f>NhanCong_Xa!B29</f>
        <v>4.1</v>
      </c>
      <c r="B28" s="441" t="str">
        <f>NhanCong_Xa!C29</f>
        <v>Đối với tài liệu, số liệu là bảng, biểu dạng số</v>
      </c>
      <c r="C28" s="452"/>
      <c r="D28" s="442"/>
      <c r="E28" s="436">
        <f>DonGia_Huyen!I32</f>
        <v>0</v>
      </c>
      <c r="F28" s="443">
        <f t="shared" si="0"/>
        <v>0</v>
      </c>
      <c r="G28" s="443">
        <f t="shared" si="1"/>
        <v>0</v>
      </c>
      <c r="H28" s="443">
        <f t="shared" si="2"/>
        <v>0</v>
      </c>
      <c r="I28" s="443">
        <f t="shared" si="3"/>
        <v>0</v>
      </c>
      <c r="J28" s="443">
        <f t="shared" si="4"/>
        <v>0</v>
      </c>
      <c r="K28" s="443" t="e">
        <f>K29+K30</f>
        <v>#N/A</v>
      </c>
    </row>
    <row r="29" spans="1:12" ht="60">
      <c r="A29" s="440" t="str">
        <f>NhanCong_Xa!B30</f>
        <v>4.1.1</v>
      </c>
      <c r="B29" s="441" t="str">
        <f>NhanCong_Xa!C30</f>
        <v>Lập mô hình chuyển đổi cơ sở dữ liệu thống kê, kiểm kê đất đai</v>
      </c>
      <c r="C29" s="452" t="str">
        <f>NhanCong_Xa!D30</f>
        <v>Năm TK hoặc Kỳ KK</v>
      </c>
      <c r="D29" s="442">
        <f>Chitietbangbieu!$AA$31</f>
        <v>18</v>
      </c>
      <c r="E29" s="436" t="e">
        <f>VLOOKUP(A29,DonGia_Huyen!$B$8:$L$44,13,FALSE)</f>
        <v>#N/A</v>
      </c>
      <c r="F29" s="443" t="e">
        <f t="shared" si="0"/>
        <v>#N/A</v>
      </c>
      <c r="G29" s="443" t="e">
        <f t="shared" si="1"/>
        <v>#N/A</v>
      </c>
      <c r="H29" s="443" t="e">
        <f t="shared" si="2"/>
        <v>#N/A</v>
      </c>
      <c r="I29" s="443" t="e">
        <f t="shared" si="3"/>
        <v>#N/A</v>
      </c>
      <c r="J29" s="443" t="e">
        <f t="shared" si="4"/>
        <v>#N/A</v>
      </c>
      <c r="K29" s="443" t="e">
        <f t="shared" si="5"/>
        <v>#N/A</v>
      </c>
    </row>
    <row r="30" spans="1:12" s="439" customFormat="1" ht="60">
      <c r="A30" s="440" t="str">
        <f>NhanCong_Xa!B31</f>
        <v>4.1.2</v>
      </c>
      <c r="B30" s="441" t="str">
        <f>NhanCong_Xa!C31</f>
        <v>Chuyển đổi vào cơ sở dữ liệu thống kê, kiểm kê đất đai</v>
      </c>
      <c r="C30" s="452" t="str">
        <f>NhanCong_Xa!D31</f>
        <v>Năm TK hoặc Kỳ KK</v>
      </c>
      <c r="D30" s="442">
        <f>Chitietbangbieu!$AA$31</f>
        <v>18</v>
      </c>
      <c r="E30" s="436" t="e">
        <f>VLOOKUP(A30,DonGia_Huyen!$B$8:$L$44,13,FALSE)</f>
        <v>#N/A</v>
      </c>
      <c r="F30" s="443" t="e">
        <f t="shared" si="0"/>
        <v>#N/A</v>
      </c>
      <c r="G30" s="443" t="e">
        <f t="shared" si="1"/>
        <v>#N/A</v>
      </c>
      <c r="H30" s="443" t="e">
        <f t="shared" si="2"/>
        <v>#N/A</v>
      </c>
      <c r="I30" s="443" t="e">
        <f t="shared" si="3"/>
        <v>#N/A</v>
      </c>
      <c r="J30" s="443" t="e">
        <f t="shared" si="4"/>
        <v>#N/A</v>
      </c>
      <c r="K30" s="443" t="e">
        <f t="shared" si="5"/>
        <v>#N/A</v>
      </c>
      <c r="L30" s="421"/>
    </row>
    <row r="31" spans="1:12" ht="60">
      <c r="A31" s="440" t="str">
        <f>NhanCong_Xa!B32</f>
        <v>4.2</v>
      </c>
      <c r="B31" s="441" t="str">
        <f>NhanCong_Xa!C32</f>
        <v>Đối với tài liệu, số liệu là báo cáo dạng số thì tạo danh mục tra cứu trong cơ sở dữ liệu thống kê, kiểm kê đất đai</v>
      </c>
      <c r="C31" s="452" t="str">
        <f>NhanCong_Xa!D32</f>
        <v>Năm TK hoặc Kỳ KK</v>
      </c>
      <c r="D31" s="442">
        <f>Chitietbangbieu!$AA$31</f>
        <v>18</v>
      </c>
      <c r="E31" s="436" t="e">
        <f>VLOOKUP(A31,DonGia_Huyen!$B$8:$L$44,13,FALSE)</f>
        <v>#N/A</v>
      </c>
      <c r="F31" s="443" t="e">
        <f t="shared" si="0"/>
        <v>#N/A</v>
      </c>
      <c r="G31" s="443" t="e">
        <f t="shared" si="1"/>
        <v>#N/A</v>
      </c>
      <c r="H31" s="443" t="e">
        <f t="shared" si="2"/>
        <v>#N/A</v>
      </c>
      <c r="I31" s="443" t="e">
        <f t="shared" si="3"/>
        <v>#N/A</v>
      </c>
      <c r="J31" s="443" t="e">
        <f t="shared" si="4"/>
        <v>#N/A</v>
      </c>
      <c r="K31" s="443" t="e">
        <f t="shared" si="5"/>
        <v>#N/A</v>
      </c>
    </row>
    <row r="32" spans="1:12" s="439" customFormat="1" ht="28.5">
      <c r="A32" s="432">
        <f>NhanCong_Xa!B33</f>
        <v>5</v>
      </c>
      <c r="B32" s="433" t="str">
        <f>NhanCong_Xa!C33</f>
        <v>Đối soát, hoàn thiện dữ liệu thống kê, kiểm kê đất đai</v>
      </c>
      <c r="C32" s="452" t="str">
        <f>NhanCong_Xa!D34</f>
        <v>Năm TK</v>
      </c>
      <c r="D32" s="442">
        <f>Chitietbangbieu!$AA$31</f>
        <v>18</v>
      </c>
      <c r="E32" s="436" t="e">
        <f>VLOOKUP(A32,DonGia_Huyen!$B$8:$L$44,13,FALSE)</f>
        <v>#N/A</v>
      </c>
      <c r="F32" s="443" t="e">
        <f t="shared" si="0"/>
        <v>#N/A</v>
      </c>
      <c r="G32" s="443" t="e">
        <f t="shared" si="1"/>
        <v>#N/A</v>
      </c>
      <c r="H32" s="443" t="e">
        <f t="shared" si="2"/>
        <v>#N/A</v>
      </c>
      <c r="I32" s="443" t="e">
        <f t="shared" si="3"/>
        <v>#N/A</v>
      </c>
      <c r="J32" s="443" t="e">
        <f t="shared" si="4"/>
        <v>#N/A</v>
      </c>
      <c r="K32" s="437" t="e">
        <f t="shared" si="5"/>
        <v>#N/A</v>
      </c>
      <c r="L32" s="445"/>
    </row>
    <row r="33" spans="1:12" ht="15.75">
      <c r="A33" s="432">
        <f>NhanCong_Xa!B7</f>
        <v>2</v>
      </c>
      <c r="B33" s="433" t="str">
        <f>NhanCong_Xa!C7</f>
        <v>Xây dựng siêu dữ liệu thống kê, kiểm kê đất đai</v>
      </c>
      <c r="C33" s="452"/>
      <c r="D33" s="442"/>
      <c r="E33" s="436">
        <f>DonGia_Huyen!I39</f>
        <v>0</v>
      </c>
      <c r="F33" s="443">
        <f t="shared" si="0"/>
        <v>0</v>
      </c>
      <c r="G33" s="443">
        <f t="shared" si="1"/>
        <v>0</v>
      </c>
      <c r="H33" s="443">
        <f t="shared" si="2"/>
        <v>0</v>
      </c>
      <c r="I33" s="443">
        <f t="shared" si="3"/>
        <v>0</v>
      </c>
      <c r="J33" s="443">
        <f t="shared" si="4"/>
        <v>0</v>
      </c>
      <c r="K33" s="437" t="e">
        <f>K34+K35</f>
        <v>#N/A</v>
      </c>
      <c r="L33" s="446"/>
    </row>
    <row r="34" spans="1:12" ht="45">
      <c r="A34" s="440" t="str">
        <f>NhanCong_Xa!B8</f>
        <v>2.1</v>
      </c>
      <c r="B34" s="441" t="str">
        <f>NhanCong_Xa!C8</f>
        <v>Thu nhận các thông tin cần thiết để xây dựng siêu dữ liệu (thông tin mô tả dữ liệu) thống kê, kiểm kê đất đai</v>
      </c>
      <c r="C34" s="452" t="str">
        <f>NhanCong_Xa!D8</f>
        <v>Bộ dữ liệu theo xã</v>
      </c>
      <c r="D34" s="442">
        <f>$D$32</f>
        <v>18</v>
      </c>
      <c r="E34" s="436" t="e">
        <f>VLOOKUP(A34,DonGia_Huyen!$B$8:$L$44,13,FALSE)</f>
        <v>#N/A</v>
      </c>
      <c r="F34" s="443" t="e">
        <f t="shared" si="0"/>
        <v>#N/A</v>
      </c>
      <c r="G34" s="443" t="e">
        <f t="shared" si="1"/>
        <v>#N/A</v>
      </c>
      <c r="H34" s="443" t="e">
        <f t="shared" si="2"/>
        <v>#N/A</v>
      </c>
      <c r="I34" s="443" t="e">
        <f t="shared" si="3"/>
        <v>#N/A</v>
      </c>
      <c r="J34" s="443" t="e">
        <f t="shared" si="4"/>
        <v>#N/A</v>
      </c>
      <c r="K34" s="443" t="e">
        <f t="shared" si="5"/>
        <v>#N/A</v>
      </c>
    </row>
    <row r="35" spans="1:12" s="439" customFormat="1" ht="24.75" customHeight="1">
      <c r="A35" s="440" t="str">
        <f>NhanCong_Xa!B9</f>
        <v>2.2</v>
      </c>
      <c r="B35" s="441" t="str">
        <f>NhanCong_Xa!C9</f>
        <v>Nhập thông tin siêu dữ liệu kiểm kê đất đai</v>
      </c>
      <c r="C35" s="452" t="str">
        <f>NhanCong_Xa!D9</f>
        <v>Bộ dữ liệu theo xã</v>
      </c>
      <c r="D35" s="442">
        <f>$D$32</f>
        <v>18</v>
      </c>
      <c r="E35" s="436" t="e">
        <f>VLOOKUP(A35,DonGia_Huyen!$B$8:$L$44,13,FALSE)</f>
        <v>#N/A</v>
      </c>
      <c r="F35" s="443" t="e">
        <f t="shared" si="0"/>
        <v>#N/A</v>
      </c>
      <c r="G35" s="443" t="e">
        <f t="shared" si="1"/>
        <v>#N/A</v>
      </c>
      <c r="H35" s="443" t="e">
        <f t="shared" si="2"/>
        <v>#N/A</v>
      </c>
      <c r="I35" s="443" t="e">
        <f t="shared" si="3"/>
        <v>#N/A</v>
      </c>
      <c r="J35" s="443" t="e">
        <f t="shared" si="4"/>
        <v>#N/A</v>
      </c>
      <c r="K35" s="443" t="e">
        <f t="shared" si="5"/>
        <v>#N/A</v>
      </c>
      <c r="L35" s="421"/>
    </row>
    <row r="36" spans="1:12" ht="28.5">
      <c r="A36" s="432">
        <f>NhanCong_Xa!B10</f>
        <v>3</v>
      </c>
      <c r="B36" s="433" t="str">
        <f>NhanCong_Xa!C10</f>
        <v>Phục vụ kiểm tra, nghiệm thu cơ sở dữ liệu thống kê, kiểm kê đất đai</v>
      </c>
      <c r="C36" s="452">
        <f>NhanCong_Xa!D10</f>
        <v>0</v>
      </c>
      <c r="D36" s="442"/>
      <c r="E36" s="436">
        <f>DonGia_Huyen!I42</f>
        <v>0</v>
      </c>
      <c r="F36" s="443">
        <f t="shared" si="0"/>
        <v>0</v>
      </c>
      <c r="G36" s="443">
        <f t="shared" si="1"/>
        <v>0</v>
      </c>
      <c r="H36" s="443">
        <f t="shared" si="2"/>
        <v>0</v>
      </c>
      <c r="I36" s="443">
        <f t="shared" si="3"/>
        <v>0</v>
      </c>
      <c r="J36" s="443">
        <f t="shared" si="4"/>
        <v>0</v>
      </c>
      <c r="K36" s="437" t="e">
        <f>K37+K38</f>
        <v>#N/A</v>
      </c>
    </row>
    <row r="37" spans="1:12" s="439" customFormat="1" ht="45">
      <c r="A37" s="440" t="str">
        <f>NhanCong_Xa!B11</f>
        <v>3.1</v>
      </c>
      <c r="B37" s="441" t="str">
        <f>NhanCong_Xa!C11</f>
        <v>Đơn vị thi công chuẩn bị tài liệu và phục vụ giám sát kiểm tra, nghiệm thu.</v>
      </c>
      <c r="C37" s="452" t="str">
        <f>NhanCong_Xa!D11</f>
        <v>Bộ dữ liệu theo xã</v>
      </c>
      <c r="D37" s="442">
        <f>Chitietbangbieu!$AA$31</f>
        <v>18</v>
      </c>
      <c r="E37" s="436" t="e">
        <f>VLOOKUP(A37,DonGia_Huyen!$B$8:$L$44,13,FALSE)</f>
        <v>#N/A</v>
      </c>
      <c r="F37" s="443" t="e">
        <f t="shared" si="0"/>
        <v>#N/A</v>
      </c>
      <c r="G37" s="443" t="e">
        <f t="shared" si="1"/>
        <v>#N/A</v>
      </c>
      <c r="H37" s="443" t="e">
        <f t="shared" si="2"/>
        <v>#N/A</v>
      </c>
      <c r="I37" s="443" t="e">
        <f t="shared" si="3"/>
        <v>#N/A</v>
      </c>
      <c r="J37" s="443" t="e">
        <f t="shared" si="4"/>
        <v>#N/A</v>
      </c>
      <c r="K37" s="443" t="e">
        <f t="shared" si="5"/>
        <v>#N/A</v>
      </c>
      <c r="L37" s="421"/>
    </row>
    <row r="38" spans="1:12" ht="60">
      <c r="A38" s="440" t="str">
        <f>NhanCong_Xa!B12</f>
        <v>3.2</v>
      </c>
      <c r="B38" s="441" t="str">
        <f>NhanCong_Xa!C12</f>
        <v>Thực hiện kiểm tra tổng thể cơ sở dữ liệu thống kê, kiểm kê đất đai và tích hợp vào hệ thống ngay sau khi được nghiệm thu để phục vụ quản lý, vận hành, khai thác sử dụng.</v>
      </c>
      <c r="C38" s="452" t="str">
        <f>NhanCong_Xa!D12</f>
        <v>Bộ dữ liệu theo xã</v>
      </c>
      <c r="D38" s="442">
        <f>Chitietbangbieu!$AA$31</f>
        <v>18</v>
      </c>
      <c r="E38" s="436" t="e">
        <f>VLOOKUP(A38,DonGia_Huyen!$B$8:$L$45,13,FALSE)</f>
        <v>#N/A</v>
      </c>
      <c r="F38" s="443" t="e">
        <f t="shared" si="0"/>
        <v>#N/A</v>
      </c>
      <c r="G38" s="443" t="e">
        <f t="shared" si="1"/>
        <v>#N/A</v>
      </c>
      <c r="H38" s="443" t="e">
        <f t="shared" si="2"/>
        <v>#N/A</v>
      </c>
      <c r="I38" s="443" t="e">
        <f t="shared" si="3"/>
        <v>#N/A</v>
      </c>
      <c r="J38" s="443" t="e">
        <f t="shared" si="4"/>
        <v>#N/A</v>
      </c>
      <c r="K38" s="443" t="e">
        <f t="shared" si="5"/>
        <v>#N/A</v>
      </c>
    </row>
    <row r="39" spans="1:12" ht="36.950000000000003" customHeight="1">
      <c r="A39" s="440" t="str">
        <f>NhanCong_Xa!B13</f>
        <v>3.3</v>
      </c>
      <c r="B39" s="441" t="str">
        <f>NhanCong_Xa!C13</f>
        <v>Đóng gói giao nộp cơ sở dữ liệu thống kê, kiểm kê đất đai</v>
      </c>
      <c r="C39" s="452" t="str">
        <f>NhanCong_Xa!D13</f>
        <v>Bộ dữ liệu theo xã</v>
      </c>
      <c r="D39" s="442">
        <f>Chitietbangbieu!$AA$31</f>
        <v>18</v>
      </c>
      <c r="E39" s="436" t="e">
        <f>VLOOKUP(A39,DonGia_Huyen!$B$8:$L$45,13,FALSE)</f>
        <v>#N/A</v>
      </c>
      <c r="F39" s="443" t="e">
        <f t="shared" ref="F39" si="6">D39*E39</f>
        <v>#N/A</v>
      </c>
      <c r="G39" s="443" t="e">
        <f t="shared" ref="G39" si="7">F39*15%</f>
        <v>#N/A</v>
      </c>
      <c r="H39" s="443" t="e">
        <f t="shared" ref="H39" si="8">F39*4%</f>
        <v>#N/A</v>
      </c>
      <c r="I39" s="443" t="e">
        <f t="shared" ref="I39" si="9">F39+G39+H39</f>
        <v>#N/A</v>
      </c>
      <c r="J39" s="443" t="e">
        <f t="shared" ref="J39" si="10">I39*10%</f>
        <v>#N/A</v>
      </c>
      <c r="K39" s="443" t="e">
        <f t="shared" ref="K39" si="11">I39+J39</f>
        <v>#N/A</v>
      </c>
    </row>
    <row r="40" spans="1:12">
      <c r="E40" s="580" t="e">
        <f>SUM(E7:E38)</f>
        <v>#N/A</v>
      </c>
      <c r="K40" s="421" t="e">
        <f>K36+K33+K32+K27+K21+K12+K11+K10+K6</f>
        <v>#N/A</v>
      </c>
    </row>
  </sheetData>
  <mergeCells count="3">
    <mergeCell ref="A1:K1"/>
    <mergeCell ref="A2:K2"/>
    <mergeCell ref="J3:K3"/>
  </mergeCells>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K1000"/>
  <sheetViews>
    <sheetView topLeftCell="A49" workbookViewId="0">
      <selection activeCell="A34" sqref="A34"/>
    </sheetView>
  </sheetViews>
  <sheetFormatPr defaultColWidth="9" defaultRowHeight="15.75"/>
  <cols>
    <col min="1" max="1" width="7.375" style="100" bestFit="1" customWidth="1"/>
    <col min="2" max="2" width="47.625" style="85" customWidth="1"/>
    <col min="3" max="3" width="7.125" style="100" customWidth="1"/>
    <col min="4" max="4" width="8.625" style="100" customWidth="1"/>
    <col min="5" max="5" width="9.125" style="85" customWidth="1"/>
    <col min="6" max="6" width="11.375" style="85" customWidth="1"/>
    <col min="7" max="7" width="9.375" style="101" customWidth="1"/>
    <col min="8" max="8" width="9.375" style="293" bestFit="1" customWidth="1"/>
    <col min="9" max="9" width="9.625" style="103" customWidth="1"/>
    <col min="10" max="16384" width="9" style="85"/>
  </cols>
  <sheetData>
    <row r="1" spans="1:11">
      <c r="A1" s="1264" t="s">
        <v>23</v>
      </c>
      <c r="B1" s="1264"/>
      <c r="C1" s="1264"/>
      <c r="D1" s="1264"/>
      <c r="E1" s="1264"/>
      <c r="F1" s="1264"/>
      <c r="G1" s="1264"/>
      <c r="H1" s="1264"/>
      <c r="I1" s="1264"/>
    </row>
    <row r="2" spans="1:11" ht="16.5" thickBot="1">
      <c r="H2" s="293" t="s">
        <v>79</v>
      </c>
      <c r="I2" s="102" t="s">
        <v>84</v>
      </c>
    </row>
    <row r="3" spans="1:11" s="4" customFormat="1" ht="47.25">
      <c r="A3" s="21" t="s">
        <v>14</v>
      </c>
      <c r="B3" s="22" t="s">
        <v>17</v>
      </c>
      <c r="C3" s="22" t="s">
        <v>21</v>
      </c>
      <c r="D3" s="22" t="s">
        <v>4</v>
      </c>
      <c r="E3" s="22" t="s">
        <v>5</v>
      </c>
      <c r="F3" s="22" t="s">
        <v>19</v>
      </c>
      <c r="G3" s="69" t="s">
        <v>1</v>
      </c>
      <c r="H3" s="313" t="s">
        <v>18</v>
      </c>
      <c r="I3" s="23" t="s">
        <v>20</v>
      </c>
    </row>
    <row r="4" spans="1:11" s="4" customFormat="1">
      <c r="A4" s="104"/>
      <c r="B4" s="105"/>
      <c r="C4" s="106"/>
      <c r="D4" s="106"/>
      <c r="E4" s="106"/>
      <c r="F4" s="106"/>
      <c r="G4" s="107"/>
      <c r="H4" s="294"/>
      <c r="I4" s="108"/>
    </row>
    <row r="5" spans="1:11" s="9" customFormat="1" ht="56.25" customHeight="1">
      <c r="A5" s="24" t="e">
        <f>#REF!</f>
        <v>#REF!</v>
      </c>
      <c r="B5" s="1265" t="e">
        <f>#REF!</f>
        <v>#REF!</v>
      </c>
      <c r="C5" s="1266"/>
      <c r="D5" s="1266"/>
      <c r="E5" s="1266"/>
      <c r="F5" s="1266"/>
      <c r="G5" s="1266"/>
      <c r="H5" s="1266"/>
      <c r="I5" s="1267"/>
      <c r="K5" s="77">
        <v>1</v>
      </c>
    </row>
    <row r="6" spans="1:11" s="81" customFormat="1">
      <c r="A6" s="31" t="e">
        <f>#REF!</f>
        <v>#REF!</v>
      </c>
      <c r="B6" s="32" t="e">
        <f>#REF!</f>
        <v>#REF!</v>
      </c>
      <c r="C6" s="15"/>
      <c r="D6" s="15"/>
      <c r="E6" s="15"/>
      <c r="F6" s="78"/>
      <c r="G6" s="79"/>
      <c r="H6" s="111"/>
      <c r="I6" s="80" t="e">
        <f>SUM(I7:I10)</f>
        <v>#REF!</v>
      </c>
      <c r="K6" s="77">
        <v>2</v>
      </c>
    </row>
    <row r="7" spans="1:11">
      <c r="A7" s="13">
        <v>1</v>
      </c>
      <c r="B7" s="5" t="s">
        <v>82</v>
      </c>
      <c r="C7" s="6" t="str">
        <f>Gia_Tbi!C4</f>
        <v>Cái</v>
      </c>
      <c r="D7" s="6">
        <f>Gia_Tbi!D4</f>
        <v>0.4</v>
      </c>
      <c r="E7" s="6">
        <f>Gia_Tbi!E4</f>
        <v>5</v>
      </c>
      <c r="F7" s="82">
        <f>Gia_Tbi!F4</f>
        <v>10000000</v>
      </c>
      <c r="G7" s="83">
        <f>Gia_Tbi!G4</f>
        <v>4000</v>
      </c>
      <c r="H7" s="295">
        <v>4</v>
      </c>
      <c r="I7" s="84">
        <f>G7*H7</f>
        <v>16000</v>
      </c>
      <c r="K7" s="77">
        <v>3</v>
      </c>
    </row>
    <row r="8" spans="1:11">
      <c r="A8" s="13">
        <v>2</v>
      </c>
      <c r="B8" s="5" t="s">
        <v>83</v>
      </c>
      <c r="C8" s="6" t="str">
        <f>Gia_Tbi!C5</f>
        <v>Cái</v>
      </c>
      <c r="D8" s="6">
        <f>Gia_Tbi!D5</f>
        <v>0.6</v>
      </c>
      <c r="E8" s="6">
        <f>Gia_Tbi!E5</f>
        <v>5</v>
      </c>
      <c r="F8" s="82">
        <f>Gia_Tbi!F5</f>
        <v>2500000</v>
      </c>
      <c r="G8" s="83">
        <f>Gia_Tbi!G5</f>
        <v>1000</v>
      </c>
      <c r="H8" s="295">
        <v>0.5</v>
      </c>
      <c r="I8" s="84">
        <f>G8*H8</f>
        <v>500</v>
      </c>
      <c r="K8" s="77">
        <v>4</v>
      </c>
    </row>
    <row r="9" spans="1:11">
      <c r="A9" s="13">
        <v>3</v>
      </c>
      <c r="B9" s="5" t="s">
        <v>25</v>
      </c>
      <c r="C9" s="6" t="str">
        <f>Gia_Tbi!C6</f>
        <v>Cái</v>
      </c>
      <c r="D9" s="6">
        <f>Gia_Tbi!D6</f>
        <v>2.2000000000000002</v>
      </c>
      <c r="E9" s="6">
        <f>Gia_Tbi!E6</f>
        <v>8</v>
      </c>
      <c r="F9" s="82">
        <f>Gia_Tbi!F6</f>
        <v>12000000</v>
      </c>
      <c r="G9" s="83">
        <f>Gia_Tbi!G6</f>
        <v>3000</v>
      </c>
      <c r="H9" s="295">
        <v>1.5</v>
      </c>
      <c r="I9" s="84">
        <f>G9*H9</f>
        <v>4500</v>
      </c>
      <c r="K9" s="77">
        <v>5</v>
      </c>
    </row>
    <row r="10" spans="1:11">
      <c r="A10" s="13">
        <v>4</v>
      </c>
      <c r="B10" s="5" t="s">
        <v>24</v>
      </c>
      <c r="C10" s="6" t="e">
        <f>Gia_Tbi!#REF!</f>
        <v>#REF!</v>
      </c>
      <c r="D10" s="6" t="e">
        <f>Gia_Tbi!#REF!</f>
        <v>#REF!</v>
      </c>
      <c r="E10" s="6" t="e">
        <f>Gia_Tbi!#REF!</f>
        <v>#REF!</v>
      </c>
      <c r="F10" s="82" t="e">
        <f>Gia_Tbi!#REF!</f>
        <v>#REF!</v>
      </c>
      <c r="G10" s="83" t="e">
        <f>Gia_Tbi!#REF!</f>
        <v>#REF!</v>
      </c>
      <c r="H10" s="295">
        <v>1</v>
      </c>
      <c r="I10" s="84" t="e">
        <f>G10*H10</f>
        <v>#REF!</v>
      </c>
      <c r="K10" s="77">
        <v>6</v>
      </c>
    </row>
    <row r="11" spans="1:11">
      <c r="A11" s="40">
        <v>5</v>
      </c>
      <c r="B11" s="41" t="s">
        <v>8</v>
      </c>
      <c r="C11" s="42" t="str">
        <f>Gia_Tbi!C9</f>
        <v>Cái</v>
      </c>
      <c r="D11" s="42">
        <f>Gia_Tbi!D9</f>
        <v>0.8</v>
      </c>
      <c r="E11" s="117">
        <f>Gia_Tbi!E9</f>
        <v>8</v>
      </c>
      <c r="F11" s="86">
        <f>Gia_Tbi!F9</f>
        <v>45200000</v>
      </c>
      <c r="G11" s="87">
        <f>Gia_Tbi!G9</f>
        <v>11300</v>
      </c>
      <c r="H11" s="296" t="e">
        <f>(H7*D7+H8*D8+H9*D9+H10*D10)*8</f>
        <v>#REF!</v>
      </c>
      <c r="I11" s="120" t="e">
        <f>G11*H11*E11</f>
        <v>#REF!</v>
      </c>
      <c r="K11" s="77">
        <v>7</v>
      </c>
    </row>
    <row r="12" spans="1:11" s="81" customFormat="1">
      <c r="A12" s="1268" t="e">
        <f>#REF!</f>
        <v>#REF!</v>
      </c>
      <c r="B12" s="1271" t="e">
        <f>#REF!</f>
        <v>#REF!</v>
      </c>
      <c r="C12" s="15"/>
      <c r="D12" s="109" t="s">
        <v>105</v>
      </c>
      <c r="E12" s="15"/>
      <c r="F12" s="78"/>
      <c r="G12" s="92"/>
      <c r="H12" s="110">
        <v>0.8</v>
      </c>
      <c r="I12" s="80" t="e">
        <f>H12*I13</f>
        <v>#REF!</v>
      </c>
      <c r="K12" s="77">
        <v>8</v>
      </c>
    </row>
    <row r="13" spans="1:11" s="81" customFormat="1">
      <c r="A13" s="1269"/>
      <c r="B13" s="1272"/>
      <c r="C13" s="15"/>
      <c r="D13" s="109" t="s">
        <v>106</v>
      </c>
      <c r="E13" s="15"/>
      <c r="F13" s="78"/>
      <c r="G13" s="92"/>
      <c r="H13" s="110">
        <v>1</v>
      </c>
      <c r="I13" s="80" t="e">
        <f>SUM(I15:I18)</f>
        <v>#REF!</v>
      </c>
      <c r="K13" s="77">
        <v>9</v>
      </c>
    </row>
    <row r="14" spans="1:11" s="81" customFormat="1">
      <c r="A14" s="1270"/>
      <c r="B14" s="1273"/>
      <c r="C14" s="15"/>
      <c r="D14" s="109" t="s">
        <v>107</v>
      </c>
      <c r="E14" s="15"/>
      <c r="F14" s="78"/>
      <c r="G14" s="92"/>
      <c r="H14" s="110">
        <v>1.2</v>
      </c>
      <c r="I14" s="80" t="e">
        <f>H14*I13</f>
        <v>#REF!</v>
      </c>
      <c r="K14" s="77">
        <v>10</v>
      </c>
    </row>
    <row r="15" spans="1:11">
      <c r="A15" s="13">
        <v>1</v>
      </c>
      <c r="B15" s="5" t="s">
        <v>82</v>
      </c>
      <c r="C15" s="6" t="str">
        <f>Gia_Tbi!C4</f>
        <v>Cái</v>
      </c>
      <c r="D15" s="6">
        <f>Gia_Tbi!D4</f>
        <v>0.4</v>
      </c>
      <c r="E15" s="6">
        <f>Gia_Tbi!E4</f>
        <v>5</v>
      </c>
      <c r="F15" s="82">
        <f>Gia_Tbi!F4</f>
        <v>10000000</v>
      </c>
      <c r="G15" s="83">
        <f>Gia_Tbi!G4</f>
        <v>4000</v>
      </c>
      <c r="H15" s="295">
        <v>4</v>
      </c>
      <c r="I15" s="84">
        <f>G15*H15</f>
        <v>16000</v>
      </c>
      <c r="K15" s="77">
        <v>11</v>
      </c>
    </row>
    <row r="16" spans="1:11">
      <c r="A16" s="13">
        <v>2</v>
      </c>
      <c r="B16" s="5" t="s">
        <v>83</v>
      </c>
      <c r="C16" s="6" t="str">
        <f>Gia_Tbi!C5</f>
        <v>Cái</v>
      </c>
      <c r="D16" s="6">
        <f>Gia_Tbi!D5</f>
        <v>0.6</v>
      </c>
      <c r="E16" s="6">
        <f>Gia_Tbi!E5</f>
        <v>5</v>
      </c>
      <c r="F16" s="82">
        <f>Gia_Tbi!F5</f>
        <v>2500000</v>
      </c>
      <c r="G16" s="83">
        <f>Gia_Tbi!G5</f>
        <v>1000</v>
      </c>
      <c r="H16" s="295">
        <v>0.5</v>
      </c>
      <c r="I16" s="84">
        <f>G16*H16</f>
        <v>500</v>
      </c>
      <c r="K16" s="77">
        <v>12</v>
      </c>
    </row>
    <row r="17" spans="1:11">
      <c r="A17" s="13">
        <v>3</v>
      </c>
      <c r="B17" s="5" t="s">
        <v>25</v>
      </c>
      <c r="C17" s="6" t="str">
        <f>Gia_Tbi!C6</f>
        <v>Cái</v>
      </c>
      <c r="D17" s="6">
        <f>Gia_Tbi!D6</f>
        <v>2.2000000000000002</v>
      </c>
      <c r="E17" s="6">
        <f>Gia_Tbi!E6</f>
        <v>8</v>
      </c>
      <c r="F17" s="82">
        <f>Gia_Tbi!F6</f>
        <v>12000000</v>
      </c>
      <c r="G17" s="83">
        <f>Gia_Tbi!G6</f>
        <v>3000</v>
      </c>
      <c r="H17" s="295">
        <v>1.5</v>
      </c>
      <c r="I17" s="84">
        <f>G17*H17</f>
        <v>4500</v>
      </c>
      <c r="K17" s="77">
        <v>13</v>
      </c>
    </row>
    <row r="18" spans="1:11">
      <c r="A18" s="13">
        <v>4</v>
      </c>
      <c r="B18" s="5" t="s">
        <v>24</v>
      </c>
      <c r="C18" s="6" t="e">
        <f>Gia_Tbi!#REF!</f>
        <v>#REF!</v>
      </c>
      <c r="D18" s="6" t="e">
        <f>Gia_Tbi!#REF!</f>
        <v>#REF!</v>
      </c>
      <c r="E18" s="6" t="e">
        <f>Gia_Tbi!#REF!</f>
        <v>#REF!</v>
      </c>
      <c r="F18" s="82" t="e">
        <f>Gia_Tbi!#REF!</f>
        <v>#REF!</v>
      </c>
      <c r="G18" s="83" t="e">
        <f>Gia_Tbi!#REF!</f>
        <v>#REF!</v>
      </c>
      <c r="H18" s="295">
        <v>1</v>
      </c>
      <c r="I18" s="84" t="e">
        <f>G18*H18</f>
        <v>#REF!</v>
      </c>
      <c r="K18" s="77">
        <v>14</v>
      </c>
    </row>
    <row r="19" spans="1:11">
      <c r="A19" s="40">
        <v>5</v>
      </c>
      <c r="B19" s="41" t="s">
        <v>8</v>
      </c>
      <c r="C19" s="42" t="str">
        <f>Gia_Tbi!C9</f>
        <v>Cái</v>
      </c>
      <c r="D19" s="42">
        <f>Gia_Tbi!D9</f>
        <v>0.8</v>
      </c>
      <c r="E19" s="117">
        <f>Gia_Tbi!E9</f>
        <v>8</v>
      </c>
      <c r="F19" s="86">
        <f>Gia_Tbi!F9</f>
        <v>45200000</v>
      </c>
      <c r="G19" s="87">
        <f>Gia_Tbi!G9</f>
        <v>11300</v>
      </c>
      <c r="H19" s="296" t="e">
        <f>(H15*D15+H16*D16+H17*D17+H18*D18)*8</f>
        <v>#REF!</v>
      </c>
      <c r="I19" s="120" t="e">
        <f>G19*H19*E19</f>
        <v>#REF!</v>
      </c>
      <c r="K19" s="77">
        <v>15</v>
      </c>
    </row>
    <row r="20" spans="1:11" s="4" customFormat="1">
      <c r="A20" s="35" t="e">
        <f>#REF!</f>
        <v>#REF!</v>
      </c>
      <c r="B20" s="36" t="e">
        <f>#REF!</f>
        <v>#REF!</v>
      </c>
      <c r="C20" s="37"/>
      <c r="D20" s="37"/>
      <c r="E20" s="37"/>
      <c r="F20" s="89"/>
      <c r="G20" s="90"/>
      <c r="H20" s="297"/>
      <c r="I20" s="91" t="e">
        <f>I21+I34+I40</f>
        <v>#REF!</v>
      </c>
      <c r="K20" s="77">
        <v>16</v>
      </c>
    </row>
    <row r="21" spans="1:11" s="81" customFormat="1">
      <c r="A21" s="31" t="e">
        <f>#REF!</f>
        <v>#REF!</v>
      </c>
      <c r="B21" s="32" t="e">
        <f>#REF!</f>
        <v>#REF!</v>
      </c>
      <c r="C21" s="15"/>
      <c r="D21" s="15"/>
      <c r="E21" s="15"/>
      <c r="F21" s="78"/>
      <c r="G21" s="79"/>
      <c r="H21" s="111"/>
      <c r="I21" s="80" t="e">
        <f>I22+I28</f>
        <v>#REF!</v>
      </c>
      <c r="K21" s="77">
        <v>17</v>
      </c>
    </row>
    <row r="22" spans="1:11">
      <c r="A22" s="13" t="e">
        <f>#REF!</f>
        <v>#REF!</v>
      </c>
      <c r="B22" s="5" t="e">
        <f>#REF!</f>
        <v>#REF!</v>
      </c>
      <c r="C22" s="6"/>
      <c r="D22" s="6"/>
      <c r="E22" s="6"/>
      <c r="F22" s="82"/>
      <c r="G22" s="83"/>
      <c r="H22" s="295"/>
      <c r="I22" s="80" t="e">
        <f>SUM(I23:I26)</f>
        <v>#REF!</v>
      </c>
      <c r="K22" s="77">
        <v>18</v>
      </c>
    </row>
    <row r="23" spans="1:11">
      <c r="A23" s="13">
        <v>1</v>
      </c>
      <c r="B23" s="5" t="s">
        <v>82</v>
      </c>
      <c r="C23" s="6" t="str">
        <f>Gia_Tbi!C4</f>
        <v>Cái</v>
      </c>
      <c r="D23" s="6">
        <f>Gia_Tbi!D4</f>
        <v>0.4</v>
      </c>
      <c r="E23" s="6">
        <f>Gia_Tbi!E4</f>
        <v>5</v>
      </c>
      <c r="F23" s="82">
        <f>Gia_Tbi!F4</f>
        <v>10000000</v>
      </c>
      <c r="G23" s="83">
        <f>Gia_Tbi!G4</f>
        <v>4000</v>
      </c>
      <c r="H23" s="295">
        <v>40</v>
      </c>
      <c r="I23" s="84">
        <f>G23*H23</f>
        <v>160000</v>
      </c>
      <c r="K23" s="77">
        <v>19</v>
      </c>
    </row>
    <row r="24" spans="1:11">
      <c r="A24" s="13">
        <v>2</v>
      </c>
      <c r="B24" s="5" t="s">
        <v>83</v>
      </c>
      <c r="C24" s="6" t="str">
        <f>Gia_Tbi!C5</f>
        <v>Cái</v>
      </c>
      <c r="D24" s="6">
        <f>Gia_Tbi!D5</f>
        <v>0.6</v>
      </c>
      <c r="E24" s="6">
        <f>Gia_Tbi!E5</f>
        <v>5</v>
      </c>
      <c r="F24" s="82">
        <f>Gia_Tbi!F5</f>
        <v>2500000</v>
      </c>
      <c r="G24" s="83">
        <f>Gia_Tbi!G5</f>
        <v>1000</v>
      </c>
      <c r="H24" s="295">
        <v>0.5</v>
      </c>
      <c r="I24" s="84">
        <f>G24*H24</f>
        <v>500</v>
      </c>
      <c r="K24" s="77">
        <v>20</v>
      </c>
    </row>
    <row r="25" spans="1:11">
      <c r="A25" s="13">
        <v>3</v>
      </c>
      <c r="B25" s="5" t="s">
        <v>25</v>
      </c>
      <c r="C25" s="6" t="str">
        <f>Gia_Tbi!C6</f>
        <v>Cái</v>
      </c>
      <c r="D25" s="6">
        <f>Gia_Tbi!D6</f>
        <v>2.2000000000000002</v>
      </c>
      <c r="E25" s="6">
        <f>Gia_Tbi!E6</f>
        <v>8</v>
      </c>
      <c r="F25" s="82">
        <f>Gia_Tbi!F6</f>
        <v>12000000</v>
      </c>
      <c r="G25" s="83">
        <f>Gia_Tbi!G6</f>
        <v>3000</v>
      </c>
      <c r="H25" s="295">
        <v>6.67</v>
      </c>
      <c r="I25" s="84">
        <f>G25*H25</f>
        <v>20010</v>
      </c>
      <c r="K25" s="77">
        <v>21</v>
      </c>
    </row>
    <row r="26" spans="1:11">
      <c r="A26" s="13">
        <v>4</v>
      </c>
      <c r="B26" s="5" t="s">
        <v>24</v>
      </c>
      <c r="C26" s="6" t="e">
        <f>Gia_Tbi!#REF!</f>
        <v>#REF!</v>
      </c>
      <c r="D26" s="6" t="e">
        <f>Gia_Tbi!#REF!</f>
        <v>#REF!</v>
      </c>
      <c r="E26" s="6" t="e">
        <f>Gia_Tbi!#REF!</f>
        <v>#REF!</v>
      </c>
      <c r="F26" s="82" t="e">
        <f>Gia_Tbi!#REF!</f>
        <v>#REF!</v>
      </c>
      <c r="G26" s="83" t="e">
        <f>Gia_Tbi!#REF!</f>
        <v>#REF!</v>
      </c>
      <c r="H26" s="295">
        <v>1.5</v>
      </c>
      <c r="I26" s="84" t="e">
        <f>G26*H26</f>
        <v>#REF!</v>
      </c>
      <c r="K26" s="77">
        <v>22</v>
      </c>
    </row>
    <row r="27" spans="1:11">
      <c r="A27" s="40">
        <v>5</v>
      </c>
      <c r="B27" s="41" t="s">
        <v>8</v>
      </c>
      <c r="C27" s="42" t="str">
        <f>Gia_Tbi!C9</f>
        <v>Cái</v>
      </c>
      <c r="D27" s="42">
        <f>Gia_Tbi!D9</f>
        <v>0.8</v>
      </c>
      <c r="E27" s="117">
        <f>Gia_Tbi!E9</f>
        <v>8</v>
      </c>
      <c r="F27" s="86">
        <f>Gia_Tbi!F9</f>
        <v>45200000</v>
      </c>
      <c r="G27" s="87">
        <f>Gia_Tbi!G9</f>
        <v>11300</v>
      </c>
      <c r="H27" s="296" t="e">
        <f>(H23*D23+H24*D24+H25*D25+H26*D26)*8</f>
        <v>#REF!</v>
      </c>
      <c r="I27" s="120" t="e">
        <f>G27*H27*E27</f>
        <v>#REF!</v>
      </c>
      <c r="K27" s="77">
        <v>23</v>
      </c>
    </row>
    <row r="28" spans="1:11">
      <c r="A28" s="13" t="e">
        <f>#REF!</f>
        <v>#REF!</v>
      </c>
      <c r="B28" s="5" t="e">
        <f>#REF!</f>
        <v>#REF!</v>
      </c>
      <c r="C28" s="6"/>
      <c r="D28" s="6"/>
      <c r="E28" s="6"/>
      <c r="F28" s="82"/>
      <c r="G28" s="83"/>
      <c r="H28" s="295"/>
      <c r="I28" s="80" t="e">
        <f>SUM(I29:I32)</f>
        <v>#REF!</v>
      </c>
      <c r="K28" s="77">
        <v>24</v>
      </c>
    </row>
    <row r="29" spans="1:11">
      <c r="A29" s="13">
        <v>1</v>
      </c>
      <c r="B29" s="5" t="s">
        <v>82</v>
      </c>
      <c r="C29" s="6" t="str">
        <f>Gia_Tbi!C4</f>
        <v>Cái</v>
      </c>
      <c r="D29" s="6">
        <f>Gia_Tbi!D4</f>
        <v>0.4</v>
      </c>
      <c r="E29" s="6">
        <f>Gia_Tbi!E4</f>
        <v>5</v>
      </c>
      <c r="F29" s="82">
        <f>Gia_Tbi!F4</f>
        <v>10000000</v>
      </c>
      <c r="G29" s="83">
        <f>Gia_Tbi!G4</f>
        <v>4000</v>
      </c>
      <c r="H29" s="295">
        <v>125</v>
      </c>
      <c r="I29" s="84">
        <f>G29*H29</f>
        <v>500000</v>
      </c>
      <c r="K29" s="77">
        <v>25</v>
      </c>
    </row>
    <row r="30" spans="1:11">
      <c r="A30" s="13">
        <v>2</v>
      </c>
      <c r="B30" s="5" t="s">
        <v>83</v>
      </c>
      <c r="C30" s="6" t="str">
        <f>Gia_Tbi!C5</f>
        <v>Cái</v>
      </c>
      <c r="D30" s="6">
        <f>Gia_Tbi!D5</f>
        <v>0.6</v>
      </c>
      <c r="E30" s="6">
        <f>Gia_Tbi!E5</f>
        <v>5</v>
      </c>
      <c r="F30" s="82">
        <f>Gia_Tbi!F5</f>
        <v>2500000</v>
      </c>
      <c r="G30" s="83">
        <f>Gia_Tbi!G5</f>
        <v>1000</v>
      </c>
      <c r="H30" s="295">
        <v>5</v>
      </c>
      <c r="I30" s="84">
        <f>G30*H30</f>
        <v>5000</v>
      </c>
      <c r="K30" s="77">
        <v>26</v>
      </c>
    </row>
    <row r="31" spans="1:11">
      <c r="A31" s="13">
        <v>3</v>
      </c>
      <c r="B31" s="5" t="s">
        <v>25</v>
      </c>
      <c r="C31" s="6" t="str">
        <f>Gia_Tbi!C6</f>
        <v>Cái</v>
      </c>
      <c r="D31" s="6">
        <f>Gia_Tbi!D6</f>
        <v>2.2000000000000002</v>
      </c>
      <c r="E31" s="6">
        <f>Gia_Tbi!E6</f>
        <v>8</v>
      </c>
      <c r="F31" s="82">
        <f>Gia_Tbi!F6</f>
        <v>12000000</v>
      </c>
      <c r="G31" s="83">
        <f>Gia_Tbi!G6</f>
        <v>3000</v>
      </c>
      <c r="H31" s="295">
        <v>41.67</v>
      </c>
      <c r="I31" s="84">
        <f>G31*H31</f>
        <v>125010</v>
      </c>
      <c r="K31" s="77">
        <v>27</v>
      </c>
    </row>
    <row r="32" spans="1:11">
      <c r="A32" s="13">
        <v>4</v>
      </c>
      <c r="B32" s="5" t="s">
        <v>24</v>
      </c>
      <c r="C32" s="6" t="e">
        <f>Gia_Tbi!#REF!</f>
        <v>#REF!</v>
      </c>
      <c r="D32" s="6" t="e">
        <f>Gia_Tbi!#REF!</f>
        <v>#REF!</v>
      </c>
      <c r="E32" s="6" t="e">
        <f>Gia_Tbi!#REF!</f>
        <v>#REF!</v>
      </c>
      <c r="F32" s="82" t="e">
        <f>Gia_Tbi!#REF!</f>
        <v>#REF!</v>
      </c>
      <c r="G32" s="83" t="e">
        <f>Gia_Tbi!#REF!</f>
        <v>#REF!</v>
      </c>
      <c r="H32" s="295">
        <v>1.2</v>
      </c>
      <c r="I32" s="84" t="e">
        <f>G32*H32</f>
        <v>#REF!</v>
      </c>
      <c r="K32" s="77">
        <v>28</v>
      </c>
    </row>
    <row r="33" spans="1:11">
      <c r="A33" s="40">
        <v>5</v>
      </c>
      <c r="B33" s="41" t="s">
        <v>8</v>
      </c>
      <c r="C33" s="42" t="str">
        <f>Gia_Tbi!C9</f>
        <v>Cái</v>
      </c>
      <c r="D33" s="42">
        <f>Gia_Tbi!D9</f>
        <v>0.8</v>
      </c>
      <c r="E33" s="117">
        <f>Gia_Tbi!E9</f>
        <v>8</v>
      </c>
      <c r="F33" s="86">
        <f>Gia_Tbi!F9</f>
        <v>45200000</v>
      </c>
      <c r="G33" s="87">
        <f>Gia_Tbi!G9</f>
        <v>11300</v>
      </c>
      <c r="H33" s="296" t="e">
        <f>(H29*D29+H30*D30+H31*D31+H32*D32)*8</f>
        <v>#REF!</v>
      </c>
      <c r="I33" s="120" t="e">
        <f>G33*H33*E33</f>
        <v>#REF!</v>
      </c>
      <c r="K33" s="77">
        <v>29</v>
      </c>
    </row>
    <row r="34" spans="1:11" s="81" customFormat="1">
      <c r="A34" s="31" t="e">
        <f>#REF!</f>
        <v>#REF!</v>
      </c>
      <c r="B34" s="32" t="e">
        <f>#REF!</f>
        <v>#REF!</v>
      </c>
      <c r="C34" s="15"/>
      <c r="D34" s="15"/>
      <c r="E34" s="15"/>
      <c r="F34" s="78"/>
      <c r="G34" s="79"/>
      <c r="H34" s="111"/>
      <c r="I34" s="80" t="e">
        <f>SUM(I35:I38)</f>
        <v>#REF!</v>
      </c>
      <c r="K34" s="77">
        <v>30</v>
      </c>
    </row>
    <row r="35" spans="1:11">
      <c r="A35" s="13">
        <v>1</v>
      </c>
      <c r="B35" s="5" t="s">
        <v>82</v>
      </c>
      <c r="C35" s="6" t="str">
        <f>Gia_Tbi!C4</f>
        <v>Cái</v>
      </c>
      <c r="D35" s="6">
        <f>Gia_Tbi!D4</f>
        <v>0.4</v>
      </c>
      <c r="E35" s="6">
        <f>Gia_Tbi!E4</f>
        <v>5</v>
      </c>
      <c r="F35" s="82">
        <f>Gia_Tbi!F4</f>
        <v>10000000</v>
      </c>
      <c r="G35" s="83">
        <f>Gia_Tbi!G4</f>
        <v>4000</v>
      </c>
      <c r="H35" s="295">
        <v>20</v>
      </c>
      <c r="I35" s="84">
        <f>G35*H35</f>
        <v>80000</v>
      </c>
      <c r="K35" s="77">
        <v>31</v>
      </c>
    </row>
    <row r="36" spans="1:11">
      <c r="A36" s="13">
        <v>2</v>
      </c>
      <c r="B36" s="5" t="s">
        <v>83</v>
      </c>
      <c r="C36" s="6" t="str">
        <f>Gia_Tbi!C5</f>
        <v>Cái</v>
      </c>
      <c r="D36" s="6">
        <f>Gia_Tbi!D5</f>
        <v>0.6</v>
      </c>
      <c r="E36" s="6">
        <f>Gia_Tbi!E5</f>
        <v>5</v>
      </c>
      <c r="F36" s="82">
        <f>Gia_Tbi!F5</f>
        <v>2500000</v>
      </c>
      <c r="G36" s="83">
        <f>Gia_Tbi!G5</f>
        <v>1000</v>
      </c>
      <c r="H36" s="295">
        <v>0.2</v>
      </c>
      <c r="I36" s="84">
        <f>G36*H36</f>
        <v>200</v>
      </c>
      <c r="K36" s="77">
        <v>32</v>
      </c>
    </row>
    <row r="37" spans="1:11">
      <c r="A37" s="13">
        <v>3</v>
      </c>
      <c r="B37" s="5" t="s">
        <v>25</v>
      </c>
      <c r="C37" s="6" t="str">
        <f>Gia_Tbi!C6</f>
        <v>Cái</v>
      </c>
      <c r="D37" s="6">
        <f>Gia_Tbi!D6</f>
        <v>2.2000000000000002</v>
      </c>
      <c r="E37" s="6">
        <f>Gia_Tbi!E6</f>
        <v>8</v>
      </c>
      <c r="F37" s="82">
        <f>Gia_Tbi!F6</f>
        <v>12000000</v>
      </c>
      <c r="G37" s="83">
        <f>Gia_Tbi!G6</f>
        <v>3000</v>
      </c>
      <c r="H37" s="295">
        <v>6.67</v>
      </c>
      <c r="I37" s="84">
        <f>G37*H37</f>
        <v>20010</v>
      </c>
      <c r="K37" s="77">
        <v>33</v>
      </c>
    </row>
    <row r="38" spans="1:11">
      <c r="A38" s="13">
        <v>4</v>
      </c>
      <c r="B38" s="5" t="s">
        <v>24</v>
      </c>
      <c r="C38" s="6" t="e">
        <f>Gia_Tbi!#REF!</f>
        <v>#REF!</v>
      </c>
      <c r="D38" s="6" t="e">
        <f>Gia_Tbi!#REF!</f>
        <v>#REF!</v>
      </c>
      <c r="E38" s="6" t="e">
        <f>Gia_Tbi!#REF!</f>
        <v>#REF!</v>
      </c>
      <c r="F38" s="82" t="e">
        <f>Gia_Tbi!#REF!</f>
        <v>#REF!</v>
      </c>
      <c r="G38" s="83" t="e">
        <f>Gia_Tbi!#REF!</f>
        <v>#REF!</v>
      </c>
      <c r="H38" s="295">
        <v>0.5</v>
      </c>
      <c r="I38" s="84" t="e">
        <f>G38*H38</f>
        <v>#REF!</v>
      </c>
      <c r="K38" s="77">
        <v>34</v>
      </c>
    </row>
    <row r="39" spans="1:11">
      <c r="A39" s="40">
        <v>5</v>
      </c>
      <c r="B39" s="41" t="s">
        <v>8</v>
      </c>
      <c r="C39" s="42" t="str">
        <f>Gia_Tbi!C9</f>
        <v>Cái</v>
      </c>
      <c r="D39" s="42">
        <f>Gia_Tbi!D9</f>
        <v>0.8</v>
      </c>
      <c r="E39" s="117">
        <f>Gia_Tbi!E9</f>
        <v>8</v>
      </c>
      <c r="F39" s="86">
        <f>Gia_Tbi!F9</f>
        <v>45200000</v>
      </c>
      <c r="G39" s="87">
        <f>Gia_Tbi!G9</f>
        <v>11300</v>
      </c>
      <c r="H39" s="296" t="e">
        <f>(H35*D35+H36*D36+H37*D37+H38*D38)*8</f>
        <v>#REF!</v>
      </c>
      <c r="I39" s="120" t="e">
        <f>G39*H39*E39</f>
        <v>#REF!</v>
      </c>
      <c r="K39" s="77">
        <v>35</v>
      </c>
    </row>
    <row r="40" spans="1:11" s="81" customFormat="1">
      <c r="A40" s="31" t="e">
        <f>#REF!</f>
        <v>#REF!</v>
      </c>
      <c r="B40" s="32" t="e">
        <f>#REF!</f>
        <v>#REF!</v>
      </c>
      <c r="C40" s="15"/>
      <c r="D40" s="15"/>
      <c r="E40" s="15"/>
      <c r="F40" s="78"/>
      <c r="G40" s="79"/>
      <c r="H40" s="111"/>
      <c r="I40" s="80" t="e">
        <f>SUM(I41:I44)</f>
        <v>#REF!</v>
      </c>
      <c r="K40" s="77">
        <v>36</v>
      </c>
    </row>
    <row r="41" spans="1:11">
      <c r="A41" s="13">
        <v>1</v>
      </c>
      <c r="B41" s="5" t="s">
        <v>82</v>
      </c>
      <c r="C41" s="6" t="str">
        <f>Gia_Tbi!C4</f>
        <v>Cái</v>
      </c>
      <c r="D41" s="6">
        <f>Gia_Tbi!D4</f>
        <v>0.4</v>
      </c>
      <c r="E41" s="6">
        <f>Gia_Tbi!E4</f>
        <v>5</v>
      </c>
      <c r="F41" s="82">
        <f>Gia_Tbi!F4</f>
        <v>10000000</v>
      </c>
      <c r="G41" s="83">
        <f>Gia_Tbi!G4</f>
        <v>4000</v>
      </c>
      <c r="H41" s="295">
        <v>4.2</v>
      </c>
      <c r="I41" s="84">
        <f>G41*H41</f>
        <v>16800</v>
      </c>
      <c r="K41" s="77">
        <v>37</v>
      </c>
    </row>
    <row r="42" spans="1:11">
      <c r="A42" s="13">
        <v>2</v>
      </c>
      <c r="B42" s="5" t="s">
        <v>83</v>
      </c>
      <c r="C42" s="6" t="str">
        <f>Gia_Tbi!C5</f>
        <v>Cái</v>
      </c>
      <c r="D42" s="6">
        <f>Gia_Tbi!D5</f>
        <v>0.6</v>
      </c>
      <c r="E42" s="6">
        <f>Gia_Tbi!E5</f>
        <v>5</v>
      </c>
      <c r="F42" s="82">
        <f>Gia_Tbi!F5</f>
        <v>2500000</v>
      </c>
      <c r="G42" s="83">
        <f>Gia_Tbi!G5</f>
        <v>1000</v>
      </c>
      <c r="H42" s="295">
        <v>0.5</v>
      </c>
      <c r="I42" s="84">
        <f>G42*H42</f>
        <v>500</v>
      </c>
      <c r="K42" s="77">
        <v>38</v>
      </c>
    </row>
    <row r="43" spans="1:11">
      <c r="A43" s="13">
        <v>3</v>
      </c>
      <c r="B43" s="5" t="s">
        <v>25</v>
      </c>
      <c r="C43" s="6" t="str">
        <f>Gia_Tbi!C6</f>
        <v>Cái</v>
      </c>
      <c r="D43" s="6">
        <f>Gia_Tbi!D6</f>
        <v>2.2000000000000002</v>
      </c>
      <c r="E43" s="6">
        <f>Gia_Tbi!E6</f>
        <v>8</v>
      </c>
      <c r="F43" s="82">
        <f>Gia_Tbi!F6</f>
        <v>12000000</v>
      </c>
      <c r="G43" s="83">
        <f>Gia_Tbi!G6</f>
        <v>3000</v>
      </c>
      <c r="H43" s="295">
        <v>1.4</v>
      </c>
      <c r="I43" s="84">
        <f>G43*H43</f>
        <v>4200</v>
      </c>
      <c r="K43" s="77">
        <v>39</v>
      </c>
    </row>
    <row r="44" spans="1:11">
      <c r="A44" s="13">
        <v>4</v>
      </c>
      <c r="B44" s="5" t="s">
        <v>24</v>
      </c>
      <c r="C44" s="6" t="e">
        <f>Gia_Tbi!#REF!</f>
        <v>#REF!</v>
      </c>
      <c r="D44" s="6" t="e">
        <f>Gia_Tbi!#REF!</f>
        <v>#REF!</v>
      </c>
      <c r="E44" s="6" t="e">
        <f>Gia_Tbi!#REF!</f>
        <v>#REF!</v>
      </c>
      <c r="F44" s="82" t="e">
        <f>Gia_Tbi!#REF!</f>
        <v>#REF!</v>
      </c>
      <c r="G44" s="83" t="e">
        <f>Gia_Tbi!#REF!</f>
        <v>#REF!</v>
      </c>
      <c r="H44" s="295">
        <v>0.5</v>
      </c>
      <c r="I44" s="84" t="e">
        <f>G44*H44</f>
        <v>#REF!</v>
      </c>
      <c r="K44" s="77">
        <v>40</v>
      </c>
    </row>
    <row r="45" spans="1:11">
      <c r="A45" s="40">
        <v>5</v>
      </c>
      <c r="B45" s="41" t="s">
        <v>8</v>
      </c>
      <c r="C45" s="42" t="str">
        <f>Gia_Tbi!C9</f>
        <v>Cái</v>
      </c>
      <c r="D45" s="42">
        <f>Gia_Tbi!D9</f>
        <v>0.8</v>
      </c>
      <c r="E45" s="117">
        <f>Gia_Tbi!E9</f>
        <v>8</v>
      </c>
      <c r="F45" s="86">
        <f>Gia_Tbi!F9</f>
        <v>45200000</v>
      </c>
      <c r="G45" s="87">
        <f>Gia_Tbi!G9</f>
        <v>11300</v>
      </c>
      <c r="H45" s="296" t="e">
        <f>(H41*D41+H42*D42+H43*D43+H44*D44)*8</f>
        <v>#REF!</v>
      </c>
      <c r="I45" s="120" t="e">
        <f>G45*H45*E45</f>
        <v>#REF!</v>
      </c>
      <c r="K45" s="77">
        <v>41</v>
      </c>
    </row>
    <row r="46" spans="1:11" s="4" customFormat="1">
      <c r="A46" s="12" t="e">
        <f>#REF!</f>
        <v>#REF!</v>
      </c>
      <c r="B46" s="8" t="e">
        <f>#REF!</f>
        <v>#REF!</v>
      </c>
      <c r="C46" s="7"/>
      <c r="D46" s="7"/>
      <c r="E46" s="7"/>
      <c r="F46" s="93"/>
      <c r="G46" s="94"/>
      <c r="H46" s="298"/>
      <c r="I46" s="95"/>
      <c r="K46" s="77">
        <v>42</v>
      </c>
    </row>
    <row r="47" spans="1:11" s="81" customFormat="1">
      <c r="A47" s="31" t="e">
        <f>#REF!</f>
        <v>#REF!</v>
      </c>
      <c r="B47" s="32" t="e">
        <f>#REF!</f>
        <v>#REF!</v>
      </c>
      <c r="C47" s="15"/>
      <c r="D47" s="15"/>
      <c r="E47" s="15"/>
      <c r="F47" s="78"/>
      <c r="G47" s="79"/>
      <c r="H47" s="111"/>
      <c r="I47" s="80" t="e">
        <f>SUM(I48:I51)</f>
        <v>#REF!</v>
      </c>
      <c r="K47" s="77">
        <v>43</v>
      </c>
    </row>
    <row r="48" spans="1:11">
      <c r="A48" s="13">
        <v>1</v>
      </c>
      <c r="B48" s="5" t="s">
        <v>82</v>
      </c>
      <c r="C48" s="6" t="str">
        <f>Gia_Tbi!C4</f>
        <v>Cái</v>
      </c>
      <c r="D48" s="6">
        <f>Gia_Tbi!D4</f>
        <v>0.4</v>
      </c>
      <c r="E48" s="6">
        <f>Gia_Tbi!E4</f>
        <v>5</v>
      </c>
      <c r="F48" s="82">
        <f>Gia_Tbi!F4</f>
        <v>10000000</v>
      </c>
      <c r="G48" s="83">
        <f>Gia_Tbi!G4</f>
        <v>4000</v>
      </c>
      <c r="H48" s="295">
        <v>4</v>
      </c>
      <c r="I48" s="84">
        <f>G48*H48</f>
        <v>16000</v>
      </c>
      <c r="K48" s="77">
        <v>44</v>
      </c>
    </row>
    <row r="49" spans="1:11">
      <c r="A49" s="13">
        <v>2</v>
      </c>
      <c r="B49" s="5" t="s">
        <v>83</v>
      </c>
      <c r="C49" s="6" t="str">
        <f>Gia_Tbi!C5</f>
        <v>Cái</v>
      </c>
      <c r="D49" s="6">
        <f>Gia_Tbi!D5</f>
        <v>0.6</v>
      </c>
      <c r="E49" s="6">
        <f>Gia_Tbi!E5</f>
        <v>5</v>
      </c>
      <c r="F49" s="82">
        <f>Gia_Tbi!F5</f>
        <v>2500000</v>
      </c>
      <c r="G49" s="83">
        <f>Gia_Tbi!G5</f>
        <v>1000</v>
      </c>
      <c r="H49" s="295">
        <v>1.5</v>
      </c>
      <c r="I49" s="84">
        <f>G49*H49</f>
        <v>1500</v>
      </c>
      <c r="K49" s="77">
        <v>45</v>
      </c>
    </row>
    <row r="50" spans="1:11">
      <c r="A50" s="13">
        <v>3</v>
      </c>
      <c r="B50" s="5" t="s">
        <v>25</v>
      </c>
      <c r="C50" s="6" t="str">
        <f>Gia_Tbi!C6</f>
        <v>Cái</v>
      </c>
      <c r="D50" s="6">
        <f>Gia_Tbi!D6</f>
        <v>2.2000000000000002</v>
      </c>
      <c r="E50" s="6">
        <f>Gia_Tbi!E6</f>
        <v>8</v>
      </c>
      <c r="F50" s="82">
        <f>Gia_Tbi!F6</f>
        <v>12000000</v>
      </c>
      <c r="G50" s="83">
        <f>Gia_Tbi!G6</f>
        <v>3000</v>
      </c>
      <c r="H50" s="295">
        <v>0.67</v>
      </c>
      <c r="I50" s="84">
        <f>G50*H50</f>
        <v>2010.0000000000002</v>
      </c>
      <c r="K50" s="77">
        <v>46</v>
      </c>
    </row>
    <row r="51" spans="1:11">
      <c r="A51" s="13">
        <v>4</v>
      </c>
      <c r="B51" s="5" t="s">
        <v>24</v>
      </c>
      <c r="C51" s="6" t="e">
        <f>Gia_Tbi!#REF!</f>
        <v>#REF!</v>
      </c>
      <c r="D51" s="6" t="e">
        <f>Gia_Tbi!#REF!</f>
        <v>#REF!</v>
      </c>
      <c r="E51" s="6" t="e">
        <f>Gia_Tbi!#REF!</f>
        <v>#REF!</v>
      </c>
      <c r="F51" s="82" t="e">
        <f>Gia_Tbi!#REF!</f>
        <v>#REF!</v>
      </c>
      <c r="G51" s="83" t="e">
        <f>Gia_Tbi!#REF!</f>
        <v>#REF!</v>
      </c>
      <c r="H51" s="295">
        <v>0.5</v>
      </c>
      <c r="I51" s="84" t="e">
        <f>G51*H51</f>
        <v>#REF!</v>
      </c>
      <c r="K51" s="77">
        <v>47</v>
      </c>
    </row>
    <row r="52" spans="1:11">
      <c r="A52" s="40">
        <v>5</v>
      </c>
      <c r="B52" s="41" t="s">
        <v>8</v>
      </c>
      <c r="C52" s="42" t="str">
        <f>Gia_Tbi!C9</f>
        <v>Cái</v>
      </c>
      <c r="D52" s="42">
        <f>Gia_Tbi!D9</f>
        <v>0.8</v>
      </c>
      <c r="E52" s="117">
        <f>Gia_Tbi!E9</f>
        <v>8</v>
      </c>
      <c r="F52" s="86">
        <f>Gia_Tbi!F9</f>
        <v>45200000</v>
      </c>
      <c r="G52" s="87">
        <f>Gia_Tbi!G9</f>
        <v>11300</v>
      </c>
      <c r="H52" s="296" t="e">
        <f>(H48*D48+H49*D49+H50*D50+H51*D51)*8</f>
        <v>#REF!</v>
      </c>
      <c r="I52" s="120" t="e">
        <f>G52*H52*E52</f>
        <v>#REF!</v>
      </c>
      <c r="K52" s="77">
        <v>48</v>
      </c>
    </row>
    <row r="53" spans="1:11" s="81" customFormat="1" hidden="1">
      <c r="A53" s="31" t="e">
        <f>#REF!</f>
        <v>#REF!</v>
      </c>
      <c r="B53" s="32" t="e">
        <f>#REF!</f>
        <v>#REF!</v>
      </c>
      <c r="C53" s="15"/>
      <c r="D53" s="15"/>
      <c r="E53" s="15"/>
      <c r="F53" s="78"/>
      <c r="G53" s="79"/>
      <c r="H53" s="111"/>
      <c r="I53" s="80"/>
      <c r="K53" s="77">
        <v>49</v>
      </c>
    </row>
    <row r="54" spans="1:11" hidden="1">
      <c r="A54" s="192" t="e">
        <f>#REF!</f>
        <v>#REF!</v>
      </c>
      <c r="B54" s="193" t="e">
        <f>#REF!</f>
        <v>#REF!</v>
      </c>
      <c r="C54" s="194"/>
      <c r="D54" s="194"/>
      <c r="E54" s="194"/>
      <c r="F54" s="205"/>
      <c r="G54" s="206"/>
      <c r="H54" s="299"/>
      <c r="I54" s="207"/>
      <c r="K54" s="77">
        <v>50</v>
      </c>
    </row>
    <row r="55" spans="1:11" hidden="1">
      <c r="A55" s="192" t="e">
        <f>#REF!</f>
        <v>#REF!</v>
      </c>
      <c r="B55" s="193" t="e">
        <f>#REF!</f>
        <v>#REF!</v>
      </c>
      <c r="C55" s="194"/>
      <c r="D55" s="194"/>
      <c r="E55" s="194"/>
      <c r="F55" s="205"/>
      <c r="G55" s="206"/>
      <c r="H55" s="299"/>
      <c r="I55" s="207"/>
      <c r="K55" s="77">
        <v>51</v>
      </c>
    </row>
    <row r="56" spans="1:11" hidden="1">
      <c r="A56" s="192" t="e">
        <f>#REF!</f>
        <v>#REF!</v>
      </c>
      <c r="B56" s="193" t="e">
        <f>#REF!</f>
        <v>#REF!</v>
      </c>
      <c r="C56" s="194"/>
      <c r="D56" s="194"/>
      <c r="E56" s="194"/>
      <c r="F56" s="205"/>
      <c r="G56" s="206"/>
      <c r="H56" s="299"/>
      <c r="I56" s="207"/>
      <c r="K56" s="77">
        <v>52</v>
      </c>
    </row>
    <row r="57" spans="1:11" hidden="1">
      <c r="A57" s="192" t="e">
        <f>#REF!</f>
        <v>#REF!</v>
      </c>
      <c r="B57" s="193" t="e">
        <f>#REF!</f>
        <v>#REF!</v>
      </c>
      <c r="C57" s="194"/>
      <c r="D57" s="194"/>
      <c r="E57" s="194"/>
      <c r="F57" s="205"/>
      <c r="G57" s="206"/>
      <c r="H57" s="299"/>
      <c r="I57" s="207"/>
      <c r="K57" s="77">
        <v>53</v>
      </c>
    </row>
    <row r="58" spans="1:11" hidden="1">
      <c r="A58" s="208" t="e">
        <f>#REF!</f>
        <v>#REF!</v>
      </c>
      <c r="B58" s="209" t="e">
        <f>#REF!</f>
        <v>#REF!</v>
      </c>
      <c r="C58" s="202"/>
      <c r="D58" s="202"/>
      <c r="E58" s="203"/>
      <c r="F58" s="210"/>
      <c r="G58" s="211"/>
      <c r="H58" s="300"/>
      <c r="I58" s="212"/>
      <c r="K58" s="77">
        <v>54</v>
      </c>
    </row>
    <row r="59" spans="1:11" s="4" customFormat="1" hidden="1">
      <c r="A59" s="197" t="e">
        <f>#REF!</f>
        <v>#REF!</v>
      </c>
      <c r="B59" s="198" t="e">
        <f>#REF!</f>
        <v>#REF!</v>
      </c>
      <c r="C59" s="199"/>
      <c r="D59" s="199"/>
      <c r="E59" s="199"/>
      <c r="F59" s="213"/>
      <c r="G59" s="214"/>
      <c r="H59" s="301"/>
      <c r="I59" s="215"/>
      <c r="K59" s="77">
        <v>55</v>
      </c>
    </row>
    <row r="60" spans="1:11" hidden="1">
      <c r="A60" s="192" t="e">
        <f>#REF!</f>
        <v>#REF!</v>
      </c>
      <c r="B60" s="193" t="e">
        <f>#REF!</f>
        <v>#REF!</v>
      </c>
      <c r="C60" s="194"/>
      <c r="D60" s="194"/>
      <c r="E60" s="194"/>
      <c r="F60" s="205"/>
      <c r="G60" s="206"/>
      <c r="H60" s="299"/>
      <c r="I60" s="207"/>
      <c r="K60" s="77">
        <v>56</v>
      </c>
    </row>
    <row r="61" spans="1:11" s="4" customFormat="1" hidden="1">
      <c r="A61" s="197" t="e">
        <f>#REF!</f>
        <v>#REF!</v>
      </c>
      <c r="B61" s="198" t="e">
        <f>#REF!</f>
        <v>#REF!</v>
      </c>
      <c r="C61" s="199"/>
      <c r="D61" s="199"/>
      <c r="E61" s="199"/>
      <c r="F61" s="213"/>
      <c r="G61" s="214"/>
      <c r="H61" s="301"/>
      <c r="I61" s="215"/>
      <c r="K61" s="77">
        <v>57</v>
      </c>
    </row>
    <row r="62" spans="1:11" hidden="1">
      <c r="A62" s="192" t="e">
        <f>#REF!</f>
        <v>#REF!</v>
      </c>
      <c r="B62" s="193" t="e">
        <f>#REF!</f>
        <v>#REF!</v>
      </c>
      <c r="C62" s="194"/>
      <c r="D62" s="194"/>
      <c r="E62" s="194"/>
      <c r="F62" s="205"/>
      <c r="G62" s="206"/>
      <c r="H62" s="299"/>
      <c r="I62" s="207"/>
      <c r="K62" s="77">
        <v>58</v>
      </c>
    </row>
    <row r="63" spans="1:11" hidden="1">
      <c r="A63" s="192" t="e">
        <f>#REF!</f>
        <v>#REF!</v>
      </c>
      <c r="B63" s="193" t="e">
        <f>#REF!</f>
        <v>#REF!</v>
      </c>
      <c r="C63" s="194"/>
      <c r="D63" s="194"/>
      <c r="E63" s="194"/>
      <c r="F63" s="205"/>
      <c r="G63" s="206"/>
      <c r="H63" s="299"/>
      <c r="I63" s="207"/>
      <c r="K63" s="77">
        <v>59</v>
      </c>
    </row>
    <row r="64" spans="1:11" hidden="1">
      <c r="A64" s="192" t="e">
        <f>#REF!</f>
        <v>#REF!</v>
      </c>
      <c r="B64" s="193" t="e">
        <f>#REF!</f>
        <v>#REF!</v>
      </c>
      <c r="C64" s="194"/>
      <c r="D64" s="194"/>
      <c r="E64" s="194"/>
      <c r="F64" s="205"/>
      <c r="G64" s="206"/>
      <c r="H64" s="299"/>
      <c r="I64" s="207"/>
      <c r="K64" s="77">
        <v>60</v>
      </c>
    </row>
    <row r="65" spans="1:11" hidden="1">
      <c r="A65" s="192" t="e">
        <f>#REF!</f>
        <v>#REF!</v>
      </c>
      <c r="B65" s="193" t="e">
        <f>#REF!</f>
        <v>#REF!</v>
      </c>
      <c r="C65" s="194"/>
      <c r="D65" s="194"/>
      <c r="E65" s="194"/>
      <c r="F65" s="205"/>
      <c r="G65" s="206"/>
      <c r="H65" s="299"/>
      <c r="I65" s="207"/>
      <c r="K65" s="77">
        <v>61</v>
      </c>
    </row>
    <row r="66" spans="1:11" hidden="1">
      <c r="A66" s="192" t="e">
        <f>#REF!</f>
        <v>#REF!</v>
      </c>
      <c r="B66" s="193" t="e">
        <f>#REF!</f>
        <v>#REF!</v>
      </c>
      <c r="C66" s="194"/>
      <c r="D66" s="194"/>
      <c r="E66" s="194"/>
      <c r="F66" s="205"/>
      <c r="G66" s="206"/>
      <c r="H66" s="299"/>
      <c r="I66" s="207"/>
      <c r="K66" s="77">
        <v>62</v>
      </c>
    </row>
    <row r="67" spans="1:11" hidden="1">
      <c r="A67" s="192" t="e">
        <f>#REF!</f>
        <v>#REF!</v>
      </c>
      <c r="B67" s="193" t="e">
        <f>#REF!</f>
        <v>#REF!</v>
      </c>
      <c r="C67" s="194"/>
      <c r="D67" s="194"/>
      <c r="E67" s="194"/>
      <c r="F67" s="205"/>
      <c r="G67" s="206"/>
      <c r="H67" s="299"/>
      <c r="I67" s="207"/>
      <c r="K67" s="77">
        <v>63</v>
      </c>
    </row>
    <row r="68" spans="1:11" hidden="1">
      <c r="A68" s="192" t="e">
        <f>#REF!</f>
        <v>#REF!</v>
      </c>
      <c r="B68" s="193" t="e">
        <f>#REF!</f>
        <v>#REF!</v>
      </c>
      <c r="C68" s="194"/>
      <c r="D68" s="194"/>
      <c r="E68" s="194"/>
      <c r="F68" s="205"/>
      <c r="G68" s="206"/>
      <c r="H68" s="299"/>
      <c r="I68" s="207"/>
      <c r="K68" s="77">
        <v>64</v>
      </c>
    </row>
    <row r="69" spans="1:11" hidden="1">
      <c r="A69" s="192" t="e">
        <f>#REF!</f>
        <v>#REF!</v>
      </c>
      <c r="B69" s="193" t="e">
        <f>#REF!</f>
        <v>#REF!</v>
      </c>
      <c r="C69" s="194"/>
      <c r="D69" s="194"/>
      <c r="E69" s="194"/>
      <c r="F69" s="205"/>
      <c r="G69" s="206"/>
      <c r="H69" s="299"/>
      <c r="I69" s="207"/>
      <c r="K69" s="77">
        <v>65</v>
      </c>
    </row>
    <row r="70" spans="1:11" hidden="1">
      <c r="A70" s="192" t="e">
        <f>#REF!</f>
        <v>#REF!</v>
      </c>
      <c r="B70" s="193" t="e">
        <f>#REF!</f>
        <v>#REF!</v>
      </c>
      <c r="C70" s="194"/>
      <c r="D70" s="194"/>
      <c r="E70" s="194"/>
      <c r="F70" s="205"/>
      <c r="G70" s="206"/>
      <c r="H70" s="299"/>
      <c r="I70" s="207"/>
      <c r="K70" s="77">
        <v>66</v>
      </c>
    </row>
    <row r="71" spans="1:11" hidden="1">
      <c r="A71" s="192" t="e">
        <f>#REF!</f>
        <v>#REF!</v>
      </c>
      <c r="B71" s="193" t="e">
        <f>#REF!</f>
        <v>#REF!</v>
      </c>
      <c r="C71" s="194"/>
      <c r="D71" s="194"/>
      <c r="E71" s="194"/>
      <c r="F71" s="205"/>
      <c r="G71" s="206"/>
      <c r="H71" s="299"/>
      <c r="I71" s="207"/>
      <c r="K71" s="77">
        <v>67</v>
      </c>
    </row>
    <row r="72" spans="1:11" hidden="1">
      <c r="A72" s="192" t="e">
        <f>#REF!</f>
        <v>#REF!</v>
      </c>
      <c r="B72" s="193" t="e">
        <f>#REF!</f>
        <v>#REF!</v>
      </c>
      <c r="C72" s="194"/>
      <c r="D72" s="194"/>
      <c r="E72" s="194"/>
      <c r="F72" s="205"/>
      <c r="G72" s="206"/>
      <c r="H72" s="299"/>
      <c r="I72" s="207"/>
      <c r="K72" s="77">
        <v>68</v>
      </c>
    </row>
    <row r="73" spans="1:11" hidden="1">
      <c r="A73" s="192" t="e">
        <f>#REF!</f>
        <v>#REF!</v>
      </c>
      <c r="B73" s="193" t="e">
        <f>#REF!</f>
        <v>#REF!</v>
      </c>
      <c r="C73" s="194"/>
      <c r="D73" s="194"/>
      <c r="E73" s="194"/>
      <c r="F73" s="205"/>
      <c r="G73" s="206"/>
      <c r="H73" s="299"/>
      <c r="I73" s="207"/>
      <c r="K73" s="77">
        <v>69</v>
      </c>
    </row>
    <row r="74" spans="1:11" s="4" customFormat="1">
      <c r="A74" s="12" t="e">
        <f>#REF!</f>
        <v>#REF!</v>
      </c>
      <c r="B74" s="8" t="e">
        <f>#REF!</f>
        <v>#REF!</v>
      </c>
      <c r="C74" s="7"/>
      <c r="D74" s="7"/>
      <c r="E74" s="7"/>
      <c r="F74" s="93"/>
      <c r="G74" s="94"/>
      <c r="H74" s="298"/>
      <c r="I74" s="95"/>
      <c r="K74" s="77">
        <v>70</v>
      </c>
    </row>
    <row r="75" spans="1:11" s="81" customFormat="1">
      <c r="A75" s="31" t="e">
        <f>#REF!</f>
        <v>#REF!</v>
      </c>
      <c r="B75" s="32" t="e">
        <f>#REF!</f>
        <v>#REF!</v>
      </c>
      <c r="C75" s="15"/>
      <c r="D75" s="15"/>
      <c r="E75" s="15"/>
      <c r="F75" s="78"/>
      <c r="G75" s="79"/>
      <c r="H75" s="111"/>
      <c r="I75" s="80" t="e">
        <f>SUM(I76:I79)</f>
        <v>#REF!</v>
      </c>
      <c r="K75" s="77">
        <v>71</v>
      </c>
    </row>
    <row r="76" spans="1:11">
      <c r="A76" s="13">
        <v>1</v>
      </c>
      <c r="B76" s="5" t="s">
        <v>82</v>
      </c>
      <c r="C76" s="6" t="str">
        <f>Gia_Tbi!C4</f>
        <v>Cái</v>
      </c>
      <c r="D76" s="6">
        <f>Gia_Tbi!D4</f>
        <v>0.4</v>
      </c>
      <c r="E76" s="6">
        <f>Gia_Tbi!E4</f>
        <v>5</v>
      </c>
      <c r="F76" s="82">
        <f>Gia_Tbi!F4</f>
        <v>10000000</v>
      </c>
      <c r="G76" s="83">
        <f>Gia_Tbi!G4</f>
        <v>4000</v>
      </c>
      <c r="H76" s="295">
        <v>100</v>
      </c>
      <c r="I76" s="84">
        <f>G76*H76</f>
        <v>400000</v>
      </c>
      <c r="K76" s="77">
        <v>72</v>
      </c>
    </row>
    <row r="77" spans="1:11">
      <c r="A77" s="13">
        <v>2</v>
      </c>
      <c r="B77" s="5" t="s">
        <v>83</v>
      </c>
      <c r="C77" s="6" t="str">
        <f>Gia_Tbi!C5</f>
        <v>Cái</v>
      </c>
      <c r="D77" s="6">
        <f>Gia_Tbi!D5</f>
        <v>0.6</v>
      </c>
      <c r="E77" s="6">
        <f>Gia_Tbi!E5</f>
        <v>5</v>
      </c>
      <c r="F77" s="82">
        <f>Gia_Tbi!F5</f>
        <v>2500000</v>
      </c>
      <c r="G77" s="83">
        <f>Gia_Tbi!G5</f>
        <v>1000</v>
      </c>
      <c r="H77" s="295">
        <v>4.5999999999999996</v>
      </c>
      <c r="I77" s="84">
        <f>G77*H77</f>
        <v>4600</v>
      </c>
      <c r="K77" s="77">
        <v>73</v>
      </c>
    </row>
    <row r="78" spans="1:11">
      <c r="A78" s="13">
        <v>3</v>
      </c>
      <c r="B78" s="5" t="s">
        <v>25</v>
      </c>
      <c r="C78" s="6" t="str">
        <f>Gia_Tbi!C6</f>
        <v>Cái</v>
      </c>
      <c r="D78" s="6">
        <f>Gia_Tbi!D6</f>
        <v>2.2000000000000002</v>
      </c>
      <c r="E78" s="6">
        <f>Gia_Tbi!E6</f>
        <v>8</v>
      </c>
      <c r="F78" s="82">
        <f>Gia_Tbi!F6</f>
        <v>12000000</v>
      </c>
      <c r="G78" s="83">
        <f>Gia_Tbi!G6</f>
        <v>3000</v>
      </c>
      <c r="H78" s="295">
        <v>16.667000000000002</v>
      </c>
      <c r="I78" s="84">
        <f>G78*H78</f>
        <v>50001.000000000007</v>
      </c>
      <c r="K78" s="77">
        <v>74</v>
      </c>
    </row>
    <row r="79" spans="1:11">
      <c r="A79" s="13">
        <v>4</v>
      </c>
      <c r="B79" s="5" t="s">
        <v>24</v>
      </c>
      <c r="C79" s="6" t="e">
        <f>Gia_Tbi!#REF!</f>
        <v>#REF!</v>
      </c>
      <c r="D79" s="6" t="e">
        <f>Gia_Tbi!#REF!</f>
        <v>#REF!</v>
      </c>
      <c r="E79" s="6" t="e">
        <f>Gia_Tbi!#REF!</f>
        <v>#REF!</v>
      </c>
      <c r="F79" s="82" t="e">
        <f>Gia_Tbi!#REF!</f>
        <v>#REF!</v>
      </c>
      <c r="G79" s="83" t="e">
        <f>Gia_Tbi!#REF!</f>
        <v>#REF!</v>
      </c>
      <c r="H79" s="295">
        <v>5.62</v>
      </c>
      <c r="I79" s="84" t="e">
        <f>G79*H79</f>
        <v>#REF!</v>
      </c>
      <c r="K79" s="77">
        <v>75</v>
      </c>
    </row>
    <row r="80" spans="1:11">
      <c r="A80" s="13">
        <v>5</v>
      </c>
      <c r="B80" s="5" t="s">
        <v>8</v>
      </c>
      <c r="C80" s="6" t="str">
        <f>Gia_Tbi!C9</f>
        <v>Cái</v>
      </c>
      <c r="D80" s="6">
        <f>Gia_Tbi!D9</f>
        <v>0.8</v>
      </c>
      <c r="E80" s="76">
        <f>Gia_Tbi!E9</f>
        <v>8</v>
      </c>
      <c r="F80" s="82">
        <f>Gia_Tbi!F9</f>
        <v>45200000</v>
      </c>
      <c r="G80" s="83">
        <f>Gia_Tbi!G9</f>
        <v>11300</v>
      </c>
      <c r="H80" s="296" t="e">
        <f>(H76*D76+H77*D77+H78*D78+H79*D79)*8</f>
        <v>#REF!</v>
      </c>
      <c r="I80" s="120" t="e">
        <f>G80*H80*E80</f>
        <v>#REF!</v>
      </c>
      <c r="K80" s="77">
        <v>76</v>
      </c>
    </row>
    <row r="81" spans="1:11" s="81" customFormat="1">
      <c r="A81" s="31" t="e">
        <f>#REF!</f>
        <v>#REF!</v>
      </c>
      <c r="B81" s="32" t="e">
        <f>#REF!</f>
        <v>#REF!</v>
      </c>
      <c r="C81" s="15"/>
      <c r="D81" s="15"/>
      <c r="E81" s="15"/>
      <c r="F81" s="78"/>
      <c r="G81" s="79"/>
      <c r="H81" s="111"/>
      <c r="I81" s="80" t="e">
        <f>SUM(I82:I85)</f>
        <v>#REF!</v>
      </c>
      <c r="K81" s="77">
        <v>77</v>
      </c>
    </row>
    <row r="82" spans="1:11">
      <c r="A82" s="13">
        <v>1</v>
      </c>
      <c r="B82" s="5" t="s">
        <v>82</v>
      </c>
      <c r="C82" s="6" t="str">
        <f>Gia_Tbi!C4</f>
        <v>Cái</v>
      </c>
      <c r="D82" s="6">
        <f>Gia_Tbi!D4</f>
        <v>0.4</v>
      </c>
      <c r="E82" s="6">
        <f>Gia_Tbi!E4</f>
        <v>5</v>
      </c>
      <c r="F82" s="82">
        <f>Gia_Tbi!F4</f>
        <v>10000000</v>
      </c>
      <c r="G82" s="83">
        <f>Gia_Tbi!G4</f>
        <v>4000</v>
      </c>
      <c r="H82" s="295">
        <v>100</v>
      </c>
      <c r="I82" s="84">
        <f>G82*H82</f>
        <v>400000</v>
      </c>
      <c r="K82" s="77">
        <v>78</v>
      </c>
    </row>
    <row r="83" spans="1:11">
      <c r="A83" s="13">
        <v>2</v>
      </c>
      <c r="B83" s="5" t="s">
        <v>83</v>
      </c>
      <c r="C83" s="6" t="str">
        <f>Gia_Tbi!C5</f>
        <v>Cái</v>
      </c>
      <c r="D83" s="6">
        <f>Gia_Tbi!D5</f>
        <v>0.6</v>
      </c>
      <c r="E83" s="6">
        <f>Gia_Tbi!E5</f>
        <v>5</v>
      </c>
      <c r="F83" s="82">
        <f>Gia_Tbi!F5</f>
        <v>2500000</v>
      </c>
      <c r="G83" s="83">
        <f>Gia_Tbi!G5</f>
        <v>1000</v>
      </c>
      <c r="H83" s="295">
        <v>4.5999999999999996</v>
      </c>
      <c r="I83" s="84">
        <f>G83*H83</f>
        <v>4600</v>
      </c>
      <c r="K83" s="77">
        <v>79</v>
      </c>
    </row>
    <row r="84" spans="1:11">
      <c r="A84" s="13">
        <v>3</v>
      </c>
      <c r="B84" s="5" t="s">
        <v>25</v>
      </c>
      <c r="C84" s="6" t="str">
        <f>Gia_Tbi!C6</f>
        <v>Cái</v>
      </c>
      <c r="D84" s="6">
        <f>Gia_Tbi!D6</f>
        <v>2.2000000000000002</v>
      </c>
      <c r="E84" s="6">
        <f>Gia_Tbi!E6</f>
        <v>8</v>
      </c>
      <c r="F84" s="82">
        <f>Gia_Tbi!F6</f>
        <v>12000000</v>
      </c>
      <c r="G84" s="83">
        <f>Gia_Tbi!G6</f>
        <v>3000</v>
      </c>
      <c r="H84" s="295">
        <v>16.667000000000002</v>
      </c>
      <c r="I84" s="84">
        <f>G84*H84</f>
        <v>50001.000000000007</v>
      </c>
      <c r="K84" s="77">
        <v>80</v>
      </c>
    </row>
    <row r="85" spans="1:11">
      <c r="A85" s="13">
        <v>4</v>
      </c>
      <c r="B85" s="5" t="s">
        <v>24</v>
      </c>
      <c r="C85" s="6" t="e">
        <f>Gia_Tbi!#REF!</f>
        <v>#REF!</v>
      </c>
      <c r="D85" s="6" t="e">
        <f>Gia_Tbi!#REF!</f>
        <v>#REF!</v>
      </c>
      <c r="E85" s="6" t="e">
        <f>Gia_Tbi!#REF!</f>
        <v>#REF!</v>
      </c>
      <c r="F85" s="82" t="e">
        <f>Gia_Tbi!#REF!</f>
        <v>#REF!</v>
      </c>
      <c r="G85" s="83" t="e">
        <f>Gia_Tbi!#REF!</f>
        <v>#REF!</v>
      </c>
      <c r="H85" s="295">
        <v>5.62</v>
      </c>
      <c r="I85" s="84" t="e">
        <f>G85*H85</f>
        <v>#REF!</v>
      </c>
      <c r="K85" s="77">
        <v>81</v>
      </c>
    </row>
    <row r="86" spans="1:11">
      <c r="A86" s="40">
        <v>5</v>
      </c>
      <c r="B86" s="41" t="s">
        <v>8</v>
      </c>
      <c r="C86" s="42" t="str">
        <f>Gia_Tbi!C9</f>
        <v>Cái</v>
      </c>
      <c r="D86" s="42">
        <f>Gia_Tbi!D9</f>
        <v>0.8</v>
      </c>
      <c r="E86" s="117">
        <f>Gia_Tbi!E9</f>
        <v>8</v>
      </c>
      <c r="F86" s="86">
        <f>Gia_Tbi!F9</f>
        <v>45200000</v>
      </c>
      <c r="G86" s="87">
        <f>Gia_Tbi!G9</f>
        <v>11300</v>
      </c>
      <c r="H86" s="296" t="e">
        <f>(H82*D82+H83*D83+H84*D84+H85*D85)*8</f>
        <v>#REF!</v>
      </c>
      <c r="I86" s="120" t="e">
        <f>G86*H86*E86</f>
        <v>#REF!</v>
      </c>
      <c r="K86" s="77">
        <v>82</v>
      </c>
    </row>
    <row r="87" spans="1:11" s="4" customFormat="1">
      <c r="A87" s="35" t="e">
        <f>#REF!</f>
        <v>#REF!</v>
      </c>
      <c r="B87" s="36" t="e">
        <f>#REF!</f>
        <v>#REF!</v>
      </c>
      <c r="C87" s="37"/>
      <c r="D87" s="37"/>
      <c r="E87" s="37"/>
      <c r="F87" s="89"/>
      <c r="G87" s="90"/>
      <c r="H87" s="297"/>
      <c r="I87" s="91"/>
      <c r="K87" s="77">
        <v>83</v>
      </c>
    </row>
    <row r="88" spans="1:11" s="81" customFormat="1">
      <c r="A88" s="31" t="e">
        <f>#REF!</f>
        <v>#REF!</v>
      </c>
      <c r="B88" s="32" t="e">
        <f>#REF!</f>
        <v>#REF!</v>
      </c>
      <c r="C88" s="15"/>
      <c r="D88" s="15"/>
      <c r="E88" s="15"/>
      <c r="F88" s="78"/>
      <c r="G88" s="79"/>
      <c r="H88" s="111"/>
      <c r="I88" s="80" t="e">
        <f>SUM(I89:I93)</f>
        <v>#REF!</v>
      </c>
      <c r="K88" s="77">
        <v>84</v>
      </c>
    </row>
    <row r="89" spans="1:11">
      <c r="A89" s="13">
        <v>1</v>
      </c>
      <c r="B89" s="5" t="s">
        <v>82</v>
      </c>
      <c r="C89" s="6" t="str">
        <f>Gia_Tbi!C4</f>
        <v>Cái</v>
      </c>
      <c r="D89" s="6">
        <f>Gia_Tbi!D4</f>
        <v>0.4</v>
      </c>
      <c r="E89" s="6">
        <f>Gia_Tbi!E4</f>
        <v>5</v>
      </c>
      <c r="F89" s="82">
        <f>Gia_Tbi!F4</f>
        <v>10000000</v>
      </c>
      <c r="G89" s="83">
        <f>Gia_Tbi!G4</f>
        <v>4000</v>
      </c>
      <c r="H89" s="295">
        <v>0.12</v>
      </c>
      <c r="I89" s="84">
        <f>G89*H89</f>
        <v>480</v>
      </c>
      <c r="K89" s="77">
        <v>85</v>
      </c>
    </row>
    <row r="90" spans="1:11">
      <c r="A90" s="13">
        <v>2</v>
      </c>
      <c r="B90" s="5" t="s">
        <v>83</v>
      </c>
      <c r="C90" s="6" t="str">
        <f>Gia_Tbi!C5</f>
        <v>Cái</v>
      </c>
      <c r="D90" s="6">
        <f>Gia_Tbi!D5</f>
        <v>0.6</v>
      </c>
      <c r="E90" s="6">
        <f>Gia_Tbi!E5</f>
        <v>5</v>
      </c>
      <c r="F90" s="82">
        <f>Gia_Tbi!F5</f>
        <v>2500000</v>
      </c>
      <c r="G90" s="83">
        <f>Gia_Tbi!G5</f>
        <v>1000</v>
      </c>
      <c r="H90" s="295">
        <v>5.0000000000000001E-3</v>
      </c>
      <c r="I90" s="84">
        <f>G90*H90</f>
        <v>5</v>
      </c>
      <c r="K90" s="77">
        <v>86</v>
      </c>
    </row>
    <row r="91" spans="1:11">
      <c r="A91" s="13">
        <v>3</v>
      </c>
      <c r="B91" s="5" t="s">
        <v>96</v>
      </c>
      <c r="C91" s="6" t="str">
        <f>Gia_Tbi!C8</f>
        <v>Cái</v>
      </c>
      <c r="D91" s="6">
        <f>Gia_Tbi!D8</f>
        <v>0.6</v>
      </c>
      <c r="E91" s="6">
        <f>Gia_Tbi!E8</f>
        <v>8</v>
      </c>
      <c r="F91" s="82">
        <f>Gia_Tbi!F8</f>
        <v>10000000</v>
      </c>
      <c r="G91" s="83">
        <f>Gia_Tbi!G8</f>
        <v>2500</v>
      </c>
      <c r="H91" s="295">
        <v>0.12</v>
      </c>
      <c r="I91" s="84">
        <f>G91*H91</f>
        <v>300</v>
      </c>
      <c r="K91" s="77">
        <v>87</v>
      </c>
    </row>
    <row r="92" spans="1:11">
      <c r="A92" s="13">
        <v>4</v>
      </c>
      <c r="B92" s="5" t="s">
        <v>25</v>
      </c>
      <c r="C92" s="6" t="str">
        <f>Gia_Tbi!C6</f>
        <v>Cái</v>
      </c>
      <c r="D92" s="6">
        <f>Gia_Tbi!D6</f>
        <v>2.2000000000000002</v>
      </c>
      <c r="E92" s="6">
        <f>Gia_Tbi!E6</f>
        <v>8</v>
      </c>
      <c r="F92" s="82">
        <f>Gia_Tbi!F6</f>
        <v>12000000</v>
      </c>
      <c r="G92" s="83">
        <f>Gia_Tbi!G6</f>
        <v>3000</v>
      </c>
      <c r="H92" s="295">
        <v>0.02</v>
      </c>
      <c r="I92" s="84">
        <f>G92*H92</f>
        <v>60</v>
      </c>
      <c r="K92" s="77">
        <v>88</v>
      </c>
    </row>
    <row r="93" spans="1:11">
      <c r="A93" s="13">
        <v>5</v>
      </c>
      <c r="B93" s="5" t="s">
        <v>24</v>
      </c>
      <c r="C93" s="6" t="e">
        <f>Gia_Tbi!#REF!</f>
        <v>#REF!</v>
      </c>
      <c r="D93" s="6" t="e">
        <f>Gia_Tbi!#REF!</f>
        <v>#REF!</v>
      </c>
      <c r="E93" s="6" t="e">
        <f>Gia_Tbi!#REF!</f>
        <v>#REF!</v>
      </c>
      <c r="F93" s="82" t="e">
        <f>Gia_Tbi!#REF!</f>
        <v>#REF!</v>
      </c>
      <c r="G93" s="83" t="e">
        <f>Gia_Tbi!#REF!</f>
        <v>#REF!</v>
      </c>
      <c r="H93" s="295">
        <v>4.0000000000000001E-3</v>
      </c>
      <c r="I93" s="84" t="e">
        <f>G93*H93</f>
        <v>#REF!</v>
      </c>
      <c r="K93" s="77">
        <v>89</v>
      </c>
    </row>
    <row r="94" spans="1:11">
      <c r="A94" s="13">
        <v>6</v>
      </c>
      <c r="B94" s="5" t="s">
        <v>8</v>
      </c>
      <c r="C94" s="6" t="str">
        <f>Gia_Tbi!C9</f>
        <v>Cái</v>
      </c>
      <c r="D94" s="6">
        <f>Gia_Tbi!D9</f>
        <v>0.8</v>
      </c>
      <c r="E94" s="76">
        <f>Gia_Tbi!E9</f>
        <v>8</v>
      </c>
      <c r="F94" s="82">
        <f>Gia_Tbi!F9</f>
        <v>45200000</v>
      </c>
      <c r="G94" s="83">
        <f>Gia_Tbi!G9</f>
        <v>11300</v>
      </c>
      <c r="H94" s="296" t="e">
        <f>(H89*D89+H90*D90+H91*D91+H92*D92+H93*D93)*8</f>
        <v>#REF!</v>
      </c>
      <c r="I94" s="120" t="e">
        <f>G94*H94*E94</f>
        <v>#REF!</v>
      </c>
      <c r="K94" s="77">
        <v>90</v>
      </c>
    </row>
    <row r="95" spans="1:11">
      <c r="A95" s="31" t="e">
        <f>#REF!</f>
        <v>#REF!</v>
      </c>
      <c r="B95" s="32" t="e">
        <f>#REF!</f>
        <v>#REF!</v>
      </c>
      <c r="C95" s="15"/>
      <c r="D95" s="15"/>
      <c r="E95" s="15"/>
      <c r="F95" s="78"/>
      <c r="G95" s="79"/>
      <c r="H95" s="317"/>
      <c r="I95" s="80"/>
      <c r="K95" s="77">
        <v>91</v>
      </c>
    </row>
    <row r="96" spans="1:11">
      <c r="A96" s="31" t="e">
        <f>#REF!</f>
        <v>#REF!</v>
      </c>
      <c r="B96" s="32" t="e">
        <f>#REF!</f>
        <v>#REF!</v>
      </c>
      <c r="C96" s="15"/>
      <c r="D96" s="15"/>
      <c r="E96" s="15"/>
      <c r="F96" s="78"/>
      <c r="G96" s="79"/>
      <c r="H96" s="317"/>
      <c r="I96" s="80"/>
      <c r="K96" s="77">
        <v>92</v>
      </c>
    </row>
    <row r="97" spans="1:11" s="81" customFormat="1">
      <c r="A97" s="31" t="e">
        <f>#REF!</f>
        <v>#REF!</v>
      </c>
      <c r="B97" s="32" t="e">
        <f>#REF!</f>
        <v>#REF!</v>
      </c>
      <c r="C97" s="15"/>
      <c r="D97" s="15"/>
      <c r="E97" s="15"/>
      <c r="F97" s="78"/>
      <c r="G97" s="79"/>
      <c r="H97" s="111"/>
      <c r="I97" s="80" t="e">
        <f>SUM(I98:I102)</f>
        <v>#REF!</v>
      </c>
      <c r="K97" s="77">
        <v>93</v>
      </c>
    </row>
    <row r="98" spans="1:11">
      <c r="A98" s="13">
        <v>1</v>
      </c>
      <c r="B98" s="5" t="s">
        <v>82</v>
      </c>
      <c r="C98" s="6" t="str">
        <f>Gia_Tbi!C4</f>
        <v>Cái</v>
      </c>
      <c r="D98" s="6">
        <f>Gia_Tbi!D4</f>
        <v>0.4</v>
      </c>
      <c r="E98" s="6">
        <f>Gia_Tbi!E4</f>
        <v>5</v>
      </c>
      <c r="F98" s="82">
        <f>Gia_Tbi!F4</f>
        <v>10000000</v>
      </c>
      <c r="G98" s="83">
        <f>Gia_Tbi!G4</f>
        <v>4000</v>
      </c>
      <c r="H98" s="295">
        <v>0.12</v>
      </c>
      <c r="I98" s="84">
        <f>G98*H98</f>
        <v>480</v>
      </c>
      <c r="K98" s="77">
        <v>94</v>
      </c>
    </row>
    <row r="99" spans="1:11">
      <c r="A99" s="13">
        <v>2</v>
      </c>
      <c r="B99" s="5" t="s">
        <v>83</v>
      </c>
      <c r="C99" s="6" t="str">
        <f>Gia_Tbi!C5</f>
        <v>Cái</v>
      </c>
      <c r="D99" s="6">
        <f>Gia_Tbi!D5</f>
        <v>0.6</v>
      </c>
      <c r="E99" s="6">
        <f>Gia_Tbi!E5</f>
        <v>5</v>
      </c>
      <c r="F99" s="82">
        <f>Gia_Tbi!F5</f>
        <v>2500000</v>
      </c>
      <c r="G99" s="83">
        <f>Gia_Tbi!G5</f>
        <v>1000</v>
      </c>
      <c r="H99" s="295">
        <v>3.0000000000000001E-3</v>
      </c>
      <c r="I99" s="84">
        <f>G99*H99</f>
        <v>3</v>
      </c>
      <c r="K99" s="77">
        <v>95</v>
      </c>
    </row>
    <row r="100" spans="1:11">
      <c r="A100" s="13">
        <v>3</v>
      </c>
      <c r="B100" s="5" t="s">
        <v>96</v>
      </c>
      <c r="C100" s="6" t="str">
        <f>Gia_Tbi!C8</f>
        <v>Cái</v>
      </c>
      <c r="D100" s="6">
        <f>Gia_Tbi!D8</f>
        <v>0.6</v>
      </c>
      <c r="E100" s="6">
        <f>Gia_Tbi!E8</f>
        <v>8</v>
      </c>
      <c r="F100" s="82">
        <f>Gia_Tbi!F8</f>
        <v>10000000</v>
      </c>
      <c r="G100" s="83">
        <f>Gia_Tbi!G8</f>
        <v>2500</v>
      </c>
      <c r="H100" s="295">
        <v>0.12</v>
      </c>
      <c r="I100" s="84">
        <f>G100*H100</f>
        <v>300</v>
      </c>
      <c r="K100" s="77">
        <v>96</v>
      </c>
    </row>
    <row r="101" spans="1:11">
      <c r="A101" s="13">
        <v>4</v>
      </c>
      <c r="B101" s="5" t="s">
        <v>25</v>
      </c>
      <c r="C101" s="6" t="str">
        <f>Gia_Tbi!C6</f>
        <v>Cái</v>
      </c>
      <c r="D101" s="6">
        <f>Gia_Tbi!D6</f>
        <v>2.2000000000000002</v>
      </c>
      <c r="E101" s="6">
        <f>Gia_Tbi!E6</f>
        <v>8</v>
      </c>
      <c r="F101" s="82">
        <f>Gia_Tbi!F6</f>
        <v>12000000</v>
      </c>
      <c r="G101" s="83">
        <f>Gia_Tbi!G6</f>
        <v>3000</v>
      </c>
      <c r="H101" s="295">
        <v>0.04</v>
      </c>
      <c r="I101" s="84">
        <f>G101*H101</f>
        <v>120</v>
      </c>
      <c r="K101" s="77">
        <v>97</v>
      </c>
    </row>
    <row r="102" spans="1:11">
      <c r="A102" s="13">
        <v>5</v>
      </c>
      <c r="B102" s="5" t="s">
        <v>24</v>
      </c>
      <c r="C102" s="6" t="e">
        <f>Gia_Tbi!#REF!</f>
        <v>#REF!</v>
      </c>
      <c r="D102" s="6" t="e">
        <f>Gia_Tbi!#REF!</f>
        <v>#REF!</v>
      </c>
      <c r="E102" s="6" t="e">
        <f>Gia_Tbi!#REF!</f>
        <v>#REF!</v>
      </c>
      <c r="F102" s="82" t="e">
        <f>Gia_Tbi!#REF!</f>
        <v>#REF!</v>
      </c>
      <c r="G102" s="83" t="e">
        <f>Gia_Tbi!#REF!</f>
        <v>#REF!</v>
      </c>
      <c r="H102" s="295">
        <v>2E-3</v>
      </c>
      <c r="I102" s="84" t="e">
        <f>G102*H102</f>
        <v>#REF!</v>
      </c>
      <c r="K102" s="77">
        <v>98</v>
      </c>
    </row>
    <row r="103" spans="1:11">
      <c r="A103" s="13">
        <v>6</v>
      </c>
      <c r="B103" s="5" t="s">
        <v>8</v>
      </c>
      <c r="C103" s="6" t="str">
        <f>Gia_Tbi!C9</f>
        <v>Cái</v>
      </c>
      <c r="D103" s="6">
        <f>Gia_Tbi!D9</f>
        <v>0.8</v>
      </c>
      <c r="E103" s="76">
        <f>Gia_Tbi!E9</f>
        <v>8</v>
      </c>
      <c r="F103" s="82">
        <f>Gia_Tbi!F9</f>
        <v>45200000</v>
      </c>
      <c r="G103" s="83">
        <f>Gia_Tbi!G9</f>
        <v>11300</v>
      </c>
      <c r="H103" s="296" t="e">
        <f>(H98*D98+H99*D99+H100*D100+H101*D101+H102*D102)*8</f>
        <v>#REF!</v>
      </c>
      <c r="I103" s="120" t="e">
        <f>G103*H103*E103</f>
        <v>#REF!</v>
      </c>
      <c r="K103" s="77">
        <v>99</v>
      </c>
    </row>
    <row r="104" spans="1:11" s="81" customFormat="1">
      <c r="A104" s="31" t="e">
        <f>#REF!</f>
        <v>#REF!</v>
      </c>
      <c r="B104" s="32" t="e">
        <f>#REF!</f>
        <v>#REF!</v>
      </c>
      <c r="C104" s="15"/>
      <c r="D104" s="15"/>
      <c r="E104" s="15"/>
      <c r="F104" s="78"/>
      <c r="G104" s="79"/>
      <c r="H104" s="111"/>
      <c r="I104" s="80"/>
      <c r="K104" s="77">
        <v>100</v>
      </c>
    </row>
    <row r="105" spans="1:11">
      <c r="A105" s="40" t="e">
        <f>#REF!</f>
        <v>#REF!</v>
      </c>
      <c r="B105" s="41" t="e">
        <f>#REF!</f>
        <v>#REF!</v>
      </c>
      <c r="C105" s="42"/>
      <c r="D105" s="42"/>
      <c r="E105" s="42"/>
      <c r="F105" s="86"/>
      <c r="G105" s="87"/>
      <c r="H105" s="296"/>
      <c r="I105" s="88"/>
      <c r="K105" s="77">
        <v>101</v>
      </c>
    </row>
    <row r="106" spans="1:11" s="4" customFormat="1">
      <c r="A106" s="35" t="e">
        <f>#REF!</f>
        <v>#REF!</v>
      </c>
      <c r="B106" s="36" t="e">
        <f>#REF!</f>
        <v>#REF!</v>
      </c>
      <c r="C106" s="37"/>
      <c r="D106" s="37"/>
      <c r="E106" s="37"/>
      <c r="F106" s="89"/>
      <c r="G106" s="90"/>
      <c r="H106" s="297"/>
      <c r="I106" s="91"/>
      <c r="K106" s="77">
        <v>102</v>
      </c>
    </row>
    <row r="107" spans="1:11" s="81" customFormat="1">
      <c r="A107" s="31" t="e">
        <f>#REF!</f>
        <v>#REF!</v>
      </c>
      <c r="B107" s="32" t="e">
        <f>#REF!</f>
        <v>#REF!</v>
      </c>
      <c r="C107" s="15"/>
      <c r="D107" s="15"/>
      <c r="E107" s="15"/>
      <c r="F107" s="78"/>
      <c r="G107" s="79"/>
      <c r="H107" s="111"/>
      <c r="I107" s="80" t="e">
        <f>SUM(I108:I111)</f>
        <v>#REF!</v>
      </c>
      <c r="K107" s="77">
        <v>103</v>
      </c>
    </row>
    <row r="108" spans="1:11">
      <c r="A108" s="13">
        <v>1</v>
      </c>
      <c r="B108" s="5" t="s">
        <v>82</v>
      </c>
      <c r="C108" s="6" t="str">
        <f>Gia_Tbi!C4</f>
        <v>Cái</v>
      </c>
      <c r="D108" s="6">
        <f>Gia_Tbi!D4</f>
        <v>0.4</v>
      </c>
      <c r="E108" s="6">
        <f>Gia_Tbi!E4</f>
        <v>5</v>
      </c>
      <c r="F108" s="82">
        <f>Gia_Tbi!F4</f>
        <v>10000000</v>
      </c>
      <c r="G108" s="83">
        <f>Gia_Tbi!G4</f>
        <v>4000</v>
      </c>
      <c r="H108" s="302">
        <v>105</v>
      </c>
      <c r="I108" s="84">
        <f>G108*H108</f>
        <v>420000</v>
      </c>
      <c r="K108" s="77">
        <v>104</v>
      </c>
    </row>
    <row r="109" spans="1:11">
      <c r="A109" s="13">
        <v>2</v>
      </c>
      <c r="B109" s="5" t="s">
        <v>83</v>
      </c>
      <c r="C109" s="6" t="str">
        <f>Gia_Tbi!C5</f>
        <v>Cái</v>
      </c>
      <c r="D109" s="6">
        <f>Gia_Tbi!D5</f>
        <v>0.6</v>
      </c>
      <c r="E109" s="6">
        <f>Gia_Tbi!E5</f>
        <v>5</v>
      </c>
      <c r="F109" s="82">
        <f>Gia_Tbi!F5</f>
        <v>2500000</v>
      </c>
      <c r="G109" s="83">
        <f>Gia_Tbi!G5</f>
        <v>1000</v>
      </c>
      <c r="H109" s="302">
        <v>6</v>
      </c>
      <c r="I109" s="84">
        <f>G109*H109</f>
        <v>6000</v>
      </c>
      <c r="K109" s="77">
        <v>105</v>
      </c>
    </row>
    <row r="110" spans="1:11">
      <c r="A110" s="13">
        <v>3</v>
      </c>
      <c r="B110" s="5" t="s">
        <v>25</v>
      </c>
      <c r="C110" s="6" t="str">
        <f>Gia_Tbi!C6</f>
        <v>Cái</v>
      </c>
      <c r="D110" s="6">
        <f>Gia_Tbi!D6</f>
        <v>2.2000000000000002</v>
      </c>
      <c r="E110" s="6">
        <f>Gia_Tbi!E6</f>
        <v>8</v>
      </c>
      <c r="F110" s="82">
        <f>Gia_Tbi!F6</f>
        <v>12000000</v>
      </c>
      <c r="G110" s="83">
        <f>Gia_Tbi!G6</f>
        <v>3000</v>
      </c>
      <c r="H110" s="302">
        <v>11.67</v>
      </c>
      <c r="I110" s="84">
        <f>G110*H110</f>
        <v>35010</v>
      </c>
      <c r="K110" s="77">
        <v>106</v>
      </c>
    </row>
    <row r="111" spans="1:11">
      <c r="A111" s="13">
        <v>4</v>
      </c>
      <c r="B111" s="5" t="s">
        <v>24</v>
      </c>
      <c r="C111" s="6" t="e">
        <f>Gia_Tbi!#REF!</f>
        <v>#REF!</v>
      </c>
      <c r="D111" s="6" t="e">
        <f>Gia_Tbi!#REF!</f>
        <v>#REF!</v>
      </c>
      <c r="E111" s="6" t="e">
        <f>Gia_Tbi!#REF!</f>
        <v>#REF!</v>
      </c>
      <c r="F111" s="82" t="e">
        <f>Gia_Tbi!#REF!</f>
        <v>#REF!</v>
      </c>
      <c r="G111" s="83" t="e">
        <f>Gia_Tbi!#REF!</f>
        <v>#REF!</v>
      </c>
      <c r="H111" s="302">
        <v>5</v>
      </c>
      <c r="I111" s="84" t="e">
        <f>G111*H111</f>
        <v>#REF!</v>
      </c>
      <c r="K111" s="77">
        <v>107</v>
      </c>
    </row>
    <row r="112" spans="1:11">
      <c r="A112" s="13">
        <v>5</v>
      </c>
      <c r="B112" s="5" t="s">
        <v>8</v>
      </c>
      <c r="C112" s="6" t="str">
        <f>Gia_Tbi!C9</f>
        <v>Cái</v>
      </c>
      <c r="D112" s="6">
        <f>Gia_Tbi!D9</f>
        <v>0.8</v>
      </c>
      <c r="E112" s="76">
        <f>Gia_Tbi!E9</f>
        <v>8</v>
      </c>
      <c r="F112" s="82">
        <f>Gia_Tbi!F9</f>
        <v>45200000</v>
      </c>
      <c r="G112" s="83">
        <f>Gia_Tbi!G9</f>
        <v>11300</v>
      </c>
      <c r="H112" s="296" t="e">
        <f>(H108*D108+H109*D109+H110*D110+H111*D111)*8</f>
        <v>#REF!</v>
      </c>
      <c r="I112" s="120" t="e">
        <f>G112*H112*E112</f>
        <v>#REF!</v>
      </c>
      <c r="K112" s="77">
        <v>108</v>
      </c>
    </row>
    <row r="113" spans="1:11" s="81" customFormat="1">
      <c r="A113" s="31" t="e">
        <f>#REF!</f>
        <v>#REF!</v>
      </c>
      <c r="B113" s="32" t="e">
        <f>#REF!</f>
        <v>#REF!</v>
      </c>
      <c r="C113" s="15"/>
      <c r="D113" s="15"/>
      <c r="E113" s="15"/>
      <c r="F113" s="78"/>
      <c r="G113" s="79"/>
      <c r="H113" s="111"/>
      <c r="I113" s="80" t="e">
        <f>SUM(I114:I117)</f>
        <v>#REF!</v>
      </c>
      <c r="K113" s="77">
        <v>109</v>
      </c>
    </row>
    <row r="114" spans="1:11">
      <c r="A114" s="13">
        <v>1</v>
      </c>
      <c r="B114" s="5" t="s">
        <v>82</v>
      </c>
      <c r="C114" s="6" t="str">
        <f>Gia_Tbi!C4</f>
        <v>Cái</v>
      </c>
      <c r="D114" s="6">
        <f>Gia_Tbi!D4</f>
        <v>0.4</v>
      </c>
      <c r="E114" s="6">
        <f>Gia_Tbi!E4</f>
        <v>5</v>
      </c>
      <c r="F114" s="82">
        <f>Gia_Tbi!F4</f>
        <v>10000000</v>
      </c>
      <c r="G114" s="83">
        <f>Gia_Tbi!G4</f>
        <v>4000</v>
      </c>
      <c r="H114" s="302">
        <v>1.46</v>
      </c>
      <c r="I114" s="84">
        <f>G114*H114</f>
        <v>5840</v>
      </c>
      <c r="K114" s="77">
        <v>110</v>
      </c>
    </row>
    <row r="115" spans="1:11">
      <c r="A115" s="13">
        <v>2</v>
      </c>
      <c r="B115" s="5" t="s">
        <v>83</v>
      </c>
      <c r="C115" s="6" t="str">
        <f>Gia_Tbi!C5</f>
        <v>Cái</v>
      </c>
      <c r="D115" s="6">
        <f>Gia_Tbi!D5</f>
        <v>0.6</v>
      </c>
      <c r="E115" s="6">
        <f>Gia_Tbi!E5</f>
        <v>5</v>
      </c>
      <c r="F115" s="82">
        <f>Gia_Tbi!F5</f>
        <v>2500000</v>
      </c>
      <c r="G115" s="83">
        <f>Gia_Tbi!G5</f>
        <v>1000</v>
      </c>
      <c r="H115" s="302">
        <v>0.02</v>
      </c>
      <c r="I115" s="84">
        <f>G115*H115</f>
        <v>20</v>
      </c>
      <c r="K115" s="77">
        <v>111</v>
      </c>
    </row>
    <row r="116" spans="1:11">
      <c r="A116" s="13">
        <v>3</v>
      </c>
      <c r="B116" s="5" t="s">
        <v>25</v>
      </c>
      <c r="C116" s="6" t="str">
        <f>Gia_Tbi!C6</f>
        <v>Cái</v>
      </c>
      <c r="D116" s="6">
        <f>Gia_Tbi!D6</f>
        <v>2.2000000000000002</v>
      </c>
      <c r="E116" s="6">
        <f>Gia_Tbi!E6</f>
        <v>8</v>
      </c>
      <c r="F116" s="82">
        <f>Gia_Tbi!F6</f>
        <v>12000000</v>
      </c>
      <c r="G116" s="83">
        <f>Gia_Tbi!G6</f>
        <v>3000</v>
      </c>
      <c r="H116" s="302">
        <v>0.49</v>
      </c>
      <c r="I116" s="84">
        <f>G116*H116</f>
        <v>1470</v>
      </c>
      <c r="K116" s="77">
        <v>112</v>
      </c>
    </row>
    <row r="117" spans="1:11">
      <c r="A117" s="13">
        <v>4</v>
      </c>
      <c r="B117" s="5" t="s">
        <v>24</v>
      </c>
      <c r="C117" s="6" t="e">
        <f>Gia_Tbi!#REF!</f>
        <v>#REF!</v>
      </c>
      <c r="D117" s="6" t="e">
        <f>Gia_Tbi!#REF!</f>
        <v>#REF!</v>
      </c>
      <c r="E117" s="6" t="e">
        <f>Gia_Tbi!#REF!</f>
        <v>#REF!</v>
      </c>
      <c r="F117" s="82" t="e">
        <f>Gia_Tbi!#REF!</f>
        <v>#REF!</v>
      </c>
      <c r="G117" s="83" t="e">
        <f>Gia_Tbi!#REF!</f>
        <v>#REF!</v>
      </c>
      <c r="H117" s="302">
        <v>0.03</v>
      </c>
      <c r="I117" s="84" t="e">
        <f>G117*H117</f>
        <v>#REF!</v>
      </c>
      <c r="K117" s="77">
        <v>113</v>
      </c>
    </row>
    <row r="118" spans="1:11">
      <c r="A118" s="40">
        <v>5</v>
      </c>
      <c r="B118" s="41" t="s">
        <v>8</v>
      </c>
      <c r="C118" s="42" t="str">
        <f>Gia_Tbi!C9</f>
        <v>Cái</v>
      </c>
      <c r="D118" s="42">
        <f>Gia_Tbi!D9</f>
        <v>0.8</v>
      </c>
      <c r="E118" s="117">
        <f>Gia_Tbi!E9</f>
        <v>8</v>
      </c>
      <c r="F118" s="86">
        <f>Gia_Tbi!F9</f>
        <v>45200000</v>
      </c>
      <c r="G118" s="87">
        <f>Gia_Tbi!G9</f>
        <v>11300</v>
      </c>
      <c r="H118" s="296" t="e">
        <f>(H114*D114+H115*D115+H116*D116+H117*D117)*8</f>
        <v>#REF!</v>
      </c>
      <c r="I118" s="120" t="e">
        <f>G118*H118*E118</f>
        <v>#REF!</v>
      </c>
      <c r="K118" s="77">
        <v>114</v>
      </c>
    </row>
    <row r="119" spans="1:11" s="81" customFormat="1">
      <c r="A119" s="31" t="e">
        <f>#REF!</f>
        <v>#REF!</v>
      </c>
      <c r="B119" s="32" t="e">
        <f>#REF!</f>
        <v>#REF!</v>
      </c>
      <c r="C119" s="15"/>
      <c r="D119" s="15"/>
      <c r="E119" s="15"/>
      <c r="F119" s="78"/>
      <c r="G119" s="79"/>
      <c r="H119" s="111"/>
      <c r="I119" s="80" t="e">
        <f>SUM(I120:I123)</f>
        <v>#REF!</v>
      </c>
      <c r="K119" s="77">
        <v>115</v>
      </c>
    </row>
    <row r="120" spans="1:11">
      <c r="A120" s="13">
        <v>1</v>
      </c>
      <c r="B120" s="5" t="s">
        <v>82</v>
      </c>
      <c r="C120" s="6" t="str">
        <f>Gia_Tbi!C4</f>
        <v>Cái</v>
      </c>
      <c r="D120" s="6">
        <f>Gia_Tbi!D4</f>
        <v>0.4</v>
      </c>
      <c r="E120" s="6">
        <f>Gia_Tbi!E4</f>
        <v>5</v>
      </c>
      <c r="F120" s="82">
        <f>Gia_Tbi!F4</f>
        <v>10000000</v>
      </c>
      <c r="G120" s="83">
        <f>Gia_Tbi!G4</f>
        <v>4000</v>
      </c>
      <c r="H120" s="302">
        <v>60</v>
      </c>
      <c r="I120" s="84">
        <f>G120*H120</f>
        <v>240000</v>
      </c>
      <c r="K120" s="77">
        <v>116</v>
      </c>
    </row>
    <row r="121" spans="1:11">
      <c r="A121" s="13">
        <v>2</v>
      </c>
      <c r="B121" s="5" t="s">
        <v>83</v>
      </c>
      <c r="C121" s="6" t="str">
        <f>Gia_Tbi!C5</f>
        <v>Cái</v>
      </c>
      <c r="D121" s="6">
        <f>Gia_Tbi!D5</f>
        <v>0.6</v>
      </c>
      <c r="E121" s="6">
        <f>Gia_Tbi!E5</f>
        <v>5</v>
      </c>
      <c r="F121" s="82">
        <f>Gia_Tbi!F5</f>
        <v>2500000</v>
      </c>
      <c r="G121" s="83">
        <f>Gia_Tbi!G5</f>
        <v>1000</v>
      </c>
      <c r="H121" s="302">
        <v>5.65</v>
      </c>
      <c r="I121" s="84">
        <f>G121*H121</f>
        <v>5650</v>
      </c>
      <c r="K121" s="77">
        <v>117</v>
      </c>
    </row>
    <row r="122" spans="1:11">
      <c r="A122" s="13">
        <v>3</v>
      </c>
      <c r="B122" s="5" t="s">
        <v>25</v>
      </c>
      <c r="C122" s="6" t="str">
        <f>Gia_Tbi!C6</f>
        <v>Cái</v>
      </c>
      <c r="D122" s="6">
        <f>Gia_Tbi!D6</f>
        <v>2.2000000000000002</v>
      </c>
      <c r="E122" s="6">
        <f>Gia_Tbi!E6</f>
        <v>8</v>
      </c>
      <c r="F122" s="82">
        <f>Gia_Tbi!F6</f>
        <v>12000000</v>
      </c>
      <c r="G122" s="83">
        <f>Gia_Tbi!G6</f>
        <v>3000</v>
      </c>
      <c r="H122" s="302">
        <v>6.67</v>
      </c>
      <c r="I122" s="84">
        <f>G122*H122</f>
        <v>20010</v>
      </c>
      <c r="K122" s="77">
        <v>118</v>
      </c>
    </row>
    <row r="123" spans="1:11">
      <c r="A123" s="13">
        <v>4</v>
      </c>
      <c r="B123" s="5" t="s">
        <v>24</v>
      </c>
      <c r="C123" s="6" t="e">
        <f>Gia_Tbi!#REF!</f>
        <v>#REF!</v>
      </c>
      <c r="D123" s="6" t="e">
        <f>Gia_Tbi!#REF!</f>
        <v>#REF!</v>
      </c>
      <c r="E123" s="6" t="e">
        <f>Gia_Tbi!#REF!</f>
        <v>#REF!</v>
      </c>
      <c r="F123" s="82" t="e">
        <f>Gia_Tbi!#REF!</f>
        <v>#REF!</v>
      </c>
      <c r="G123" s="83" t="e">
        <f>Gia_Tbi!#REF!</f>
        <v>#REF!</v>
      </c>
      <c r="H123" s="302">
        <v>4.25</v>
      </c>
      <c r="I123" s="84" t="e">
        <f>G123*H123</f>
        <v>#REF!</v>
      </c>
      <c r="K123" s="77">
        <v>119</v>
      </c>
    </row>
    <row r="124" spans="1:11">
      <c r="A124" s="40">
        <v>5</v>
      </c>
      <c r="B124" s="41" t="s">
        <v>8</v>
      </c>
      <c r="C124" s="42" t="str">
        <f>Gia_Tbi!C9</f>
        <v>Cái</v>
      </c>
      <c r="D124" s="42">
        <f>Gia_Tbi!D9</f>
        <v>0.8</v>
      </c>
      <c r="E124" s="117">
        <f>Gia_Tbi!E9</f>
        <v>8</v>
      </c>
      <c r="F124" s="86">
        <f>Gia_Tbi!F9</f>
        <v>45200000</v>
      </c>
      <c r="G124" s="87">
        <f>Gia_Tbi!G9</f>
        <v>11300</v>
      </c>
      <c r="H124" s="296" t="e">
        <f>(H120*D120+H121*D121+H122*D122+H123*D123)*8</f>
        <v>#REF!</v>
      </c>
      <c r="I124" s="120" t="e">
        <f>G124*H124*E124</f>
        <v>#REF!</v>
      </c>
      <c r="K124" s="77">
        <v>120</v>
      </c>
    </row>
    <row r="125" spans="1:11" s="4" customFormat="1">
      <c r="A125" s="12" t="e">
        <f>#REF!</f>
        <v>#REF!</v>
      </c>
      <c r="B125" s="8" t="e">
        <f>#REF!</f>
        <v>#REF!</v>
      </c>
      <c r="C125" s="7"/>
      <c r="D125" s="7"/>
      <c r="E125" s="7"/>
      <c r="F125" s="93"/>
      <c r="G125" s="94"/>
      <c r="H125" s="298"/>
      <c r="I125" s="95"/>
      <c r="K125" s="77">
        <v>121</v>
      </c>
    </row>
    <row r="126" spans="1:11" s="81" customFormat="1">
      <c r="A126" s="31" t="e">
        <f>#REF!</f>
        <v>#REF!</v>
      </c>
      <c r="B126" s="32" t="e">
        <f>#REF!</f>
        <v>#REF!</v>
      </c>
      <c r="C126" s="15"/>
      <c r="D126" s="15"/>
      <c r="E126" s="15"/>
      <c r="F126" s="78"/>
      <c r="G126" s="79"/>
      <c r="H126" s="111"/>
      <c r="I126" s="80"/>
      <c r="K126" s="77">
        <v>122</v>
      </c>
    </row>
    <row r="127" spans="1:11" s="81" customFormat="1">
      <c r="A127" s="31" t="e">
        <f>#REF!</f>
        <v>#REF!</v>
      </c>
      <c r="B127" s="32" t="e">
        <f>#REF!</f>
        <v>#REF!</v>
      </c>
      <c r="C127" s="15"/>
      <c r="D127" s="15"/>
      <c r="E127" s="15"/>
      <c r="F127" s="78"/>
      <c r="G127" s="79"/>
      <c r="H127" s="111"/>
      <c r="I127" s="80"/>
      <c r="K127" s="77">
        <v>123</v>
      </c>
    </row>
    <row r="128" spans="1:11" s="4" customFormat="1">
      <c r="A128" s="12" t="e">
        <f>#REF!</f>
        <v>#REF!</v>
      </c>
      <c r="B128" s="8" t="e">
        <f>#REF!</f>
        <v>#REF!</v>
      </c>
      <c r="C128" s="7"/>
      <c r="D128" s="7"/>
      <c r="E128" s="7"/>
      <c r="F128" s="93"/>
      <c r="G128" s="94"/>
      <c r="H128" s="298"/>
      <c r="I128" s="95"/>
      <c r="K128" s="77">
        <v>124</v>
      </c>
    </row>
    <row r="129" spans="1:11" s="81" customFormat="1">
      <c r="A129" s="31" t="e">
        <f>#REF!</f>
        <v>#REF!</v>
      </c>
      <c r="B129" s="32" t="e">
        <f>#REF!</f>
        <v>#REF!</v>
      </c>
      <c r="C129" s="15"/>
      <c r="D129" s="15"/>
      <c r="E129" s="15"/>
      <c r="F129" s="78"/>
      <c r="G129" s="79"/>
      <c r="H129" s="111"/>
      <c r="I129" s="80" t="e">
        <f>#REF!</f>
        <v>#REF!</v>
      </c>
      <c r="K129" s="77">
        <v>125</v>
      </c>
    </row>
    <row r="130" spans="1:11">
      <c r="A130" s="13">
        <v>1</v>
      </c>
      <c r="B130" s="5" t="s">
        <v>82</v>
      </c>
      <c r="C130" s="6" t="str">
        <f>Gia_Tbi!C4</f>
        <v>Cái</v>
      </c>
      <c r="D130" s="6">
        <f>Gia_Tbi!D4</f>
        <v>0.4</v>
      </c>
      <c r="E130" s="6">
        <f>Gia_Tbi!E4</f>
        <v>5</v>
      </c>
      <c r="F130" s="82">
        <f>Gia_Tbi!F4</f>
        <v>10000000</v>
      </c>
      <c r="G130" s="83">
        <f>Gia_Tbi!G4</f>
        <v>4000</v>
      </c>
      <c r="H130" s="302">
        <v>15</v>
      </c>
      <c r="I130" s="84">
        <f>G130*H130</f>
        <v>60000</v>
      </c>
      <c r="K130" s="77">
        <v>126</v>
      </c>
    </row>
    <row r="131" spans="1:11">
      <c r="A131" s="13">
        <v>2</v>
      </c>
      <c r="B131" s="5" t="s">
        <v>83</v>
      </c>
      <c r="C131" s="6" t="str">
        <f>Gia_Tbi!C5</f>
        <v>Cái</v>
      </c>
      <c r="D131" s="6">
        <f>Gia_Tbi!D5</f>
        <v>0.6</v>
      </c>
      <c r="E131" s="6">
        <f>Gia_Tbi!E5</f>
        <v>5</v>
      </c>
      <c r="F131" s="82">
        <f>Gia_Tbi!F5</f>
        <v>2500000</v>
      </c>
      <c r="G131" s="83">
        <f>Gia_Tbi!G5</f>
        <v>1000</v>
      </c>
      <c r="H131" s="302">
        <v>0.8</v>
      </c>
      <c r="I131" s="84">
        <f>G131*H131</f>
        <v>800</v>
      </c>
      <c r="K131" s="77">
        <v>127</v>
      </c>
    </row>
    <row r="132" spans="1:11">
      <c r="A132" s="13">
        <v>3</v>
      </c>
      <c r="B132" s="5" t="s">
        <v>25</v>
      </c>
      <c r="C132" s="6" t="str">
        <f>Gia_Tbi!C6</f>
        <v>Cái</v>
      </c>
      <c r="D132" s="6">
        <f>Gia_Tbi!D6</f>
        <v>2.2000000000000002</v>
      </c>
      <c r="E132" s="6">
        <f>Gia_Tbi!E6</f>
        <v>8</v>
      </c>
      <c r="F132" s="82">
        <f>Gia_Tbi!F6</f>
        <v>12000000</v>
      </c>
      <c r="G132" s="83">
        <f>Gia_Tbi!G6</f>
        <v>3000</v>
      </c>
      <c r="H132" s="302">
        <v>5</v>
      </c>
      <c r="I132" s="84">
        <f>G132*H132</f>
        <v>15000</v>
      </c>
      <c r="K132" s="77">
        <v>128</v>
      </c>
    </row>
    <row r="133" spans="1:11">
      <c r="A133" s="13">
        <v>4</v>
      </c>
      <c r="B133" s="5" t="s">
        <v>24</v>
      </c>
      <c r="C133" s="6" t="e">
        <f>Gia_Tbi!#REF!</f>
        <v>#REF!</v>
      </c>
      <c r="D133" s="6" t="e">
        <f>Gia_Tbi!#REF!</f>
        <v>#REF!</v>
      </c>
      <c r="E133" s="6" t="e">
        <f>Gia_Tbi!#REF!</f>
        <v>#REF!</v>
      </c>
      <c r="F133" s="82" t="e">
        <f>Gia_Tbi!#REF!</f>
        <v>#REF!</v>
      </c>
      <c r="G133" s="83" t="e">
        <f>Gia_Tbi!#REF!</f>
        <v>#REF!</v>
      </c>
      <c r="H133" s="302">
        <v>0.5</v>
      </c>
      <c r="I133" s="84" t="e">
        <f>G133*H133</f>
        <v>#REF!</v>
      </c>
      <c r="K133" s="77">
        <v>129</v>
      </c>
    </row>
    <row r="134" spans="1:11">
      <c r="A134" s="40">
        <v>5</v>
      </c>
      <c r="B134" s="41" t="s">
        <v>8</v>
      </c>
      <c r="C134" s="42" t="str">
        <f>Gia_Tbi!C9</f>
        <v>Cái</v>
      </c>
      <c r="D134" s="42">
        <f>Gia_Tbi!D9</f>
        <v>0.8</v>
      </c>
      <c r="E134" s="117">
        <f>Gia_Tbi!E9</f>
        <v>8</v>
      </c>
      <c r="F134" s="86">
        <f>Gia_Tbi!F9</f>
        <v>45200000</v>
      </c>
      <c r="G134" s="87">
        <f>Gia_Tbi!G9</f>
        <v>11300</v>
      </c>
      <c r="H134" s="296" t="e">
        <f>(H130*D130+H131*D131+H132*D132+H133*D133)*8</f>
        <v>#REF!</v>
      </c>
      <c r="I134" s="120" t="e">
        <f>G134*H134*E134</f>
        <v>#REF!</v>
      </c>
      <c r="K134" s="77">
        <v>130</v>
      </c>
    </row>
    <row r="135" spans="1:11" s="81" customFormat="1">
      <c r="A135" s="31" t="e">
        <f>#REF!</f>
        <v>#REF!</v>
      </c>
      <c r="B135" s="32" t="e">
        <f>#REF!</f>
        <v>#REF!</v>
      </c>
      <c r="C135" s="15"/>
      <c r="D135" s="15"/>
      <c r="E135" s="15"/>
      <c r="F135" s="78"/>
      <c r="G135" s="79"/>
      <c r="H135" s="111"/>
      <c r="I135" s="80" t="e">
        <f>SUM(I136:I139)</f>
        <v>#REF!</v>
      </c>
      <c r="K135" s="77">
        <v>131</v>
      </c>
    </row>
    <row r="136" spans="1:11">
      <c r="A136" s="13">
        <v>1</v>
      </c>
      <c r="B136" s="5" t="s">
        <v>82</v>
      </c>
      <c r="C136" s="6" t="str">
        <f>Gia_Tbi!C4</f>
        <v>Cái</v>
      </c>
      <c r="D136" s="6">
        <f>Gia_Tbi!D4</f>
        <v>0.4</v>
      </c>
      <c r="E136" s="6">
        <f>Gia_Tbi!E4</f>
        <v>5</v>
      </c>
      <c r="F136" s="82">
        <f>Gia_Tbi!F4</f>
        <v>10000000</v>
      </c>
      <c r="G136" s="83">
        <f>Gia_Tbi!G4</f>
        <v>4000</v>
      </c>
      <c r="H136" s="302">
        <v>10</v>
      </c>
      <c r="I136" s="84">
        <f>G136*H136</f>
        <v>40000</v>
      </c>
      <c r="K136" s="77">
        <v>132</v>
      </c>
    </row>
    <row r="137" spans="1:11">
      <c r="A137" s="13">
        <v>2</v>
      </c>
      <c r="B137" s="5" t="s">
        <v>83</v>
      </c>
      <c r="C137" s="6" t="str">
        <f>Gia_Tbi!C5</f>
        <v>Cái</v>
      </c>
      <c r="D137" s="6">
        <f>Gia_Tbi!D5</f>
        <v>0.6</v>
      </c>
      <c r="E137" s="6">
        <f>Gia_Tbi!E5</f>
        <v>5</v>
      </c>
      <c r="F137" s="82">
        <f>Gia_Tbi!F5</f>
        <v>2500000</v>
      </c>
      <c r="G137" s="83">
        <f>Gia_Tbi!G5</f>
        <v>1000</v>
      </c>
      <c r="H137" s="302">
        <v>0.4</v>
      </c>
      <c r="I137" s="84">
        <f>G137*H137</f>
        <v>400</v>
      </c>
      <c r="K137" s="77">
        <v>133</v>
      </c>
    </row>
    <row r="138" spans="1:11">
      <c r="A138" s="13">
        <v>3</v>
      </c>
      <c r="B138" s="5" t="s">
        <v>25</v>
      </c>
      <c r="C138" s="6" t="str">
        <f>Gia_Tbi!C6</f>
        <v>Cái</v>
      </c>
      <c r="D138" s="6">
        <f>Gia_Tbi!D6</f>
        <v>2.2000000000000002</v>
      </c>
      <c r="E138" s="6">
        <f>Gia_Tbi!E6</f>
        <v>8</v>
      </c>
      <c r="F138" s="82">
        <f>Gia_Tbi!F6</f>
        <v>12000000</v>
      </c>
      <c r="G138" s="83">
        <f>Gia_Tbi!G6</f>
        <v>3000</v>
      </c>
      <c r="H138" s="302">
        <v>3.33</v>
      </c>
      <c r="I138" s="84">
        <f>G138*H138</f>
        <v>9990</v>
      </c>
      <c r="K138" s="77">
        <v>134</v>
      </c>
    </row>
    <row r="139" spans="1:11">
      <c r="A139" s="13">
        <v>4</v>
      </c>
      <c r="B139" s="5" t="s">
        <v>24</v>
      </c>
      <c r="C139" s="6" t="e">
        <f>Gia_Tbi!#REF!</f>
        <v>#REF!</v>
      </c>
      <c r="D139" s="6" t="e">
        <f>Gia_Tbi!#REF!</f>
        <v>#REF!</v>
      </c>
      <c r="E139" s="6" t="e">
        <f>Gia_Tbi!#REF!</f>
        <v>#REF!</v>
      </c>
      <c r="F139" s="82" t="e">
        <f>Gia_Tbi!#REF!</f>
        <v>#REF!</v>
      </c>
      <c r="G139" s="83" t="e">
        <f>Gia_Tbi!#REF!</f>
        <v>#REF!</v>
      </c>
      <c r="H139" s="302">
        <v>0.3</v>
      </c>
      <c r="I139" s="84" t="e">
        <f>G139*H139</f>
        <v>#REF!</v>
      </c>
      <c r="K139" s="77">
        <v>135</v>
      </c>
    </row>
    <row r="140" spans="1:11">
      <c r="A140" s="40">
        <v>5</v>
      </c>
      <c r="B140" s="41" t="s">
        <v>8</v>
      </c>
      <c r="C140" s="42" t="str">
        <f>Gia_Tbi!C9</f>
        <v>Cái</v>
      </c>
      <c r="D140" s="42">
        <f>Gia_Tbi!D9</f>
        <v>0.8</v>
      </c>
      <c r="E140" s="117">
        <f>Gia_Tbi!E9</f>
        <v>8</v>
      </c>
      <c r="F140" s="86">
        <f>Gia_Tbi!F9</f>
        <v>45200000</v>
      </c>
      <c r="G140" s="87">
        <f>Gia_Tbi!G9</f>
        <v>11300</v>
      </c>
      <c r="H140" s="296" t="e">
        <f>(H136*D136+H137*D137+H138*D138+H139*D139)*8</f>
        <v>#REF!</v>
      </c>
      <c r="I140" s="120" t="e">
        <f>G140*H140*E140</f>
        <v>#REF!</v>
      </c>
      <c r="K140" s="77">
        <v>136</v>
      </c>
    </row>
    <row r="141" spans="1:11" s="81" customFormat="1">
      <c r="A141" s="31" t="e">
        <f>#REF!</f>
        <v>#REF!</v>
      </c>
      <c r="B141" s="32" t="e">
        <f>#REF!</f>
        <v>#REF!</v>
      </c>
      <c r="C141" s="15"/>
      <c r="D141" s="15"/>
      <c r="E141" s="15"/>
      <c r="F141" s="78"/>
      <c r="G141" s="79"/>
      <c r="H141" s="111"/>
      <c r="I141" s="80"/>
      <c r="K141" s="77">
        <v>137</v>
      </c>
    </row>
    <row r="142" spans="1:11">
      <c r="A142" s="13" t="e">
        <f>#REF!</f>
        <v>#REF!</v>
      </c>
      <c r="B142" s="5" t="e">
        <f>#REF!</f>
        <v>#REF!</v>
      </c>
      <c r="C142" s="6"/>
      <c r="D142" s="6"/>
      <c r="E142" s="6"/>
      <c r="F142" s="82"/>
      <c r="G142" s="83"/>
      <c r="H142" s="295"/>
      <c r="I142" s="80" t="e">
        <f>SUM(I143:I146)</f>
        <v>#REF!</v>
      </c>
      <c r="K142" s="77">
        <v>138</v>
      </c>
    </row>
    <row r="143" spans="1:11">
      <c r="A143" s="13">
        <v>1</v>
      </c>
      <c r="B143" s="5" t="s">
        <v>82</v>
      </c>
      <c r="C143" s="6" t="str">
        <f>Gia_Tbi!C4</f>
        <v>Cái</v>
      </c>
      <c r="D143" s="6">
        <f>Gia_Tbi!D4</f>
        <v>0.4</v>
      </c>
      <c r="E143" s="6">
        <f>Gia_Tbi!E4</f>
        <v>5</v>
      </c>
      <c r="F143" s="82">
        <f>Gia_Tbi!F4</f>
        <v>10000000</v>
      </c>
      <c r="G143" s="83">
        <f>Gia_Tbi!G4</f>
        <v>4000</v>
      </c>
      <c r="H143" s="302">
        <v>45</v>
      </c>
      <c r="I143" s="84">
        <f>G143*H143</f>
        <v>180000</v>
      </c>
      <c r="K143" s="77">
        <v>139</v>
      </c>
    </row>
    <row r="144" spans="1:11">
      <c r="A144" s="13">
        <v>2</v>
      </c>
      <c r="B144" s="5" t="s">
        <v>83</v>
      </c>
      <c r="C144" s="6" t="str">
        <f>Gia_Tbi!C5</f>
        <v>Cái</v>
      </c>
      <c r="D144" s="6">
        <f>Gia_Tbi!D5</f>
        <v>0.6</v>
      </c>
      <c r="E144" s="6">
        <f>Gia_Tbi!E5</f>
        <v>5</v>
      </c>
      <c r="F144" s="82">
        <f>Gia_Tbi!F5</f>
        <v>2500000</v>
      </c>
      <c r="G144" s="83">
        <f>Gia_Tbi!G5</f>
        <v>1000</v>
      </c>
      <c r="H144" s="302">
        <v>1.5</v>
      </c>
      <c r="I144" s="84">
        <f>G144*H144</f>
        <v>1500</v>
      </c>
      <c r="K144" s="77">
        <v>140</v>
      </c>
    </row>
    <row r="145" spans="1:11">
      <c r="A145" s="13">
        <v>3</v>
      </c>
      <c r="B145" s="5" t="s">
        <v>25</v>
      </c>
      <c r="C145" s="6" t="str">
        <f>Gia_Tbi!C6</f>
        <v>Cái</v>
      </c>
      <c r="D145" s="6">
        <f>Gia_Tbi!D6</f>
        <v>2.2000000000000002</v>
      </c>
      <c r="E145" s="6">
        <f>Gia_Tbi!E6</f>
        <v>8</v>
      </c>
      <c r="F145" s="82">
        <f>Gia_Tbi!F6</f>
        <v>12000000</v>
      </c>
      <c r="G145" s="83">
        <f>Gia_Tbi!G6</f>
        <v>3000</v>
      </c>
      <c r="H145" s="302">
        <v>15</v>
      </c>
      <c r="I145" s="84">
        <f>G145*H145</f>
        <v>45000</v>
      </c>
      <c r="K145" s="77">
        <v>141</v>
      </c>
    </row>
    <row r="146" spans="1:11">
      <c r="A146" s="13">
        <v>4</v>
      </c>
      <c r="B146" s="5" t="s">
        <v>24</v>
      </c>
      <c r="C146" s="6" t="e">
        <f>Gia_Tbi!#REF!</f>
        <v>#REF!</v>
      </c>
      <c r="D146" s="6" t="e">
        <f>Gia_Tbi!#REF!</f>
        <v>#REF!</v>
      </c>
      <c r="E146" s="6" t="e">
        <f>Gia_Tbi!#REF!</f>
        <v>#REF!</v>
      </c>
      <c r="F146" s="82" t="e">
        <f>Gia_Tbi!#REF!</f>
        <v>#REF!</v>
      </c>
      <c r="G146" s="83" t="e">
        <f>Gia_Tbi!#REF!</f>
        <v>#REF!</v>
      </c>
      <c r="H146" s="302">
        <v>0.85</v>
      </c>
      <c r="I146" s="84" t="e">
        <f>G146*H146</f>
        <v>#REF!</v>
      </c>
      <c r="K146" s="77">
        <v>142</v>
      </c>
    </row>
    <row r="147" spans="1:11">
      <c r="A147" s="40">
        <v>5</v>
      </c>
      <c r="B147" s="41" t="s">
        <v>8</v>
      </c>
      <c r="C147" s="42" t="str">
        <f>Gia_Tbi!C9</f>
        <v>Cái</v>
      </c>
      <c r="D147" s="42">
        <f>Gia_Tbi!D9</f>
        <v>0.8</v>
      </c>
      <c r="E147" s="117">
        <f>Gia_Tbi!E9</f>
        <v>8</v>
      </c>
      <c r="F147" s="86">
        <f>Gia_Tbi!F9</f>
        <v>45200000</v>
      </c>
      <c r="G147" s="87">
        <f>Gia_Tbi!G9</f>
        <v>11300</v>
      </c>
      <c r="H147" s="296" t="e">
        <f>(H143*D143+H144*D144+H145*D145+H146*D146)*8</f>
        <v>#REF!</v>
      </c>
      <c r="I147" s="120" t="e">
        <f>G147*H147*E147</f>
        <v>#REF!</v>
      </c>
      <c r="K147" s="77">
        <v>143</v>
      </c>
    </row>
    <row r="148" spans="1:11">
      <c r="A148" s="13" t="e">
        <f>#REF!</f>
        <v>#REF!</v>
      </c>
      <c r="B148" s="5" t="e">
        <f>#REF!</f>
        <v>#REF!</v>
      </c>
      <c r="C148" s="6"/>
      <c r="D148" s="6"/>
      <c r="E148" s="6"/>
      <c r="F148" s="82"/>
      <c r="G148" s="83"/>
      <c r="H148" s="295"/>
      <c r="I148" s="80" t="e">
        <f>SUM(I149:I152)</f>
        <v>#REF!</v>
      </c>
      <c r="K148" s="77">
        <v>144</v>
      </c>
    </row>
    <row r="149" spans="1:11">
      <c r="A149" s="13">
        <v>1</v>
      </c>
      <c r="B149" s="5" t="s">
        <v>82</v>
      </c>
      <c r="C149" s="6" t="str">
        <f>Gia_Tbi!C4</f>
        <v>Cái</v>
      </c>
      <c r="D149" s="6">
        <f>Gia_Tbi!D4</f>
        <v>0.4</v>
      </c>
      <c r="E149" s="6">
        <f>Gia_Tbi!E4</f>
        <v>5</v>
      </c>
      <c r="F149" s="82">
        <f>Gia_Tbi!F4</f>
        <v>10000000</v>
      </c>
      <c r="G149" s="83">
        <f>Gia_Tbi!G4</f>
        <v>4000</v>
      </c>
      <c r="H149" s="302">
        <v>0.68</v>
      </c>
      <c r="I149" s="84">
        <f>G149*H149</f>
        <v>2720</v>
      </c>
      <c r="K149" s="77">
        <v>145</v>
      </c>
    </row>
    <row r="150" spans="1:11">
      <c r="A150" s="13">
        <v>2</v>
      </c>
      <c r="B150" s="5" t="s">
        <v>83</v>
      </c>
      <c r="C150" s="6" t="str">
        <f>Gia_Tbi!C5</f>
        <v>Cái</v>
      </c>
      <c r="D150" s="6">
        <f>Gia_Tbi!D5</f>
        <v>0.6</v>
      </c>
      <c r="E150" s="6">
        <f>Gia_Tbi!E5</f>
        <v>5</v>
      </c>
      <c r="F150" s="82">
        <f>Gia_Tbi!F5</f>
        <v>2500000</v>
      </c>
      <c r="G150" s="83">
        <f>Gia_Tbi!G5</f>
        <v>1000</v>
      </c>
      <c r="H150" s="302">
        <v>0.01</v>
      </c>
      <c r="I150" s="84">
        <f>G150*H150</f>
        <v>10</v>
      </c>
      <c r="K150" s="77">
        <v>146</v>
      </c>
    </row>
    <row r="151" spans="1:11">
      <c r="A151" s="13">
        <v>3</v>
      </c>
      <c r="B151" s="5" t="s">
        <v>25</v>
      </c>
      <c r="C151" s="6" t="str">
        <f>Gia_Tbi!C6</f>
        <v>Cái</v>
      </c>
      <c r="D151" s="6">
        <f>Gia_Tbi!D6</f>
        <v>2.2000000000000002</v>
      </c>
      <c r="E151" s="6">
        <f>Gia_Tbi!E6</f>
        <v>8</v>
      </c>
      <c r="F151" s="82">
        <f>Gia_Tbi!F6</f>
        <v>12000000</v>
      </c>
      <c r="G151" s="83">
        <f>Gia_Tbi!G6</f>
        <v>3000</v>
      </c>
      <c r="H151" s="302">
        <v>0.22700000000000001</v>
      </c>
      <c r="I151" s="84">
        <f>G151*H151</f>
        <v>681</v>
      </c>
      <c r="K151" s="77">
        <v>147</v>
      </c>
    </row>
    <row r="152" spans="1:11">
      <c r="A152" s="13">
        <v>4</v>
      </c>
      <c r="B152" s="5" t="s">
        <v>24</v>
      </c>
      <c r="C152" s="6" t="e">
        <f>Gia_Tbi!#REF!</f>
        <v>#REF!</v>
      </c>
      <c r="D152" s="6" t="e">
        <f>Gia_Tbi!#REF!</f>
        <v>#REF!</v>
      </c>
      <c r="E152" s="6" t="e">
        <f>Gia_Tbi!#REF!</f>
        <v>#REF!</v>
      </c>
      <c r="F152" s="82" t="e">
        <f>Gia_Tbi!#REF!</f>
        <v>#REF!</v>
      </c>
      <c r="G152" s="83" t="e">
        <f>Gia_Tbi!#REF!</f>
        <v>#REF!</v>
      </c>
      <c r="H152" s="302">
        <v>0.01</v>
      </c>
      <c r="I152" s="84" t="e">
        <f>G152*H152</f>
        <v>#REF!</v>
      </c>
      <c r="K152" s="77">
        <v>148</v>
      </c>
    </row>
    <row r="153" spans="1:11">
      <c r="A153" s="40">
        <v>5</v>
      </c>
      <c r="B153" s="41" t="s">
        <v>8</v>
      </c>
      <c r="C153" s="42" t="str">
        <f>Gia_Tbi!C9</f>
        <v>Cái</v>
      </c>
      <c r="D153" s="42">
        <f>Gia_Tbi!D9</f>
        <v>0.8</v>
      </c>
      <c r="E153" s="117">
        <f>Gia_Tbi!E9</f>
        <v>8</v>
      </c>
      <c r="F153" s="86">
        <f>Gia_Tbi!F9</f>
        <v>45200000</v>
      </c>
      <c r="G153" s="87">
        <f>Gia_Tbi!G9</f>
        <v>11300</v>
      </c>
      <c r="H153" s="296" t="e">
        <f>(H149*D149+H150*D150+H151*D151+H152*D152)*8</f>
        <v>#REF!</v>
      </c>
      <c r="I153" s="120" t="e">
        <f>G153*H153*E153</f>
        <v>#REF!</v>
      </c>
      <c r="K153" s="77">
        <v>149</v>
      </c>
    </row>
    <row r="154" spans="1:11">
      <c r="A154" s="13" t="e">
        <f>#REF!</f>
        <v>#REF!</v>
      </c>
      <c r="B154" s="5" t="e">
        <f>#REF!</f>
        <v>#REF!</v>
      </c>
      <c r="C154" s="6"/>
      <c r="D154" s="6"/>
      <c r="E154" s="6"/>
      <c r="F154" s="82"/>
      <c r="G154" s="83"/>
      <c r="H154" s="295"/>
      <c r="I154" s="84"/>
      <c r="K154" s="77">
        <v>150</v>
      </c>
    </row>
    <row r="155" spans="1:11">
      <c r="A155" s="13" t="e">
        <f>#REF!</f>
        <v>#REF!</v>
      </c>
      <c r="B155" s="5" t="e">
        <f>#REF!</f>
        <v>#REF!</v>
      </c>
      <c r="C155" s="6"/>
      <c r="D155" s="6"/>
      <c r="E155" s="6"/>
      <c r="F155" s="82"/>
      <c r="G155" s="83"/>
      <c r="H155" s="295"/>
      <c r="I155" s="84"/>
      <c r="K155" s="77">
        <v>151</v>
      </c>
    </row>
    <row r="156" spans="1:11" s="9" customFormat="1" ht="36" customHeight="1">
      <c r="A156" s="24" t="e">
        <f>#REF!</f>
        <v>#REF!</v>
      </c>
      <c r="B156" s="1265" t="e">
        <f>#REF!</f>
        <v>#REF!</v>
      </c>
      <c r="C156" s="1266"/>
      <c r="D156" s="1266"/>
      <c r="E156" s="1266"/>
      <c r="F156" s="1266"/>
      <c r="G156" s="1266"/>
      <c r="H156" s="1266"/>
      <c r="I156" s="1267"/>
      <c r="K156" s="77">
        <v>152</v>
      </c>
    </row>
    <row r="157" spans="1:11" s="81" customFormat="1">
      <c r="A157" s="31" t="e">
        <f>#REF!</f>
        <v>#REF!</v>
      </c>
      <c r="B157" s="32" t="e">
        <f>#REF!</f>
        <v>#REF!</v>
      </c>
      <c r="C157" s="15"/>
      <c r="D157" s="15"/>
      <c r="E157" s="15"/>
      <c r="F157" s="78"/>
      <c r="G157" s="79"/>
      <c r="H157" s="111"/>
      <c r="I157" s="80" t="e">
        <f>SUM(I158:I161)</f>
        <v>#REF!</v>
      </c>
      <c r="K157" s="77">
        <v>153</v>
      </c>
    </row>
    <row r="158" spans="1:11">
      <c r="A158" s="13">
        <v>1</v>
      </c>
      <c r="B158" s="5" t="s">
        <v>82</v>
      </c>
      <c r="C158" s="6" t="str">
        <f>Gia_Tbi!C4</f>
        <v>Cái</v>
      </c>
      <c r="D158" s="6">
        <f>Gia_Tbi!D4</f>
        <v>0.4</v>
      </c>
      <c r="E158" s="6">
        <f>Gia_Tbi!E4</f>
        <v>5</v>
      </c>
      <c r="F158" s="82">
        <f>Gia_Tbi!F4</f>
        <v>10000000</v>
      </c>
      <c r="G158" s="83">
        <f>Gia_Tbi!G4</f>
        <v>4000</v>
      </c>
      <c r="H158" s="302">
        <v>4</v>
      </c>
      <c r="I158" s="84">
        <f>G158*H158</f>
        <v>16000</v>
      </c>
      <c r="K158" s="77">
        <v>154</v>
      </c>
    </row>
    <row r="159" spans="1:11">
      <c r="A159" s="13">
        <v>2</v>
      </c>
      <c r="B159" s="5" t="s">
        <v>83</v>
      </c>
      <c r="C159" s="6" t="str">
        <f>Gia_Tbi!C5</f>
        <v>Cái</v>
      </c>
      <c r="D159" s="6">
        <f>Gia_Tbi!D5</f>
        <v>0.6</v>
      </c>
      <c r="E159" s="6">
        <f>Gia_Tbi!E5</f>
        <v>5</v>
      </c>
      <c r="F159" s="82">
        <f>Gia_Tbi!F5</f>
        <v>2500000</v>
      </c>
      <c r="G159" s="83">
        <f>Gia_Tbi!G5</f>
        <v>1000</v>
      </c>
      <c r="H159" s="302">
        <v>0.5</v>
      </c>
      <c r="I159" s="84">
        <f>G159*H159</f>
        <v>500</v>
      </c>
      <c r="K159" s="77">
        <v>155</v>
      </c>
    </row>
    <row r="160" spans="1:11">
      <c r="A160" s="13">
        <v>3</v>
      </c>
      <c r="B160" s="5" t="s">
        <v>25</v>
      </c>
      <c r="C160" s="6" t="str">
        <f>Gia_Tbi!C6</f>
        <v>Cái</v>
      </c>
      <c r="D160" s="6">
        <f>Gia_Tbi!D6</f>
        <v>2.2000000000000002</v>
      </c>
      <c r="E160" s="6">
        <f>Gia_Tbi!E6</f>
        <v>8</v>
      </c>
      <c r="F160" s="82">
        <f>Gia_Tbi!F6</f>
        <v>12000000</v>
      </c>
      <c r="G160" s="83">
        <f>Gia_Tbi!G6</f>
        <v>3000</v>
      </c>
      <c r="H160" s="302">
        <v>1.5</v>
      </c>
      <c r="I160" s="84">
        <f>G160*H160</f>
        <v>4500</v>
      </c>
      <c r="K160" s="77">
        <v>156</v>
      </c>
    </row>
    <row r="161" spans="1:11">
      <c r="A161" s="13">
        <v>4</v>
      </c>
      <c r="B161" s="5" t="s">
        <v>24</v>
      </c>
      <c r="C161" s="6" t="e">
        <f>Gia_Tbi!#REF!</f>
        <v>#REF!</v>
      </c>
      <c r="D161" s="6" t="e">
        <f>Gia_Tbi!#REF!</f>
        <v>#REF!</v>
      </c>
      <c r="E161" s="6" t="e">
        <f>Gia_Tbi!#REF!</f>
        <v>#REF!</v>
      </c>
      <c r="F161" s="82" t="e">
        <f>Gia_Tbi!#REF!</f>
        <v>#REF!</v>
      </c>
      <c r="G161" s="83" t="e">
        <f>Gia_Tbi!#REF!</f>
        <v>#REF!</v>
      </c>
      <c r="H161" s="302">
        <v>1</v>
      </c>
      <c r="I161" s="84" t="e">
        <f>G161*H161</f>
        <v>#REF!</v>
      </c>
      <c r="K161" s="77">
        <v>157</v>
      </c>
    </row>
    <row r="162" spans="1:11">
      <c r="A162" s="40">
        <v>5</v>
      </c>
      <c r="B162" s="41" t="s">
        <v>8</v>
      </c>
      <c r="C162" s="42" t="str">
        <f>Gia_Tbi!C9</f>
        <v>Cái</v>
      </c>
      <c r="D162" s="42">
        <f>Gia_Tbi!D9</f>
        <v>0.8</v>
      </c>
      <c r="E162" s="117">
        <f>Gia_Tbi!E9</f>
        <v>8</v>
      </c>
      <c r="F162" s="86">
        <f>Gia_Tbi!F9</f>
        <v>45200000</v>
      </c>
      <c r="G162" s="87">
        <f>Gia_Tbi!G9</f>
        <v>11300</v>
      </c>
      <c r="H162" s="296" t="e">
        <f>(H158*D158+H159*D159+H160*D160+H161*D161)*8</f>
        <v>#REF!</v>
      </c>
      <c r="I162" s="120" t="e">
        <f>G162*H162*E162</f>
        <v>#REF!</v>
      </c>
      <c r="K162" s="77">
        <v>158</v>
      </c>
    </row>
    <row r="163" spans="1:11" s="81" customFormat="1">
      <c r="A163" s="1268" t="e">
        <f>#REF!</f>
        <v>#REF!</v>
      </c>
      <c r="B163" s="1271" t="e">
        <f>#REF!</f>
        <v>#REF!</v>
      </c>
      <c r="C163" s="15"/>
      <c r="D163" s="109" t="s">
        <v>105</v>
      </c>
      <c r="E163" s="15"/>
      <c r="F163" s="78"/>
      <c r="G163" s="79"/>
      <c r="H163" s="111">
        <v>0.8</v>
      </c>
      <c r="I163" s="80" t="e">
        <f>H163*I164</f>
        <v>#REF!</v>
      </c>
      <c r="K163" s="77">
        <v>159</v>
      </c>
    </row>
    <row r="164" spans="1:11" s="81" customFormat="1">
      <c r="A164" s="1269"/>
      <c r="B164" s="1272"/>
      <c r="C164" s="15"/>
      <c r="D164" s="109" t="s">
        <v>106</v>
      </c>
      <c r="E164" s="15"/>
      <c r="F164" s="78"/>
      <c r="G164" s="79"/>
      <c r="H164" s="111">
        <v>1</v>
      </c>
      <c r="I164" s="80" t="e">
        <f>SUM(I166:I169)</f>
        <v>#REF!</v>
      </c>
      <c r="K164" s="77">
        <v>160</v>
      </c>
    </row>
    <row r="165" spans="1:11" s="81" customFormat="1">
      <c r="A165" s="1270"/>
      <c r="B165" s="1273"/>
      <c r="C165" s="15"/>
      <c r="D165" s="109" t="s">
        <v>107</v>
      </c>
      <c r="E165" s="15"/>
      <c r="F165" s="78"/>
      <c r="G165" s="79"/>
      <c r="H165" s="111">
        <v>1.2</v>
      </c>
      <c r="I165" s="80" t="e">
        <f>H165*I164</f>
        <v>#REF!</v>
      </c>
      <c r="K165" s="77">
        <v>161</v>
      </c>
    </row>
    <row r="166" spans="1:11">
      <c r="A166" s="13">
        <v>1</v>
      </c>
      <c r="B166" s="5" t="s">
        <v>82</v>
      </c>
      <c r="C166" s="6" t="str">
        <f>Gia_Tbi!C4</f>
        <v>Cái</v>
      </c>
      <c r="D166" s="6">
        <f>Gia_Tbi!D4</f>
        <v>0.4</v>
      </c>
      <c r="E166" s="6">
        <f>Gia_Tbi!E4</f>
        <v>5</v>
      </c>
      <c r="F166" s="82">
        <f>Gia_Tbi!F4</f>
        <v>10000000</v>
      </c>
      <c r="G166" s="83">
        <f>Gia_Tbi!G4</f>
        <v>4000</v>
      </c>
      <c r="H166" s="302">
        <v>72</v>
      </c>
      <c r="I166" s="84">
        <f>G166*H166</f>
        <v>288000</v>
      </c>
      <c r="K166" s="77">
        <v>162</v>
      </c>
    </row>
    <row r="167" spans="1:11">
      <c r="A167" s="13">
        <v>2</v>
      </c>
      <c r="B167" s="5" t="s">
        <v>83</v>
      </c>
      <c r="C167" s="6" t="str">
        <f>Gia_Tbi!C5</f>
        <v>Cái</v>
      </c>
      <c r="D167" s="6">
        <f>Gia_Tbi!D5</f>
        <v>0.6</v>
      </c>
      <c r="E167" s="6">
        <f>Gia_Tbi!E5</f>
        <v>5</v>
      </c>
      <c r="F167" s="82">
        <f>Gia_Tbi!F5</f>
        <v>2500000</v>
      </c>
      <c r="G167" s="83">
        <f>Gia_Tbi!G5</f>
        <v>1000</v>
      </c>
      <c r="H167" s="302">
        <v>2.4</v>
      </c>
      <c r="I167" s="84">
        <f>G167*H167</f>
        <v>2400</v>
      </c>
      <c r="K167" s="77">
        <v>163</v>
      </c>
    </row>
    <row r="168" spans="1:11">
      <c r="A168" s="13">
        <v>3</v>
      </c>
      <c r="B168" s="5" t="s">
        <v>25</v>
      </c>
      <c r="C168" s="6" t="str">
        <f>Gia_Tbi!C6</f>
        <v>Cái</v>
      </c>
      <c r="D168" s="6">
        <f>Gia_Tbi!D6</f>
        <v>2.2000000000000002</v>
      </c>
      <c r="E168" s="6">
        <f>Gia_Tbi!E6</f>
        <v>8</v>
      </c>
      <c r="F168" s="82">
        <f>Gia_Tbi!F6</f>
        <v>12000000</v>
      </c>
      <c r="G168" s="83">
        <f>Gia_Tbi!G6</f>
        <v>3000</v>
      </c>
      <c r="H168" s="302">
        <v>6</v>
      </c>
      <c r="I168" s="84">
        <f>G168*H168</f>
        <v>18000</v>
      </c>
      <c r="K168" s="77">
        <v>164</v>
      </c>
    </row>
    <row r="169" spans="1:11">
      <c r="A169" s="13">
        <v>4</v>
      </c>
      <c r="B169" s="5" t="s">
        <v>24</v>
      </c>
      <c r="C169" s="6" t="e">
        <f>Gia_Tbi!#REF!</f>
        <v>#REF!</v>
      </c>
      <c r="D169" s="6" t="e">
        <f>Gia_Tbi!#REF!</f>
        <v>#REF!</v>
      </c>
      <c r="E169" s="6" t="e">
        <f>Gia_Tbi!#REF!</f>
        <v>#REF!</v>
      </c>
      <c r="F169" s="82" t="e">
        <f>Gia_Tbi!#REF!</f>
        <v>#REF!</v>
      </c>
      <c r="G169" s="83" t="e">
        <f>Gia_Tbi!#REF!</f>
        <v>#REF!</v>
      </c>
      <c r="H169" s="302">
        <v>2.06</v>
      </c>
      <c r="I169" s="84" t="e">
        <f>G169*H169</f>
        <v>#REF!</v>
      </c>
      <c r="K169" s="77">
        <v>165</v>
      </c>
    </row>
    <row r="170" spans="1:11">
      <c r="A170" s="40">
        <v>5</v>
      </c>
      <c r="B170" s="41" t="s">
        <v>8</v>
      </c>
      <c r="C170" s="42" t="str">
        <f>Gia_Tbi!C9</f>
        <v>Cái</v>
      </c>
      <c r="D170" s="42">
        <f>Gia_Tbi!D9</f>
        <v>0.8</v>
      </c>
      <c r="E170" s="117">
        <f>Gia_Tbi!E9</f>
        <v>8</v>
      </c>
      <c r="F170" s="86">
        <f>Gia_Tbi!F9</f>
        <v>45200000</v>
      </c>
      <c r="G170" s="87">
        <f>Gia_Tbi!G9</f>
        <v>11300</v>
      </c>
      <c r="H170" s="296" t="e">
        <f>(H166*D166+H167*D167+H168*D168+H169*D169)*8</f>
        <v>#REF!</v>
      </c>
      <c r="I170" s="120" t="e">
        <f>G170*H170*E170</f>
        <v>#REF!</v>
      </c>
      <c r="K170" s="77">
        <v>166</v>
      </c>
    </row>
    <row r="171" spans="1:11" s="81" customFormat="1">
      <c r="A171" s="31" t="e">
        <f>#REF!</f>
        <v>#REF!</v>
      </c>
      <c r="B171" s="32" t="e">
        <f>#REF!</f>
        <v>#REF!</v>
      </c>
      <c r="C171" s="15"/>
      <c r="D171" s="15"/>
      <c r="E171" s="15"/>
      <c r="F171" s="78"/>
      <c r="G171" s="79"/>
      <c r="H171" s="111"/>
      <c r="I171" s="80"/>
      <c r="K171" s="77">
        <v>167</v>
      </c>
    </row>
    <row r="172" spans="1:11" s="81" customFormat="1">
      <c r="A172" s="1268" t="e">
        <f>#REF!</f>
        <v>#REF!</v>
      </c>
      <c r="B172" s="1271" t="e">
        <f>#REF!</f>
        <v>#REF!</v>
      </c>
      <c r="C172" s="15"/>
      <c r="D172" s="109" t="s">
        <v>105</v>
      </c>
      <c r="E172" s="15"/>
      <c r="F172" s="78"/>
      <c r="G172" s="79"/>
      <c r="H172" s="111">
        <v>0.8</v>
      </c>
      <c r="I172" s="80" t="e">
        <f>H172*I173</f>
        <v>#REF!</v>
      </c>
      <c r="K172" s="77">
        <v>168</v>
      </c>
    </row>
    <row r="173" spans="1:11" s="81" customFormat="1">
      <c r="A173" s="1269" t="e">
        <f>#REF!</f>
        <v>#REF!</v>
      </c>
      <c r="B173" s="1272" t="e">
        <f>#REF!</f>
        <v>#REF!</v>
      </c>
      <c r="C173" s="15"/>
      <c r="D173" s="109" t="s">
        <v>106</v>
      </c>
      <c r="E173" s="15"/>
      <c r="F173" s="78"/>
      <c r="G173" s="79"/>
      <c r="H173" s="111">
        <v>1</v>
      </c>
      <c r="I173" s="80" t="e">
        <f>SUM(I175:I178)</f>
        <v>#REF!</v>
      </c>
      <c r="K173" s="77">
        <v>169</v>
      </c>
    </row>
    <row r="174" spans="1:11" s="81" customFormat="1">
      <c r="A174" s="1270" t="e">
        <f>#REF!</f>
        <v>#REF!</v>
      </c>
      <c r="B174" s="1273" t="e">
        <f>#REF!</f>
        <v>#REF!</v>
      </c>
      <c r="C174" s="15"/>
      <c r="D174" s="109" t="s">
        <v>107</v>
      </c>
      <c r="E174" s="15"/>
      <c r="F174" s="78"/>
      <c r="G174" s="79"/>
      <c r="H174" s="111">
        <v>1.2</v>
      </c>
      <c r="I174" s="80" t="e">
        <f>H174*I173</f>
        <v>#REF!</v>
      </c>
      <c r="K174" s="77">
        <v>170</v>
      </c>
    </row>
    <row r="175" spans="1:11">
      <c r="A175" s="13">
        <v>1</v>
      </c>
      <c r="B175" s="5" t="s">
        <v>82</v>
      </c>
      <c r="C175" s="6" t="str">
        <f>Gia_Tbi!C4</f>
        <v>Cái</v>
      </c>
      <c r="D175" s="6">
        <f>Gia_Tbi!D4</f>
        <v>0.4</v>
      </c>
      <c r="E175" s="6">
        <f>Gia_Tbi!E4</f>
        <v>5</v>
      </c>
      <c r="F175" s="82">
        <f>Gia_Tbi!F4</f>
        <v>10000000</v>
      </c>
      <c r="G175" s="83">
        <f>Gia_Tbi!G4</f>
        <v>4000</v>
      </c>
      <c r="H175" s="302">
        <v>12</v>
      </c>
      <c r="I175" s="84">
        <f>G175*H175</f>
        <v>48000</v>
      </c>
      <c r="K175" s="77">
        <v>171</v>
      </c>
    </row>
    <row r="176" spans="1:11">
      <c r="A176" s="13">
        <v>2</v>
      </c>
      <c r="B176" s="5" t="s">
        <v>83</v>
      </c>
      <c r="C176" s="6" t="str">
        <f>Gia_Tbi!C5</f>
        <v>Cái</v>
      </c>
      <c r="D176" s="6">
        <f>Gia_Tbi!D5</f>
        <v>0.6</v>
      </c>
      <c r="E176" s="6">
        <f>Gia_Tbi!E5</f>
        <v>5</v>
      </c>
      <c r="F176" s="82">
        <f>Gia_Tbi!F5</f>
        <v>2500000</v>
      </c>
      <c r="G176" s="83">
        <f>Gia_Tbi!G5</f>
        <v>1000</v>
      </c>
      <c r="H176" s="302">
        <v>2</v>
      </c>
      <c r="I176" s="84">
        <f>G176*H176</f>
        <v>2000</v>
      </c>
      <c r="K176" s="77">
        <v>172</v>
      </c>
    </row>
    <row r="177" spans="1:11">
      <c r="A177" s="13">
        <v>3</v>
      </c>
      <c r="B177" s="5" t="s">
        <v>25</v>
      </c>
      <c r="C177" s="6" t="str">
        <f>Gia_Tbi!C6</f>
        <v>Cái</v>
      </c>
      <c r="D177" s="6">
        <f>Gia_Tbi!D6</f>
        <v>2.2000000000000002</v>
      </c>
      <c r="E177" s="6">
        <f>Gia_Tbi!E6</f>
        <v>8</v>
      </c>
      <c r="F177" s="82">
        <f>Gia_Tbi!F6</f>
        <v>12000000</v>
      </c>
      <c r="G177" s="83">
        <f>Gia_Tbi!G6</f>
        <v>3000</v>
      </c>
      <c r="H177" s="302">
        <v>4</v>
      </c>
      <c r="I177" s="84">
        <f>G177*H177</f>
        <v>12000</v>
      </c>
      <c r="K177" s="77">
        <v>173</v>
      </c>
    </row>
    <row r="178" spans="1:11">
      <c r="A178" s="13">
        <v>4</v>
      </c>
      <c r="B178" s="5" t="s">
        <v>24</v>
      </c>
      <c r="C178" s="6" t="e">
        <f>Gia_Tbi!#REF!</f>
        <v>#REF!</v>
      </c>
      <c r="D178" s="6" t="e">
        <f>Gia_Tbi!#REF!</f>
        <v>#REF!</v>
      </c>
      <c r="E178" s="6" t="e">
        <f>Gia_Tbi!#REF!</f>
        <v>#REF!</v>
      </c>
      <c r="F178" s="82" t="e">
        <f>Gia_Tbi!#REF!</f>
        <v>#REF!</v>
      </c>
      <c r="G178" s="83" t="e">
        <f>Gia_Tbi!#REF!</f>
        <v>#REF!</v>
      </c>
      <c r="H178" s="302">
        <v>0.4</v>
      </c>
      <c r="I178" s="84" t="e">
        <f>G178*H178</f>
        <v>#REF!</v>
      </c>
      <c r="K178" s="77">
        <v>174</v>
      </c>
    </row>
    <row r="179" spans="1:11">
      <c r="A179" s="40">
        <v>5</v>
      </c>
      <c r="B179" s="41" t="s">
        <v>8</v>
      </c>
      <c r="C179" s="42" t="str">
        <f>Gia_Tbi!C9</f>
        <v>Cái</v>
      </c>
      <c r="D179" s="42">
        <f>Gia_Tbi!D9</f>
        <v>0.8</v>
      </c>
      <c r="E179" s="117">
        <f>Gia_Tbi!E9</f>
        <v>8</v>
      </c>
      <c r="F179" s="86">
        <f>Gia_Tbi!F9</f>
        <v>45200000</v>
      </c>
      <c r="G179" s="87">
        <f>Gia_Tbi!G9</f>
        <v>11300</v>
      </c>
      <c r="H179" s="296" t="e">
        <f>(H175*D175+H176*D176+H177*D177+H178*D178)*8</f>
        <v>#REF!</v>
      </c>
      <c r="I179" s="120" t="e">
        <f>G179*H179*E179</f>
        <v>#REF!</v>
      </c>
      <c r="K179" s="77">
        <v>175</v>
      </c>
    </row>
    <row r="180" spans="1:11" s="81" customFormat="1">
      <c r="A180" s="1268" t="e">
        <f>#REF!</f>
        <v>#REF!</v>
      </c>
      <c r="B180" s="1271" t="e">
        <f>#REF!</f>
        <v>#REF!</v>
      </c>
      <c r="C180" s="15"/>
      <c r="D180" s="109" t="s">
        <v>105</v>
      </c>
      <c r="E180" s="15"/>
      <c r="F180" s="78"/>
      <c r="G180" s="79"/>
      <c r="H180" s="111">
        <v>0.8</v>
      </c>
      <c r="I180" s="80" t="e">
        <f>H180*I181</f>
        <v>#REF!</v>
      </c>
      <c r="K180" s="77">
        <v>176</v>
      </c>
    </row>
    <row r="181" spans="1:11" s="81" customFormat="1">
      <c r="A181" s="1269" t="e">
        <f>#REF!</f>
        <v>#REF!</v>
      </c>
      <c r="B181" s="1272" t="e">
        <f>#REF!</f>
        <v>#REF!</v>
      </c>
      <c r="C181" s="15"/>
      <c r="D181" s="109" t="s">
        <v>106</v>
      </c>
      <c r="E181" s="15"/>
      <c r="F181" s="78"/>
      <c r="G181" s="79"/>
      <c r="H181" s="111">
        <v>1</v>
      </c>
      <c r="I181" s="80" t="e">
        <f>SUM(I183:I186)</f>
        <v>#REF!</v>
      </c>
      <c r="K181" s="77">
        <v>177</v>
      </c>
    </row>
    <row r="182" spans="1:11" s="81" customFormat="1">
      <c r="A182" s="1270" t="e">
        <f>#REF!</f>
        <v>#REF!</v>
      </c>
      <c r="B182" s="1273" t="e">
        <f>#REF!</f>
        <v>#REF!</v>
      </c>
      <c r="C182" s="15"/>
      <c r="D182" s="109" t="s">
        <v>107</v>
      </c>
      <c r="E182" s="15"/>
      <c r="F182" s="78"/>
      <c r="G182" s="79"/>
      <c r="H182" s="111">
        <v>1.2</v>
      </c>
      <c r="I182" s="80" t="e">
        <f>H182*I181</f>
        <v>#REF!</v>
      </c>
      <c r="K182" s="77">
        <v>178</v>
      </c>
    </row>
    <row r="183" spans="1:11">
      <c r="A183" s="13">
        <v>1</v>
      </c>
      <c r="B183" s="5" t="s">
        <v>82</v>
      </c>
      <c r="C183" s="6" t="str">
        <f>Gia_Tbi!C4</f>
        <v>Cái</v>
      </c>
      <c r="D183" s="6">
        <f>Gia_Tbi!D4</f>
        <v>0.4</v>
      </c>
      <c r="E183" s="6">
        <f>Gia_Tbi!E4</f>
        <v>5</v>
      </c>
      <c r="F183" s="82">
        <f>Gia_Tbi!F4</f>
        <v>10000000</v>
      </c>
      <c r="G183" s="83">
        <f>Gia_Tbi!G4</f>
        <v>4000</v>
      </c>
      <c r="H183" s="302">
        <v>72</v>
      </c>
      <c r="I183" s="84">
        <f>G183*H183</f>
        <v>288000</v>
      </c>
      <c r="K183" s="77">
        <v>179</v>
      </c>
    </row>
    <row r="184" spans="1:11">
      <c r="A184" s="13">
        <v>2</v>
      </c>
      <c r="B184" s="5" t="s">
        <v>83</v>
      </c>
      <c r="C184" s="6" t="str">
        <f>Gia_Tbi!C5</f>
        <v>Cái</v>
      </c>
      <c r="D184" s="6">
        <f>Gia_Tbi!D5</f>
        <v>0.6</v>
      </c>
      <c r="E184" s="6">
        <f>Gia_Tbi!E5</f>
        <v>5</v>
      </c>
      <c r="F184" s="82">
        <f>Gia_Tbi!F5</f>
        <v>2500000</v>
      </c>
      <c r="G184" s="83">
        <f>Gia_Tbi!G5</f>
        <v>1000</v>
      </c>
      <c r="H184" s="302">
        <v>0.8</v>
      </c>
      <c r="I184" s="84">
        <f>G184*H184</f>
        <v>800</v>
      </c>
      <c r="K184" s="77">
        <v>180</v>
      </c>
    </row>
    <row r="185" spans="1:11">
      <c r="A185" s="13">
        <v>3</v>
      </c>
      <c r="B185" s="5" t="s">
        <v>25</v>
      </c>
      <c r="C185" s="6" t="str">
        <f>Gia_Tbi!C6</f>
        <v>Cái</v>
      </c>
      <c r="D185" s="6">
        <f>Gia_Tbi!D6</f>
        <v>2.2000000000000002</v>
      </c>
      <c r="E185" s="6">
        <f>Gia_Tbi!E6</f>
        <v>8</v>
      </c>
      <c r="F185" s="82">
        <f>Gia_Tbi!F6</f>
        <v>12000000</v>
      </c>
      <c r="G185" s="83">
        <f>Gia_Tbi!G6</f>
        <v>3000</v>
      </c>
      <c r="H185" s="302">
        <v>12</v>
      </c>
      <c r="I185" s="84">
        <f>G185*H185</f>
        <v>36000</v>
      </c>
      <c r="K185" s="77">
        <v>181</v>
      </c>
    </row>
    <row r="186" spans="1:11">
      <c r="A186" s="13">
        <v>4</v>
      </c>
      <c r="B186" s="5" t="s">
        <v>24</v>
      </c>
      <c r="C186" s="6" t="e">
        <f>Gia_Tbi!#REF!</f>
        <v>#REF!</v>
      </c>
      <c r="D186" s="6" t="e">
        <f>Gia_Tbi!#REF!</f>
        <v>#REF!</v>
      </c>
      <c r="E186" s="6" t="e">
        <f>Gia_Tbi!#REF!</f>
        <v>#REF!</v>
      </c>
      <c r="F186" s="82" t="e">
        <f>Gia_Tbi!#REF!</f>
        <v>#REF!</v>
      </c>
      <c r="G186" s="83" t="e">
        <f>Gia_Tbi!#REF!</f>
        <v>#REF!</v>
      </c>
      <c r="H186" s="302">
        <v>0.5</v>
      </c>
      <c r="I186" s="84" t="e">
        <f>G186*H186</f>
        <v>#REF!</v>
      </c>
      <c r="K186" s="77">
        <v>182</v>
      </c>
    </row>
    <row r="187" spans="1:11">
      <c r="A187" s="40">
        <v>5</v>
      </c>
      <c r="B187" s="41" t="s">
        <v>8</v>
      </c>
      <c r="C187" s="42" t="str">
        <f>Gia_Tbi!C9</f>
        <v>Cái</v>
      </c>
      <c r="D187" s="42">
        <f>Gia_Tbi!D9</f>
        <v>0.8</v>
      </c>
      <c r="E187" s="117">
        <f>Gia_Tbi!E9</f>
        <v>8</v>
      </c>
      <c r="F187" s="86">
        <f>Gia_Tbi!F9</f>
        <v>45200000</v>
      </c>
      <c r="G187" s="87">
        <f>Gia_Tbi!G9</f>
        <v>11300</v>
      </c>
      <c r="H187" s="296" t="e">
        <f>(H183*D183+H184*D184+H185*D185+H186*D186)*8</f>
        <v>#REF!</v>
      </c>
      <c r="I187" s="120" t="e">
        <f>G187*H187*E187</f>
        <v>#REF!</v>
      </c>
      <c r="K187" s="77">
        <v>183</v>
      </c>
    </row>
    <row r="188" spans="1:11" s="4" customFormat="1">
      <c r="A188" s="12" t="e">
        <f>#REF!</f>
        <v>#REF!</v>
      </c>
      <c r="B188" s="8" t="e">
        <f>#REF!</f>
        <v>#REF!</v>
      </c>
      <c r="C188" s="7"/>
      <c r="D188" s="7"/>
      <c r="E188" s="7"/>
      <c r="F188" s="93"/>
      <c r="G188" s="94"/>
      <c r="H188" s="298"/>
      <c r="I188" s="95"/>
      <c r="K188" s="77">
        <v>184</v>
      </c>
    </row>
    <row r="189" spans="1:11" s="81" customFormat="1">
      <c r="A189" s="31" t="e">
        <f>#REF!</f>
        <v>#REF!</v>
      </c>
      <c r="B189" s="32" t="e">
        <f>#REF!</f>
        <v>#REF!</v>
      </c>
      <c r="C189" s="15"/>
      <c r="D189" s="15"/>
      <c r="E189" s="15"/>
      <c r="F189" s="78"/>
      <c r="G189" s="79"/>
      <c r="H189" s="111"/>
      <c r="I189" s="80" t="e">
        <f>SUM(I190:I193)</f>
        <v>#REF!</v>
      </c>
      <c r="K189" s="77">
        <v>185</v>
      </c>
    </row>
    <row r="190" spans="1:11">
      <c r="A190" s="13">
        <v>1</v>
      </c>
      <c r="B190" s="5" t="s">
        <v>82</v>
      </c>
      <c r="C190" s="6" t="str">
        <f>Gia_Tbi!C4</f>
        <v>Cái</v>
      </c>
      <c r="D190" s="6">
        <f>Gia_Tbi!D4</f>
        <v>0.4</v>
      </c>
      <c r="E190" s="6">
        <f>Gia_Tbi!E4</f>
        <v>5</v>
      </c>
      <c r="F190" s="82">
        <f>Gia_Tbi!F4</f>
        <v>10000000</v>
      </c>
      <c r="G190" s="83">
        <f>Gia_Tbi!G4</f>
        <v>4000</v>
      </c>
      <c r="H190" s="302">
        <v>100</v>
      </c>
      <c r="I190" s="84">
        <f>G190*H190</f>
        <v>400000</v>
      </c>
      <c r="K190" s="77">
        <v>186</v>
      </c>
    </row>
    <row r="191" spans="1:11">
      <c r="A191" s="13">
        <v>2</v>
      </c>
      <c r="B191" s="5" t="s">
        <v>83</v>
      </c>
      <c r="C191" s="6" t="str">
        <f>Gia_Tbi!C5</f>
        <v>Cái</v>
      </c>
      <c r="D191" s="6">
        <f>Gia_Tbi!D5</f>
        <v>0.6</v>
      </c>
      <c r="E191" s="6">
        <f>Gia_Tbi!E5</f>
        <v>5</v>
      </c>
      <c r="F191" s="82">
        <f>Gia_Tbi!F5</f>
        <v>2500000</v>
      </c>
      <c r="G191" s="83">
        <f>Gia_Tbi!G5</f>
        <v>1000</v>
      </c>
      <c r="H191" s="302">
        <v>4.5</v>
      </c>
      <c r="I191" s="84">
        <f>G191*H191</f>
        <v>4500</v>
      </c>
      <c r="K191" s="77">
        <v>187</v>
      </c>
    </row>
    <row r="192" spans="1:11">
      <c r="A192" s="13">
        <v>3</v>
      </c>
      <c r="B192" s="5" t="s">
        <v>25</v>
      </c>
      <c r="C192" s="6" t="str">
        <f>Gia_Tbi!C6</f>
        <v>Cái</v>
      </c>
      <c r="D192" s="6">
        <f>Gia_Tbi!D6</f>
        <v>2.2000000000000002</v>
      </c>
      <c r="E192" s="6">
        <f>Gia_Tbi!E6</f>
        <v>8</v>
      </c>
      <c r="F192" s="82">
        <f>Gia_Tbi!F6</f>
        <v>12000000</v>
      </c>
      <c r="G192" s="83">
        <f>Gia_Tbi!G6</f>
        <v>3000</v>
      </c>
      <c r="H192" s="302">
        <v>12.5</v>
      </c>
      <c r="I192" s="84">
        <f>G192*H192</f>
        <v>37500</v>
      </c>
      <c r="K192" s="77">
        <v>188</v>
      </c>
    </row>
    <row r="193" spans="1:11">
      <c r="A193" s="13">
        <v>4</v>
      </c>
      <c r="B193" s="5" t="s">
        <v>24</v>
      </c>
      <c r="C193" s="6" t="e">
        <f>Gia_Tbi!#REF!</f>
        <v>#REF!</v>
      </c>
      <c r="D193" s="6" t="e">
        <f>Gia_Tbi!#REF!</f>
        <v>#REF!</v>
      </c>
      <c r="E193" s="6" t="e">
        <f>Gia_Tbi!#REF!</f>
        <v>#REF!</v>
      </c>
      <c r="F193" s="82" t="e">
        <f>Gia_Tbi!#REF!</f>
        <v>#REF!</v>
      </c>
      <c r="G193" s="83" t="e">
        <f>Gia_Tbi!#REF!</f>
        <v>#REF!</v>
      </c>
      <c r="H193" s="302">
        <v>5</v>
      </c>
      <c r="I193" s="84" t="e">
        <f>G193*H193</f>
        <v>#REF!</v>
      </c>
      <c r="K193" s="77">
        <v>189</v>
      </c>
    </row>
    <row r="194" spans="1:11">
      <c r="A194" s="40">
        <v>5</v>
      </c>
      <c r="B194" s="41" t="s">
        <v>8</v>
      </c>
      <c r="C194" s="42" t="str">
        <f>Gia_Tbi!C9</f>
        <v>Cái</v>
      </c>
      <c r="D194" s="42">
        <f>Gia_Tbi!D9</f>
        <v>0.8</v>
      </c>
      <c r="E194" s="117">
        <f>Gia_Tbi!E9</f>
        <v>8</v>
      </c>
      <c r="F194" s="86">
        <f>Gia_Tbi!F9</f>
        <v>45200000</v>
      </c>
      <c r="G194" s="87">
        <f>Gia_Tbi!G9</f>
        <v>11300</v>
      </c>
      <c r="H194" s="296" t="e">
        <f>(H190*D190+H191*D191+H192*D192+H193*D193)*8</f>
        <v>#REF!</v>
      </c>
      <c r="I194" s="120" t="e">
        <f>G194*H194*E194</f>
        <v>#REF!</v>
      </c>
      <c r="K194" s="77">
        <v>190</v>
      </c>
    </row>
    <row r="195" spans="1:11" s="81" customFormat="1">
      <c r="A195" s="31" t="e">
        <f>#REF!</f>
        <v>#REF!</v>
      </c>
      <c r="B195" s="32" t="e">
        <f>#REF!</f>
        <v>#REF!</v>
      </c>
      <c r="C195" s="15"/>
      <c r="D195" s="15"/>
      <c r="E195" s="15"/>
      <c r="F195" s="78"/>
      <c r="G195" s="79"/>
      <c r="H195" s="111"/>
      <c r="I195" s="80"/>
      <c r="K195" s="77">
        <v>191</v>
      </c>
    </row>
    <row r="196" spans="1:11">
      <c r="A196" s="13" t="e">
        <f>#REF!</f>
        <v>#REF!</v>
      </c>
      <c r="B196" s="5" t="e">
        <f>#REF!</f>
        <v>#REF!</v>
      </c>
      <c r="C196" s="6"/>
      <c r="D196" s="6"/>
      <c r="E196" s="6"/>
      <c r="F196" s="82"/>
      <c r="G196" s="83"/>
      <c r="H196" s="295"/>
      <c r="I196" s="84"/>
      <c r="K196" s="77">
        <v>192</v>
      </c>
    </row>
    <row r="197" spans="1:11">
      <c r="A197" s="13" t="e">
        <f>#REF!</f>
        <v>#REF!</v>
      </c>
      <c r="B197" s="5" t="e">
        <f>#REF!</f>
        <v>#REF!</v>
      </c>
      <c r="C197" s="6"/>
      <c r="D197" s="6"/>
      <c r="E197" s="6"/>
      <c r="F197" s="82"/>
      <c r="G197" s="83"/>
      <c r="H197" s="295"/>
      <c r="I197" s="80" t="e">
        <f>SUM(I198:I201)</f>
        <v>#REF!</v>
      </c>
      <c r="K197" s="77">
        <v>193</v>
      </c>
    </row>
    <row r="198" spans="1:11">
      <c r="A198" s="13">
        <v>1</v>
      </c>
      <c r="B198" s="5" t="s">
        <v>82</v>
      </c>
      <c r="C198" s="6" t="str">
        <f>Gia_Tbi!C4</f>
        <v>Cái</v>
      </c>
      <c r="D198" s="6">
        <f>Gia_Tbi!D4</f>
        <v>0.4</v>
      </c>
      <c r="E198" s="6">
        <f>Gia_Tbi!E4</f>
        <v>5</v>
      </c>
      <c r="F198" s="82">
        <f>Gia_Tbi!F4</f>
        <v>10000000</v>
      </c>
      <c r="G198" s="83">
        <f>Gia_Tbi!G4</f>
        <v>4000</v>
      </c>
      <c r="H198" s="302">
        <v>200</v>
      </c>
      <c r="I198" s="84">
        <f>G198*H198</f>
        <v>800000</v>
      </c>
      <c r="K198" s="77">
        <v>194</v>
      </c>
    </row>
    <row r="199" spans="1:11">
      <c r="A199" s="13">
        <v>2</v>
      </c>
      <c r="B199" s="5" t="s">
        <v>83</v>
      </c>
      <c r="C199" s="6" t="str">
        <f>Gia_Tbi!C5</f>
        <v>Cái</v>
      </c>
      <c r="D199" s="6">
        <f>Gia_Tbi!D5</f>
        <v>0.6</v>
      </c>
      <c r="E199" s="6">
        <f>Gia_Tbi!E5</f>
        <v>5</v>
      </c>
      <c r="F199" s="82">
        <f>Gia_Tbi!F5</f>
        <v>2500000</v>
      </c>
      <c r="G199" s="83">
        <f>Gia_Tbi!G5</f>
        <v>1000</v>
      </c>
      <c r="H199" s="302">
        <v>5.4</v>
      </c>
      <c r="I199" s="84">
        <f>G199*H199</f>
        <v>5400</v>
      </c>
      <c r="K199" s="77">
        <v>195</v>
      </c>
    </row>
    <row r="200" spans="1:11">
      <c r="A200" s="13">
        <v>3</v>
      </c>
      <c r="B200" s="5" t="s">
        <v>25</v>
      </c>
      <c r="C200" s="6" t="str">
        <f>Gia_Tbi!C6</f>
        <v>Cái</v>
      </c>
      <c r="D200" s="6">
        <f>Gia_Tbi!D6</f>
        <v>2.2000000000000002</v>
      </c>
      <c r="E200" s="6">
        <f>Gia_Tbi!E6</f>
        <v>8</v>
      </c>
      <c r="F200" s="82">
        <f>Gia_Tbi!F6</f>
        <v>12000000</v>
      </c>
      <c r="G200" s="83">
        <f>Gia_Tbi!G6</f>
        <v>3000</v>
      </c>
      <c r="H200" s="302">
        <v>25</v>
      </c>
      <c r="I200" s="84">
        <f>G200*H200</f>
        <v>75000</v>
      </c>
      <c r="K200" s="77">
        <v>196</v>
      </c>
    </row>
    <row r="201" spans="1:11">
      <c r="A201" s="13">
        <v>4</v>
      </c>
      <c r="B201" s="5" t="s">
        <v>24</v>
      </c>
      <c r="C201" s="6" t="e">
        <f>Gia_Tbi!#REF!</f>
        <v>#REF!</v>
      </c>
      <c r="D201" s="6" t="e">
        <f>Gia_Tbi!#REF!</f>
        <v>#REF!</v>
      </c>
      <c r="E201" s="6" t="e">
        <f>Gia_Tbi!#REF!</f>
        <v>#REF!</v>
      </c>
      <c r="F201" s="82" t="e">
        <f>Gia_Tbi!#REF!</f>
        <v>#REF!</v>
      </c>
      <c r="G201" s="83" t="e">
        <f>Gia_Tbi!#REF!</f>
        <v>#REF!</v>
      </c>
      <c r="H201" s="302">
        <v>4.2300000000000004</v>
      </c>
      <c r="I201" s="84" t="e">
        <f>G201*H201</f>
        <v>#REF!</v>
      </c>
      <c r="K201" s="77">
        <v>197</v>
      </c>
    </row>
    <row r="202" spans="1:11">
      <c r="A202" s="40">
        <v>5</v>
      </c>
      <c r="B202" s="41" t="s">
        <v>8</v>
      </c>
      <c r="C202" s="42" t="str">
        <f>Gia_Tbi!C9</f>
        <v>Cái</v>
      </c>
      <c r="D202" s="42">
        <f>Gia_Tbi!D9</f>
        <v>0.8</v>
      </c>
      <c r="E202" s="117">
        <f>Gia_Tbi!E9</f>
        <v>8</v>
      </c>
      <c r="F202" s="86">
        <f>Gia_Tbi!F9</f>
        <v>45200000</v>
      </c>
      <c r="G202" s="87">
        <f>Gia_Tbi!G9</f>
        <v>11300</v>
      </c>
      <c r="H202" s="296" t="e">
        <f>(H198*D198+H199*D199+H200*D200+H201*D201)*8</f>
        <v>#REF!</v>
      </c>
      <c r="I202" s="120" t="e">
        <f>G202*H202*E202</f>
        <v>#REF!</v>
      </c>
      <c r="K202" s="77">
        <v>198</v>
      </c>
    </row>
    <row r="203" spans="1:11">
      <c r="A203" s="13" t="e">
        <f>#REF!</f>
        <v>#REF!</v>
      </c>
      <c r="B203" s="5" t="e">
        <f>#REF!</f>
        <v>#REF!</v>
      </c>
      <c r="C203" s="6"/>
      <c r="D203" s="6"/>
      <c r="E203" s="6"/>
      <c r="F203" s="82"/>
      <c r="G203" s="83"/>
      <c r="H203" s="295"/>
      <c r="I203" s="84"/>
      <c r="K203" s="77">
        <v>199</v>
      </c>
    </row>
    <row r="204" spans="1:11">
      <c r="A204" s="13" t="e">
        <f>#REF!</f>
        <v>#REF!</v>
      </c>
      <c r="B204" s="5" t="e">
        <f>#REF!</f>
        <v>#REF!</v>
      </c>
      <c r="C204" s="6"/>
      <c r="D204" s="6"/>
      <c r="E204" s="6"/>
      <c r="F204" s="82"/>
      <c r="G204" s="83"/>
      <c r="H204" s="295"/>
      <c r="I204" s="80" t="e">
        <f>SUM(I205:I208)</f>
        <v>#REF!</v>
      </c>
      <c r="K204" s="77">
        <v>200</v>
      </c>
    </row>
    <row r="205" spans="1:11">
      <c r="A205" s="13">
        <v>1</v>
      </c>
      <c r="B205" s="5" t="s">
        <v>82</v>
      </c>
      <c r="C205" s="6" t="str">
        <f>Gia_Tbi!C4</f>
        <v>Cái</v>
      </c>
      <c r="D205" s="6">
        <f>Gia_Tbi!D4</f>
        <v>0.4</v>
      </c>
      <c r="E205" s="6">
        <f>Gia_Tbi!E4</f>
        <v>5</v>
      </c>
      <c r="F205" s="82">
        <f>Gia_Tbi!F4</f>
        <v>10000000</v>
      </c>
      <c r="G205" s="83">
        <f>Gia_Tbi!G4</f>
        <v>4000</v>
      </c>
      <c r="H205" s="302">
        <v>0.02</v>
      </c>
      <c r="I205" s="84">
        <f>G205*H205</f>
        <v>80</v>
      </c>
      <c r="K205" s="77">
        <v>201</v>
      </c>
    </row>
    <row r="206" spans="1:11">
      <c r="A206" s="13">
        <v>2</v>
      </c>
      <c r="B206" s="5" t="s">
        <v>83</v>
      </c>
      <c r="C206" s="6" t="str">
        <f>Gia_Tbi!C5</f>
        <v>Cái</v>
      </c>
      <c r="D206" s="6">
        <f>Gia_Tbi!D5</f>
        <v>0.6</v>
      </c>
      <c r="E206" s="6">
        <f>Gia_Tbi!E5</f>
        <v>5</v>
      </c>
      <c r="F206" s="82">
        <f>Gia_Tbi!F5</f>
        <v>2500000</v>
      </c>
      <c r="G206" s="83">
        <f>Gia_Tbi!G5</f>
        <v>1000</v>
      </c>
      <c r="H206" s="302">
        <v>1E-3</v>
      </c>
      <c r="I206" s="84">
        <f>G206*H206</f>
        <v>1</v>
      </c>
      <c r="K206" s="77">
        <v>202</v>
      </c>
    </row>
    <row r="207" spans="1:11">
      <c r="A207" s="13">
        <v>3</v>
      </c>
      <c r="B207" s="5" t="s">
        <v>25</v>
      </c>
      <c r="C207" s="6" t="str">
        <f>Gia_Tbi!C6</f>
        <v>Cái</v>
      </c>
      <c r="D207" s="6">
        <f>Gia_Tbi!D6</f>
        <v>2.2000000000000002</v>
      </c>
      <c r="E207" s="6">
        <f>Gia_Tbi!E6</f>
        <v>8</v>
      </c>
      <c r="F207" s="82">
        <f>Gia_Tbi!F6</f>
        <v>12000000</v>
      </c>
      <c r="G207" s="83">
        <f>Gia_Tbi!G6</f>
        <v>3000</v>
      </c>
      <c r="H207" s="302">
        <v>5.0000000000000001E-3</v>
      </c>
      <c r="I207" s="84">
        <f>G207*H207</f>
        <v>15</v>
      </c>
      <c r="K207" s="77">
        <v>203</v>
      </c>
    </row>
    <row r="208" spans="1:11">
      <c r="A208" s="13">
        <v>4</v>
      </c>
      <c r="B208" s="5" t="s">
        <v>24</v>
      </c>
      <c r="C208" s="6" t="e">
        <f>Gia_Tbi!#REF!</f>
        <v>#REF!</v>
      </c>
      <c r="D208" s="6" t="e">
        <f>Gia_Tbi!#REF!</f>
        <v>#REF!</v>
      </c>
      <c r="E208" s="6" t="e">
        <f>Gia_Tbi!#REF!</f>
        <v>#REF!</v>
      </c>
      <c r="F208" s="82" t="e">
        <f>Gia_Tbi!#REF!</f>
        <v>#REF!</v>
      </c>
      <c r="G208" s="83" t="e">
        <f>Gia_Tbi!#REF!</f>
        <v>#REF!</v>
      </c>
      <c r="H208" s="302">
        <v>1E-3</v>
      </c>
      <c r="I208" s="84" t="e">
        <f>G208*H208</f>
        <v>#REF!</v>
      </c>
      <c r="K208" s="77">
        <v>204</v>
      </c>
    </row>
    <row r="209" spans="1:11">
      <c r="A209" s="40">
        <v>5</v>
      </c>
      <c r="B209" s="41" t="s">
        <v>8</v>
      </c>
      <c r="C209" s="42" t="str">
        <f>Gia_Tbi!C9</f>
        <v>Cái</v>
      </c>
      <c r="D209" s="42">
        <f>Gia_Tbi!D9</f>
        <v>0.8</v>
      </c>
      <c r="E209" s="117">
        <f>Gia_Tbi!E9</f>
        <v>8</v>
      </c>
      <c r="F209" s="86">
        <f>Gia_Tbi!F9</f>
        <v>45200000</v>
      </c>
      <c r="G209" s="87">
        <f>Gia_Tbi!G9</f>
        <v>11300</v>
      </c>
      <c r="H209" s="296" t="e">
        <f>(H205*D205+H206*D206+H207*D207+H208*D208)*8</f>
        <v>#REF!</v>
      </c>
      <c r="I209" s="120" t="e">
        <f>G209*H209*E209</f>
        <v>#REF!</v>
      </c>
      <c r="K209" s="77">
        <v>205</v>
      </c>
    </row>
    <row r="210" spans="1:11">
      <c r="A210" s="13" t="e">
        <f>#REF!</f>
        <v>#REF!</v>
      </c>
      <c r="B210" s="5" t="e">
        <f>#REF!</f>
        <v>#REF!</v>
      </c>
      <c r="C210" s="6"/>
      <c r="D210" s="6"/>
      <c r="E210" s="6"/>
      <c r="F210" s="82"/>
      <c r="G210" s="83"/>
      <c r="H210" s="295"/>
      <c r="I210" s="80" t="e">
        <f>SUM(I211:I214)</f>
        <v>#REF!</v>
      </c>
      <c r="K210" s="77">
        <v>206</v>
      </c>
    </row>
    <row r="211" spans="1:11">
      <c r="A211" s="13">
        <v>1</v>
      </c>
      <c r="B211" s="5" t="s">
        <v>82</v>
      </c>
      <c r="C211" s="6" t="str">
        <f>Gia_Tbi!C4</f>
        <v>Cái</v>
      </c>
      <c r="D211" s="6">
        <f>Gia_Tbi!D4</f>
        <v>0.4</v>
      </c>
      <c r="E211" s="6">
        <f>Gia_Tbi!E4</f>
        <v>5</v>
      </c>
      <c r="F211" s="82">
        <f>Gia_Tbi!F4</f>
        <v>10000000</v>
      </c>
      <c r="G211" s="83">
        <f>Gia_Tbi!G4</f>
        <v>4000</v>
      </c>
      <c r="H211" s="302">
        <v>4.4999999999999998E-2</v>
      </c>
      <c r="I211" s="84">
        <f>G211*H211</f>
        <v>180</v>
      </c>
      <c r="K211" s="77">
        <v>207</v>
      </c>
    </row>
    <row r="212" spans="1:11">
      <c r="A212" s="13">
        <v>2</v>
      </c>
      <c r="B212" s="5" t="s">
        <v>83</v>
      </c>
      <c r="C212" s="6" t="str">
        <f>Gia_Tbi!C5</f>
        <v>Cái</v>
      </c>
      <c r="D212" s="6">
        <f>Gia_Tbi!D5</f>
        <v>0.6</v>
      </c>
      <c r="E212" s="6">
        <f>Gia_Tbi!E5</f>
        <v>5</v>
      </c>
      <c r="F212" s="82">
        <f>Gia_Tbi!F5</f>
        <v>2500000</v>
      </c>
      <c r="G212" s="83">
        <f>Gia_Tbi!G5</f>
        <v>1000</v>
      </c>
      <c r="H212" s="302">
        <v>1E-3</v>
      </c>
      <c r="I212" s="84">
        <f>G212*H212</f>
        <v>1</v>
      </c>
      <c r="K212" s="77">
        <v>208</v>
      </c>
    </row>
    <row r="213" spans="1:11">
      <c r="A213" s="13">
        <v>3</v>
      </c>
      <c r="B213" s="5" t="s">
        <v>25</v>
      </c>
      <c r="C213" s="6" t="str">
        <f>Gia_Tbi!C6</f>
        <v>Cái</v>
      </c>
      <c r="D213" s="6">
        <f>Gia_Tbi!D6</f>
        <v>2.2000000000000002</v>
      </c>
      <c r="E213" s="6">
        <f>Gia_Tbi!E6</f>
        <v>8</v>
      </c>
      <c r="F213" s="82">
        <f>Gia_Tbi!F6</f>
        <v>12000000</v>
      </c>
      <c r="G213" s="83">
        <f>Gia_Tbi!G6</f>
        <v>3000</v>
      </c>
      <c r="H213" s="302">
        <v>1.2E-2</v>
      </c>
      <c r="I213" s="84">
        <f>G213*H213</f>
        <v>36</v>
      </c>
      <c r="K213" s="77">
        <v>209</v>
      </c>
    </row>
    <row r="214" spans="1:11">
      <c r="A214" s="13">
        <v>4</v>
      </c>
      <c r="B214" s="5" t="s">
        <v>24</v>
      </c>
      <c r="C214" s="6" t="e">
        <f>Gia_Tbi!#REF!</f>
        <v>#REF!</v>
      </c>
      <c r="D214" s="6" t="e">
        <f>Gia_Tbi!#REF!</f>
        <v>#REF!</v>
      </c>
      <c r="E214" s="6" t="e">
        <f>Gia_Tbi!#REF!</f>
        <v>#REF!</v>
      </c>
      <c r="F214" s="82" t="e">
        <f>Gia_Tbi!#REF!</f>
        <v>#REF!</v>
      </c>
      <c r="G214" s="83" t="e">
        <f>Gia_Tbi!#REF!</f>
        <v>#REF!</v>
      </c>
      <c r="H214" s="302">
        <v>1E-3</v>
      </c>
      <c r="I214" s="84" t="e">
        <f>G214*H214</f>
        <v>#REF!</v>
      </c>
      <c r="K214" s="77">
        <v>210</v>
      </c>
    </row>
    <row r="215" spans="1:11">
      <c r="A215" s="40">
        <v>5</v>
      </c>
      <c r="B215" s="41" t="s">
        <v>8</v>
      </c>
      <c r="C215" s="42" t="str">
        <f>Gia_Tbi!C9</f>
        <v>Cái</v>
      </c>
      <c r="D215" s="42">
        <f>Gia_Tbi!D9</f>
        <v>0.8</v>
      </c>
      <c r="E215" s="117">
        <f>Gia_Tbi!E9</f>
        <v>8</v>
      </c>
      <c r="F215" s="86">
        <f>Gia_Tbi!F9</f>
        <v>45200000</v>
      </c>
      <c r="G215" s="87">
        <f>Gia_Tbi!G9</f>
        <v>11300</v>
      </c>
      <c r="H215" s="296" t="e">
        <f>(H211*D211+H212*D212+H213*D213+H214*D214)*8</f>
        <v>#REF!</v>
      </c>
      <c r="I215" s="120" t="e">
        <f>G215*H215*E215</f>
        <v>#REF!</v>
      </c>
      <c r="K215" s="77">
        <v>211</v>
      </c>
    </row>
    <row r="216" spans="1:11" s="4" customFormat="1">
      <c r="A216" s="12" t="e">
        <f>#REF!</f>
        <v>#REF!</v>
      </c>
      <c r="B216" s="8" t="e">
        <f>#REF!</f>
        <v>#REF!</v>
      </c>
      <c r="C216" s="7"/>
      <c r="D216" s="7"/>
      <c r="E216" s="7"/>
      <c r="F216" s="93"/>
      <c r="G216" s="94"/>
      <c r="H216" s="298"/>
      <c r="I216" s="95"/>
      <c r="K216" s="77">
        <v>212</v>
      </c>
    </row>
    <row r="217" spans="1:11" s="81" customFormat="1">
      <c r="A217" s="31" t="e">
        <f>#REF!</f>
        <v>#REF!</v>
      </c>
      <c r="B217" s="32" t="e">
        <f>#REF!</f>
        <v>#REF!</v>
      </c>
      <c r="C217" s="15"/>
      <c r="D217" s="15"/>
      <c r="E217" s="15"/>
      <c r="F217" s="78"/>
      <c r="G217" s="79"/>
      <c r="H217" s="111"/>
      <c r="I217" s="80"/>
      <c r="K217" s="77">
        <v>213</v>
      </c>
    </row>
    <row r="218" spans="1:11">
      <c r="A218" s="13" t="e">
        <f>#REF!</f>
        <v>#REF!</v>
      </c>
      <c r="B218" s="5" t="e">
        <f>#REF!</f>
        <v>#REF!</v>
      </c>
      <c r="C218" s="6"/>
      <c r="D218" s="6"/>
      <c r="E218" s="6"/>
      <c r="F218" s="82"/>
      <c r="G218" s="83"/>
      <c r="H218" s="295"/>
      <c r="I218" s="80" t="e">
        <f>SUM(I219:I222)</f>
        <v>#REF!</v>
      </c>
      <c r="K218" s="77">
        <v>214</v>
      </c>
    </row>
    <row r="219" spans="1:11">
      <c r="A219" s="13">
        <v>1</v>
      </c>
      <c r="B219" s="5" t="s">
        <v>82</v>
      </c>
      <c r="C219" s="6" t="str">
        <f>Gia_Tbi!C4</f>
        <v>Cái</v>
      </c>
      <c r="D219" s="6">
        <f>Gia_Tbi!D4</f>
        <v>0.4</v>
      </c>
      <c r="E219" s="6">
        <f>Gia_Tbi!E4</f>
        <v>5</v>
      </c>
      <c r="F219" s="82">
        <f>Gia_Tbi!F4</f>
        <v>10000000</v>
      </c>
      <c r="G219" s="83">
        <f>Gia_Tbi!G4</f>
        <v>4000</v>
      </c>
      <c r="H219" s="302">
        <v>40</v>
      </c>
      <c r="I219" s="84">
        <f>G219*H219</f>
        <v>160000</v>
      </c>
      <c r="K219" s="77">
        <v>215</v>
      </c>
    </row>
    <row r="220" spans="1:11">
      <c r="A220" s="13">
        <v>2</v>
      </c>
      <c r="B220" s="5" t="s">
        <v>83</v>
      </c>
      <c r="C220" s="6" t="str">
        <f>Gia_Tbi!C5</f>
        <v>Cái</v>
      </c>
      <c r="D220" s="6">
        <f>Gia_Tbi!D5</f>
        <v>0.6</v>
      </c>
      <c r="E220" s="6">
        <f>Gia_Tbi!E5</f>
        <v>5</v>
      </c>
      <c r="F220" s="82">
        <f>Gia_Tbi!F5</f>
        <v>2500000</v>
      </c>
      <c r="G220" s="83">
        <f>Gia_Tbi!G5</f>
        <v>1000</v>
      </c>
      <c r="H220" s="302">
        <v>1.2</v>
      </c>
      <c r="I220" s="84">
        <f>G220*H220</f>
        <v>1200</v>
      </c>
      <c r="K220" s="77">
        <v>216</v>
      </c>
    </row>
    <row r="221" spans="1:11">
      <c r="A221" s="13">
        <v>3</v>
      </c>
      <c r="B221" s="5" t="s">
        <v>25</v>
      </c>
      <c r="C221" s="6" t="str">
        <f>Gia_Tbi!C6</f>
        <v>Cái</v>
      </c>
      <c r="D221" s="6">
        <f>Gia_Tbi!D6</f>
        <v>2.2000000000000002</v>
      </c>
      <c r="E221" s="6">
        <f>Gia_Tbi!E6</f>
        <v>8</v>
      </c>
      <c r="F221" s="82">
        <f>Gia_Tbi!F6</f>
        <v>12000000</v>
      </c>
      <c r="G221" s="83">
        <f>Gia_Tbi!G6</f>
        <v>3000</v>
      </c>
      <c r="H221" s="302">
        <v>6.67</v>
      </c>
      <c r="I221" s="84">
        <f>G221*H221</f>
        <v>20010</v>
      </c>
      <c r="K221" s="77">
        <v>217</v>
      </c>
    </row>
    <row r="222" spans="1:11">
      <c r="A222" s="13">
        <v>4</v>
      </c>
      <c r="B222" s="5" t="s">
        <v>24</v>
      </c>
      <c r="C222" s="6" t="e">
        <f>Gia_Tbi!#REF!</f>
        <v>#REF!</v>
      </c>
      <c r="D222" s="6" t="e">
        <f>Gia_Tbi!#REF!</f>
        <v>#REF!</v>
      </c>
      <c r="E222" s="6" t="e">
        <f>Gia_Tbi!#REF!</f>
        <v>#REF!</v>
      </c>
      <c r="F222" s="82" t="e">
        <f>Gia_Tbi!#REF!</f>
        <v>#REF!</v>
      </c>
      <c r="G222" s="83" t="e">
        <f>Gia_Tbi!#REF!</f>
        <v>#REF!</v>
      </c>
      <c r="H222" s="302">
        <v>1.5</v>
      </c>
      <c r="I222" s="84" t="e">
        <f>G222*H222</f>
        <v>#REF!</v>
      </c>
      <c r="K222" s="77">
        <v>218</v>
      </c>
    </row>
    <row r="223" spans="1:11">
      <c r="A223" s="40">
        <v>5</v>
      </c>
      <c r="B223" s="41" t="s">
        <v>8</v>
      </c>
      <c r="C223" s="42" t="str">
        <f>Gia_Tbi!C9</f>
        <v>Cái</v>
      </c>
      <c r="D223" s="42">
        <f>Gia_Tbi!D9</f>
        <v>0.8</v>
      </c>
      <c r="E223" s="117">
        <f>Gia_Tbi!E9</f>
        <v>8</v>
      </c>
      <c r="F223" s="86">
        <f>Gia_Tbi!F9</f>
        <v>45200000</v>
      </c>
      <c r="G223" s="87">
        <f>Gia_Tbi!G9</f>
        <v>11300</v>
      </c>
      <c r="H223" s="296" t="e">
        <f>(H219*D219+H220*D220+H221*D221+H222*D222)*8</f>
        <v>#REF!</v>
      </c>
      <c r="I223" s="120" t="e">
        <f>G223*H223*E223</f>
        <v>#REF!</v>
      </c>
      <c r="K223" s="77">
        <v>219</v>
      </c>
    </row>
    <row r="224" spans="1:11">
      <c r="A224" s="13" t="e">
        <f>#REF!</f>
        <v>#REF!</v>
      </c>
      <c r="B224" s="5" t="e">
        <f>#REF!</f>
        <v>#REF!</v>
      </c>
      <c r="C224" s="6"/>
      <c r="D224" s="6"/>
      <c r="E224" s="6"/>
      <c r="F224" s="82"/>
      <c r="G224" s="83"/>
      <c r="H224" s="295"/>
      <c r="I224" s="80" t="e">
        <f>SUM(I225:I228)</f>
        <v>#REF!</v>
      </c>
      <c r="K224" s="77">
        <v>220</v>
      </c>
    </row>
    <row r="225" spans="1:11">
      <c r="A225" s="13">
        <v>1</v>
      </c>
      <c r="B225" s="5" t="s">
        <v>82</v>
      </c>
      <c r="C225" s="6" t="str">
        <f>Gia_Tbi!C4</f>
        <v>Cái</v>
      </c>
      <c r="D225" s="6">
        <f>Gia_Tbi!D4</f>
        <v>0.4</v>
      </c>
      <c r="E225" s="6">
        <f>Gia_Tbi!E4</f>
        <v>5</v>
      </c>
      <c r="F225" s="82">
        <f>Gia_Tbi!F4</f>
        <v>10000000</v>
      </c>
      <c r="G225" s="83">
        <f>Gia_Tbi!G4</f>
        <v>4000</v>
      </c>
      <c r="H225" s="302">
        <v>125</v>
      </c>
      <c r="I225" s="84">
        <f>G225*H225</f>
        <v>500000</v>
      </c>
      <c r="K225" s="77">
        <v>221</v>
      </c>
    </row>
    <row r="226" spans="1:11">
      <c r="A226" s="13">
        <v>2</v>
      </c>
      <c r="B226" s="5" t="s">
        <v>83</v>
      </c>
      <c r="C226" s="6" t="str">
        <f>Gia_Tbi!C5</f>
        <v>Cái</v>
      </c>
      <c r="D226" s="6">
        <f>Gia_Tbi!D5</f>
        <v>0.6</v>
      </c>
      <c r="E226" s="6">
        <f>Gia_Tbi!E5</f>
        <v>5</v>
      </c>
      <c r="F226" s="82">
        <f>Gia_Tbi!F5</f>
        <v>2500000</v>
      </c>
      <c r="G226" s="83">
        <f>Gia_Tbi!G5</f>
        <v>1000</v>
      </c>
      <c r="H226" s="302">
        <v>2.5</v>
      </c>
      <c r="I226" s="84">
        <f>G226*H226</f>
        <v>2500</v>
      </c>
      <c r="K226" s="77">
        <v>222</v>
      </c>
    </row>
    <row r="227" spans="1:11">
      <c r="A227" s="13">
        <v>3</v>
      </c>
      <c r="B227" s="5" t="s">
        <v>25</v>
      </c>
      <c r="C227" s="6" t="str">
        <f>Gia_Tbi!C6</f>
        <v>Cái</v>
      </c>
      <c r="D227" s="6">
        <f>Gia_Tbi!D6</f>
        <v>2.2000000000000002</v>
      </c>
      <c r="E227" s="6">
        <f>Gia_Tbi!E6</f>
        <v>8</v>
      </c>
      <c r="F227" s="82">
        <f>Gia_Tbi!F6</f>
        <v>12000000</v>
      </c>
      <c r="G227" s="83">
        <f>Gia_Tbi!G6</f>
        <v>3000</v>
      </c>
      <c r="H227" s="302">
        <v>20.83</v>
      </c>
      <c r="I227" s="84">
        <f>G227*H227</f>
        <v>62489.999999999993</v>
      </c>
      <c r="K227" s="77">
        <v>223</v>
      </c>
    </row>
    <row r="228" spans="1:11">
      <c r="A228" s="13">
        <v>4</v>
      </c>
      <c r="B228" s="5" t="s">
        <v>24</v>
      </c>
      <c r="C228" s="6" t="e">
        <f>Gia_Tbi!#REF!</f>
        <v>#REF!</v>
      </c>
      <c r="D228" s="6" t="e">
        <f>Gia_Tbi!#REF!</f>
        <v>#REF!</v>
      </c>
      <c r="E228" s="6" t="e">
        <f>Gia_Tbi!#REF!</f>
        <v>#REF!</v>
      </c>
      <c r="F228" s="82" t="e">
        <f>Gia_Tbi!#REF!</f>
        <v>#REF!</v>
      </c>
      <c r="G228" s="83" t="e">
        <f>Gia_Tbi!#REF!</f>
        <v>#REF!</v>
      </c>
      <c r="H228" s="302">
        <v>3</v>
      </c>
      <c r="I228" s="84" t="e">
        <f>G228*H228</f>
        <v>#REF!</v>
      </c>
      <c r="K228" s="77">
        <v>224</v>
      </c>
    </row>
    <row r="229" spans="1:11">
      <c r="A229" s="40">
        <v>5</v>
      </c>
      <c r="B229" s="41" t="s">
        <v>8</v>
      </c>
      <c r="C229" s="42" t="str">
        <f>Gia_Tbi!C9</f>
        <v>Cái</v>
      </c>
      <c r="D229" s="42">
        <f>Gia_Tbi!D9</f>
        <v>0.8</v>
      </c>
      <c r="E229" s="117">
        <f>Gia_Tbi!E9</f>
        <v>8</v>
      </c>
      <c r="F229" s="86">
        <f>Gia_Tbi!F9</f>
        <v>45200000</v>
      </c>
      <c r="G229" s="87">
        <f>Gia_Tbi!G9</f>
        <v>11300</v>
      </c>
      <c r="H229" s="296" t="e">
        <f>(H225*D225+H226*D226+H227*D227+H228*D228)*8</f>
        <v>#REF!</v>
      </c>
      <c r="I229" s="120" t="e">
        <f>G229*H229*E229</f>
        <v>#REF!</v>
      </c>
      <c r="K229" s="77">
        <v>225</v>
      </c>
    </row>
    <row r="230" spans="1:11" s="81" customFormat="1">
      <c r="A230" s="31" t="e">
        <f>#REF!</f>
        <v>#REF!</v>
      </c>
      <c r="B230" s="32" t="e">
        <f>#REF!</f>
        <v>#REF!</v>
      </c>
      <c r="C230" s="15"/>
      <c r="D230" s="15"/>
      <c r="E230" s="15"/>
      <c r="F230" s="78"/>
      <c r="G230" s="79"/>
      <c r="H230" s="111"/>
      <c r="I230" s="80" t="e">
        <f>SUM(I231:I234)</f>
        <v>#REF!</v>
      </c>
      <c r="K230" s="77">
        <v>226</v>
      </c>
    </row>
    <row r="231" spans="1:11">
      <c r="A231" s="13">
        <v>1</v>
      </c>
      <c r="B231" s="5" t="s">
        <v>82</v>
      </c>
      <c r="C231" s="6" t="str">
        <f>Gia_Tbi!C4</f>
        <v>Cái</v>
      </c>
      <c r="D231" s="6">
        <f>Gia_Tbi!D4</f>
        <v>0.4</v>
      </c>
      <c r="E231" s="6">
        <f>Gia_Tbi!E4</f>
        <v>5</v>
      </c>
      <c r="F231" s="82">
        <f>Gia_Tbi!F4</f>
        <v>10000000</v>
      </c>
      <c r="G231" s="83">
        <f>Gia_Tbi!G4</f>
        <v>4000</v>
      </c>
      <c r="H231" s="302">
        <v>20</v>
      </c>
      <c r="I231" s="84">
        <f>G231*H231</f>
        <v>80000</v>
      </c>
      <c r="K231" s="77">
        <v>227</v>
      </c>
    </row>
    <row r="232" spans="1:11">
      <c r="A232" s="13">
        <v>2</v>
      </c>
      <c r="B232" s="5" t="s">
        <v>83</v>
      </c>
      <c r="C232" s="6" t="str">
        <f>Gia_Tbi!C5</f>
        <v>Cái</v>
      </c>
      <c r="D232" s="6">
        <f>Gia_Tbi!D5</f>
        <v>0.6</v>
      </c>
      <c r="E232" s="6">
        <f>Gia_Tbi!E5</f>
        <v>5</v>
      </c>
      <c r="F232" s="82">
        <f>Gia_Tbi!F5</f>
        <v>2500000</v>
      </c>
      <c r="G232" s="83">
        <f>Gia_Tbi!G5</f>
        <v>1000</v>
      </c>
      <c r="H232" s="302">
        <v>0.35</v>
      </c>
      <c r="I232" s="84">
        <f>G232*H232</f>
        <v>350</v>
      </c>
      <c r="K232" s="77">
        <v>228</v>
      </c>
    </row>
    <row r="233" spans="1:11">
      <c r="A233" s="13">
        <v>3</v>
      </c>
      <c r="B233" s="5" t="s">
        <v>25</v>
      </c>
      <c r="C233" s="6" t="str">
        <f>Gia_Tbi!C6</f>
        <v>Cái</v>
      </c>
      <c r="D233" s="6">
        <f>Gia_Tbi!D6</f>
        <v>2.2000000000000002</v>
      </c>
      <c r="E233" s="6">
        <f>Gia_Tbi!E6</f>
        <v>8</v>
      </c>
      <c r="F233" s="82">
        <f>Gia_Tbi!F6</f>
        <v>12000000</v>
      </c>
      <c r="G233" s="83">
        <f>Gia_Tbi!G6</f>
        <v>3000</v>
      </c>
      <c r="H233" s="302">
        <v>5</v>
      </c>
      <c r="I233" s="84">
        <f>G233*H233</f>
        <v>15000</v>
      </c>
      <c r="K233" s="77">
        <v>229</v>
      </c>
    </row>
    <row r="234" spans="1:11">
      <c r="A234" s="13">
        <v>4</v>
      </c>
      <c r="B234" s="5" t="s">
        <v>24</v>
      </c>
      <c r="C234" s="6" t="e">
        <f>Gia_Tbi!#REF!</f>
        <v>#REF!</v>
      </c>
      <c r="D234" s="6" t="e">
        <f>Gia_Tbi!#REF!</f>
        <v>#REF!</v>
      </c>
      <c r="E234" s="6" t="e">
        <f>Gia_Tbi!#REF!</f>
        <v>#REF!</v>
      </c>
      <c r="F234" s="82" t="e">
        <f>Gia_Tbi!#REF!</f>
        <v>#REF!</v>
      </c>
      <c r="G234" s="83" t="e">
        <f>Gia_Tbi!#REF!</f>
        <v>#REF!</v>
      </c>
      <c r="H234" s="302">
        <v>0.5</v>
      </c>
      <c r="I234" s="84" t="e">
        <f>G234*H234</f>
        <v>#REF!</v>
      </c>
      <c r="K234" s="77">
        <v>230</v>
      </c>
    </row>
    <row r="235" spans="1:11">
      <c r="A235" s="40">
        <v>5</v>
      </c>
      <c r="B235" s="41" t="s">
        <v>8</v>
      </c>
      <c r="C235" s="42" t="str">
        <f>Gia_Tbi!C9</f>
        <v>Cái</v>
      </c>
      <c r="D235" s="42">
        <f>Gia_Tbi!D9</f>
        <v>0.8</v>
      </c>
      <c r="E235" s="117">
        <f>Gia_Tbi!E9</f>
        <v>8</v>
      </c>
      <c r="F235" s="86">
        <f>Gia_Tbi!F9</f>
        <v>45200000</v>
      </c>
      <c r="G235" s="87">
        <f>Gia_Tbi!G9</f>
        <v>11300</v>
      </c>
      <c r="H235" s="296" t="e">
        <f>(H231*D231+H232*D232+H233*D233+H234*D234)*8</f>
        <v>#REF!</v>
      </c>
      <c r="I235" s="120" t="e">
        <f>G235*H235*E235</f>
        <v>#REF!</v>
      </c>
      <c r="K235" s="77">
        <v>231</v>
      </c>
    </row>
    <row r="236" spans="1:11" s="4" customFormat="1">
      <c r="A236" s="12" t="e">
        <f>#REF!</f>
        <v>#REF!</v>
      </c>
      <c r="B236" s="8" t="e">
        <f>#REF!</f>
        <v>#REF!</v>
      </c>
      <c r="C236" s="7"/>
      <c r="D236" s="7"/>
      <c r="E236" s="7"/>
      <c r="F236" s="93"/>
      <c r="G236" s="94"/>
      <c r="H236" s="298"/>
      <c r="I236" s="95"/>
      <c r="K236" s="77">
        <v>232</v>
      </c>
    </row>
    <row r="237" spans="1:11" s="4" customFormat="1">
      <c r="A237" s="197" t="e">
        <f>#REF!</f>
        <v>#REF!</v>
      </c>
      <c r="B237" s="198" t="e">
        <f>#REF!</f>
        <v>#REF!</v>
      </c>
      <c r="C237" s="199"/>
      <c r="D237" s="199"/>
      <c r="E237" s="199"/>
      <c r="F237" s="213"/>
      <c r="G237" s="214"/>
      <c r="H237" s="301"/>
      <c r="I237" s="215"/>
      <c r="K237" s="77">
        <v>233</v>
      </c>
    </row>
    <row r="238" spans="1:11" s="81" customFormat="1">
      <c r="A238" s="187" t="e">
        <f>#REF!</f>
        <v>#REF!</v>
      </c>
      <c r="B238" s="188" t="e">
        <f>#REF!</f>
        <v>#REF!</v>
      </c>
      <c r="C238" s="189"/>
      <c r="D238" s="189"/>
      <c r="E238" s="189"/>
      <c r="F238" s="216"/>
      <c r="G238" s="217"/>
      <c r="H238" s="303"/>
      <c r="I238" s="218"/>
      <c r="K238" s="77">
        <v>234</v>
      </c>
    </row>
    <row r="239" spans="1:11" s="81" customFormat="1">
      <c r="A239" s="187" t="e">
        <f>#REF!</f>
        <v>#REF!</v>
      </c>
      <c r="B239" s="188" t="e">
        <f>#REF!</f>
        <v>#REF!</v>
      </c>
      <c r="C239" s="189"/>
      <c r="D239" s="189"/>
      <c r="E239" s="189"/>
      <c r="F239" s="216"/>
      <c r="G239" s="217"/>
      <c r="H239" s="303"/>
      <c r="I239" s="218"/>
      <c r="K239" s="77">
        <v>235</v>
      </c>
    </row>
    <row r="240" spans="1:11" s="81" customFormat="1">
      <c r="A240" s="187" t="e">
        <f>#REF!</f>
        <v>#REF!</v>
      </c>
      <c r="B240" s="188" t="e">
        <f>#REF!</f>
        <v>#REF!</v>
      </c>
      <c r="C240" s="189"/>
      <c r="D240" s="189"/>
      <c r="E240" s="189"/>
      <c r="F240" s="216"/>
      <c r="G240" s="217"/>
      <c r="H240" s="303"/>
      <c r="I240" s="218"/>
      <c r="K240" s="77">
        <v>236</v>
      </c>
    </row>
    <row r="241" spans="1:11">
      <c r="A241" s="192" t="e">
        <f>#REF!</f>
        <v>#REF!</v>
      </c>
      <c r="B241" s="193" t="e">
        <f>#REF!</f>
        <v>#REF!</v>
      </c>
      <c r="C241" s="194"/>
      <c r="D241" s="194"/>
      <c r="E241" s="194"/>
      <c r="F241" s="205"/>
      <c r="G241" s="206"/>
      <c r="H241" s="304"/>
      <c r="I241" s="207"/>
      <c r="K241" s="77">
        <v>237</v>
      </c>
    </row>
    <row r="242" spans="1:11">
      <c r="A242" s="192" t="e">
        <f>#REF!</f>
        <v>#REF!</v>
      </c>
      <c r="B242" s="193" t="e">
        <f>#REF!</f>
        <v>#REF!</v>
      </c>
      <c r="C242" s="194"/>
      <c r="D242" s="194"/>
      <c r="E242" s="194"/>
      <c r="F242" s="205"/>
      <c r="G242" s="206"/>
      <c r="H242" s="304"/>
      <c r="I242" s="207"/>
      <c r="K242" s="77">
        <v>238</v>
      </c>
    </row>
    <row r="243" spans="1:11">
      <c r="A243" s="192" t="e">
        <f>#REF!</f>
        <v>#REF!</v>
      </c>
      <c r="B243" s="193" t="e">
        <f>#REF!</f>
        <v>#REF!</v>
      </c>
      <c r="C243" s="194"/>
      <c r="D243" s="194"/>
      <c r="E243" s="194"/>
      <c r="F243" s="205"/>
      <c r="G243" s="206"/>
      <c r="H243" s="304"/>
      <c r="I243" s="207"/>
      <c r="K243" s="77">
        <v>239</v>
      </c>
    </row>
    <row r="244" spans="1:11">
      <c r="A244" s="192" t="e">
        <f>#REF!</f>
        <v>#REF!</v>
      </c>
      <c r="B244" s="193" t="e">
        <f>#REF!</f>
        <v>#REF!</v>
      </c>
      <c r="C244" s="194"/>
      <c r="D244" s="194"/>
      <c r="E244" s="194"/>
      <c r="F244" s="205"/>
      <c r="G244" s="206"/>
      <c r="H244" s="304"/>
      <c r="I244" s="207"/>
      <c r="K244" s="77">
        <v>240</v>
      </c>
    </row>
    <row r="245" spans="1:11">
      <c r="A245" s="208" t="e">
        <f>#REF!</f>
        <v>#REF!</v>
      </c>
      <c r="B245" s="209" t="e">
        <f>#REF!</f>
        <v>#REF!</v>
      </c>
      <c r="C245" s="202"/>
      <c r="D245" s="202"/>
      <c r="E245" s="203"/>
      <c r="F245" s="210"/>
      <c r="G245" s="211"/>
      <c r="H245" s="300"/>
      <c r="I245" s="212"/>
      <c r="K245" s="77">
        <v>241</v>
      </c>
    </row>
    <row r="246" spans="1:11" s="81" customFormat="1">
      <c r="A246" s="187" t="e">
        <f>#REF!</f>
        <v>#REF!</v>
      </c>
      <c r="B246" s="188" t="e">
        <f>#REF!</f>
        <v>#REF!</v>
      </c>
      <c r="C246" s="189"/>
      <c r="D246" s="189"/>
      <c r="E246" s="189"/>
      <c r="F246" s="216"/>
      <c r="G246" s="217"/>
      <c r="H246" s="303"/>
      <c r="I246" s="218"/>
      <c r="K246" s="77">
        <v>242</v>
      </c>
    </row>
    <row r="247" spans="1:11">
      <c r="A247" s="192" t="e">
        <f>#REF!</f>
        <v>#REF!</v>
      </c>
      <c r="B247" s="193" t="e">
        <f>#REF!</f>
        <v>#REF!</v>
      </c>
      <c r="C247" s="194"/>
      <c r="D247" s="194"/>
      <c r="E247" s="194"/>
      <c r="F247" s="205"/>
      <c r="G247" s="206"/>
      <c r="H247" s="304"/>
      <c r="I247" s="207"/>
      <c r="K247" s="77">
        <v>243</v>
      </c>
    </row>
    <row r="248" spans="1:11">
      <c r="A248" s="192" t="e">
        <f>#REF!</f>
        <v>#REF!</v>
      </c>
      <c r="B248" s="193" t="e">
        <f>#REF!</f>
        <v>#REF!</v>
      </c>
      <c r="C248" s="194"/>
      <c r="D248" s="194"/>
      <c r="E248" s="194"/>
      <c r="F248" s="205"/>
      <c r="G248" s="206"/>
      <c r="H248" s="304"/>
      <c r="I248" s="207"/>
      <c r="K248" s="77">
        <v>244</v>
      </c>
    </row>
    <row r="249" spans="1:11">
      <c r="A249" s="192" t="e">
        <f>#REF!</f>
        <v>#REF!</v>
      </c>
      <c r="B249" s="193" t="e">
        <f>#REF!</f>
        <v>#REF!</v>
      </c>
      <c r="C249" s="194"/>
      <c r="D249" s="194"/>
      <c r="E249" s="194"/>
      <c r="F249" s="205"/>
      <c r="G249" s="206"/>
      <c r="H249" s="304"/>
      <c r="I249" s="207"/>
      <c r="K249" s="77">
        <v>245</v>
      </c>
    </row>
    <row r="250" spans="1:11">
      <c r="A250" s="192" t="e">
        <f>#REF!</f>
        <v>#REF!</v>
      </c>
      <c r="B250" s="193" t="e">
        <f>#REF!</f>
        <v>#REF!</v>
      </c>
      <c r="C250" s="194"/>
      <c r="D250" s="194"/>
      <c r="E250" s="194"/>
      <c r="F250" s="205"/>
      <c r="G250" s="206"/>
      <c r="H250" s="304"/>
      <c r="I250" s="207"/>
      <c r="K250" s="77">
        <v>246</v>
      </c>
    </row>
    <row r="251" spans="1:11">
      <c r="A251" s="208" t="e">
        <f>#REF!</f>
        <v>#REF!</v>
      </c>
      <c r="B251" s="209" t="e">
        <f>#REF!</f>
        <v>#REF!</v>
      </c>
      <c r="C251" s="202"/>
      <c r="D251" s="202"/>
      <c r="E251" s="203"/>
      <c r="F251" s="210"/>
      <c r="G251" s="211"/>
      <c r="H251" s="300"/>
      <c r="I251" s="212"/>
      <c r="K251" s="77">
        <v>247</v>
      </c>
    </row>
    <row r="252" spans="1:11" s="81" customFormat="1">
      <c r="A252" s="187" t="e">
        <f>#REF!</f>
        <v>#REF!</v>
      </c>
      <c r="B252" s="188" t="e">
        <f>#REF!</f>
        <v>#REF!</v>
      </c>
      <c r="C252" s="189"/>
      <c r="D252" s="189"/>
      <c r="E252" s="189"/>
      <c r="F252" s="216"/>
      <c r="G252" s="217"/>
      <c r="H252" s="303"/>
      <c r="I252" s="218"/>
      <c r="K252" s="77">
        <v>248</v>
      </c>
    </row>
    <row r="253" spans="1:11" s="81" customFormat="1">
      <c r="A253" s="187" t="e">
        <f>#REF!</f>
        <v>#REF!</v>
      </c>
      <c r="B253" s="188" t="e">
        <f>#REF!</f>
        <v>#REF!</v>
      </c>
      <c r="C253" s="189"/>
      <c r="D253" s="189"/>
      <c r="E253" s="189"/>
      <c r="F253" s="216"/>
      <c r="G253" s="217"/>
      <c r="H253" s="303"/>
      <c r="I253" s="218"/>
      <c r="K253" s="77">
        <v>249</v>
      </c>
    </row>
    <row r="254" spans="1:11">
      <c r="A254" s="192" t="e">
        <f>#REF!</f>
        <v>#REF!</v>
      </c>
      <c r="B254" s="193" t="e">
        <f>#REF!</f>
        <v>#REF!</v>
      </c>
      <c r="C254" s="194"/>
      <c r="D254" s="194"/>
      <c r="E254" s="194"/>
      <c r="F254" s="205"/>
      <c r="G254" s="206"/>
      <c r="H254" s="304"/>
      <c r="I254" s="207"/>
      <c r="K254" s="77">
        <v>250</v>
      </c>
    </row>
    <row r="255" spans="1:11">
      <c r="A255" s="192" t="e">
        <f>#REF!</f>
        <v>#REF!</v>
      </c>
      <c r="B255" s="193" t="e">
        <f>#REF!</f>
        <v>#REF!</v>
      </c>
      <c r="C255" s="194"/>
      <c r="D255" s="194"/>
      <c r="E255" s="194"/>
      <c r="F255" s="205"/>
      <c r="G255" s="206"/>
      <c r="H255" s="304"/>
      <c r="I255" s="207"/>
      <c r="K255" s="77">
        <v>251</v>
      </c>
    </row>
    <row r="256" spans="1:11">
      <c r="A256" s="192" t="e">
        <f>#REF!</f>
        <v>#REF!</v>
      </c>
      <c r="B256" s="193" t="e">
        <f>#REF!</f>
        <v>#REF!</v>
      </c>
      <c r="C256" s="194"/>
      <c r="D256" s="194"/>
      <c r="E256" s="194"/>
      <c r="F256" s="205"/>
      <c r="G256" s="206"/>
      <c r="H256" s="304"/>
      <c r="I256" s="207"/>
      <c r="K256" s="77">
        <v>252</v>
      </c>
    </row>
    <row r="257" spans="1:11">
      <c r="A257" s="192" t="e">
        <f>#REF!</f>
        <v>#REF!</v>
      </c>
      <c r="B257" s="193" t="e">
        <f>#REF!</f>
        <v>#REF!</v>
      </c>
      <c r="C257" s="194"/>
      <c r="D257" s="194"/>
      <c r="E257" s="194"/>
      <c r="F257" s="205"/>
      <c r="G257" s="206"/>
      <c r="H257" s="304"/>
      <c r="I257" s="207"/>
      <c r="K257" s="77">
        <v>253</v>
      </c>
    </row>
    <row r="258" spans="1:11">
      <c r="A258" s="208" t="e">
        <f>#REF!</f>
        <v>#REF!</v>
      </c>
      <c r="B258" s="209" t="e">
        <f>#REF!</f>
        <v>#REF!</v>
      </c>
      <c r="C258" s="202"/>
      <c r="D258" s="202"/>
      <c r="E258" s="203"/>
      <c r="F258" s="210"/>
      <c r="G258" s="211"/>
      <c r="H258" s="300"/>
      <c r="I258" s="212"/>
      <c r="K258" s="77">
        <v>254</v>
      </c>
    </row>
    <row r="259" spans="1:11" s="81" customFormat="1">
      <c r="A259" s="187" t="e">
        <f>#REF!</f>
        <v>#REF!</v>
      </c>
      <c r="B259" s="188" t="e">
        <f>#REF!</f>
        <v>#REF!</v>
      </c>
      <c r="C259" s="189"/>
      <c r="D259" s="189"/>
      <c r="E259" s="189"/>
      <c r="F259" s="216"/>
      <c r="G259" s="217"/>
      <c r="H259" s="303"/>
      <c r="I259" s="218"/>
      <c r="K259" s="77">
        <v>255</v>
      </c>
    </row>
    <row r="260" spans="1:11">
      <c r="A260" s="192" t="e">
        <f>#REF!</f>
        <v>#REF!</v>
      </c>
      <c r="B260" s="193" t="e">
        <f>#REF!</f>
        <v>#REF!</v>
      </c>
      <c r="C260" s="194"/>
      <c r="D260" s="194"/>
      <c r="E260" s="194"/>
      <c r="F260" s="205"/>
      <c r="G260" s="206"/>
      <c r="H260" s="304"/>
      <c r="I260" s="207"/>
      <c r="K260" s="77">
        <v>256</v>
      </c>
    </row>
    <row r="261" spans="1:11">
      <c r="A261" s="192" t="e">
        <f>#REF!</f>
        <v>#REF!</v>
      </c>
      <c r="B261" s="193" t="e">
        <f>#REF!</f>
        <v>#REF!</v>
      </c>
      <c r="C261" s="194"/>
      <c r="D261" s="194"/>
      <c r="E261" s="194"/>
      <c r="F261" s="205"/>
      <c r="G261" s="206"/>
      <c r="H261" s="304"/>
      <c r="I261" s="207"/>
      <c r="K261" s="77">
        <v>257</v>
      </c>
    </row>
    <row r="262" spans="1:11">
      <c r="A262" s="192" t="e">
        <f>#REF!</f>
        <v>#REF!</v>
      </c>
      <c r="B262" s="193" t="e">
        <f>#REF!</f>
        <v>#REF!</v>
      </c>
      <c r="C262" s="194"/>
      <c r="D262" s="194"/>
      <c r="E262" s="194"/>
      <c r="F262" s="205"/>
      <c r="G262" s="206"/>
      <c r="H262" s="304"/>
      <c r="I262" s="207"/>
      <c r="K262" s="77">
        <v>258</v>
      </c>
    </row>
    <row r="263" spans="1:11">
      <c r="A263" s="192" t="e">
        <f>#REF!</f>
        <v>#REF!</v>
      </c>
      <c r="B263" s="193" t="e">
        <f>#REF!</f>
        <v>#REF!</v>
      </c>
      <c r="C263" s="194"/>
      <c r="D263" s="194"/>
      <c r="E263" s="194"/>
      <c r="F263" s="205"/>
      <c r="G263" s="206"/>
      <c r="H263" s="304"/>
      <c r="I263" s="207"/>
      <c r="K263" s="77">
        <v>259</v>
      </c>
    </row>
    <row r="264" spans="1:11">
      <c r="A264" s="208" t="e">
        <f>#REF!</f>
        <v>#REF!</v>
      </c>
      <c r="B264" s="209" t="e">
        <f>#REF!</f>
        <v>#REF!</v>
      </c>
      <c r="C264" s="202"/>
      <c r="D264" s="202"/>
      <c r="E264" s="203"/>
      <c r="F264" s="210"/>
      <c r="G264" s="211"/>
      <c r="H264" s="300"/>
      <c r="I264" s="212"/>
      <c r="K264" s="77">
        <v>260</v>
      </c>
    </row>
    <row r="265" spans="1:11" s="81" customFormat="1">
      <c r="A265" s="187" t="e">
        <f>#REF!</f>
        <v>#REF!</v>
      </c>
      <c r="B265" s="188" t="e">
        <f>#REF!</f>
        <v>#REF!</v>
      </c>
      <c r="C265" s="189"/>
      <c r="D265" s="189"/>
      <c r="E265" s="189"/>
      <c r="F265" s="216"/>
      <c r="G265" s="217"/>
      <c r="H265" s="303"/>
      <c r="I265" s="218"/>
      <c r="K265" s="77">
        <v>261</v>
      </c>
    </row>
    <row r="266" spans="1:11">
      <c r="A266" s="192" t="e">
        <f>#REF!</f>
        <v>#REF!</v>
      </c>
      <c r="B266" s="193" t="e">
        <f>#REF!</f>
        <v>#REF!</v>
      </c>
      <c r="C266" s="194"/>
      <c r="D266" s="194"/>
      <c r="E266" s="194"/>
      <c r="F266" s="205"/>
      <c r="G266" s="206"/>
      <c r="H266" s="304"/>
      <c r="I266" s="207"/>
      <c r="K266" s="77">
        <v>262</v>
      </c>
    </row>
    <row r="267" spans="1:11">
      <c r="A267" s="192" t="e">
        <f>#REF!</f>
        <v>#REF!</v>
      </c>
      <c r="B267" s="193" t="e">
        <f>#REF!</f>
        <v>#REF!</v>
      </c>
      <c r="C267" s="194"/>
      <c r="D267" s="194"/>
      <c r="E267" s="194"/>
      <c r="F267" s="205"/>
      <c r="G267" s="206"/>
      <c r="H267" s="304"/>
      <c r="I267" s="207"/>
      <c r="K267" s="77">
        <v>263</v>
      </c>
    </row>
    <row r="268" spans="1:11" s="4" customFormat="1">
      <c r="A268" s="35" t="e">
        <f>#REF!</f>
        <v>#REF!</v>
      </c>
      <c r="B268" s="36" t="e">
        <f>#REF!</f>
        <v>#REF!</v>
      </c>
      <c r="C268" s="37"/>
      <c r="D268" s="37"/>
      <c r="E268" s="37"/>
      <c r="F268" s="89"/>
      <c r="G268" s="90"/>
      <c r="H268" s="297"/>
      <c r="I268" s="91"/>
      <c r="K268" s="77">
        <v>264</v>
      </c>
    </row>
    <row r="269" spans="1:11" s="81" customFormat="1">
      <c r="A269" s="31" t="e">
        <f>#REF!</f>
        <v>#REF!</v>
      </c>
      <c r="B269" s="32" t="e">
        <f>#REF!</f>
        <v>#REF!</v>
      </c>
      <c r="C269" s="15"/>
      <c r="D269" s="15"/>
      <c r="E269" s="15"/>
      <c r="F269" s="78"/>
      <c r="G269" s="79"/>
      <c r="H269" s="111"/>
      <c r="I269" s="80" t="e">
        <f>SUM(I270:I273)</f>
        <v>#REF!</v>
      </c>
      <c r="K269" s="77">
        <v>265</v>
      </c>
    </row>
    <row r="270" spans="1:11">
      <c r="A270" s="13">
        <v>1</v>
      </c>
      <c r="B270" s="5" t="s">
        <v>82</v>
      </c>
      <c r="C270" s="6" t="str">
        <f>Gia_Tbi!C4</f>
        <v>Cái</v>
      </c>
      <c r="D270" s="6">
        <f>Gia_Tbi!D4</f>
        <v>0.4</v>
      </c>
      <c r="E270" s="6">
        <f>Gia_Tbi!E4</f>
        <v>5</v>
      </c>
      <c r="F270" s="82">
        <f>Gia_Tbi!F4</f>
        <v>10000000</v>
      </c>
      <c r="G270" s="83">
        <f>Gia_Tbi!G4</f>
        <v>4000</v>
      </c>
      <c r="H270" s="302">
        <v>100</v>
      </c>
      <c r="I270" s="84">
        <f>G270*H270</f>
        <v>400000</v>
      </c>
      <c r="K270" s="77">
        <v>266</v>
      </c>
    </row>
    <row r="271" spans="1:11">
      <c r="A271" s="13">
        <v>2</v>
      </c>
      <c r="B271" s="5" t="s">
        <v>83</v>
      </c>
      <c r="C271" s="6" t="str">
        <f>Gia_Tbi!C5</f>
        <v>Cái</v>
      </c>
      <c r="D271" s="6">
        <f>Gia_Tbi!D5</f>
        <v>0.6</v>
      </c>
      <c r="E271" s="6">
        <f>Gia_Tbi!E5</f>
        <v>5</v>
      </c>
      <c r="F271" s="82">
        <f>Gia_Tbi!F5</f>
        <v>2500000</v>
      </c>
      <c r="G271" s="83">
        <f>Gia_Tbi!G5</f>
        <v>1000</v>
      </c>
      <c r="H271" s="302">
        <v>12.5</v>
      </c>
      <c r="I271" s="84">
        <f>G271*H271</f>
        <v>12500</v>
      </c>
      <c r="K271" s="77">
        <v>267</v>
      </c>
    </row>
    <row r="272" spans="1:11">
      <c r="A272" s="13">
        <v>3</v>
      </c>
      <c r="B272" s="5" t="s">
        <v>25</v>
      </c>
      <c r="C272" s="6" t="str">
        <f>Gia_Tbi!C6</f>
        <v>Cái</v>
      </c>
      <c r="D272" s="6">
        <f>Gia_Tbi!D6</f>
        <v>2.2000000000000002</v>
      </c>
      <c r="E272" s="6">
        <f>Gia_Tbi!E6</f>
        <v>8</v>
      </c>
      <c r="F272" s="82">
        <f>Gia_Tbi!F6</f>
        <v>12000000</v>
      </c>
      <c r="G272" s="83">
        <f>Gia_Tbi!G6</f>
        <v>3000</v>
      </c>
      <c r="H272" s="302">
        <v>16.670000000000002</v>
      </c>
      <c r="I272" s="84">
        <f>G272*H272</f>
        <v>50010.000000000007</v>
      </c>
      <c r="K272" s="77">
        <v>268</v>
      </c>
    </row>
    <row r="273" spans="1:11">
      <c r="A273" s="13">
        <v>4</v>
      </c>
      <c r="B273" s="5" t="s">
        <v>24</v>
      </c>
      <c r="C273" s="6" t="e">
        <f>Gia_Tbi!#REF!</f>
        <v>#REF!</v>
      </c>
      <c r="D273" s="6" t="e">
        <f>Gia_Tbi!#REF!</f>
        <v>#REF!</v>
      </c>
      <c r="E273" s="6" t="e">
        <f>Gia_Tbi!#REF!</f>
        <v>#REF!</v>
      </c>
      <c r="F273" s="82" t="e">
        <f>Gia_Tbi!#REF!</f>
        <v>#REF!</v>
      </c>
      <c r="G273" s="83" t="e">
        <f>Gia_Tbi!#REF!</f>
        <v>#REF!</v>
      </c>
      <c r="H273" s="302">
        <v>8.5</v>
      </c>
      <c r="I273" s="84" t="e">
        <f>G273*H273</f>
        <v>#REF!</v>
      </c>
      <c r="K273" s="77">
        <v>269</v>
      </c>
    </row>
    <row r="274" spans="1:11">
      <c r="A274" s="40">
        <v>5</v>
      </c>
      <c r="B274" s="41" t="s">
        <v>8</v>
      </c>
      <c r="C274" s="42" t="str">
        <f>Gia_Tbi!C9</f>
        <v>Cái</v>
      </c>
      <c r="D274" s="42">
        <f>Gia_Tbi!D9</f>
        <v>0.8</v>
      </c>
      <c r="E274" s="117">
        <f>Gia_Tbi!E9</f>
        <v>8</v>
      </c>
      <c r="F274" s="86">
        <f>Gia_Tbi!F9</f>
        <v>45200000</v>
      </c>
      <c r="G274" s="87">
        <f>Gia_Tbi!G9</f>
        <v>11300</v>
      </c>
      <c r="H274" s="296" t="e">
        <f>(H270*D270+H271*D271+H272*D272+H273*D273)*8</f>
        <v>#REF!</v>
      </c>
      <c r="I274" s="120" t="e">
        <f>G274*H274*E274</f>
        <v>#REF!</v>
      </c>
      <c r="K274" s="77">
        <v>270</v>
      </c>
    </row>
    <row r="275" spans="1:11" s="81" customFormat="1">
      <c r="A275" s="31" t="e">
        <f>#REF!</f>
        <v>#REF!</v>
      </c>
      <c r="B275" s="32" t="e">
        <f>#REF!</f>
        <v>#REF!</v>
      </c>
      <c r="C275" s="15"/>
      <c r="D275" s="15"/>
      <c r="E275" s="15"/>
      <c r="F275" s="78"/>
      <c r="G275" s="79"/>
      <c r="H275" s="111"/>
      <c r="I275" s="80" t="e">
        <f>SUM(I276:I279)</f>
        <v>#REF!</v>
      </c>
      <c r="K275" s="77">
        <v>271</v>
      </c>
    </row>
    <row r="276" spans="1:11">
      <c r="A276" s="13">
        <v>1</v>
      </c>
      <c r="B276" s="5" t="s">
        <v>82</v>
      </c>
      <c r="C276" s="6" t="str">
        <f>Gia_Tbi!C4</f>
        <v>Cái</v>
      </c>
      <c r="D276" s="6">
        <f>Gia_Tbi!D4</f>
        <v>0.4</v>
      </c>
      <c r="E276" s="6">
        <f>Gia_Tbi!E4</f>
        <v>5</v>
      </c>
      <c r="F276" s="82">
        <f>Gia_Tbi!F4</f>
        <v>10000000</v>
      </c>
      <c r="G276" s="83">
        <f>Gia_Tbi!G4</f>
        <v>4000</v>
      </c>
      <c r="H276" s="302">
        <v>100</v>
      </c>
      <c r="I276" s="84">
        <f>G276*H276</f>
        <v>400000</v>
      </c>
      <c r="K276" s="77">
        <v>272</v>
      </c>
    </row>
    <row r="277" spans="1:11">
      <c r="A277" s="13">
        <v>2</v>
      </c>
      <c r="B277" s="5" t="s">
        <v>83</v>
      </c>
      <c r="C277" s="6" t="str">
        <f>Gia_Tbi!C5</f>
        <v>Cái</v>
      </c>
      <c r="D277" s="6">
        <f>Gia_Tbi!D5</f>
        <v>0.6</v>
      </c>
      <c r="E277" s="6">
        <f>Gia_Tbi!E5</f>
        <v>5</v>
      </c>
      <c r="F277" s="82">
        <f>Gia_Tbi!F5</f>
        <v>2500000</v>
      </c>
      <c r="G277" s="83">
        <f>Gia_Tbi!G5</f>
        <v>1000</v>
      </c>
      <c r="H277" s="302">
        <v>12.5</v>
      </c>
      <c r="I277" s="84">
        <f>G277*H277</f>
        <v>12500</v>
      </c>
      <c r="K277" s="77">
        <v>273</v>
      </c>
    </row>
    <row r="278" spans="1:11">
      <c r="A278" s="13">
        <v>3</v>
      </c>
      <c r="B278" s="5" t="s">
        <v>25</v>
      </c>
      <c r="C278" s="6" t="str">
        <f>Gia_Tbi!C6</f>
        <v>Cái</v>
      </c>
      <c r="D278" s="6">
        <f>Gia_Tbi!D6</f>
        <v>2.2000000000000002</v>
      </c>
      <c r="E278" s="6">
        <f>Gia_Tbi!E6</f>
        <v>8</v>
      </c>
      <c r="F278" s="82">
        <f>Gia_Tbi!F6</f>
        <v>12000000</v>
      </c>
      <c r="G278" s="83">
        <f>Gia_Tbi!G6</f>
        <v>3000</v>
      </c>
      <c r="H278" s="302">
        <v>16.670000000000002</v>
      </c>
      <c r="I278" s="84">
        <f>G278*H278</f>
        <v>50010.000000000007</v>
      </c>
      <c r="K278" s="77">
        <v>274</v>
      </c>
    </row>
    <row r="279" spans="1:11">
      <c r="A279" s="13">
        <v>4</v>
      </c>
      <c r="B279" s="5" t="s">
        <v>24</v>
      </c>
      <c r="C279" s="6" t="e">
        <f>Gia_Tbi!#REF!</f>
        <v>#REF!</v>
      </c>
      <c r="D279" s="6" t="e">
        <f>Gia_Tbi!#REF!</f>
        <v>#REF!</v>
      </c>
      <c r="E279" s="6" t="e">
        <f>Gia_Tbi!#REF!</f>
        <v>#REF!</v>
      </c>
      <c r="F279" s="82" t="e">
        <f>Gia_Tbi!#REF!</f>
        <v>#REF!</v>
      </c>
      <c r="G279" s="83" t="e">
        <f>Gia_Tbi!#REF!</f>
        <v>#REF!</v>
      </c>
      <c r="H279" s="302">
        <v>8.5</v>
      </c>
      <c r="I279" s="84" t="e">
        <f>G279*H279</f>
        <v>#REF!</v>
      </c>
      <c r="K279" s="77">
        <v>275</v>
      </c>
    </row>
    <row r="280" spans="1:11">
      <c r="A280" s="40">
        <v>5</v>
      </c>
      <c r="B280" s="41" t="s">
        <v>8</v>
      </c>
      <c r="C280" s="42" t="str">
        <f>Gia_Tbi!C9</f>
        <v>Cái</v>
      </c>
      <c r="D280" s="42">
        <f>Gia_Tbi!D9</f>
        <v>0.8</v>
      </c>
      <c r="E280" s="117">
        <f>Gia_Tbi!E9</f>
        <v>8</v>
      </c>
      <c r="F280" s="86">
        <f>Gia_Tbi!F9</f>
        <v>45200000</v>
      </c>
      <c r="G280" s="87">
        <f>Gia_Tbi!G9</f>
        <v>11300</v>
      </c>
      <c r="H280" s="296" t="e">
        <f>(H276*D276+H277*D277+H278*D278+H279*D279)*8</f>
        <v>#REF!</v>
      </c>
      <c r="I280" s="120" t="e">
        <f>G280*H280*E280</f>
        <v>#REF!</v>
      </c>
      <c r="K280" s="77">
        <v>276</v>
      </c>
    </row>
    <row r="281" spans="1:11" s="4" customFormat="1">
      <c r="A281" s="12" t="e">
        <f>#REF!</f>
        <v>#REF!</v>
      </c>
      <c r="B281" s="8" t="e">
        <f>#REF!</f>
        <v>#REF!</v>
      </c>
      <c r="C281" s="7"/>
      <c r="D281" s="7"/>
      <c r="E281" s="7"/>
      <c r="F281" s="93"/>
      <c r="G281" s="94"/>
      <c r="H281" s="298"/>
      <c r="I281" s="95"/>
      <c r="K281" s="77">
        <v>277</v>
      </c>
    </row>
    <row r="282" spans="1:11" s="81" customFormat="1">
      <c r="A282" s="31" t="e">
        <f>#REF!</f>
        <v>#REF!</v>
      </c>
      <c r="B282" s="32" t="e">
        <f>#REF!</f>
        <v>#REF!</v>
      </c>
      <c r="C282" s="15"/>
      <c r="D282" s="15"/>
      <c r="E282" s="15"/>
      <c r="F282" s="78"/>
      <c r="G282" s="79"/>
      <c r="H282" s="111"/>
      <c r="I282" s="80" t="e">
        <f>I284</f>
        <v>#REF!</v>
      </c>
      <c r="K282" s="77">
        <v>278</v>
      </c>
    </row>
    <row r="283" spans="1:11">
      <c r="A283" s="13" t="e">
        <f>#REF!</f>
        <v>#REF!</v>
      </c>
      <c r="B283" s="5" t="e">
        <f>#REF!</f>
        <v>#REF!</v>
      </c>
      <c r="C283" s="6"/>
      <c r="D283" s="6"/>
      <c r="E283" s="6"/>
      <c r="F283" s="82"/>
      <c r="G283" s="83"/>
      <c r="H283" s="295"/>
      <c r="I283" s="84" t="e">
        <f>I284</f>
        <v>#REF!</v>
      </c>
      <c r="K283" s="77">
        <v>279</v>
      </c>
    </row>
    <row r="284" spans="1:11">
      <c r="A284" s="13" t="e">
        <f>#REF!</f>
        <v>#REF!</v>
      </c>
      <c r="B284" s="5" t="e">
        <f>#REF!</f>
        <v>#REF!</v>
      </c>
      <c r="C284" s="6"/>
      <c r="D284" s="6"/>
      <c r="E284" s="6"/>
      <c r="F284" s="82"/>
      <c r="G284" s="83"/>
      <c r="H284" s="295"/>
      <c r="I284" s="80" t="e">
        <f>SUM(I285:I289)</f>
        <v>#REF!</v>
      </c>
      <c r="K284" s="77">
        <v>280</v>
      </c>
    </row>
    <row r="285" spans="1:11">
      <c r="A285" s="13">
        <v>1</v>
      </c>
      <c r="B285" s="5" t="s">
        <v>82</v>
      </c>
      <c r="C285" s="6" t="str">
        <f>Gia_Tbi!C4</f>
        <v>Cái</v>
      </c>
      <c r="D285" s="6">
        <f>Gia_Tbi!D4</f>
        <v>0.4</v>
      </c>
      <c r="E285" s="6">
        <f>Gia_Tbi!E4</f>
        <v>5</v>
      </c>
      <c r="F285" s="82">
        <f>Gia_Tbi!F4</f>
        <v>10000000</v>
      </c>
      <c r="G285" s="83">
        <f>Gia_Tbi!G4</f>
        <v>4000</v>
      </c>
      <c r="H285" s="302">
        <v>0.12</v>
      </c>
      <c r="I285" s="84">
        <f>G285*H285</f>
        <v>480</v>
      </c>
      <c r="K285" s="77">
        <v>281</v>
      </c>
    </row>
    <row r="286" spans="1:11">
      <c r="A286" s="13">
        <v>2</v>
      </c>
      <c r="B286" s="5" t="s">
        <v>83</v>
      </c>
      <c r="C286" s="6" t="str">
        <f>Gia_Tbi!C5</f>
        <v>Cái</v>
      </c>
      <c r="D286" s="6">
        <f>Gia_Tbi!D5</f>
        <v>0.6</v>
      </c>
      <c r="E286" s="6">
        <f>Gia_Tbi!E5</f>
        <v>5</v>
      </c>
      <c r="F286" s="82">
        <f>Gia_Tbi!F5</f>
        <v>2500000</v>
      </c>
      <c r="G286" s="83">
        <f>Gia_Tbi!G5</f>
        <v>1000</v>
      </c>
      <c r="H286" s="302">
        <v>4.0000000000000001E-3</v>
      </c>
      <c r="I286" s="84">
        <f>G286*H286</f>
        <v>4</v>
      </c>
      <c r="K286" s="77">
        <v>282</v>
      </c>
    </row>
    <row r="287" spans="1:11">
      <c r="A287" s="13">
        <v>3</v>
      </c>
      <c r="B287" s="5" t="s">
        <v>96</v>
      </c>
      <c r="C287" s="6" t="str">
        <f>Gia_Tbi!C8</f>
        <v>Cái</v>
      </c>
      <c r="D287" s="6">
        <f>Gia_Tbi!D8</f>
        <v>0.6</v>
      </c>
      <c r="E287" s="6">
        <f>Gia_Tbi!E8</f>
        <v>8</v>
      </c>
      <c r="F287" s="82">
        <f>Gia_Tbi!F8</f>
        <v>10000000</v>
      </c>
      <c r="G287" s="83">
        <f>Gia_Tbi!G8</f>
        <v>2500</v>
      </c>
      <c r="H287" s="302">
        <v>0.12</v>
      </c>
      <c r="I287" s="84">
        <f>G287*H287</f>
        <v>300</v>
      </c>
      <c r="K287" s="77">
        <v>283</v>
      </c>
    </row>
    <row r="288" spans="1:11">
      <c r="A288" s="13">
        <v>4</v>
      </c>
      <c r="B288" s="5" t="s">
        <v>25</v>
      </c>
      <c r="C288" s="6" t="str">
        <f>Gia_Tbi!C6</f>
        <v>Cái</v>
      </c>
      <c r="D288" s="6">
        <f>Gia_Tbi!D6</f>
        <v>2.2000000000000002</v>
      </c>
      <c r="E288" s="6">
        <f>Gia_Tbi!E6</f>
        <v>8</v>
      </c>
      <c r="F288" s="82">
        <f>Gia_Tbi!F6</f>
        <v>12000000</v>
      </c>
      <c r="G288" s="83">
        <f>Gia_Tbi!G6</f>
        <v>3000</v>
      </c>
      <c r="H288" s="302">
        <v>0.02</v>
      </c>
      <c r="I288" s="84">
        <f>G288*H288</f>
        <v>60</v>
      </c>
      <c r="K288" s="77">
        <v>284</v>
      </c>
    </row>
    <row r="289" spans="1:11">
      <c r="A289" s="13">
        <v>5</v>
      </c>
      <c r="B289" s="5" t="s">
        <v>24</v>
      </c>
      <c r="C289" s="6" t="e">
        <f>Gia_Tbi!#REF!</f>
        <v>#REF!</v>
      </c>
      <c r="D289" s="6" t="e">
        <f>Gia_Tbi!#REF!</f>
        <v>#REF!</v>
      </c>
      <c r="E289" s="6" t="e">
        <f>Gia_Tbi!#REF!</f>
        <v>#REF!</v>
      </c>
      <c r="F289" s="82" t="e">
        <f>Gia_Tbi!#REF!</f>
        <v>#REF!</v>
      </c>
      <c r="G289" s="83" t="e">
        <f>Gia_Tbi!#REF!</f>
        <v>#REF!</v>
      </c>
      <c r="H289" s="302">
        <v>4.0000000000000001E-3</v>
      </c>
      <c r="I289" s="84" t="e">
        <f>G289*H289</f>
        <v>#REF!</v>
      </c>
      <c r="K289" s="77">
        <v>285</v>
      </c>
    </row>
    <row r="290" spans="1:11">
      <c r="A290" s="13">
        <v>6</v>
      </c>
      <c r="B290" s="41" t="s">
        <v>8</v>
      </c>
      <c r="C290" s="42" t="str">
        <f>Gia_Tbi!C9</f>
        <v>Cái</v>
      </c>
      <c r="D290" s="42">
        <f>Gia_Tbi!D9</f>
        <v>0.8</v>
      </c>
      <c r="E290" s="117">
        <f>Gia_Tbi!E9</f>
        <v>8</v>
      </c>
      <c r="F290" s="86">
        <f>Gia_Tbi!F9</f>
        <v>45200000</v>
      </c>
      <c r="G290" s="87">
        <f>Gia_Tbi!G9</f>
        <v>11300</v>
      </c>
      <c r="H290" s="296" t="e">
        <f>(H285*D285+H286*D286+H287*D287+H288*D288+H289*D289)*8</f>
        <v>#REF!</v>
      </c>
      <c r="I290" s="120" t="e">
        <f>G290*H290*E290</f>
        <v>#REF!</v>
      </c>
      <c r="K290" s="77">
        <v>286</v>
      </c>
    </row>
    <row r="291" spans="1:11" s="81" customFormat="1">
      <c r="A291" s="31" t="e">
        <f>#REF!</f>
        <v>#REF!</v>
      </c>
      <c r="B291" s="32" t="e">
        <f>#REF!</f>
        <v>#REF!</v>
      </c>
      <c r="C291" s="15"/>
      <c r="D291" s="15"/>
      <c r="E291" s="15"/>
      <c r="F291" s="78"/>
      <c r="G291" s="79"/>
      <c r="H291" s="111"/>
      <c r="I291" s="80" t="e">
        <f>SUM(I292:I296)</f>
        <v>#REF!</v>
      </c>
      <c r="K291" s="77">
        <v>287</v>
      </c>
    </row>
    <row r="292" spans="1:11">
      <c r="A292" s="13">
        <v>1</v>
      </c>
      <c r="B292" s="5" t="s">
        <v>82</v>
      </c>
      <c r="C292" s="6" t="str">
        <f>Gia_Tbi!C4</f>
        <v>Cái</v>
      </c>
      <c r="D292" s="6">
        <f>Gia_Tbi!D4</f>
        <v>0.4</v>
      </c>
      <c r="E292" s="6">
        <f>Gia_Tbi!E4</f>
        <v>5</v>
      </c>
      <c r="F292" s="82">
        <f>Gia_Tbi!F4</f>
        <v>10000000</v>
      </c>
      <c r="G292" s="83">
        <f>Gia_Tbi!G4</f>
        <v>4000</v>
      </c>
      <c r="H292" s="302">
        <v>0.06</v>
      </c>
      <c r="I292" s="84">
        <f>G292*H292</f>
        <v>240</v>
      </c>
      <c r="K292" s="77">
        <v>288</v>
      </c>
    </row>
    <row r="293" spans="1:11">
      <c r="A293" s="13">
        <v>2</v>
      </c>
      <c r="B293" s="5" t="s">
        <v>83</v>
      </c>
      <c r="C293" s="6" t="str">
        <f>Gia_Tbi!C5</f>
        <v>Cái</v>
      </c>
      <c r="D293" s="6">
        <f>Gia_Tbi!D5</f>
        <v>0.6</v>
      </c>
      <c r="E293" s="6">
        <f>Gia_Tbi!E5</f>
        <v>5</v>
      </c>
      <c r="F293" s="82">
        <f>Gia_Tbi!F5</f>
        <v>2500000</v>
      </c>
      <c r="G293" s="83">
        <f>Gia_Tbi!G5</f>
        <v>1000</v>
      </c>
      <c r="H293" s="302">
        <v>3.0000000000000001E-3</v>
      </c>
      <c r="I293" s="84">
        <f>G293*H293</f>
        <v>3</v>
      </c>
      <c r="K293" s="77">
        <v>289</v>
      </c>
    </row>
    <row r="294" spans="1:11">
      <c r="A294" s="13">
        <v>3</v>
      </c>
      <c r="B294" s="5" t="s">
        <v>96</v>
      </c>
      <c r="C294" s="6" t="str">
        <f>Gia_Tbi!C8</f>
        <v>Cái</v>
      </c>
      <c r="D294" s="6">
        <f>Gia_Tbi!D8</f>
        <v>0.6</v>
      </c>
      <c r="E294" s="6">
        <f>Gia_Tbi!E8</f>
        <v>8</v>
      </c>
      <c r="F294" s="82">
        <f>Gia_Tbi!F8</f>
        <v>10000000</v>
      </c>
      <c r="G294" s="83">
        <f>Gia_Tbi!G8</f>
        <v>2500</v>
      </c>
      <c r="H294" s="302">
        <v>0.06</v>
      </c>
      <c r="I294" s="84">
        <f>G294*H294</f>
        <v>150</v>
      </c>
      <c r="K294" s="77">
        <v>290</v>
      </c>
    </row>
    <row r="295" spans="1:11">
      <c r="A295" s="13">
        <v>4</v>
      </c>
      <c r="B295" s="5" t="s">
        <v>25</v>
      </c>
      <c r="C295" s="6" t="str">
        <f>Gia_Tbi!C6</f>
        <v>Cái</v>
      </c>
      <c r="D295" s="6">
        <f>Gia_Tbi!D6</f>
        <v>2.2000000000000002</v>
      </c>
      <c r="E295" s="6">
        <f>Gia_Tbi!E6</f>
        <v>8</v>
      </c>
      <c r="F295" s="82">
        <f>Gia_Tbi!F6</f>
        <v>12000000</v>
      </c>
      <c r="G295" s="83">
        <f>Gia_Tbi!G6</f>
        <v>3000</v>
      </c>
      <c r="H295" s="302">
        <v>0.01</v>
      </c>
      <c r="I295" s="84">
        <f>G295*H295</f>
        <v>30</v>
      </c>
      <c r="K295" s="77">
        <v>291</v>
      </c>
    </row>
    <row r="296" spans="1:11">
      <c r="A296" s="13">
        <v>5</v>
      </c>
      <c r="B296" s="5" t="s">
        <v>24</v>
      </c>
      <c r="C296" s="6" t="e">
        <f>Gia_Tbi!#REF!</f>
        <v>#REF!</v>
      </c>
      <c r="D296" s="6" t="e">
        <f>Gia_Tbi!#REF!</f>
        <v>#REF!</v>
      </c>
      <c r="E296" s="6" t="e">
        <f>Gia_Tbi!#REF!</f>
        <v>#REF!</v>
      </c>
      <c r="F296" s="82" t="e">
        <f>Gia_Tbi!#REF!</f>
        <v>#REF!</v>
      </c>
      <c r="G296" s="83" t="e">
        <f>Gia_Tbi!#REF!</f>
        <v>#REF!</v>
      </c>
      <c r="H296" s="302">
        <v>2E-3</v>
      </c>
      <c r="I296" s="84" t="e">
        <f>G296*H296</f>
        <v>#REF!</v>
      </c>
      <c r="K296" s="77">
        <v>292</v>
      </c>
    </row>
    <row r="297" spans="1:11">
      <c r="A297" s="13">
        <v>6</v>
      </c>
      <c r="B297" s="41" t="s">
        <v>8</v>
      </c>
      <c r="C297" s="42" t="str">
        <f>Gia_Tbi!C9</f>
        <v>Cái</v>
      </c>
      <c r="D297" s="42">
        <f>Gia_Tbi!D9</f>
        <v>0.8</v>
      </c>
      <c r="E297" s="117">
        <f>Gia_Tbi!E9</f>
        <v>8</v>
      </c>
      <c r="F297" s="86">
        <f>Gia_Tbi!F9</f>
        <v>45200000</v>
      </c>
      <c r="G297" s="87">
        <f>Gia_Tbi!G9</f>
        <v>11300</v>
      </c>
      <c r="H297" s="296" t="e">
        <f>(H292*D292+H293*D293+H294*D294+H295*D295+H296*D296)*8</f>
        <v>#REF!</v>
      </c>
      <c r="I297" s="120" t="e">
        <f>G297*H297*E297</f>
        <v>#REF!</v>
      </c>
      <c r="K297" s="77">
        <v>293</v>
      </c>
    </row>
    <row r="298" spans="1:11" s="81" customFormat="1">
      <c r="A298" s="31" t="e">
        <f>#REF!</f>
        <v>#REF!</v>
      </c>
      <c r="B298" s="32" t="e">
        <f>#REF!</f>
        <v>#REF!</v>
      </c>
      <c r="C298" s="15"/>
      <c r="D298" s="15"/>
      <c r="E298" s="15"/>
      <c r="F298" s="78"/>
      <c r="G298" s="79"/>
      <c r="H298" s="111"/>
      <c r="I298" s="80"/>
      <c r="K298" s="77">
        <v>294</v>
      </c>
    </row>
    <row r="299" spans="1:11">
      <c r="A299" s="40" t="e">
        <f>#REF!</f>
        <v>#REF!</v>
      </c>
      <c r="B299" s="41" t="e">
        <f>#REF!</f>
        <v>#REF!</v>
      </c>
      <c r="C299" s="42"/>
      <c r="D299" s="42"/>
      <c r="E299" s="42"/>
      <c r="F299" s="86"/>
      <c r="G299" s="87"/>
      <c r="H299" s="296"/>
      <c r="I299" s="88"/>
      <c r="K299" s="77">
        <v>295</v>
      </c>
    </row>
    <row r="300" spans="1:11" s="4" customFormat="1">
      <c r="A300" s="35" t="e">
        <f>#REF!</f>
        <v>#REF!</v>
      </c>
      <c r="B300" s="36" t="e">
        <f>#REF!</f>
        <v>#REF!</v>
      </c>
      <c r="C300" s="37"/>
      <c r="D300" s="37"/>
      <c r="E300" s="37"/>
      <c r="F300" s="89"/>
      <c r="G300" s="90"/>
      <c r="H300" s="297"/>
      <c r="I300" s="91"/>
      <c r="K300" s="77">
        <v>296</v>
      </c>
    </row>
    <row r="301" spans="1:11" s="81" customFormat="1">
      <c r="A301" s="31" t="e">
        <f>#REF!</f>
        <v>#REF!</v>
      </c>
      <c r="B301" s="32" t="e">
        <f>#REF!</f>
        <v>#REF!</v>
      </c>
      <c r="C301" s="15"/>
      <c r="D301" s="15"/>
      <c r="E301" s="15"/>
      <c r="F301" s="78"/>
      <c r="G301" s="79"/>
      <c r="H301" s="111"/>
      <c r="I301" s="80" t="e">
        <f>SUM(I302:I305)</f>
        <v>#REF!</v>
      </c>
      <c r="K301" s="77">
        <v>297</v>
      </c>
    </row>
    <row r="302" spans="1:11">
      <c r="A302" s="13">
        <v>1</v>
      </c>
      <c r="B302" s="5" t="s">
        <v>82</v>
      </c>
      <c r="C302" s="6" t="str">
        <f>Gia_Tbi!C4</f>
        <v>Cái</v>
      </c>
      <c r="D302" s="6">
        <f>Gia_Tbi!D4</f>
        <v>0.4</v>
      </c>
      <c r="E302" s="6">
        <f>Gia_Tbi!E4</f>
        <v>5</v>
      </c>
      <c r="F302" s="82">
        <f>Gia_Tbi!F4</f>
        <v>10000000</v>
      </c>
      <c r="G302" s="83">
        <f>Gia_Tbi!G4</f>
        <v>4000</v>
      </c>
      <c r="H302" s="302">
        <v>105</v>
      </c>
      <c r="I302" s="84">
        <f>G302*H302</f>
        <v>420000</v>
      </c>
      <c r="K302" s="77">
        <v>298</v>
      </c>
    </row>
    <row r="303" spans="1:11">
      <c r="A303" s="13">
        <v>2</v>
      </c>
      <c r="B303" s="5" t="s">
        <v>83</v>
      </c>
      <c r="C303" s="6" t="str">
        <f>Gia_Tbi!C5</f>
        <v>Cái</v>
      </c>
      <c r="D303" s="6">
        <f>Gia_Tbi!D5</f>
        <v>0.6</v>
      </c>
      <c r="E303" s="6">
        <f>Gia_Tbi!E5</f>
        <v>5</v>
      </c>
      <c r="F303" s="82">
        <f>Gia_Tbi!F5</f>
        <v>2500000</v>
      </c>
      <c r="G303" s="83">
        <f>Gia_Tbi!G5</f>
        <v>1000</v>
      </c>
      <c r="H303" s="302">
        <v>6</v>
      </c>
      <c r="I303" s="84">
        <f>G303*H303</f>
        <v>6000</v>
      </c>
      <c r="K303" s="77">
        <v>299</v>
      </c>
    </row>
    <row r="304" spans="1:11">
      <c r="A304" s="13">
        <v>3</v>
      </c>
      <c r="B304" s="5" t="s">
        <v>25</v>
      </c>
      <c r="C304" s="6" t="str">
        <f>Gia_Tbi!C6</f>
        <v>Cái</v>
      </c>
      <c r="D304" s="6">
        <f>Gia_Tbi!D6</f>
        <v>2.2000000000000002</v>
      </c>
      <c r="E304" s="6">
        <f>Gia_Tbi!E6</f>
        <v>8</v>
      </c>
      <c r="F304" s="82">
        <f>Gia_Tbi!F6</f>
        <v>12000000</v>
      </c>
      <c r="G304" s="83">
        <f>Gia_Tbi!G6</f>
        <v>3000</v>
      </c>
      <c r="H304" s="302">
        <v>11.67</v>
      </c>
      <c r="I304" s="84">
        <f>G304*H304</f>
        <v>35010</v>
      </c>
      <c r="K304" s="77">
        <v>300</v>
      </c>
    </row>
    <row r="305" spans="1:11">
      <c r="A305" s="13">
        <v>4</v>
      </c>
      <c r="B305" s="5" t="s">
        <v>24</v>
      </c>
      <c r="C305" s="6" t="e">
        <f>Gia_Tbi!#REF!</f>
        <v>#REF!</v>
      </c>
      <c r="D305" s="6" t="e">
        <f>Gia_Tbi!#REF!</f>
        <v>#REF!</v>
      </c>
      <c r="E305" s="6" t="e">
        <f>Gia_Tbi!#REF!</f>
        <v>#REF!</v>
      </c>
      <c r="F305" s="82" t="e">
        <f>Gia_Tbi!#REF!</f>
        <v>#REF!</v>
      </c>
      <c r="G305" s="83" t="e">
        <f>Gia_Tbi!#REF!</f>
        <v>#REF!</v>
      </c>
      <c r="H305" s="302">
        <v>5</v>
      </c>
      <c r="I305" s="84" t="e">
        <f>G305*H305</f>
        <v>#REF!</v>
      </c>
      <c r="K305" s="77">
        <v>301</v>
      </c>
    </row>
    <row r="306" spans="1:11">
      <c r="A306" s="40">
        <v>5</v>
      </c>
      <c r="B306" s="41" t="s">
        <v>8</v>
      </c>
      <c r="C306" s="42" t="str">
        <f>Gia_Tbi!C9</f>
        <v>Cái</v>
      </c>
      <c r="D306" s="42">
        <f>Gia_Tbi!D9</f>
        <v>0.8</v>
      </c>
      <c r="E306" s="117">
        <f>Gia_Tbi!E9</f>
        <v>8</v>
      </c>
      <c r="F306" s="86">
        <f>Gia_Tbi!F9</f>
        <v>45200000</v>
      </c>
      <c r="G306" s="87">
        <f>Gia_Tbi!G9</f>
        <v>11300</v>
      </c>
      <c r="H306" s="296" t="e">
        <f>(H302*D302+H303*D303+H304*D304+H305*D305)*8</f>
        <v>#REF!</v>
      </c>
      <c r="I306" s="120" t="e">
        <f>G306*H306*E306</f>
        <v>#REF!</v>
      </c>
      <c r="K306" s="77">
        <v>302</v>
      </c>
    </row>
    <row r="307" spans="1:11" s="81" customFormat="1">
      <c r="A307" s="31" t="e">
        <f>#REF!</f>
        <v>#REF!</v>
      </c>
      <c r="B307" s="32" t="e">
        <f>#REF!</f>
        <v>#REF!</v>
      </c>
      <c r="C307" s="15"/>
      <c r="D307" s="15"/>
      <c r="E307" s="15"/>
      <c r="F307" s="78"/>
      <c r="G307" s="79"/>
      <c r="H307" s="111"/>
      <c r="I307" s="80" t="e">
        <f>SUM(I308:I311)</f>
        <v>#REF!</v>
      </c>
      <c r="K307" s="77">
        <v>303</v>
      </c>
    </row>
    <row r="308" spans="1:11">
      <c r="A308" s="13">
        <v>1</v>
      </c>
      <c r="B308" s="5" t="s">
        <v>82</v>
      </c>
      <c r="C308" s="6" t="str">
        <f>Gia_Tbi!C4</f>
        <v>Cái</v>
      </c>
      <c r="D308" s="6">
        <f>Gia_Tbi!D4</f>
        <v>0.4</v>
      </c>
      <c r="E308" s="6">
        <f>Gia_Tbi!E4</f>
        <v>5</v>
      </c>
      <c r="F308" s="82">
        <f>Gia_Tbi!F4</f>
        <v>10000000</v>
      </c>
      <c r="G308" s="83">
        <f>Gia_Tbi!G4</f>
        <v>4000</v>
      </c>
      <c r="H308" s="302">
        <v>1.46</v>
      </c>
      <c r="I308" s="84">
        <f>G308*H308</f>
        <v>5840</v>
      </c>
      <c r="K308" s="77">
        <v>304</v>
      </c>
    </row>
    <row r="309" spans="1:11">
      <c r="A309" s="13">
        <v>2</v>
      </c>
      <c r="B309" s="5" t="s">
        <v>83</v>
      </c>
      <c r="C309" s="6" t="str">
        <f>Gia_Tbi!C5</f>
        <v>Cái</v>
      </c>
      <c r="D309" s="6">
        <f>Gia_Tbi!D5</f>
        <v>0.6</v>
      </c>
      <c r="E309" s="6">
        <f>Gia_Tbi!E5</f>
        <v>5</v>
      </c>
      <c r="F309" s="82">
        <f>Gia_Tbi!F5</f>
        <v>2500000</v>
      </c>
      <c r="G309" s="83">
        <f>Gia_Tbi!G5</f>
        <v>1000</v>
      </c>
      <c r="H309" s="302">
        <v>0.02</v>
      </c>
      <c r="I309" s="84">
        <f>G309*H309</f>
        <v>20</v>
      </c>
      <c r="K309" s="77">
        <v>305</v>
      </c>
    </row>
    <row r="310" spans="1:11">
      <c r="A310" s="13">
        <v>3</v>
      </c>
      <c r="B310" s="5" t="s">
        <v>25</v>
      </c>
      <c r="C310" s="6" t="str">
        <f>Gia_Tbi!C6</f>
        <v>Cái</v>
      </c>
      <c r="D310" s="6">
        <f>Gia_Tbi!D6</f>
        <v>2.2000000000000002</v>
      </c>
      <c r="E310" s="6">
        <f>Gia_Tbi!E6</f>
        <v>8</v>
      </c>
      <c r="F310" s="82">
        <f>Gia_Tbi!F6</f>
        <v>12000000</v>
      </c>
      <c r="G310" s="83">
        <f>Gia_Tbi!G6</f>
        <v>3000</v>
      </c>
      <c r="H310" s="302">
        <v>0.49</v>
      </c>
      <c r="I310" s="84">
        <f>G310*H310</f>
        <v>1470</v>
      </c>
      <c r="K310" s="77">
        <v>306</v>
      </c>
    </row>
    <row r="311" spans="1:11">
      <c r="A311" s="13">
        <v>4</v>
      </c>
      <c r="B311" s="5" t="s">
        <v>24</v>
      </c>
      <c r="C311" s="6" t="e">
        <f>Gia_Tbi!#REF!</f>
        <v>#REF!</v>
      </c>
      <c r="D311" s="6" t="e">
        <f>Gia_Tbi!#REF!</f>
        <v>#REF!</v>
      </c>
      <c r="E311" s="6" t="e">
        <f>Gia_Tbi!#REF!</f>
        <v>#REF!</v>
      </c>
      <c r="F311" s="82" t="e">
        <f>Gia_Tbi!#REF!</f>
        <v>#REF!</v>
      </c>
      <c r="G311" s="83" t="e">
        <f>Gia_Tbi!#REF!</f>
        <v>#REF!</v>
      </c>
      <c r="H311" s="302">
        <v>0.03</v>
      </c>
      <c r="I311" s="84" t="e">
        <f>G311*H311</f>
        <v>#REF!</v>
      </c>
      <c r="K311" s="77">
        <v>307</v>
      </c>
    </row>
    <row r="312" spans="1:11">
      <c r="A312" s="40">
        <v>5</v>
      </c>
      <c r="B312" s="41" t="s">
        <v>8</v>
      </c>
      <c r="C312" s="42" t="str">
        <f>Gia_Tbi!C9</f>
        <v>Cái</v>
      </c>
      <c r="D312" s="42">
        <f>Gia_Tbi!D9</f>
        <v>0.8</v>
      </c>
      <c r="E312" s="117">
        <f>Gia_Tbi!E9</f>
        <v>8</v>
      </c>
      <c r="F312" s="86">
        <f>Gia_Tbi!F9</f>
        <v>45200000</v>
      </c>
      <c r="G312" s="87">
        <f>Gia_Tbi!G9</f>
        <v>11300</v>
      </c>
      <c r="H312" s="296" t="e">
        <f>(H308*D308+H309*D309+H310*D310+H311*D311)*8</f>
        <v>#REF!</v>
      </c>
      <c r="I312" s="120" t="e">
        <f>G312*H312*E312</f>
        <v>#REF!</v>
      </c>
      <c r="K312" s="77">
        <v>308</v>
      </c>
    </row>
    <row r="313" spans="1:11" s="81" customFormat="1">
      <c r="A313" s="31" t="e">
        <f>#REF!</f>
        <v>#REF!</v>
      </c>
      <c r="B313" s="32" t="e">
        <f>#REF!</f>
        <v>#REF!</v>
      </c>
      <c r="C313" s="15"/>
      <c r="D313" s="15"/>
      <c r="E313" s="15"/>
      <c r="F313" s="78"/>
      <c r="G313" s="79"/>
      <c r="H313" s="111"/>
      <c r="I313" s="80" t="e">
        <f>SUM(I314:I317)</f>
        <v>#REF!</v>
      </c>
      <c r="K313" s="77">
        <v>309</v>
      </c>
    </row>
    <row r="314" spans="1:11">
      <c r="A314" s="13">
        <v>1</v>
      </c>
      <c r="B314" s="5" t="s">
        <v>82</v>
      </c>
      <c r="C314" s="6" t="str">
        <f>Gia_Tbi!C4</f>
        <v>Cái</v>
      </c>
      <c r="D314" s="6">
        <f>Gia_Tbi!D4</f>
        <v>0.4</v>
      </c>
      <c r="E314" s="6">
        <f>Gia_Tbi!E4</f>
        <v>5</v>
      </c>
      <c r="F314" s="82">
        <f>Gia_Tbi!F4</f>
        <v>10000000</v>
      </c>
      <c r="G314" s="83">
        <f>Gia_Tbi!G4</f>
        <v>4000</v>
      </c>
      <c r="H314" s="302">
        <v>60</v>
      </c>
      <c r="I314" s="84">
        <f>G314*H314</f>
        <v>240000</v>
      </c>
      <c r="K314" s="77">
        <v>310</v>
      </c>
    </row>
    <row r="315" spans="1:11">
      <c r="A315" s="13">
        <v>2</v>
      </c>
      <c r="B315" s="5" t="s">
        <v>83</v>
      </c>
      <c r="C315" s="6" t="str">
        <f>Gia_Tbi!C5</f>
        <v>Cái</v>
      </c>
      <c r="D315" s="6">
        <f>Gia_Tbi!D5</f>
        <v>0.6</v>
      </c>
      <c r="E315" s="6">
        <f>Gia_Tbi!E5</f>
        <v>5</v>
      </c>
      <c r="F315" s="82">
        <f>Gia_Tbi!F5</f>
        <v>2500000</v>
      </c>
      <c r="G315" s="83">
        <f>Gia_Tbi!G5</f>
        <v>1000</v>
      </c>
      <c r="H315" s="302">
        <v>4.5999999999999996</v>
      </c>
      <c r="I315" s="84">
        <f>G315*H315</f>
        <v>4600</v>
      </c>
      <c r="K315" s="77">
        <v>311</v>
      </c>
    </row>
    <row r="316" spans="1:11">
      <c r="A316" s="13">
        <v>3</v>
      </c>
      <c r="B316" s="5" t="s">
        <v>25</v>
      </c>
      <c r="C316" s="6" t="str">
        <f>Gia_Tbi!C6</f>
        <v>Cái</v>
      </c>
      <c r="D316" s="6">
        <f>Gia_Tbi!D6</f>
        <v>2.2000000000000002</v>
      </c>
      <c r="E316" s="6">
        <f>Gia_Tbi!E6</f>
        <v>8</v>
      </c>
      <c r="F316" s="82">
        <f>Gia_Tbi!F6</f>
        <v>12000000</v>
      </c>
      <c r="G316" s="83">
        <f>Gia_Tbi!G6</f>
        <v>3000</v>
      </c>
      <c r="H316" s="302">
        <v>6.67</v>
      </c>
      <c r="I316" s="84">
        <f>G316*H316</f>
        <v>20010</v>
      </c>
      <c r="K316" s="77">
        <v>312</v>
      </c>
    </row>
    <row r="317" spans="1:11">
      <c r="A317" s="13">
        <v>4</v>
      </c>
      <c r="B317" s="5" t="s">
        <v>24</v>
      </c>
      <c r="C317" s="6" t="e">
        <f>Gia_Tbi!#REF!</f>
        <v>#REF!</v>
      </c>
      <c r="D317" s="6" t="e">
        <f>Gia_Tbi!#REF!</f>
        <v>#REF!</v>
      </c>
      <c r="E317" s="6" t="e">
        <f>Gia_Tbi!#REF!</f>
        <v>#REF!</v>
      </c>
      <c r="F317" s="82" t="e">
        <f>Gia_Tbi!#REF!</f>
        <v>#REF!</v>
      </c>
      <c r="G317" s="83" t="e">
        <f>Gia_Tbi!#REF!</f>
        <v>#REF!</v>
      </c>
      <c r="H317" s="302">
        <v>4.25</v>
      </c>
      <c r="I317" s="84" t="e">
        <f>G317*H317</f>
        <v>#REF!</v>
      </c>
      <c r="K317" s="77">
        <v>313</v>
      </c>
    </row>
    <row r="318" spans="1:11">
      <c r="A318" s="40">
        <v>5</v>
      </c>
      <c r="B318" s="41" t="s">
        <v>8</v>
      </c>
      <c r="C318" s="42" t="str">
        <f>Gia_Tbi!C9</f>
        <v>Cái</v>
      </c>
      <c r="D318" s="42">
        <f>Gia_Tbi!D9</f>
        <v>0.8</v>
      </c>
      <c r="E318" s="117">
        <f>Gia_Tbi!E9</f>
        <v>8</v>
      </c>
      <c r="F318" s="86">
        <f>Gia_Tbi!F9</f>
        <v>45200000</v>
      </c>
      <c r="G318" s="87">
        <f>Gia_Tbi!G9</f>
        <v>11300</v>
      </c>
      <c r="H318" s="296" t="e">
        <f>(H314*D314+H315*D315+H316*D316+H317*D317)*8</f>
        <v>#REF!</v>
      </c>
      <c r="I318" s="120" t="e">
        <f>G318*H318*E318</f>
        <v>#REF!</v>
      </c>
      <c r="K318" s="77">
        <v>314</v>
      </c>
    </row>
    <row r="319" spans="1:11" s="4" customFormat="1">
      <c r="A319" s="12" t="e">
        <f>#REF!</f>
        <v>#REF!</v>
      </c>
      <c r="B319" s="8" t="e">
        <f>#REF!</f>
        <v>#REF!</v>
      </c>
      <c r="C319" s="7"/>
      <c r="D319" s="7"/>
      <c r="E319" s="7"/>
      <c r="F319" s="93"/>
      <c r="G319" s="94"/>
      <c r="H319" s="298"/>
      <c r="I319" s="95"/>
      <c r="K319" s="77">
        <v>315</v>
      </c>
    </row>
    <row r="320" spans="1:11" s="81" customFormat="1">
      <c r="A320" s="31" t="e">
        <f>#REF!</f>
        <v>#REF!</v>
      </c>
      <c r="B320" s="32" t="e">
        <f>#REF!</f>
        <v>#REF!</v>
      </c>
      <c r="C320" s="15"/>
      <c r="D320" s="15"/>
      <c r="E320" s="15"/>
      <c r="F320" s="78"/>
      <c r="G320" s="79"/>
      <c r="H320" s="111"/>
      <c r="I320" s="80"/>
      <c r="K320" s="77">
        <v>316</v>
      </c>
    </row>
    <row r="321" spans="1:11" s="81" customFormat="1">
      <c r="A321" s="31" t="e">
        <f>#REF!</f>
        <v>#REF!</v>
      </c>
      <c r="B321" s="32" t="e">
        <f>#REF!</f>
        <v>#REF!</v>
      </c>
      <c r="C321" s="15"/>
      <c r="D321" s="15"/>
      <c r="E321" s="15"/>
      <c r="F321" s="78"/>
      <c r="G321" s="79"/>
      <c r="H321" s="111"/>
      <c r="I321" s="80"/>
      <c r="K321" s="77">
        <v>317</v>
      </c>
    </row>
    <row r="322" spans="1:11" s="4" customFormat="1">
      <c r="A322" s="12" t="e">
        <f>#REF!</f>
        <v>#REF!</v>
      </c>
      <c r="B322" s="8" t="e">
        <f>#REF!</f>
        <v>#REF!</v>
      </c>
      <c r="C322" s="7"/>
      <c r="D322" s="7"/>
      <c r="E322" s="7"/>
      <c r="F322" s="93"/>
      <c r="G322" s="94"/>
      <c r="H322" s="298"/>
      <c r="I322" s="95"/>
      <c r="K322" s="77">
        <v>318</v>
      </c>
    </row>
    <row r="323" spans="1:11" s="81" customFormat="1">
      <c r="A323" s="31" t="e">
        <f>#REF!</f>
        <v>#REF!</v>
      </c>
      <c r="B323" s="32" t="e">
        <f>#REF!</f>
        <v>#REF!</v>
      </c>
      <c r="C323" s="15"/>
      <c r="D323" s="15"/>
      <c r="E323" s="15"/>
      <c r="F323" s="78"/>
      <c r="G323" s="79"/>
      <c r="H323" s="111"/>
      <c r="I323" s="80" t="e">
        <f>SUM(I324:I327)</f>
        <v>#REF!</v>
      </c>
      <c r="K323" s="77">
        <v>319</v>
      </c>
    </row>
    <row r="324" spans="1:11">
      <c r="A324" s="13">
        <v>1</v>
      </c>
      <c r="B324" s="5" t="s">
        <v>82</v>
      </c>
      <c r="C324" s="6" t="str">
        <f>Gia_Tbi!C4</f>
        <v>Cái</v>
      </c>
      <c r="D324" s="6">
        <f>Gia_Tbi!D4</f>
        <v>0.4</v>
      </c>
      <c r="E324" s="6">
        <f>Gia_Tbi!E4</f>
        <v>5</v>
      </c>
      <c r="F324" s="82">
        <f>Gia_Tbi!F4</f>
        <v>10000000</v>
      </c>
      <c r="G324" s="83">
        <f>Gia_Tbi!G4</f>
        <v>4000</v>
      </c>
      <c r="H324" s="302">
        <v>15</v>
      </c>
      <c r="I324" s="84">
        <f>G324*H324</f>
        <v>60000</v>
      </c>
      <c r="K324" s="77">
        <v>320</v>
      </c>
    </row>
    <row r="325" spans="1:11">
      <c r="A325" s="13">
        <v>2</v>
      </c>
      <c r="B325" s="5" t="s">
        <v>83</v>
      </c>
      <c r="C325" s="6" t="str">
        <f>Gia_Tbi!C5</f>
        <v>Cái</v>
      </c>
      <c r="D325" s="6">
        <f>Gia_Tbi!D5</f>
        <v>0.6</v>
      </c>
      <c r="E325" s="6">
        <f>Gia_Tbi!E5</f>
        <v>5</v>
      </c>
      <c r="F325" s="82">
        <f>Gia_Tbi!F5</f>
        <v>2500000</v>
      </c>
      <c r="G325" s="83">
        <f>Gia_Tbi!G5</f>
        <v>1000</v>
      </c>
      <c r="H325" s="302">
        <v>0.8</v>
      </c>
      <c r="I325" s="84">
        <f>G325*H325</f>
        <v>800</v>
      </c>
      <c r="K325" s="77">
        <v>321</v>
      </c>
    </row>
    <row r="326" spans="1:11">
      <c r="A326" s="13">
        <v>3</v>
      </c>
      <c r="B326" s="5" t="s">
        <v>25</v>
      </c>
      <c r="C326" s="6" t="str">
        <f>Gia_Tbi!C6</f>
        <v>Cái</v>
      </c>
      <c r="D326" s="6">
        <f>Gia_Tbi!D6</f>
        <v>2.2000000000000002</v>
      </c>
      <c r="E326" s="6">
        <f>Gia_Tbi!E6</f>
        <v>8</v>
      </c>
      <c r="F326" s="82">
        <f>Gia_Tbi!F6</f>
        <v>12000000</v>
      </c>
      <c r="G326" s="83">
        <f>Gia_Tbi!G6</f>
        <v>3000</v>
      </c>
      <c r="H326" s="302">
        <v>5</v>
      </c>
      <c r="I326" s="84">
        <f>G326*H326</f>
        <v>15000</v>
      </c>
      <c r="K326" s="77">
        <v>322</v>
      </c>
    </row>
    <row r="327" spans="1:11">
      <c r="A327" s="13">
        <v>4</v>
      </c>
      <c r="B327" s="5" t="s">
        <v>24</v>
      </c>
      <c r="C327" s="6" t="e">
        <f>Gia_Tbi!#REF!</f>
        <v>#REF!</v>
      </c>
      <c r="D327" s="6" t="e">
        <f>Gia_Tbi!#REF!</f>
        <v>#REF!</v>
      </c>
      <c r="E327" s="6" t="e">
        <f>Gia_Tbi!#REF!</f>
        <v>#REF!</v>
      </c>
      <c r="F327" s="82" t="e">
        <f>Gia_Tbi!#REF!</f>
        <v>#REF!</v>
      </c>
      <c r="G327" s="83" t="e">
        <f>Gia_Tbi!#REF!</f>
        <v>#REF!</v>
      </c>
      <c r="H327" s="302">
        <v>0.5</v>
      </c>
      <c r="I327" s="84" t="e">
        <f>G327*H327</f>
        <v>#REF!</v>
      </c>
      <c r="K327" s="77">
        <v>323</v>
      </c>
    </row>
    <row r="328" spans="1:11">
      <c r="A328" s="40">
        <v>5</v>
      </c>
      <c r="B328" s="41" t="s">
        <v>8</v>
      </c>
      <c r="C328" s="42" t="str">
        <f>Gia_Tbi!C9</f>
        <v>Cái</v>
      </c>
      <c r="D328" s="42">
        <f>Gia_Tbi!D9</f>
        <v>0.8</v>
      </c>
      <c r="E328" s="117">
        <f>Gia_Tbi!E9</f>
        <v>8</v>
      </c>
      <c r="F328" s="86">
        <f>Gia_Tbi!F9</f>
        <v>45200000</v>
      </c>
      <c r="G328" s="87">
        <f>Gia_Tbi!G9</f>
        <v>11300</v>
      </c>
      <c r="H328" s="296" t="e">
        <f>(H324*D324+H325*D325+H326*D326+H327*D327)*8</f>
        <v>#REF!</v>
      </c>
      <c r="I328" s="120" t="e">
        <f>G328*H328*E328</f>
        <v>#REF!</v>
      </c>
      <c r="K328" s="77">
        <v>324</v>
      </c>
    </row>
    <row r="329" spans="1:11" s="81" customFormat="1">
      <c r="A329" s="31" t="e">
        <f>#REF!</f>
        <v>#REF!</v>
      </c>
      <c r="B329" s="32" t="e">
        <f>#REF!</f>
        <v>#REF!</v>
      </c>
      <c r="C329" s="15"/>
      <c r="D329" s="15"/>
      <c r="E329" s="15"/>
      <c r="F329" s="78"/>
      <c r="G329" s="79"/>
      <c r="H329" s="111"/>
      <c r="I329" s="80" t="e">
        <f>SUM(I330:I333)</f>
        <v>#REF!</v>
      </c>
      <c r="K329" s="77">
        <v>325</v>
      </c>
    </row>
    <row r="330" spans="1:11">
      <c r="A330" s="13">
        <v>1</v>
      </c>
      <c r="B330" s="5" t="s">
        <v>82</v>
      </c>
      <c r="C330" s="6" t="str">
        <f>Gia_Tbi!C4</f>
        <v>Cái</v>
      </c>
      <c r="D330" s="6">
        <f>Gia_Tbi!D4</f>
        <v>0.4</v>
      </c>
      <c r="E330" s="6">
        <f>Gia_Tbi!E4</f>
        <v>5</v>
      </c>
      <c r="F330" s="82">
        <f>Gia_Tbi!F4</f>
        <v>10000000</v>
      </c>
      <c r="G330" s="83">
        <f>Gia_Tbi!G4</f>
        <v>4000</v>
      </c>
      <c r="H330" s="302">
        <v>10</v>
      </c>
      <c r="I330" s="84">
        <f>G330*H330</f>
        <v>40000</v>
      </c>
      <c r="K330" s="77">
        <v>326</v>
      </c>
    </row>
    <row r="331" spans="1:11">
      <c r="A331" s="13">
        <v>2</v>
      </c>
      <c r="B331" s="5" t="s">
        <v>83</v>
      </c>
      <c r="C331" s="6" t="str">
        <f>Gia_Tbi!C5</f>
        <v>Cái</v>
      </c>
      <c r="D331" s="6">
        <f>Gia_Tbi!D5</f>
        <v>0.6</v>
      </c>
      <c r="E331" s="6">
        <f>Gia_Tbi!E5</f>
        <v>5</v>
      </c>
      <c r="F331" s="82">
        <f>Gia_Tbi!F5</f>
        <v>2500000</v>
      </c>
      <c r="G331" s="83">
        <f>Gia_Tbi!G5</f>
        <v>1000</v>
      </c>
      <c r="H331" s="302">
        <v>0.4</v>
      </c>
      <c r="I331" s="84">
        <f>G331*H331</f>
        <v>400</v>
      </c>
      <c r="K331" s="77">
        <v>327</v>
      </c>
    </row>
    <row r="332" spans="1:11">
      <c r="A332" s="13">
        <v>3</v>
      </c>
      <c r="B332" s="5" t="s">
        <v>25</v>
      </c>
      <c r="C332" s="6" t="str">
        <f>Gia_Tbi!C6</f>
        <v>Cái</v>
      </c>
      <c r="D332" s="6">
        <f>Gia_Tbi!D6</f>
        <v>2.2000000000000002</v>
      </c>
      <c r="E332" s="6">
        <f>Gia_Tbi!E6</f>
        <v>8</v>
      </c>
      <c r="F332" s="82">
        <f>Gia_Tbi!F6</f>
        <v>12000000</v>
      </c>
      <c r="G332" s="83">
        <f>Gia_Tbi!G6</f>
        <v>3000</v>
      </c>
      <c r="H332" s="302">
        <v>3.33</v>
      </c>
      <c r="I332" s="84">
        <f>G332*H332</f>
        <v>9990</v>
      </c>
      <c r="K332" s="77">
        <v>328</v>
      </c>
    </row>
    <row r="333" spans="1:11">
      <c r="A333" s="13">
        <v>4</v>
      </c>
      <c r="B333" s="5" t="s">
        <v>24</v>
      </c>
      <c r="C333" s="6" t="e">
        <f>Gia_Tbi!#REF!</f>
        <v>#REF!</v>
      </c>
      <c r="D333" s="6" t="e">
        <f>Gia_Tbi!#REF!</f>
        <v>#REF!</v>
      </c>
      <c r="E333" s="6" t="e">
        <f>Gia_Tbi!#REF!</f>
        <v>#REF!</v>
      </c>
      <c r="F333" s="82" t="e">
        <f>Gia_Tbi!#REF!</f>
        <v>#REF!</v>
      </c>
      <c r="G333" s="83" t="e">
        <f>Gia_Tbi!#REF!</f>
        <v>#REF!</v>
      </c>
      <c r="H333" s="302">
        <v>0.3</v>
      </c>
      <c r="I333" s="84" t="e">
        <f>G333*H333</f>
        <v>#REF!</v>
      </c>
      <c r="K333" s="77">
        <v>329</v>
      </c>
    </row>
    <row r="334" spans="1:11">
      <c r="A334" s="40">
        <v>5</v>
      </c>
      <c r="B334" s="41" t="s">
        <v>8</v>
      </c>
      <c r="C334" s="42" t="str">
        <f>Gia_Tbi!C9</f>
        <v>Cái</v>
      </c>
      <c r="D334" s="42">
        <f>Gia_Tbi!D9</f>
        <v>0.8</v>
      </c>
      <c r="E334" s="117">
        <f>Gia_Tbi!E9</f>
        <v>8</v>
      </c>
      <c r="F334" s="86">
        <f>Gia_Tbi!F9</f>
        <v>45200000</v>
      </c>
      <c r="G334" s="87">
        <f>Gia_Tbi!G9</f>
        <v>11300</v>
      </c>
      <c r="H334" s="296" t="e">
        <f>(H330*D330+H331*D331+H332*D332+H333*D333)*8</f>
        <v>#REF!</v>
      </c>
      <c r="I334" s="120" t="e">
        <f>G334*H334*E334</f>
        <v>#REF!</v>
      </c>
      <c r="K334" s="77">
        <v>330</v>
      </c>
    </row>
    <row r="335" spans="1:11" s="81" customFormat="1">
      <c r="A335" s="31" t="e">
        <f>#REF!</f>
        <v>#REF!</v>
      </c>
      <c r="B335" s="32" t="e">
        <f>#REF!</f>
        <v>#REF!</v>
      </c>
      <c r="C335" s="15"/>
      <c r="D335" s="15"/>
      <c r="E335" s="15"/>
      <c r="F335" s="78"/>
      <c r="G335" s="79"/>
      <c r="H335" s="111"/>
      <c r="I335" s="80"/>
      <c r="K335" s="77">
        <v>331</v>
      </c>
    </row>
    <row r="336" spans="1:11">
      <c r="A336" s="13" t="e">
        <f>#REF!</f>
        <v>#REF!</v>
      </c>
      <c r="B336" s="5" t="e">
        <f>#REF!</f>
        <v>#REF!</v>
      </c>
      <c r="C336" s="6"/>
      <c r="D336" s="6"/>
      <c r="E336" s="6"/>
      <c r="F336" s="82"/>
      <c r="G336" s="83"/>
      <c r="H336" s="295"/>
      <c r="I336" s="80" t="e">
        <f>SUM(I337:I340)</f>
        <v>#REF!</v>
      </c>
      <c r="K336" s="77">
        <v>332</v>
      </c>
    </row>
    <row r="337" spans="1:11">
      <c r="A337" s="13">
        <v>1</v>
      </c>
      <c r="B337" s="5" t="s">
        <v>82</v>
      </c>
      <c r="C337" s="6" t="str">
        <f>Gia_Tbi!C4</f>
        <v>Cái</v>
      </c>
      <c r="D337" s="6">
        <f>Gia_Tbi!D4</f>
        <v>0.4</v>
      </c>
      <c r="E337" s="6">
        <f>Gia_Tbi!E4</f>
        <v>5</v>
      </c>
      <c r="F337" s="82">
        <f>Gia_Tbi!F4</f>
        <v>10000000</v>
      </c>
      <c r="G337" s="83">
        <f>Gia_Tbi!G4</f>
        <v>4000</v>
      </c>
      <c r="H337" s="302">
        <v>45</v>
      </c>
      <c r="I337" s="84">
        <f>G337*H337</f>
        <v>180000</v>
      </c>
      <c r="K337" s="77">
        <v>333</v>
      </c>
    </row>
    <row r="338" spans="1:11">
      <c r="A338" s="13">
        <v>2</v>
      </c>
      <c r="B338" s="5" t="s">
        <v>83</v>
      </c>
      <c r="C338" s="6" t="str">
        <f>Gia_Tbi!C5</f>
        <v>Cái</v>
      </c>
      <c r="D338" s="6">
        <f>Gia_Tbi!D5</f>
        <v>0.6</v>
      </c>
      <c r="E338" s="6">
        <f>Gia_Tbi!E5</f>
        <v>5</v>
      </c>
      <c r="F338" s="82">
        <f>Gia_Tbi!F5</f>
        <v>2500000</v>
      </c>
      <c r="G338" s="83">
        <f>Gia_Tbi!G5</f>
        <v>1000</v>
      </c>
      <c r="H338" s="302">
        <v>1.5</v>
      </c>
      <c r="I338" s="84">
        <f>G338*H338</f>
        <v>1500</v>
      </c>
      <c r="K338" s="77">
        <v>334</v>
      </c>
    </row>
    <row r="339" spans="1:11">
      <c r="A339" s="13">
        <v>3</v>
      </c>
      <c r="B339" s="5" t="s">
        <v>25</v>
      </c>
      <c r="C339" s="6" t="str">
        <f>Gia_Tbi!C6</f>
        <v>Cái</v>
      </c>
      <c r="D339" s="6">
        <f>Gia_Tbi!D6</f>
        <v>2.2000000000000002</v>
      </c>
      <c r="E339" s="6">
        <f>Gia_Tbi!E6</f>
        <v>8</v>
      </c>
      <c r="F339" s="82">
        <f>Gia_Tbi!F6</f>
        <v>12000000</v>
      </c>
      <c r="G339" s="83">
        <f>Gia_Tbi!G6</f>
        <v>3000</v>
      </c>
      <c r="H339" s="302">
        <v>15</v>
      </c>
      <c r="I339" s="84">
        <f>G339*H339</f>
        <v>45000</v>
      </c>
      <c r="K339" s="77">
        <v>335</v>
      </c>
    </row>
    <row r="340" spans="1:11">
      <c r="A340" s="13">
        <v>4</v>
      </c>
      <c r="B340" s="5" t="s">
        <v>24</v>
      </c>
      <c r="C340" s="6" t="e">
        <f>Gia_Tbi!#REF!</f>
        <v>#REF!</v>
      </c>
      <c r="D340" s="6" t="e">
        <f>Gia_Tbi!#REF!</f>
        <v>#REF!</v>
      </c>
      <c r="E340" s="6" t="e">
        <f>Gia_Tbi!#REF!</f>
        <v>#REF!</v>
      </c>
      <c r="F340" s="82" t="e">
        <f>Gia_Tbi!#REF!</f>
        <v>#REF!</v>
      </c>
      <c r="G340" s="83" t="e">
        <f>Gia_Tbi!#REF!</f>
        <v>#REF!</v>
      </c>
      <c r="H340" s="302">
        <v>0.85</v>
      </c>
      <c r="I340" s="84" t="e">
        <f>G340*H340</f>
        <v>#REF!</v>
      </c>
      <c r="K340" s="77">
        <v>336</v>
      </c>
    </row>
    <row r="341" spans="1:11">
      <c r="A341" s="40">
        <v>5</v>
      </c>
      <c r="B341" s="41" t="s">
        <v>8</v>
      </c>
      <c r="C341" s="42" t="str">
        <f>Gia_Tbi!C9</f>
        <v>Cái</v>
      </c>
      <c r="D341" s="42">
        <f>Gia_Tbi!D9</f>
        <v>0.8</v>
      </c>
      <c r="E341" s="117">
        <f>Gia_Tbi!E9</f>
        <v>8</v>
      </c>
      <c r="F341" s="86">
        <f>Gia_Tbi!F9</f>
        <v>45200000</v>
      </c>
      <c r="G341" s="87">
        <f>Gia_Tbi!G9</f>
        <v>11300</v>
      </c>
      <c r="H341" s="296" t="e">
        <f>(H337*D337+H338*D338+H339*D339+H340*D340)*8</f>
        <v>#REF!</v>
      </c>
      <c r="I341" s="120" t="e">
        <f>G341*H341*E341</f>
        <v>#REF!</v>
      </c>
      <c r="K341" s="77">
        <v>337</v>
      </c>
    </row>
    <row r="342" spans="1:11">
      <c r="A342" s="13" t="e">
        <f>#REF!</f>
        <v>#REF!</v>
      </c>
      <c r="B342" s="5" t="e">
        <f>#REF!</f>
        <v>#REF!</v>
      </c>
      <c r="C342" s="6"/>
      <c r="D342" s="6"/>
      <c r="E342" s="6"/>
      <c r="F342" s="82"/>
      <c r="G342" s="83"/>
      <c r="H342" s="295"/>
      <c r="I342" s="80" t="e">
        <f>SUM(I343:I346)</f>
        <v>#REF!</v>
      </c>
      <c r="K342" s="77">
        <v>338</v>
      </c>
    </row>
    <row r="343" spans="1:11">
      <c r="A343" s="13">
        <v>1</v>
      </c>
      <c r="B343" s="5" t="s">
        <v>82</v>
      </c>
      <c r="C343" s="6" t="str">
        <f>Gia_Tbi!C4</f>
        <v>Cái</v>
      </c>
      <c r="D343" s="6">
        <f>Gia_Tbi!D4</f>
        <v>0.4</v>
      </c>
      <c r="E343" s="6">
        <f>Gia_Tbi!E4</f>
        <v>5</v>
      </c>
      <c r="F343" s="82">
        <f>Gia_Tbi!F4</f>
        <v>10000000</v>
      </c>
      <c r="G343" s="83">
        <f>Gia_Tbi!G4</f>
        <v>4000</v>
      </c>
      <c r="H343" s="302">
        <v>0.68</v>
      </c>
      <c r="I343" s="84">
        <f>G343*H343</f>
        <v>2720</v>
      </c>
      <c r="K343" s="77">
        <v>339</v>
      </c>
    </row>
    <row r="344" spans="1:11">
      <c r="A344" s="13">
        <v>2</v>
      </c>
      <c r="B344" s="5" t="s">
        <v>83</v>
      </c>
      <c r="C344" s="6" t="str">
        <f>Gia_Tbi!C5</f>
        <v>Cái</v>
      </c>
      <c r="D344" s="6">
        <f>Gia_Tbi!D5</f>
        <v>0.6</v>
      </c>
      <c r="E344" s="6">
        <f>Gia_Tbi!E5</f>
        <v>5</v>
      </c>
      <c r="F344" s="82">
        <f>Gia_Tbi!F5</f>
        <v>2500000</v>
      </c>
      <c r="G344" s="83">
        <f>Gia_Tbi!G5</f>
        <v>1000</v>
      </c>
      <c r="H344" s="302">
        <v>0.01</v>
      </c>
      <c r="I344" s="84">
        <f>G344*H344</f>
        <v>10</v>
      </c>
      <c r="K344" s="77">
        <v>340</v>
      </c>
    </row>
    <row r="345" spans="1:11">
      <c r="A345" s="13">
        <v>3</v>
      </c>
      <c r="B345" s="5" t="s">
        <v>25</v>
      </c>
      <c r="C345" s="6" t="str">
        <f>Gia_Tbi!C6</f>
        <v>Cái</v>
      </c>
      <c r="D345" s="6">
        <f>Gia_Tbi!D6</f>
        <v>2.2000000000000002</v>
      </c>
      <c r="E345" s="6">
        <f>Gia_Tbi!E6</f>
        <v>8</v>
      </c>
      <c r="F345" s="82">
        <f>Gia_Tbi!F6</f>
        <v>12000000</v>
      </c>
      <c r="G345" s="83">
        <f>Gia_Tbi!G6</f>
        <v>3000</v>
      </c>
      <c r="H345" s="302">
        <v>0.22700000000000001</v>
      </c>
      <c r="I345" s="84">
        <f>G345*H345</f>
        <v>681</v>
      </c>
      <c r="K345" s="77">
        <v>341</v>
      </c>
    </row>
    <row r="346" spans="1:11">
      <c r="A346" s="13">
        <v>4</v>
      </c>
      <c r="B346" s="5" t="s">
        <v>24</v>
      </c>
      <c r="C346" s="6" t="e">
        <f>Gia_Tbi!#REF!</f>
        <v>#REF!</v>
      </c>
      <c r="D346" s="6" t="e">
        <f>Gia_Tbi!#REF!</f>
        <v>#REF!</v>
      </c>
      <c r="E346" s="6" t="e">
        <f>Gia_Tbi!#REF!</f>
        <v>#REF!</v>
      </c>
      <c r="F346" s="82" t="e">
        <f>Gia_Tbi!#REF!</f>
        <v>#REF!</v>
      </c>
      <c r="G346" s="83" t="e">
        <f>Gia_Tbi!#REF!</f>
        <v>#REF!</v>
      </c>
      <c r="H346" s="302">
        <v>0.01</v>
      </c>
      <c r="I346" s="84" t="e">
        <f>G346*H346</f>
        <v>#REF!</v>
      </c>
      <c r="K346" s="77">
        <v>342</v>
      </c>
    </row>
    <row r="347" spans="1:11">
      <c r="A347" s="40">
        <v>5</v>
      </c>
      <c r="B347" s="41" t="s">
        <v>8</v>
      </c>
      <c r="C347" s="42" t="str">
        <f>Gia_Tbi!C9</f>
        <v>Cái</v>
      </c>
      <c r="D347" s="42">
        <f>Gia_Tbi!D9</f>
        <v>0.8</v>
      </c>
      <c r="E347" s="117">
        <f>Gia_Tbi!E9</f>
        <v>8</v>
      </c>
      <c r="F347" s="86">
        <f>Gia_Tbi!F9</f>
        <v>45200000</v>
      </c>
      <c r="G347" s="87">
        <f>Gia_Tbi!G9</f>
        <v>11300</v>
      </c>
      <c r="H347" s="296" t="e">
        <f>(H343*D343+H344*D344+H345*D345+H346*D346)*8</f>
        <v>#REF!</v>
      </c>
      <c r="I347" s="120" t="e">
        <f>G347*H347*E347</f>
        <v>#REF!</v>
      </c>
      <c r="K347" s="77">
        <v>343</v>
      </c>
    </row>
    <row r="348" spans="1:11" s="81" customFormat="1">
      <c r="A348" s="31" t="e">
        <f>#REF!</f>
        <v>#REF!</v>
      </c>
      <c r="B348" s="32" t="e">
        <f>#REF!</f>
        <v>#REF!</v>
      </c>
      <c r="C348" s="15"/>
      <c r="D348" s="15"/>
      <c r="E348" s="15"/>
      <c r="F348" s="78"/>
      <c r="G348" s="79"/>
      <c r="H348" s="111"/>
      <c r="I348" s="80"/>
      <c r="K348" s="77">
        <v>344</v>
      </c>
    </row>
    <row r="349" spans="1:11">
      <c r="A349" s="13" t="e">
        <f>#REF!</f>
        <v>#REF!</v>
      </c>
      <c r="B349" s="5" t="e">
        <f>#REF!</f>
        <v>#REF!</v>
      </c>
      <c r="C349" s="6"/>
      <c r="D349" s="6"/>
      <c r="E349" s="6"/>
      <c r="F349" s="82"/>
      <c r="G349" s="83"/>
      <c r="H349" s="295"/>
      <c r="I349" s="84"/>
      <c r="K349" s="77">
        <v>345</v>
      </c>
    </row>
    <row r="350" spans="1:11" s="9" customFormat="1" ht="41.25" customHeight="1">
      <c r="A350" s="24" t="e">
        <f>#REF!</f>
        <v>#REF!</v>
      </c>
      <c r="B350" s="1265" t="e">
        <f>#REF!</f>
        <v>#REF!</v>
      </c>
      <c r="C350" s="1266"/>
      <c r="D350" s="1266"/>
      <c r="E350" s="1266"/>
      <c r="F350" s="1266"/>
      <c r="G350" s="1266"/>
      <c r="H350" s="1266"/>
      <c r="I350" s="1267"/>
      <c r="K350" s="77">
        <v>346</v>
      </c>
    </row>
    <row r="351" spans="1:11" s="81" customFormat="1">
      <c r="A351" s="31" t="e">
        <f>#REF!</f>
        <v>#REF!</v>
      </c>
      <c r="B351" s="32" t="e">
        <f>#REF!</f>
        <v>#REF!</v>
      </c>
      <c r="C351" s="15"/>
      <c r="D351" s="15"/>
      <c r="E351" s="15"/>
      <c r="F351" s="78"/>
      <c r="G351" s="79"/>
      <c r="H351" s="111"/>
      <c r="I351" s="80" t="e">
        <f>SUM(I352:I355)</f>
        <v>#REF!</v>
      </c>
      <c r="K351" s="77">
        <v>347</v>
      </c>
    </row>
    <row r="352" spans="1:11">
      <c r="A352" s="13">
        <v>1</v>
      </c>
      <c r="B352" s="5" t="s">
        <v>82</v>
      </c>
      <c r="C352" s="6" t="str">
        <f>Gia_Tbi!C4</f>
        <v>Cái</v>
      </c>
      <c r="D352" s="6">
        <f>Gia_Tbi!D4</f>
        <v>0.4</v>
      </c>
      <c r="E352" s="6">
        <f>Gia_Tbi!E4</f>
        <v>5</v>
      </c>
      <c r="F352" s="82">
        <f>Gia_Tbi!F4</f>
        <v>10000000</v>
      </c>
      <c r="G352" s="83">
        <f>Gia_Tbi!G4</f>
        <v>4000</v>
      </c>
      <c r="H352" s="302">
        <v>4</v>
      </c>
      <c r="I352" s="84">
        <f>G352*H352</f>
        <v>16000</v>
      </c>
      <c r="K352" s="77">
        <v>348</v>
      </c>
    </row>
    <row r="353" spans="1:11">
      <c r="A353" s="13">
        <v>2</v>
      </c>
      <c r="B353" s="5" t="s">
        <v>83</v>
      </c>
      <c r="C353" s="6" t="str">
        <f>Gia_Tbi!C5</f>
        <v>Cái</v>
      </c>
      <c r="D353" s="6">
        <f>Gia_Tbi!D5</f>
        <v>0.6</v>
      </c>
      <c r="E353" s="6">
        <f>Gia_Tbi!E5</f>
        <v>5</v>
      </c>
      <c r="F353" s="82">
        <f>Gia_Tbi!F5</f>
        <v>2500000</v>
      </c>
      <c r="G353" s="83">
        <f>Gia_Tbi!G5</f>
        <v>1000</v>
      </c>
      <c r="H353" s="302">
        <v>0.5</v>
      </c>
      <c r="I353" s="84">
        <f>G353*H353</f>
        <v>500</v>
      </c>
      <c r="K353" s="77">
        <v>349</v>
      </c>
    </row>
    <row r="354" spans="1:11">
      <c r="A354" s="13">
        <v>3</v>
      </c>
      <c r="B354" s="5" t="s">
        <v>25</v>
      </c>
      <c r="C354" s="6" t="str">
        <f>Gia_Tbi!C6</f>
        <v>Cái</v>
      </c>
      <c r="D354" s="6">
        <f>Gia_Tbi!D6</f>
        <v>2.2000000000000002</v>
      </c>
      <c r="E354" s="6">
        <f>Gia_Tbi!E6</f>
        <v>8</v>
      </c>
      <c r="F354" s="82">
        <f>Gia_Tbi!F6</f>
        <v>12000000</v>
      </c>
      <c r="G354" s="83">
        <f>Gia_Tbi!G6</f>
        <v>3000</v>
      </c>
      <c r="H354" s="302">
        <v>1.5</v>
      </c>
      <c r="I354" s="84">
        <f>G354*H354</f>
        <v>4500</v>
      </c>
      <c r="K354" s="77">
        <v>350</v>
      </c>
    </row>
    <row r="355" spans="1:11" hidden="1">
      <c r="A355" s="13">
        <v>4</v>
      </c>
      <c r="B355" s="5" t="s">
        <v>24</v>
      </c>
      <c r="C355" s="6" t="e">
        <f>Gia_Tbi!#REF!</f>
        <v>#REF!</v>
      </c>
      <c r="D355" s="6" t="e">
        <f>Gia_Tbi!#REF!</f>
        <v>#REF!</v>
      </c>
      <c r="E355" s="6" t="e">
        <f>Gia_Tbi!#REF!</f>
        <v>#REF!</v>
      </c>
      <c r="F355" s="82" t="e">
        <f>Gia_Tbi!#REF!</f>
        <v>#REF!</v>
      </c>
      <c r="G355" s="83" t="e">
        <f>Gia_Tbi!#REF!</f>
        <v>#REF!</v>
      </c>
      <c r="H355" s="302">
        <v>1</v>
      </c>
      <c r="I355" s="84" t="e">
        <f>G355*H355</f>
        <v>#REF!</v>
      </c>
      <c r="K355" s="77">
        <v>351</v>
      </c>
    </row>
    <row r="356" spans="1:11">
      <c r="A356" s="40">
        <v>5</v>
      </c>
      <c r="B356" s="41" t="s">
        <v>8</v>
      </c>
      <c r="C356" s="42" t="str">
        <f>Gia_Tbi!C9</f>
        <v>Cái</v>
      </c>
      <c r="D356" s="42">
        <f>Gia_Tbi!D9</f>
        <v>0.8</v>
      </c>
      <c r="E356" s="117">
        <f>Gia_Tbi!E9</f>
        <v>8</v>
      </c>
      <c r="F356" s="86">
        <f>Gia_Tbi!F9</f>
        <v>45200000</v>
      </c>
      <c r="G356" s="87">
        <f>Gia_Tbi!G9</f>
        <v>11300</v>
      </c>
      <c r="H356" s="296" t="e">
        <f>(H352*D352+H353*D353+H354*D354+H355*D355)*8</f>
        <v>#REF!</v>
      </c>
      <c r="I356" s="120" t="e">
        <f>G356*H356*E356</f>
        <v>#REF!</v>
      </c>
      <c r="K356" s="77">
        <v>352</v>
      </c>
    </row>
    <row r="357" spans="1:11">
      <c r="A357" s="51">
        <v>2</v>
      </c>
      <c r="B357" s="52" t="s">
        <v>109</v>
      </c>
      <c r="C357" s="307"/>
      <c r="D357" s="307"/>
      <c r="E357" s="308"/>
      <c r="F357" s="309"/>
      <c r="G357" s="310"/>
      <c r="H357" s="311"/>
      <c r="I357" s="312"/>
      <c r="K357" s="77"/>
    </row>
    <row r="358" spans="1:11" s="81" customFormat="1">
      <c r="A358" s="51" t="s">
        <v>411</v>
      </c>
      <c r="B358" s="52" t="s">
        <v>66</v>
      </c>
      <c r="C358" s="15"/>
      <c r="D358" s="15"/>
      <c r="E358" s="15"/>
      <c r="F358" s="78"/>
      <c r="G358" s="79"/>
      <c r="H358" s="111">
        <v>1</v>
      </c>
      <c r="I358" s="80" t="e">
        <f>SUM(I359:I362)</f>
        <v>#REF!</v>
      </c>
      <c r="K358" s="77">
        <v>353</v>
      </c>
    </row>
    <row r="359" spans="1:11">
      <c r="A359" s="13">
        <v>1</v>
      </c>
      <c r="B359" s="5" t="s">
        <v>82</v>
      </c>
      <c r="C359" s="6" t="str">
        <f>Gia_Tbi!C4</f>
        <v>Cái</v>
      </c>
      <c r="D359" s="6">
        <f>Gia_Tbi!D4</f>
        <v>0.4</v>
      </c>
      <c r="E359" s="6">
        <f>Gia_Tbi!E4</f>
        <v>5</v>
      </c>
      <c r="F359" s="82">
        <f>Gia_Tbi!F4</f>
        <v>10000000</v>
      </c>
      <c r="G359" s="83">
        <f>Gia_Tbi!G4</f>
        <v>4000</v>
      </c>
      <c r="H359" s="302">
        <v>72</v>
      </c>
      <c r="I359" s="84">
        <f>G359*H359</f>
        <v>288000</v>
      </c>
      <c r="K359" s="77">
        <v>354</v>
      </c>
    </row>
    <row r="360" spans="1:11">
      <c r="A360" s="13">
        <v>2</v>
      </c>
      <c r="B360" s="5" t="s">
        <v>83</v>
      </c>
      <c r="C360" s="6" t="str">
        <f>Gia_Tbi!C5</f>
        <v>Cái</v>
      </c>
      <c r="D360" s="6">
        <f>Gia_Tbi!D5</f>
        <v>0.6</v>
      </c>
      <c r="E360" s="6">
        <f>Gia_Tbi!E5</f>
        <v>5</v>
      </c>
      <c r="F360" s="82">
        <f>Gia_Tbi!F5</f>
        <v>2500000</v>
      </c>
      <c r="G360" s="83">
        <f>Gia_Tbi!G5</f>
        <v>1000</v>
      </c>
      <c r="H360" s="302">
        <v>2.4</v>
      </c>
      <c r="I360" s="84">
        <f>G360*H360</f>
        <v>2400</v>
      </c>
      <c r="K360" s="77">
        <v>355</v>
      </c>
    </row>
    <row r="361" spans="1:11">
      <c r="A361" s="13">
        <v>3</v>
      </c>
      <c r="B361" s="5" t="s">
        <v>25</v>
      </c>
      <c r="C361" s="6" t="str">
        <f>Gia_Tbi!C6</f>
        <v>Cái</v>
      </c>
      <c r="D361" s="6">
        <f>Gia_Tbi!D6</f>
        <v>2.2000000000000002</v>
      </c>
      <c r="E361" s="6">
        <f>Gia_Tbi!E6</f>
        <v>8</v>
      </c>
      <c r="F361" s="82">
        <f>Gia_Tbi!F6</f>
        <v>12000000</v>
      </c>
      <c r="G361" s="83">
        <f>Gia_Tbi!G6</f>
        <v>3000</v>
      </c>
      <c r="H361" s="302">
        <v>6</v>
      </c>
      <c r="I361" s="84">
        <f>G361*H361</f>
        <v>18000</v>
      </c>
      <c r="K361" s="77">
        <v>356</v>
      </c>
    </row>
    <row r="362" spans="1:11">
      <c r="A362" s="13">
        <v>4</v>
      </c>
      <c r="B362" s="5" t="s">
        <v>24</v>
      </c>
      <c r="C362" s="6" t="e">
        <f>Gia_Tbi!#REF!</f>
        <v>#REF!</v>
      </c>
      <c r="D362" s="6" t="e">
        <f>Gia_Tbi!#REF!</f>
        <v>#REF!</v>
      </c>
      <c r="E362" s="6" t="e">
        <f>Gia_Tbi!#REF!</f>
        <v>#REF!</v>
      </c>
      <c r="F362" s="82" t="e">
        <f>Gia_Tbi!#REF!</f>
        <v>#REF!</v>
      </c>
      <c r="G362" s="83" t="e">
        <f>Gia_Tbi!#REF!</f>
        <v>#REF!</v>
      </c>
      <c r="H362" s="302">
        <v>2.06</v>
      </c>
      <c r="I362" s="84" t="e">
        <f>G362*H362</f>
        <v>#REF!</v>
      </c>
      <c r="K362" s="77">
        <v>357</v>
      </c>
    </row>
    <row r="363" spans="1:11">
      <c r="A363" s="40">
        <v>5</v>
      </c>
      <c r="B363" s="41" t="s">
        <v>8</v>
      </c>
      <c r="C363" s="42" t="str">
        <f>Gia_Tbi!C9</f>
        <v>Cái</v>
      </c>
      <c r="D363" s="42">
        <f>Gia_Tbi!D9</f>
        <v>0.8</v>
      </c>
      <c r="E363" s="117">
        <f>Gia_Tbi!E9</f>
        <v>8</v>
      </c>
      <c r="F363" s="86">
        <f>Gia_Tbi!F9</f>
        <v>45200000</v>
      </c>
      <c r="G363" s="87">
        <f>Gia_Tbi!G9</f>
        <v>11300</v>
      </c>
      <c r="H363" s="296" t="e">
        <f>(H359*D359+H360*D360+H361*D361+H362*D362)*8</f>
        <v>#REF!</v>
      </c>
      <c r="I363" s="120" t="e">
        <f>G363*H363*E363</f>
        <v>#REF!</v>
      </c>
      <c r="K363" s="77">
        <v>358</v>
      </c>
    </row>
    <row r="364" spans="1:11" s="81" customFormat="1">
      <c r="A364" s="31" t="s">
        <v>412</v>
      </c>
      <c r="B364" s="32" t="e">
        <f>#REF!</f>
        <v>#REF!</v>
      </c>
      <c r="C364" s="15"/>
      <c r="D364" s="15"/>
      <c r="E364" s="15"/>
      <c r="F364" s="78"/>
      <c r="G364" s="79"/>
      <c r="H364" s="111"/>
      <c r="I364" s="80"/>
      <c r="K364" s="77">
        <v>359</v>
      </c>
    </row>
    <row r="365" spans="1:11">
      <c r="A365" s="13" t="s">
        <v>413</v>
      </c>
      <c r="B365" s="5" t="e">
        <f>#REF!</f>
        <v>#REF!</v>
      </c>
      <c r="C365" s="6"/>
      <c r="D365" s="6"/>
      <c r="E365" s="6"/>
      <c r="F365" s="82"/>
      <c r="G365" s="83"/>
      <c r="H365" s="295"/>
      <c r="I365" s="80" t="e">
        <f>SUM(I366:I369)</f>
        <v>#REF!</v>
      </c>
      <c r="K365" s="77">
        <v>366</v>
      </c>
    </row>
    <row r="366" spans="1:11">
      <c r="A366" s="13">
        <v>1</v>
      </c>
      <c r="B366" s="5" t="s">
        <v>82</v>
      </c>
      <c r="C366" s="6" t="str">
        <f>Gia_Tbi!C4</f>
        <v>Cái</v>
      </c>
      <c r="D366" s="6">
        <f>Gia_Tbi!D4</f>
        <v>0.4</v>
      </c>
      <c r="E366" s="6">
        <f>Gia_Tbi!E4</f>
        <v>5</v>
      </c>
      <c r="F366" s="82">
        <f>Gia_Tbi!F4</f>
        <v>10000000</v>
      </c>
      <c r="G366" s="83">
        <f>Gia_Tbi!G4</f>
        <v>4000</v>
      </c>
      <c r="H366" s="302">
        <v>72</v>
      </c>
      <c r="I366" s="84">
        <f>G366*H366</f>
        <v>288000</v>
      </c>
      <c r="K366" s="77">
        <v>367</v>
      </c>
    </row>
    <row r="367" spans="1:11">
      <c r="A367" s="13">
        <v>2</v>
      </c>
      <c r="B367" s="5" t="s">
        <v>83</v>
      </c>
      <c r="C367" s="6" t="str">
        <f>Gia_Tbi!C5</f>
        <v>Cái</v>
      </c>
      <c r="D367" s="6">
        <f>Gia_Tbi!D5</f>
        <v>0.6</v>
      </c>
      <c r="E367" s="6">
        <f>Gia_Tbi!E5</f>
        <v>5</v>
      </c>
      <c r="F367" s="82">
        <f>Gia_Tbi!F5</f>
        <v>2500000</v>
      </c>
      <c r="G367" s="83">
        <f>Gia_Tbi!G5</f>
        <v>1000</v>
      </c>
      <c r="H367" s="302">
        <v>0.8</v>
      </c>
      <c r="I367" s="84">
        <f>G367*H367</f>
        <v>800</v>
      </c>
      <c r="K367" s="77">
        <v>368</v>
      </c>
    </row>
    <row r="368" spans="1:11">
      <c r="A368" s="13">
        <v>3</v>
      </c>
      <c r="B368" s="5" t="s">
        <v>25</v>
      </c>
      <c r="C368" s="6" t="str">
        <f>Gia_Tbi!C6</f>
        <v>Cái</v>
      </c>
      <c r="D368" s="6">
        <f>Gia_Tbi!D6</f>
        <v>2.2000000000000002</v>
      </c>
      <c r="E368" s="6">
        <f>Gia_Tbi!E6</f>
        <v>8</v>
      </c>
      <c r="F368" s="82">
        <f>Gia_Tbi!F6</f>
        <v>12000000</v>
      </c>
      <c r="G368" s="83">
        <f>Gia_Tbi!G6</f>
        <v>3000</v>
      </c>
      <c r="H368" s="302">
        <v>12</v>
      </c>
      <c r="I368" s="84">
        <f>G368*H368</f>
        <v>36000</v>
      </c>
      <c r="K368" s="77">
        <v>369</v>
      </c>
    </row>
    <row r="369" spans="1:11">
      <c r="A369" s="13">
        <v>4</v>
      </c>
      <c r="B369" s="5" t="s">
        <v>24</v>
      </c>
      <c r="C369" s="6" t="e">
        <f>Gia_Tbi!#REF!</f>
        <v>#REF!</v>
      </c>
      <c r="D369" s="6" t="e">
        <f>Gia_Tbi!#REF!</f>
        <v>#REF!</v>
      </c>
      <c r="E369" s="6" t="e">
        <f>Gia_Tbi!#REF!</f>
        <v>#REF!</v>
      </c>
      <c r="F369" s="82" t="e">
        <f>Gia_Tbi!#REF!</f>
        <v>#REF!</v>
      </c>
      <c r="G369" s="83" t="e">
        <f>Gia_Tbi!#REF!</f>
        <v>#REF!</v>
      </c>
      <c r="H369" s="302">
        <v>0.5</v>
      </c>
      <c r="I369" s="84" t="e">
        <f>G369*H369</f>
        <v>#REF!</v>
      </c>
      <c r="K369" s="77">
        <v>370</v>
      </c>
    </row>
    <row r="370" spans="1:11">
      <c r="A370" s="40">
        <v>5</v>
      </c>
      <c r="B370" s="41" t="s">
        <v>8</v>
      </c>
      <c r="C370" s="42" t="str">
        <f>Gia_Tbi!C9</f>
        <v>Cái</v>
      </c>
      <c r="D370" s="42">
        <f>Gia_Tbi!D9</f>
        <v>0.8</v>
      </c>
      <c r="E370" s="117">
        <f>Gia_Tbi!E9</f>
        <v>8</v>
      </c>
      <c r="F370" s="86">
        <f>Gia_Tbi!F9</f>
        <v>45200000</v>
      </c>
      <c r="G370" s="87">
        <f>Gia_Tbi!G9</f>
        <v>11300</v>
      </c>
      <c r="H370" s="296" t="e">
        <f>(H366*D366+H367*D367+H368*D368+H369*D369)*8</f>
        <v>#REF!</v>
      </c>
      <c r="I370" s="120" t="e">
        <f>G370*H370*E370</f>
        <v>#REF!</v>
      </c>
      <c r="K370" s="77">
        <v>371</v>
      </c>
    </row>
    <row r="371" spans="1:11">
      <c r="A371" s="13" t="s">
        <v>414</v>
      </c>
      <c r="B371" s="5" t="e">
        <f>#REF!</f>
        <v>#REF!</v>
      </c>
      <c r="C371" s="6"/>
      <c r="D371" s="6"/>
      <c r="E371" s="6"/>
      <c r="F371" s="82"/>
      <c r="G371" s="83"/>
      <c r="H371" s="295"/>
      <c r="I371" s="80" t="e">
        <f>SUM(I372:I375)</f>
        <v>#REF!</v>
      </c>
      <c r="K371" s="77">
        <v>360</v>
      </c>
    </row>
    <row r="372" spans="1:11">
      <c r="A372" s="13">
        <v>1</v>
      </c>
      <c r="B372" s="5" t="s">
        <v>82</v>
      </c>
      <c r="C372" s="6" t="str">
        <f>Gia_Tbi!C4</f>
        <v>Cái</v>
      </c>
      <c r="D372" s="6">
        <f>Gia_Tbi!D4</f>
        <v>0.4</v>
      </c>
      <c r="E372" s="6">
        <f>Gia_Tbi!E4</f>
        <v>5</v>
      </c>
      <c r="F372" s="82">
        <f>Gia_Tbi!F4</f>
        <v>10000000</v>
      </c>
      <c r="G372" s="83">
        <f>Gia_Tbi!G4</f>
        <v>4000</v>
      </c>
      <c r="H372" s="302">
        <v>12</v>
      </c>
      <c r="I372" s="84">
        <f>G372*H372</f>
        <v>48000</v>
      </c>
      <c r="K372" s="77">
        <v>361</v>
      </c>
    </row>
    <row r="373" spans="1:11">
      <c r="A373" s="13">
        <v>2</v>
      </c>
      <c r="B373" s="5" t="s">
        <v>83</v>
      </c>
      <c r="C373" s="6" t="str">
        <f>Gia_Tbi!C5</f>
        <v>Cái</v>
      </c>
      <c r="D373" s="6">
        <f>Gia_Tbi!D5</f>
        <v>0.6</v>
      </c>
      <c r="E373" s="6">
        <f>Gia_Tbi!E5</f>
        <v>5</v>
      </c>
      <c r="F373" s="82">
        <f>Gia_Tbi!F5</f>
        <v>2500000</v>
      </c>
      <c r="G373" s="83">
        <f>Gia_Tbi!G5</f>
        <v>1000</v>
      </c>
      <c r="H373" s="302">
        <v>2</v>
      </c>
      <c r="I373" s="84">
        <f>G373*H373</f>
        <v>2000</v>
      </c>
      <c r="K373" s="77">
        <v>362</v>
      </c>
    </row>
    <row r="374" spans="1:11">
      <c r="A374" s="13">
        <v>3</v>
      </c>
      <c r="B374" s="5" t="s">
        <v>25</v>
      </c>
      <c r="C374" s="6" t="str">
        <f>Gia_Tbi!C6</f>
        <v>Cái</v>
      </c>
      <c r="D374" s="6">
        <f>Gia_Tbi!D6</f>
        <v>2.2000000000000002</v>
      </c>
      <c r="E374" s="6">
        <f>Gia_Tbi!E6</f>
        <v>8</v>
      </c>
      <c r="F374" s="82">
        <f>Gia_Tbi!F6</f>
        <v>12000000</v>
      </c>
      <c r="G374" s="83">
        <f>Gia_Tbi!G6</f>
        <v>3000</v>
      </c>
      <c r="H374" s="302">
        <v>4</v>
      </c>
      <c r="I374" s="84">
        <f>G374*H374</f>
        <v>12000</v>
      </c>
      <c r="K374" s="77">
        <v>363</v>
      </c>
    </row>
    <row r="375" spans="1:11">
      <c r="A375" s="13">
        <v>4</v>
      </c>
      <c r="B375" s="5" t="s">
        <v>24</v>
      </c>
      <c r="C375" s="6" t="e">
        <f>Gia_Tbi!#REF!</f>
        <v>#REF!</v>
      </c>
      <c r="D375" s="6" t="e">
        <f>Gia_Tbi!#REF!</f>
        <v>#REF!</v>
      </c>
      <c r="E375" s="6" t="e">
        <f>Gia_Tbi!#REF!</f>
        <v>#REF!</v>
      </c>
      <c r="F375" s="82" t="e">
        <f>Gia_Tbi!#REF!</f>
        <v>#REF!</v>
      </c>
      <c r="G375" s="83" t="e">
        <f>Gia_Tbi!#REF!</f>
        <v>#REF!</v>
      </c>
      <c r="H375" s="302">
        <v>0.4</v>
      </c>
      <c r="I375" s="84" t="e">
        <f>G375*H375</f>
        <v>#REF!</v>
      </c>
      <c r="K375" s="77">
        <v>364</v>
      </c>
    </row>
    <row r="376" spans="1:11">
      <c r="A376" s="40">
        <v>5</v>
      </c>
      <c r="B376" s="41" t="s">
        <v>8</v>
      </c>
      <c r="C376" s="42" t="str">
        <f>Gia_Tbi!C9</f>
        <v>Cái</v>
      </c>
      <c r="D376" s="42">
        <f>Gia_Tbi!D9</f>
        <v>0.8</v>
      </c>
      <c r="E376" s="117">
        <f>Gia_Tbi!E9</f>
        <v>8</v>
      </c>
      <c r="F376" s="86">
        <f>Gia_Tbi!F9</f>
        <v>45200000</v>
      </c>
      <c r="G376" s="87">
        <f>Gia_Tbi!G9</f>
        <v>11300</v>
      </c>
      <c r="H376" s="296" t="e">
        <f>(H372*D372+H373*D373+H374*D374+H375*D375)*8</f>
        <v>#REF!</v>
      </c>
      <c r="I376" s="120" t="e">
        <f>G376*H376*E376</f>
        <v>#REF!</v>
      </c>
      <c r="K376" s="77">
        <v>365</v>
      </c>
    </row>
    <row r="377" spans="1:11" s="4" customFormat="1">
      <c r="A377" s="12" t="e">
        <f>#REF!</f>
        <v>#REF!</v>
      </c>
      <c r="B377" s="8" t="e">
        <f>#REF!</f>
        <v>#REF!</v>
      </c>
      <c r="C377" s="7"/>
      <c r="D377" s="7"/>
      <c r="E377" s="7"/>
      <c r="F377" s="93"/>
      <c r="G377" s="94"/>
      <c r="H377" s="298"/>
      <c r="I377" s="95"/>
      <c r="K377" s="77">
        <v>372</v>
      </c>
    </row>
    <row r="378" spans="1:11" s="81" customFormat="1">
      <c r="A378" s="31" t="e">
        <f>#REF!</f>
        <v>#REF!</v>
      </c>
      <c r="B378" s="32" t="e">
        <f>#REF!</f>
        <v>#REF!</v>
      </c>
      <c r="C378" s="15"/>
      <c r="D378" s="15"/>
      <c r="E378" s="15"/>
      <c r="F378" s="78"/>
      <c r="G378" s="79"/>
      <c r="H378" s="111"/>
      <c r="I378" s="80"/>
      <c r="K378" s="77">
        <v>373</v>
      </c>
    </row>
    <row r="379" spans="1:11" s="81" customFormat="1">
      <c r="A379" s="31" t="e">
        <f>#REF!</f>
        <v>#REF!</v>
      </c>
      <c r="B379" s="32" t="e">
        <f>#REF!</f>
        <v>#REF!</v>
      </c>
      <c r="C379" s="15"/>
      <c r="D379" s="15"/>
      <c r="E379" s="15"/>
      <c r="F379" s="78"/>
      <c r="G379" s="79"/>
      <c r="H379" s="111"/>
      <c r="I379" s="80" t="e">
        <f>SUM(I380:I383)</f>
        <v>#REF!</v>
      </c>
      <c r="K379" s="77">
        <v>374</v>
      </c>
    </row>
    <row r="380" spans="1:11">
      <c r="A380" s="13">
        <v>1</v>
      </c>
      <c r="B380" s="5" t="s">
        <v>82</v>
      </c>
      <c r="C380" s="6" t="str">
        <f>Gia_Tbi!C4</f>
        <v>Cái</v>
      </c>
      <c r="D380" s="6">
        <f>Gia_Tbi!D4</f>
        <v>0.4</v>
      </c>
      <c r="E380" s="6">
        <f>Gia_Tbi!E4</f>
        <v>5</v>
      </c>
      <c r="F380" s="82">
        <f>Gia_Tbi!F4</f>
        <v>10000000</v>
      </c>
      <c r="G380" s="83">
        <f>Gia_Tbi!G4</f>
        <v>4000</v>
      </c>
      <c r="H380" s="302">
        <v>200</v>
      </c>
      <c r="I380" s="84">
        <f>G380*H380</f>
        <v>800000</v>
      </c>
      <c r="K380" s="77">
        <v>375</v>
      </c>
    </row>
    <row r="381" spans="1:11">
      <c r="A381" s="13">
        <v>2</v>
      </c>
      <c r="B381" s="5" t="s">
        <v>83</v>
      </c>
      <c r="C381" s="6" t="str">
        <f>Gia_Tbi!C5</f>
        <v>Cái</v>
      </c>
      <c r="D381" s="6">
        <f>Gia_Tbi!D5</f>
        <v>0.6</v>
      </c>
      <c r="E381" s="6">
        <f>Gia_Tbi!E5</f>
        <v>5</v>
      </c>
      <c r="F381" s="82">
        <f>Gia_Tbi!F5</f>
        <v>2500000</v>
      </c>
      <c r="G381" s="83">
        <f>Gia_Tbi!G5</f>
        <v>1000</v>
      </c>
      <c r="H381" s="302">
        <v>10</v>
      </c>
      <c r="I381" s="84">
        <f>G381*H381</f>
        <v>10000</v>
      </c>
      <c r="K381" s="77">
        <v>376</v>
      </c>
    </row>
    <row r="382" spans="1:11">
      <c r="A382" s="13">
        <v>3</v>
      </c>
      <c r="B382" s="5" t="s">
        <v>25</v>
      </c>
      <c r="C382" s="6" t="str">
        <f>Gia_Tbi!C6</f>
        <v>Cái</v>
      </c>
      <c r="D382" s="6">
        <f>Gia_Tbi!D6</f>
        <v>2.2000000000000002</v>
      </c>
      <c r="E382" s="6">
        <f>Gia_Tbi!E6</f>
        <v>8</v>
      </c>
      <c r="F382" s="82">
        <f>Gia_Tbi!F6</f>
        <v>12000000</v>
      </c>
      <c r="G382" s="83">
        <f>Gia_Tbi!G6</f>
        <v>3000</v>
      </c>
      <c r="H382" s="302">
        <v>66.667000000000002</v>
      </c>
      <c r="I382" s="84">
        <f>G382*H382</f>
        <v>200001</v>
      </c>
      <c r="K382" s="77">
        <v>377</v>
      </c>
    </row>
    <row r="383" spans="1:11">
      <c r="A383" s="13">
        <v>4</v>
      </c>
      <c r="B383" s="5" t="s">
        <v>24</v>
      </c>
      <c r="C383" s="6" t="e">
        <f>Gia_Tbi!#REF!</f>
        <v>#REF!</v>
      </c>
      <c r="D383" s="6" t="e">
        <f>Gia_Tbi!#REF!</f>
        <v>#REF!</v>
      </c>
      <c r="E383" s="6" t="e">
        <f>Gia_Tbi!#REF!</f>
        <v>#REF!</v>
      </c>
      <c r="F383" s="82" t="e">
        <f>Gia_Tbi!#REF!</f>
        <v>#REF!</v>
      </c>
      <c r="G383" s="83" t="e">
        <f>Gia_Tbi!#REF!</f>
        <v>#REF!</v>
      </c>
      <c r="H383" s="302">
        <v>8.5</v>
      </c>
      <c r="I383" s="84" t="e">
        <f>G383*H383</f>
        <v>#REF!</v>
      </c>
      <c r="K383" s="77">
        <v>378</v>
      </c>
    </row>
    <row r="384" spans="1:11">
      <c r="A384" s="40">
        <v>5</v>
      </c>
      <c r="B384" s="41" t="s">
        <v>8</v>
      </c>
      <c r="C384" s="42" t="str">
        <f>Gia_Tbi!C9</f>
        <v>Cái</v>
      </c>
      <c r="D384" s="42">
        <f>Gia_Tbi!D9</f>
        <v>0.8</v>
      </c>
      <c r="E384" s="117">
        <f>Gia_Tbi!E9</f>
        <v>8</v>
      </c>
      <c r="F384" s="86">
        <f>Gia_Tbi!F9</f>
        <v>45200000</v>
      </c>
      <c r="G384" s="87">
        <f>Gia_Tbi!G9</f>
        <v>11300</v>
      </c>
      <c r="H384" s="296" t="e">
        <f>(H380*D380+H381*D381+H382*D382+H383*D383)*8</f>
        <v>#REF!</v>
      </c>
      <c r="I384" s="120" t="e">
        <f>G384*H384*E384</f>
        <v>#REF!</v>
      </c>
      <c r="K384" s="77">
        <v>379</v>
      </c>
    </row>
    <row r="385" spans="1:11" s="81" customFormat="1">
      <c r="A385" s="31" t="e">
        <f>#REF!</f>
        <v>#REF!</v>
      </c>
      <c r="B385" s="32" t="e">
        <f>#REF!</f>
        <v>#REF!</v>
      </c>
      <c r="C385" s="15"/>
      <c r="D385" s="15"/>
      <c r="E385" s="15"/>
      <c r="F385" s="78"/>
      <c r="G385" s="79"/>
      <c r="H385" s="111"/>
      <c r="I385" s="80" t="e">
        <f>SUM(I386:I389)</f>
        <v>#REF!</v>
      </c>
      <c r="K385" s="77">
        <v>380</v>
      </c>
    </row>
    <row r="386" spans="1:11">
      <c r="A386" s="13">
        <v>1</v>
      </c>
      <c r="B386" s="5" t="s">
        <v>82</v>
      </c>
      <c r="C386" s="6" t="str">
        <f>Gia_Tbi!C4</f>
        <v>Cái</v>
      </c>
      <c r="D386" s="6">
        <f>Gia_Tbi!D4</f>
        <v>0.4</v>
      </c>
      <c r="E386" s="6">
        <f>Gia_Tbi!E4</f>
        <v>5</v>
      </c>
      <c r="F386" s="82">
        <f>Gia_Tbi!F4</f>
        <v>10000000</v>
      </c>
      <c r="G386" s="83">
        <f>Gia_Tbi!G4</f>
        <v>4000</v>
      </c>
      <c r="H386" s="302">
        <v>0.02</v>
      </c>
      <c r="I386" s="84">
        <f>G386*H386</f>
        <v>80</v>
      </c>
      <c r="K386" s="77">
        <v>381</v>
      </c>
    </row>
    <row r="387" spans="1:11">
      <c r="A387" s="13">
        <v>2</v>
      </c>
      <c r="B387" s="5" t="s">
        <v>83</v>
      </c>
      <c r="C387" s="6" t="str">
        <f>Gia_Tbi!C5</f>
        <v>Cái</v>
      </c>
      <c r="D387" s="6">
        <f>Gia_Tbi!D5</f>
        <v>0.6</v>
      </c>
      <c r="E387" s="6">
        <f>Gia_Tbi!E5</f>
        <v>5</v>
      </c>
      <c r="F387" s="82">
        <f>Gia_Tbi!F5</f>
        <v>2500000</v>
      </c>
      <c r="G387" s="83">
        <f>Gia_Tbi!G5</f>
        <v>1000</v>
      </c>
      <c r="H387" s="302">
        <v>1E-3</v>
      </c>
      <c r="I387" s="84">
        <f>G387*H387</f>
        <v>1</v>
      </c>
      <c r="K387" s="77">
        <v>382</v>
      </c>
    </row>
    <row r="388" spans="1:11">
      <c r="A388" s="13">
        <v>3</v>
      </c>
      <c r="B388" s="5" t="s">
        <v>25</v>
      </c>
      <c r="C388" s="6" t="str">
        <f>Gia_Tbi!C6</f>
        <v>Cái</v>
      </c>
      <c r="D388" s="6">
        <f>Gia_Tbi!D6</f>
        <v>2.2000000000000002</v>
      </c>
      <c r="E388" s="6">
        <f>Gia_Tbi!E6</f>
        <v>8</v>
      </c>
      <c r="F388" s="82">
        <f>Gia_Tbi!F6</f>
        <v>12000000</v>
      </c>
      <c r="G388" s="83">
        <f>Gia_Tbi!G6</f>
        <v>3000</v>
      </c>
      <c r="H388" s="302">
        <v>3.0000000000000001E-3</v>
      </c>
      <c r="I388" s="84">
        <f>G388*H388</f>
        <v>9</v>
      </c>
      <c r="K388" s="77">
        <v>383</v>
      </c>
    </row>
    <row r="389" spans="1:11">
      <c r="A389" s="13">
        <v>4</v>
      </c>
      <c r="B389" s="5" t="s">
        <v>24</v>
      </c>
      <c r="C389" s="6" t="e">
        <f>Gia_Tbi!#REF!</f>
        <v>#REF!</v>
      </c>
      <c r="D389" s="6" t="e">
        <f>Gia_Tbi!#REF!</f>
        <v>#REF!</v>
      </c>
      <c r="E389" s="6" t="e">
        <f>Gia_Tbi!#REF!</f>
        <v>#REF!</v>
      </c>
      <c r="F389" s="82" t="e">
        <f>Gia_Tbi!#REF!</f>
        <v>#REF!</v>
      </c>
      <c r="G389" s="83" t="e">
        <f>Gia_Tbi!#REF!</f>
        <v>#REF!</v>
      </c>
      <c r="H389" s="302">
        <v>1E-3</v>
      </c>
      <c r="I389" s="84" t="e">
        <f>G389*H389</f>
        <v>#REF!</v>
      </c>
      <c r="K389" s="77">
        <v>384</v>
      </c>
    </row>
    <row r="390" spans="1:11">
      <c r="A390" s="40">
        <v>5</v>
      </c>
      <c r="B390" s="41" t="s">
        <v>8</v>
      </c>
      <c r="C390" s="42" t="str">
        <f>Gia_Tbi!C9</f>
        <v>Cái</v>
      </c>
      <c r="D390" s="42">
        <f>Gia_Tbi!D9</f>
        <v>0.8</v>
      </c>
      <c r="E390" s="117">
        <f>Gia_Tbi!E9</f>
        <v>8</v>
      </c>
      <c r="F390" s="86">
        <f>Gia_Tbi!F9</f>
        <v>45200000</v>
      </c>
      <c r="G390" s="87">
        <f>Gia_Tbi!G9</f>
        <v>11300</v>
      </c>
      <c r="H390" s="296" t="e">
        <f>(H386*D386+H387*D387+H388*D388+H389*D389)*8</f>
        <v>#REF!</v>
      </c>
      <c r="I390" s="120" t="e">
        <f>G390*H390*E390</f>
        <v>#REF!</v>
      </c>
      <c r="K390" s="77">
        <v>385</v>
      </c>
    </row>
    <row r="391" spans="1:11" s="81" customFormat="1">
      <c r="A391" s="31" t="e">
        <f>#REF!</f>
        <v>#REF!</v>
      </c>
      <c r="B391" s="32" t="e">
        <f>#REF!</f>
        <v>#REF!</v>
      </c>
      <c r="C391" s="15"/>
      <c r="D391" s="15"/>
      <c r="E391" s="15"/>
      <c r="F391" s="78"/>
      <c r="G391" s="79"/>
      <c r="H391" s="111"/>
      <c r="I391" s="80"/>
      <c r="K391" s="77">
        <v>386</v>
      </c>
    </row>
    <row r="392" spans="1:11">
      <c r="A392" s="13" t="e">
        <f>#REF!</f>
        <v>#REF!</v>
      </c>
      <c r="B392" s="5" t="e">
        <f>#REF!</f>
        <v>#REF!</v>
      </c>
      <c r="C392" s="6"/>
      <c r="D392" s="6"/>
      <c r="E392" s="6"/>
      <c r="F392" s="82"/>
      <c r="G392" s="83"/>
      <c r="H392" s="295"/>
      <c r="I392" s="84"/>
      <c r="K392" s="77">
        <v>387</v>
      </c>
    </row>
    <row r="393" spans="1:11">
      <c r="A393" s="13" t="e">
        <f>#REF!</f>
        <v>#REF!</v>
      </c>
      <c r="B393" s="5" t="e">
        <f>#REF!</f>
        <v>#REF!</v>
      </c>
      <c r="C393" s="6"/>
      <c r="D393" s="6"/>
      <c r="E393" s="6"/>
      <c r="F393" s="82"/>
      <c r="G393" s="83"/>
      <c r="H393" s="295"/>
      <c r="I393" s="80" t="e">
        <f>SUM(I394:I397)</f>
        <v>#REF!</v>
      </c>
      <c r="K393" s="77">
        <v>388</v>
      </c>
    </row>
    <row r="394" spans="1:11">
      <c r="A394" s="13">
        <v>1</v>
      </c>
      <c r="B394" s="5" t="s">
        <v>82</v>
      </c>
      <c r="C394" s="6" t="str">
        <f>Gia_Tbi!C4</f>
        <v>Cái</v>
      </c>
      <c r="D394" s="6">
        <f>Gia_Tbi!D4</f>
        <v>0.4</v>
      </c>
      <c r="E394" s="6">
        <f>Gia_Tbi!E4</f>
        <v>5</v>
      </c>
      <c r="F394" s="82">
        <f>Gia_Tbi!F4</f>
        <v>10000000</v>
      </c>
      <c r="G394" s="83">
        <f>Gia_Tbi!G4</f>
        <v>4000</v>
      </c>
      <c r="H394" s="302">
        <v>4.4999999999999998E-2</v>
      </c>
      <c r="I394" s="84">
        <f>G394*H394</f>
        <v>180</v>
      </c>
      <c r="K394" s="77">
        <v>389</v>
      </c>
    </row>
    <row r="395" spans="1:11">
      <c r="A395" s="13">
        <v>2</v>
      </c>
      <c r="B395" s="5" t="s">
        <v>83</v>
      </c>
      <c r="C395" s="6" t="str">
        <f>Gia_Tbi!C5</f>
        <v>Cái</v>
      </c>
      <c r="D395" s="6">
        <f>Gia_Tbi!D5</f>
        <v>0.6</v>
      </c>
      <c r="E395" s="6">
        <f>Gia_Tbi!E5</f>
        <v>5</v>
      </c>
      <c r="F395" s="82">
        <f>Gia_Tbi!F5</f>
        <v>2500000</v>
      </c>
      <c r="G395" s="83">
        <f>Gia_Tbi!G5</f>
        <v>1000</v>
      </c>
      <c r="H395" s="302">
        <v>0.5</v>
      </c>
      <c r="I395" s="84">
        <f>G395*H395</f>
        <v>500</v>
      </c>
      <c r="K395" s="77">
        <v>390</v>
      </c>
    </row>
    <row r="396" spans="1:11">
      <c r="A396" s="13">
        <v>3</v>
      </c>
      <c r="B396" s="5" t="s">
        <v>25</v>
      </c>
      <c r="C396" s="6" t="str">
        <f>Gia_Tbi!C6</f>
        <v>Cái</v>
      </c>
      <c r="D396" s="6">
        <f>Gia_Tbi!D6</f>
        <v>2.2000000000000002</v>
      </c>
      <c r="E396" s="6">
        <f>Gia_Tbi!E6</f>
        <v>8</v>
      </c>
      <c r="F396" s="82">
        <f>Gia_Tbi!F6</f>
        <v>12000000</v>
      </c>
      <c r="G396" s="83">
        <f>Gia_Tbi!G6</f>
        <v>3000</v>
      </c>
      <c r="H396" s="302">
        <v>8.0000000000000002E-3</v>
      </c>
      <c r="I396" s="84">
        <f>G396*H396</f>
        <v>24</v>
      </c>
      <c r="K396" s="77">
        <v>391</v>
      </c>
    </row>
    <row r="397" spans="1:11">
      <c r="A397" s="13">
        <v>4</v>
      </c>
      <c r="B397" s="5" t="s">
        <v>24</v>
      </c>
      <c r="C397" s="6" t="e">
        <f>Gia_Tbi!#REF!</f>
        <v>#REF!</v>
      </c>
      <c r="D397" s="6" t="e">
        <f>Gia_Tbi!#REF!</f>
        <v>#REF!</v>
      </c>
      <c r="E397" s="6" t="e">
        <f>Gia_Tbi!#REF!</f>
        <v>#REF!</v>
      </c>
      <c r="F397" s="82" t="e">
        <f>Gia_Tbi!#REF!</f>
        <v>#REF!</v>
      </c>
      <c r="G397" s="83" t="e">
        <f>Gia_Tbi!#REF!</f>
        <v>#REF!</v>
      </c>
      <c r="H397" s="302">
        <v>0.5</v>
      </c>
      <c r="I397" s="84" t="e">
        <f>G397*H397</f>
        <v>#REF!</v>
      </c>
      <c r="K397" s="77">
        <v>392</v>
      </c>
    </row>
    <row r="398" spans="1:11">
      <c r="A398" s="40">
        <v>5</v>
      </c>
      <c r="B398" s="41" t="s">
        <v>8</v>
      </c>
      <c r="C398" s="42" t="str">
        <f>Gia_Tbi!C9</f>
        <v>Cái</v>
      </c>
      <c r="D398" s="42">
        <f>Gia_Tbi!D9</f>
        <v>0.8</v>
      </c>
      <c r="E398" s="117">
        <f>Gia_Tbi!E9</f>
        <v>8</v>
      </c>
      <c r="F398" s="86">
        <f>Gia_Tbi!F9</f>
        <v>45200000</v>
      </c>
      <c r="G398" s="87">
        <f>Gia_Tbi!G9</f>
        <v>11300</v>
      </c>
      <c r="H398" s="296" t="e">
        <f>(H394*D394+H395*D395+H396*D396+H397*D397)*8</f>
        <v>#REF!</v>
      </c>
      <c r="I398" s="120" t="e">
        <f>G398*H398*E398</f>
        <v>#REF!</v>
      </c>
      <c r="K398" s="77">
        <v>393</v>
      </c>
    </row>
    <row r="399" spans="1:11" s="4" customFormat="1">
      <c r="A399" s="12" t="e">
        <f>#REF!</f>
        <v>#REF!</v>
      </c>
      <c r="B399" s="8" t="e">
        <f>#REF!</f>
        <v>#REF!</v>
      </c>
      <c r="C399" s="7"/>
      <c r="D399" s="7"/>
      <c r="E399" s="7"/>
      <c r="F399" s="93"/>
      <c r="G399" s="94"/>
      <c r="H399" s="298"/>
      <c r="I399" s="95"/>
      <c r="K399" s="77">
        <v>394</v>
      </c>
    </row>
    <row r="400" spans="1:11" s="81" customFormat="1">
      <c r="A400" s="31" t="e">
        <f>#REF!</f>
        <v>#REF!</v>
      </c>
      <c r="B400" s="32" t="e">
        <f>#REF!</f>
        <v>#REF!</v>
      </c>
      <c r="C400" s="15"/>
      <c r="D400" s="15"/>
      <c r="E400" s="15"/>
      <c r="F400" s="78"/>
      <c r="G400" s="79"/>
      <c r="H400" s="111"/>
      <c r="I400" s="80"/>
      <c r="K400" s="77">
        <v>395</v>
      </c>
    </row>
    <row r="401" spans="1:11">
      <c r="A401" s="13" t="e">
        <f>#REF!</f>
        <v>#REF!</v>
      </c>
      <c r="B401" s="5" t="e">
        <f>#REF!</f>
        <v>#REF!</v>
      </c>
      <c r="C401" s="6"/>
      <c r="D401" s="6"/>
      <c r="E401" s="6"/>
      <c r="F401" s="82"/>
      <c r="G401" s="83"/>
      <c r="H401" s="295"/>
      <c r="I401" s="80" t="e">
        <f>SUM(I402:I405)</f>
        <v>#REF!</v>
      </c>
      <c r="K401" s="77">
        <v>396</v>
      </c>
    </row>
    <row r="402" spans="1:11">
      <c r="A402" s="13">
        <v>1</v>
      </c>
      <c r="B402" s="5" t="s">
        <v>82</v>
      </c>
      <c r="C402" s="6" t="str">
        <f>Gia_Tbi!C4</f>
        <v>Cái</v>
      </c>
      <c r="D402" s="6">
        <f>Gia_Tbi!D4</f>
        <v>0.4</v>
      </c>
      <c r="E402" s="6">
        <f>Gia_Tbi!E4</f>
        <v>5</v>
      </c>
      <c r="F402" s="82">
        <f>Gia_Tbi!F4</f>
        <v>10000000</v>
      </c>
      <c r="G402" s="83">
        <f>Gia_Tbi!G4</f>
        <v>4000</v>
      </c>
      <c r="H402" s="302">
        <v>40</v>
      </c>
      <c r="I402" s="84">
        <f>G402*H402</f>
        <v>160000</v>
      </c>
      <c r="K402" s="77">
        <v>397</v>
      </c>
    </row>
    <row r="403" spans="1:11">
      <c r="A403" s="13">
        <v>2</v>
      </c>
      <c r="B403" s="5" t="s">
        <v>83</v>
      </c>
      <c r="C403" s="6" t="str">
        <f>Gia_Tbi!C5</f>
        <v>Cái</v>
      </c>
      <c r="D403" s="6">
        <f>Gia_Tbi!D5</f>
        <v>0.6</v>
      </c>
      <c r="E403" s="6">
        <f>Gia_Tbi!E5</f>
        <v>5</v>
      </c>
      <c r="F403" s="82">
        <f>Gia_Tbi!F5</f>
        <v>2500000</v>
      </c>
      <c r="G403" s="83">
        <f>Gia_Tbi!G5</f>
        <v>1000</v>
      </c>
      <c r="H403" s="302">
        <v>1.1000000000000001</v>
      </c>
      <c r="I403" s="84">
        <f>G403*H403</f>
        <v>1100</v>
      </c>
      <c r="K403" s="77">
        <v>398</v>
      </c>
    </row>
    <row r="404" spans="1:11">
      <c r="A404" s="13">
        <v>3</v>
      </c>
      <c r="B404" s="5" t="s">
        <v>25</v>
      </c>
      <c r="C404" s="6" t="str">
        <f>Gia_Tbi!C6</f>
        <v>Cái</v>
      </c>
      <c r="D404" s="6">
        <f>Gia_Tbi!D6</f>
        <v>2.2000000000000002</v>
      </c>
      <c r="E404" s="6">
        <f>Gia_Tbi!E6</f>
        <v>8</v>
      </c>
      <c r="F404" s="82">
        <f>Gia_Tbi!F6</f>
        <v>12000000</v>
      </c>
      <c r="G404" s="83">
        <f>Gia_Tbi!G6</f>
        <v>3000</v>
      </c>
      <c r="H404" s="302">
        <v>13.33</v>
      </c>
      <c r="I404" s="84">
        <f>G404*H404</f>
        <v>39990</v>
      </c>
      <c r="K404" s="77">
        <v>399</v>
      </c>
    </row>
    <row r="405" spans="1:11">
      <c r="A405" s="13">
        <v>4</v>
      </c>
      <c r="B405" s="5" t="s">
        <v>24</v>
      </c>
      <c r="C405" s="6" t="e">
        <f>Gia_Tbi!#REF!</f>
        <v>#REF!</v>
      </c>
      <c r="D405" s="6" t="e">
        <f>Gia_Tbi!#REF!</f>
        <v>#REF!</v>
      </c>
      <c r="E405" s="6" t="e">
        <f>Gia_Tbi!#REF!</f>
        <v>#REF!</v>
      </c>
      <c r="F405" s="82" t="e">
        <f>Gia_Tbi!#REF!</f>
        <v>#REF!</v>
      </c>
      <c r="G405" s="83" t="e">
        <f>Gia_Tbi!#REF!</f>
        <v>#REF!</v>
      </c>
      <c r="H405" s="302">
        <v>3.6</v>
      </c>
      <c r="I405" s="84" t="e">
        <f>G405*H405</f>
        <v>#REF!</v>
      </c>
      <c r="K405" s="77">
        <v>400</v>
      </c>
    </row>
    <row r="406" spans="1:11">
      <c r="A406" s="40">
        <v>5</v>
      </c>
      <c r="B406" s="41" t="s">
        <v>8</v>
      </c>
      <c r="C406" s="42" t="str">
        <f>Gia_Tbi!C9</f>
        <v>Cái</v>
      </c>
      <c r="D406" s="42">
        <f>Gia_Tbi!D9</f>
        <v>0.8</v>
      </c>
      <c r="E406" s="117">
        <f>Gia_Tbi!E9</f>
        <v>8</v>
      </c>
      <c r="F406" s="86">
        <f>Gia_Tbi!F9</f>
        <v>45200000</v>
      </c>
      <c r="G406" s="87">
        <f>Gia_Tbi!G9</f>
        <v>11300</v>
      </c>
      <c r="H406" s="296" t="e">
        <f>(H402*D402+H403*D403+H404*D404+H405*D405)*8</f>
        <v>#REF!</v>
      </c>
      <c r="I406" s="120" t="e">
        <f>G406*H406*E406</f>
        <v>#REF!</v>
      </c>
      <c r="K406" s="77">
        <v>401</v>
      </c>
    </row>
    <row r="407" spans="1:11">
      <c r="A407" s="13" t="e">
        <f>#REF!</f>
        <v>#REF!</v>
      </c>
      <c r="B407" s="5" t="e">
        <f>#REF!</f>
        <v>#REF!</v>
      </c>
      <c r="C407" s="6"/>
      <c r="D407" s="6"/>
      <c r="E407" s="6"/>
      <c r="F407" s="82"/>
      <c r="G407" s="83"/>
      <c r="H407" s="295"/>
      <c r="I407" s="80" t="e">
        <f>SUM(I408:I411)</f>
        <v>#REF!</v>
      </c>
      <c r="K407" s="77">
        <v>402</v>
      </c>
    </row>
    <row r="408" spans="1:11">
      <c r="A408" s="13">
        <v>1</v>
      </c>
      <c r="B408" s="5" t="s">
        <v>82</v>
      </c>
      <c r="C408" s="6" t="str">
        <f>Gia_Tbi!C4</f>
        <v>Cái</v>
      </c>
      <c r="D408" s="6">
        <f>Gia_Tbi!D4</f>
        <v>0.4</v>
      </c>
      <c r="E408" s="6">
        <f>Gia_Tbi!E4</f>
        <v>5</v>
      </c>
      <c r="F408" s="82">
        <f>Gia_Tbi!F4</f>
        <v>10000000</v>
      </c>
      <c r="G408" s="83">
        <f>Gia_Tbi!G4</f>
        <v>4000</v>
      </c>
      <c r="H408" s="302">
        <v>125</v>
      </c>
      <c r="I408" s="84">
        <f>G408*H408</f>
        <v>500000</v>
      </c>
      <c r="K408" s="77">
        <v>403</v>
      </c>
    </row>
    <row r="409" spans="1:11">
      <c r="A409" s="13">
        <v>2</v>
      </c>
      <c r="B409" s="5" t="s">
        <v>83</v>
      </c>
      <c r="C409" s="6" t="str">
        <f>Gia_Tbi!C5</f>
        <v>Cái</v>
      </c>
      <c r="D409" s="6">
        <f>Gia_Tbi!D5</f>
        <v>0.6</v>
      </c>
      <c r="E409" s="6">
        <f>Gia_Tbi!E5</f>
        <v>5</v>
      </c>
      <c r="F409" s="82">
        <f>Gia_Tbi!F5</f>
        <v>2500000</v>
      </c>
      <c r="G409" s="83">
        <f>Gia_Tbi!G5</f>
        <v>1000</v>
      </c>
      <c r="H409" s="302">
        <v>3.5</v>
      </c>
      <c r="I409" s="84">
        <f>G409*H409</f>
        <v>3500</v>
      </c>
      <c r="K409" s="77">
        <v>404</v>
      </c>
    </row>
    <row r="410" spans="1:11">
      <c r="A410" s="13">
        <v>3</v>
      </c>
      <c r="B410" s="5" t="s">
        <v>25</v>
      </c>
      <c r="C410" s="6" t="str">
        <f>Gia_Tbi!C6</f>
        <v>Cái</v>
      </c>
      <c r="D410" s="6">
        <f>Gia_Tbi!D6</f>
        <v>2.2000000000000002</v>
      </c>
      <c r="E410" s="6">
        <f>Gia_Tbi!E6</f>
        <v>8</v>
      </c>
      <c r="F410" s="82">
        <f>Gia_Tbi!F6</f>
        <v>12000000</v>
      </c>
      <c r="G410" s="83">
        <f>Gia_Tbi!G6</f>
        <v>3000</v>
      </c>
      <c r="H410" s="302">
        <v>41.67</v>
      </c>
      <c r="I410" s="84">
        <f>G410*H410</f>
        <v>125010</v>
      </c>
      <c r="K410" s="77">
        <v>405</v>
      </c>
    </row>
    <row r="411" spans="1:11">
      <c r="A411" s="13">
        <v>4</v>
      </c>
      <c r="B411" s="5" t="s">
        <v>24</v>
      </c>
      <c r="C411" s="6" t="e">
        <f>Gia_Tbi!#REF!</f>
        <v>#REF!</v>
      </c>
      <c r="D411" s="6" t="e">
        <f>Gia_Tbi!#REF!</f>
        <v>#REF!</v>
      </c>
      <c r="E411" s="6" t="e">
        <f>Gia_Tbi!#REF!</f>
        <v>#REF!</v>
      </c>
      <c r="F411" s="82" t="e">
        <f>Gia_Tbi!#REF!</f>
        <v>#REF!</v>
      </c>
      <c r="G411" s="83" t="e">
        <f>Gia_Tbi!#REF!</f>
        <v>#REF!</v>
      </c>
      <c r="H411" s="302">
        <v>3</v>
      </c>
      <c r="I411" s="84" t="e">
        <f>G411*H411</f>
        <v>#REF!</v>
      </c>
      <c r="K411" s="77">
        <v>406</v>
      </c>
    </row>
    <row r="412" spans="1:11">
      <c r="A412" s="40">
        <v>5</v>
      </c>
      <c r="B412" s="41" t="s">
        <v>8</v>
      </c>
      <c r="C412" s="42" t="str">
        <f>Gia_Tbi!C9</f>
        <v>Cái</v>
      </c>
      <c r="D412" s="42">
        <f>Gia_Tbi!D9</f>
        <v>0.8</v>
      </c>
      <c r="E412" s="117">
        <f>Gia_Tbi!E9</f>
        <v>8</v>
      </c>
      <c r="F412" s="86">
        <f>Gia_Tbi!F9</f>
        <v>45200000</v>
      </c>
      <c r="G412" s="87">
        <f>Gia_Tbi!G9</f>
        <v>11300</v>
      </c>
      <c r="H412" s="296" t="e">
        <f>(H408*D408+H409*D409+H410*D410+H411*D411)*8</f>
        <v>#REF!</v>
      </c>
      <c r="I412" s="120" t="e">
        <f>G412*H412*E412</f>
        <v>#REF!</v>
      </c>
      <c r="K412" s="77">
        <v>407</v>
      </c>
    </row>
    <row r="413" spans="1:11" s="81" customFormat="1">
      <c r="A413" s="31" t="e">
        <f>#REF!</f>
        <v>#REF!</v>
      </c>
      <c r="B413" s="32" t="e">
        <f>#REF!</f>
        <v>#REF!</v>
      </c>
      <c r="C413" s="15"/>
      <c r="D413" s="15"/>
      <c r="E413" s="15"/>
      <c r="F413" s="78"/>
      <c r="G413" s="79"/>
      <c r="H413" s="111"/>
      <c r="I413" s="80" t="e">
        <f>SUM(I414:I417)</f>
        <v>#REF!</v>
      </c>
      <c r="K413" s="77">
        <v>408</v>
      </c>
    </row>
    <row r="414" spans="1:11">
      <c r="A414" s="13">
        <v>1</v>
      </c>
      <c r="B414" s="5" t="s">
        <v>82</v>
      </c>
      <c r="C414" s="6" t="str">
        <f>Gia_Tbi!C4</f>
        <v>Cái</v>
      </c>
      <c r="D414" s="6">
        <f>Gia_Tbi!D4</f>
        <v>0.4</v>
      </c>
      <c r="E414" s="6">
        <f>Gia_Tbi!E4</f>
        <v>5</v>
      </c>
      <c r="F414" s="82">
        <f>Gia_Tbi!F4</f>
        <v>10000000</v>
      </c>
      <c r="G414" s="83">
        <f>Gia_Tbi!G4</f>
        <v>4000</v>
      </c>
      <c r="H414" s="302">
        <v>20</v>
      </c>
      <c r="I414" s="84">
        <f>G414*H414</f>
        <v>80000</v>
      </c>
      <c r="K414" s="77">
        <v>409</v>
      </c>
    </row>
    <row r="415" spans="1:11">
      <c r="A415" s="13">
        <v>2</v>
      </c>
      <c r="B415" s="5" t="s">
        <v>83</v>
      </c>
      <c r="C415" s="6" t="str">
        <f>Gia_Tbi!C5</f>
        <v>Cái</v>
      </c>
      <c r="D415" s="6">
        <f>Gia_Tbi!D5</f>
        <v>0.6</v>
      </c>
      <c r="E415" s="6">
        <f>Gia_Tbi!E5</f>
        <v>5</v>
      </c>
      <c r="F415" s="82">
        <f>Gia_Tbi!F5</f>
        <v>2500000</v>
      </c>
      <c r="G415" s="83">
        <f>Gia_Tbi!G5</f>
        <v>1000</v>
      </c>
      <c r="H415" s="302">
        <v>0.2</v>
      </c>
      <c r="I415" s="84">
        <f>G415*H415</f>
        <v>200</v>
      </c>
      <c r="K415" s="77">
        <v>410</v>
      </c>
    </row>
    <row r="416" spans="1:11">
      <c r="A416" s="13">
        <v>3</v>
      </c>
      <c r="B416" s="5" t="s">
        <v>25</v>
      </c>
      <c r="C416" s="6" t="str">
        <f>Gia_Tbi!C6</f>
        <v>Cái</v>
      </c>
      <c r="D416" s="6">
        <f>Gia_Tbi!D6</f>
        <v>2.2000000000000002</v>
      </c>
      <c r="E416" s="6">
        <f>Gia_Tbi!E6</f>
        <v>8</v>
      </c>
      <c r="F416" s="82">
        <f>Gia_Tbi!F6</f>
        <v>12000000</v>
      </c>
      <c r="G416" s="83">
        <f>Gia_Tbi!G6</f>
        <v>3000</v>
      </c>
      <c r="H416" s="302">
        <v>6.67</v>
      </c>
      <c r="I416" s="84">
        <f>G416*H416</f>
        <v>20010</v>
      </c>
      <c r="K416" s="77">
        <v>411</v>
      </c>
    </row>
    <row r="417" spans="1:11">
      <c r="A417" s="13">
        <v>4</v>
      </c>
      <c r="B417" s="5" t="s">
        <v>24</v>
      </c>
      <c r="C417" s="6" t="e">
        <f>Gia_Tbi!#REF!</f>
        <v>#REF!</v>
      </c>
      <c r="D417" s="6" t="e">
        <f>Gia_Tbi!#REF!</f>
        <v>#REF!</v>
      </c>
      <c r="E417" s="6" t="e">
        <f>Gia_Tbi!#REF!</f>
        <v>#REF!</v>
      </c>
      <c r="F417" s="82" t="e">
        <f>Gia_Tbi!#REF!</f>
        <v>#REF!</v>
      </c>
      <c r="G417" s="83" t="e">
        <f>Gia_Tbi!#REF!</f>
        <v>#REF!</v>
      </c>
      <c r="H417" s="302">
        <v>2.4</v>
      </c>
      <c r="I417" s="84" t="e">
        <f>G417*H417</f>
        <v>#REF!</v>
      </c>
      <c r="K417" s="77">
        <v>412</v>
      </c>
    </row>
    <row r="418" spans="1:11">
      <c r="A418" s="40">
        <v>5</v>
      </c>
      <c r="B418" s="41" t="s">
        <v>8</v>
      </c>
      <c r="C418" s="42" t="str">
        <f>Gia_Tbi!C9</f>
        <v>Cái</v>
      </c>
      <c r="D418" s="42">
        <f>Gia_Tbi!D9</f>
        <v>0.8</v>
      </c>
      <c r="E418" s="117">
        <f>Gia_Tbi!E9</f>
        <v>8</v>
      </c>
      <c r="F418" s="86">
        <f>Gia_Tbi!F9</f>
        <v>45200000</v>
      </c>
      <c r="G418" s="87">
        <f>Gia_Tbi!G9</f>
        <v>11300</v>
      </c>
      <c r="H418" s="296" t="e">
        <f>(H414*D414+H415*D415+H416*D416+H417*D417)*8</f>
        <v>#REF!</v>
      </c>
      <c r="I418" s="120" t="e">
        <f>G418*H418*E418</f>
        <v>#REF!</v>
      </c>
      <c r="K418" s="77">
        <v>413</v>
      </c>
    </row>
    <row r="419" spans="1:11" s="81" customFormat="1">
      <c r="A419" s="31" t="e">
        <f>#REF!</f>
        <v>#REF!</v>
      </c>
      <c r="B419" s="32" t="e">
        <f>#REF!</f>
        <v>#REF!</v>
      </c>
      <c r="C419" s="15"/>
      <c r="D419" s="15"/>
      <c r="E419" s="15"/>
      <c r="F419" s="78"/>
      <c r="G419" s="79"/>
      <c r="H419" s="111"/>
      <c r="I419" s="80" t="e">
        <f>SUM(I420:I423)</f>
        <v>#REF!</v>
      </c>
      <c r="K419" s="77">
        <v>414</v>
      </c>
    </row>
    <row r="420" spans="1:11">
      <c r="A420" s="13">
        <v>1</v>
      </c>
      <c r="B420" s="5" t="s">
        <v>82</v>
      </c>
      <c r="C420" s="6" t="str">
        <f>Gia_Tbi!C4</f>
        <v>Cái</v>
      </c>
      <c r="D420" s="6">
        <f>Gia_Tbi!D4</f>
        <v>0.4</v>
      </c>
      <c r="E420" s="6">
        <f>Gia_Tbi!E4</f>
        <v>5</v>
      </c>
      <c r="F420" s="82">
        <f>Gia_Tbi!F4</f>
        <v>10000000</v>
      </c>
      <c r="G420" s="83">
        <f>Gia_Tbi!G4</f>
        <v>4000</v>
      </c>
      <c r="H420" s="302">
        <v>55</v>
      </c>
      <c r="I420" s="84">
        <f>G420*H420</f>
        <v>220000</v>
      </c>
      <c r="K420" s="77">
        <v>415</v>
      </c>
    </row>
    <row r="421" spans="1:11">
      <c r="A421" s="13">
        <v>2</v>
      </c>
      <c r="B421" s="5" t="s">
        <v>83</v>
      </c>
      <c r="C421" s="6" t="str">
        <f>Gia_Tbi!C5</f>
        <v>Cái</v>
      </c>
      <c r="D421" s="6">
        <f>Gia_Tbi!D5</f>
        <v>0.6</v>
      </c>
      <c r="E421" s="6">
        <f>Gia_Tbi!E5</f>
        <v>5</v>
      </c>
      <c r="F421" s="82">
        <f>Gia_Tbi!F5</f>
        <v>2500000</v>
      </c>
      <c r="G421" s="83">
        <f>Gia_Tbi!G5</f>
        <v>1000</v>
      </c>
      <c r="H421" s="302">
        <v>3</v>
      </c>
      <c r="I421" s="84">
        <f>G421*H421</f>
        <v>3000</v>
      </c>
      <c r="K421" s="77">
        <v>416</v>
      </c>
    </row>
    <row r="422" spans="1:11">
      <c r="A422" s="13">
        <v>3</v>
      </c>
      <c r="B422" s="5" t="s">
        <v>25</v>
      </c>
      <c r="C422" s="6" t="str">
        <f>Gia_Tbi!C6</f>
        <v>Cái</v>
      </c>
      <c r="D422" s="6">
        <f>Gia_Tbi!D6</f>
        <v>2.2000000000000002</v>
      </c>
      <c r="E422" s="6">
        <f>Gia_Tbi!E6</f>
        <v>8</v>
      </c>
      <c r="F422" s="82">
        <f>Gia_Tbi!F6</f>
        <v>12000000</v>
      </c>
      <c r="G422" s="83">
        <f>Gia_Tbi!G6</f>
        <v>3000</v>
      </c>
      <c r="H422" s="302">
        <v>18.329999999999998</v>
      </c>
      <c r="I422" s="84">
        <f>G422*H422</f>
        <v>54989.999999999993</v>
      </c>
      <c r="K422" s="77">
        <v>417</v>
      </c>
    </row>
    <row r="423" spans="1:11">
      <c r="A423" s="13">
        <v>4</v>
      </c>
      <c r="B423" s="5" t="s">
        <v>24</v>
      </c>
      <c r="C423" s="6" t="e">
        <f>Gia_Tbi!#REF!</f>
        <v>#REF!</v>
      </c>
      <c r="D423" s="6" t="e">
        <f>Gia_Tbi!#REF!</f>
        <v>#REF!</v>
      </c>
      <c r="E423" s="6" t="e">
        <f>Gia_Tbi!#REF!</f>
        <v>#REF!</v>
      </c>
      <c r="F423" s="82" t="e">
        <f>Gia_Tbi!#REF!</f>
        <v>#REF!</v>
      </c>
      <c r="G423" s="83" t="e">
        <f>Gia_Tbi!#REF!</f>
        <v>#REF!</v>
      </c>
      <c r="H423" s="302">
        <v>3.5</v>
      </c>
      <c r="I423" s="84" t="e">
        <f>G423*H423</f>
        <v>#REF!</v>
      </c>
      <c r="K423" s="77">
        <v>418</v>
      </c>
    </row>
    <row r="424" spans="1:11">
      <c r="A424" s="40">
        <v>5</v>
      </c>
      <c r="B424" s="41" t="s">
        <v>8</v>
      </c>
      <c r="C424" s="42" t="str">
        <f>Gia_Tbi!C9</f>
        <v>Cái</v>
      </c>
      <c r="D424" s="42">
        <f>Gia_Tbi!D9</f>
        <v>0.8</v>
      </c>
      <c r="E424" s="117">
        <f>Gia_Tbi!E9</f>
        <v>8</v>
      </c>
      <c r="F424" s="86">
        <f>Gia_Tbi!F9</f>
        <v>45200000</v>
      </c>
      <c r="G424" s="87">
        <f>Gia_Tbi!G9</f>
        <v>11300</v>
      </c>
      <c r="H424" s="296" t="e">
        <f>(H420*D420+H421*D421+H422*D422+H423*D423)*8</f>
        <v>#REF!</v>
      </c>
      <c r="I424" s="120" t="e">
        <f>G424*H424*E424</f>
        <v>#REF!</v>
      </c>
      <c r="K424" s="77">
        <v>419</v>
      </c>
    </row>
    <row r="425" spans="1:11" s="81" customFormat="1">
      <c r="A425" s="31" t="e">
        <f>#REF!</f>
        <v>#REF!</v>
      </c>
      <c r="B425" s="32" t="e">
        <f>#REF!</f>
        <v>#REF!</v>
      </c>
      <c r="C425" s="15"/>
      <c r="D425" s="15"/>
      <c r="E425" s="15"/>
      <c r="F425" s="78"/>
      <c r="G425" s="79"/>
      <c r="H425" s="111"/>
      <c r="I425" s="80" t="e">
        <f>SUM(I426:I429)</f>
        <v>#REF!</v>
      </c>
      <c r="K425" s="77">
        <v>420</v>
      </c>
    </row>
    <row r="426" spans="1:11">
      <c r="A426" s="13">
        <v>1</v>
      </c>
      <c r="B426" s="5" t="s">
        <v>82</v>
      </c>
      <c r="C426" s="6" t="str">
        <f>Gia_Tbi!C4</f>
        <v>Cái</v>
      </c>
      <c r="D426" s="6">
        <f>Gia_Tbi!D4</f>
        <v>0.4</v>
      </c>
      <c r="E426" s="6">
        <f>Gia_Tbi!E4</f>
        <v>5</v>
      </c>
      <c r="F426" s="82">
        <f>Gia_Tbi!F4</f>
        <v>10000000</v>
      </c>
      <c r="G426" s="83">
        <f>Gia_Tbi!G4</f>
        <v>4000</v>
      </c>
      <c r="H426" s="302">
        <v>37.9</v>
      </c>
      <c r="I426" s="84">
        <f>G426*H426</f>
        <v>151600</v>
      </c>
      <c r="K426" s="77">
        <v>421</v>
      </c>
    </row>
    <row r="427" spans="1:11">
      <c r="A427" s="13">
        <v>2</v>
      </c>
      <c r="B427" s="5" t="s">
        <v>83</v>
      </c>
      <c r="C427" s="6" t="str">
        <f>Gia_Tbi!C5</f>
        <v>Cái</v>
      </c>
      <c r="D427" s="6">
        <f>Gia_Tbi!D5</f>
        <v>0.6</v>
      </c>
      <c r="E427" s="6">
        <f>Gia_Tbi!E5</f>
        <v>5</v>
      </c>
      <c r="F427" s="82">
        <f>Gia_Tbi!F5</f>
        <v>2500000</v>
      </c>
      <c r="G427" s="83">
        <f>Gia_Tbi!G5</f>
        <v>1000</v>
      </c>
      <c r="H427" s="302">
        <v>1.95</v>
      </c>
      <c r="I427" s="84">
        <f>G427*H427</f>
        <v>1950</v>
      </c>
      <c r="K427" s="77">
        <v>422</v>
      </c>
    </row>
    <row r="428" spans="1:11">
      <c r="A428" s="13">
        <v>3</v>
      </c>
      <c r="B428" s="5" t="s">
        <v>25</v>
      </c>
      <c r="C428" s="6" t="str">
        <f>Gia_Tbi!C6</f>
        <v>Cái</v>
      </c>
      <c r="D428" s="6">
        <f>Gia_Tbi!D6</f>
        <v>2.2000000000000002</v>
      </c>
      <c r="E428" s="6">
        <f>Gia_Tbi!E6</f>
        <v>8</v>
      </c>
      <c r="F428" s="82">
        <f>Gia_Tbi!F6</f>
        <v>12000000</v>
      </c>
      <c r="G428" s="83">
        <f>Gia_Tbi!G6</f>
        <v>3000</v>
      </c>
      <c r="H428" s="302">
        <v>12.63</v>
      </c>
      <c r="I428" s="84">
        <f>G428*H428</f>
        <v>37890</v>
      </c>
      <c r="K428" s="77">
        <v>423</v>
      </c>
    </row>
    <row r="429" spans="1:11">
      <c r="A429" s="13">
        <v>4</v>
      </c>
      <c r="B429" s="5" t="s">
        <v>24</v>
      </c>
      <c r="C429" s="6" t="e">
        <f>Gia_Tbi!#REF!</f>
        <v>#REF!</v>
      </c>
      <c r="D429" s="6" t="e">
        <f>Gia_Tbi!#REF!</f>
        <v>#REF!</v>
      </c>
      <c r="E429" s="6" t="e">
        <f>Gia_Tbi!#REF!</f>
        <v>#REF!</v>
      </c>
      <c r="F429" s="82" t="e">
        <f>Gia_Tbi!#REF!</f>
        <v>#REF!</v>
      </c>
      <c r="G429" s="83" t="e">
        <f>Gia_Tbi!#REF!</f>
        <v>#REF!</v>
      </c>
      <c r="H429" s="302">
        <v>2.95</v>
      </c>
      <c r="I429" s="84" t="e">
        <f>G429*H429</f>
        <v>#REF!</v>
      </c>
      <c r="K429" s="77">
        <v>424</v>
      </c>
    </row>
    <row r="430" spans="1:11">
      <c r="A430" s="40">
        <v>5</v>
      </c>
      <c r="B430" s="41" t="s">
        <v>8</v>
      </c>
      <c r="C430" s="42" t="str">
        <f>Gia_Tbi!C9</f>
        <v>Cái</v>
      </c>
      <c r="D430" s="42">
        <f>Gia_Tbi!D9</f>
        <v>0.8</v>
      </c>
      <c r="E430" s="117">
        <f>Gia_Tbi!E9</f>
        <v>8</v>
      </c>
      <c r="F430" s="86">
        <f>Gia_Tbi!F9</f>
        <v>45200000</v>
      </c>
      <c r="G430" s="87">
        <f>Gia_Tbi!G9</f>
        <v>11300</v>
      </c>
      <c r="H430" s="296" t="e">
        <f>(H426*D426+H427*D427+H428*D428+H429*D429)*8</f>
        <v>#REF!</v>
      </c>
      <c r="I430" s="120" t="e">
        <f>G430*H430*E430</f>
        <v>#REF!</v>
      </c>
      <c r="K430" s="77">
        <v>425</v>
      </c>
    </row>
    <row r="431" spans="1:11" s="4" customFormat="1">
      <c r="A431" s="12" t="e">
        <f>#REF!</f>
        <v>#REF!</v>
      </c>
      <c r="B431" s="8" t="e">
        <f>#REF!</f>
        <v>#REF!</v>
      </c>
      <c r="C431" s="7"/>
      <c r="D431" s="7"/>
      <c r="E431" s="7"/>
      <c r="F431" s="93"/>
      <c r="G431" s="94"/>
      <c r="H431" s="298"/>
      <c r="I431" s="95"/>
      <c r="K431" s="77">
        <v>426</v>
      </c>
    </row>
    <row r="432" spans="1:11" s="4" customFormat="1">
      <c r="A432" s="12" t="e">
        <f>#REF!</f>
        <v>#REF!</v>
      </c>
      <c r="B432" s="8" t="e">
        <f>#REF!</f>
        <v>#REF!</v>
      </c>
      <c r="C432" s="7"/>
      <c r="D432" s="7"/>
      <c r="E432" s="7"/>
      <c r="F432" s="93"/>
      <c r="G432" s="94"/>
      <c r="H432" s="298"/>
      <c r="I432" s="95"/>
      <c r="K432" s="77">
        <v>427</v>
      </c>
    </row>
    <row r="433" spans="1:11" s="81" customFormat="1">
      <c r="A433" s="31" t="e">
        <f>#REF!</f>
        <v>#REF!</v>
      </c>
      <c r="B433" s="32" t="e">
        <f>#REF!</f>
        <v>#REF!</v>
      </c>
      <c r="C433" s="15"/>
      <c r="D433" s="15"/>
      <c r="E433" s="15"/>
      <c r="F433" s="78"/>
      <c r="G433" s="79"/>
      <c r="H433" s="111"/>
      <c r="I433" s="80"/>
      <c r="K433" s="77">
        <v>428</v>
      </c>
    </row>
    <row r="434" spans="1:11" s="81" customFormat="1">
      <c r="A434" s="31" t="e">
        <f>#REF!</f>
        <v>#REF!</v>
      </c>
      <c r="B434" s="32" t="e">
        <f>#REF!</f>
        <v>#REF!</v>
      </c>
      <c r="C434" s="15"/>
      <c r="D434" s="15"/>
      <c r="E434" s="15"/>
      <c r="F434" s="78"/>
      <c r="G434" s="79"/>
      <c r="H434" s="111"/>
      <c r="I434" s="80"/>
      <c r="K434" s="77">
        <v>429</v>
      </c>
    </row>
    <row r="435" spans="1:11" s="81" customFormat="1">
      <c r="A435" s="31" t="e">
        <f>#REF!</f>
        <v>#REF!</v>
      </c>
      <c r="B435" s="32" t="e">
        <f>#REF!</f>
        <v>#REF!</v>
      </c>
      <c r="C435" s="15"/>
      <c r="D435" s="15"/>
      <c r="E435" s="15"/>
      <c r="F435" s="78"/>
      <c r="G435" s="79"/>
      <c r="H435" s="111"/>
      <c r="I435" s="80" t="e">
        <f>SUM(I436:I439)</f>
        <v>#REF!</v>
      </c>
      <c r="K435" s="77">
        <v>430</v>
      </c>
    </row>
    <row r="436" spans="1:11">
      <c r="A436" s="13">
        <v>1</v>
      </c>
      <c r="B436" s="5" t="s">
        <v>82</v>
      </c>
      <c r="C436" s="6" t="str">
        <f>Gia_Tbi!C4</f>
        <v>Cái</v>
      </c>
      <c r="D436" s="6">
        <f>Gia_Tbi!D4</f>
        <v>0.4</v>
      </c>
      <c r="E436" s="6">
        <f>Gia_Tbi!E4</f>
        <v>5</v>
      </c>
      <c r="F436" s="82">
        <f>Gia_Tbi!F4</f>
        <v>10000000</v>
      </c>
      <c r="G436" s="83">
        <f>Gia_Tbi!G4</f>
        <v>4000</v>
      </c>
      <c r="H436" s="302">
        <v>0.2918</v>
      </c>
      <c r="I436" s="84">
        <f>G436*H436</f>
        <v>1167.2</v>
      </c>
      <c r="K436" s="77">
        <v>431</v>
      </c>
    </row>
    <row r="437" spans="1:11">
      <c r="A437" s="13">
        <v>2</v>
      </c>
      <c r="B437" s="5" t="s">
        <v>83</v>
      </c>
      <c r="C437" s="6" t="str">
        <f>Gia_Tbi!C5</f>
        <v>Cái</v>
      </c>
      <c r="D437" s="6">
        <f>Gia_Tbi!D5</f>
        <v>0.6</v>
      </c>
      <c r="E437" s="6">
        <f>Gia_Tbi!E5</f>
        <v>5</v>
      </c>
      <c r="F437" s="82">
        <f>Gia_Tbi!F5</f>
        <v>2500000</v>
      </c>
      <c r="G437" s="83">
        <f>Gia_Tbi!G5</f>
        <v>1000</v>
      </c>
      <c r="H437" s="302">
        <v>1.46E-2</v>
      </c>
      <c r="I437" s="84">
        <f>G437*H437</f>
        <v>14.6</v>
      </c>
      <c r="K437" s="77">
        <v>432</v>
      </c>
    </row>
    <row r="438" spans="1:11">
      <c r="A438" s="13">
        <v>3</v>
      </c>
      <c r="B438" s="5" t="s">
        <v>25</v>
      </c>
      <c r="C438" s="6" t="str">
        <f>Gia_Tbi!C6</f>
        <v>Cái</v>
      </c>
      <c r="D438" s="6">
        <f>Gia_Tbi!D6</f>
        <v>2.2000000000000002</v>
      </c>
      <c r="E438" s="6">
        <f>Gia_Tbi!E6</f>
        <v>8</v>
      </c>
      <c r="F438" s="82">
        <f>Gia_Tbi!F6</f>
        <v>12000000</v>
      </c>
      <c r="G438" s="83">
        <f>Gia_Tbi!G6</f>
        <v>3000</v>
      </c>
      <c r="H438" s="302">
        <v>9.7299999999999998E-2</v>
      </c>
      <c r="I438" s="84">
        <f>G438*H438</f>
        <v>291.89999999999998</v>
      </c>
      <c r="K438" s="77">
        <v>433</v>
      </c>
    </row>
    <row r="439" spans="1:11">
      <c r="A439" s="13">
        <v>4</v>
      </c>
      <c r="B439" s="5" t="s">
        <v>24</v>
      </c>
      <c r="C439" s="6" t="e">
        <f>Gia_Tbi!#REF!</f>
        <v>#REF!</v>
      </c>
      <c r="D439" s="6" t="e">
        <f>Gia_Tbi!#REF!</f>
        <v>#REF!</v>
      </c>
      <c r="E439" s="6" t="e">
        <f>Gia_Tbi!#REF!</f>
        <v>#REF!</v>
      </c>
      <c r="F439" s="82" t="e">
        <f>Gia_Tbi!#REF!</f>
        <v>#REF!</v>
      </c>
      <c r="G439" s="83" t="e">
        <f>Gia_Tbi!#REF!</f>
        <v>#REF!</v>
      </c>
      <c r="H439" s="302">
        <v>1.17E-2</v>
      </c>
      <c r="I439" s="84" t="e">
        <f>G439*H439</f>
        <v>#REF!</v>
      </c>
      <c r="K439" s="77">
        <v>434</v>
      </c>
    </row>
    <row r="440" spans="1:11">
      <c r="A440" s="40">
        <v>5</v>
      </c>
      <c r="B440" s="41" t="s">
        <v>8</v>
      </c>
      <c r="C440" s="42" t="str">
        <f>Gia_Tbi!C9</f>
        <v>Cái</v>
      </c>
      <c r="D440" s="42">
        <f>Gia_Tbi!D9</f>
        <v>0.8</v>
      </c>
      <c r="E440" s="117">
        <f>Gia_Tbi!E9</f>
        <v>8</v>
      </c>
      <c r="F440" s="86">
        <f>Gia_Tbi!F9</f>
        <v>45200000</v>
      </c>
      <c r="G440" s="87">
        <f>Gia_Tbi!G9</f>
        <v>11300</v>
      </c>
      <c r="H440" s="296" t="e">
        <f>(H436*D436+H437*D437+H438*D438+H439*D439)*8</f>
        <v>#REF!</v>
      </c>
      <c r="I440" s="120" t="e">
        <f>G440*H440*E440</f>
        <v>#REF!</v>
      </c>
      <c r="K440" s="77">
        <v>435</v>
      </c>
    </row>
    <row r="441" spans="1:11" s="81" customFormat="1">
      <c r="A441" s="31" t="e">
        <f>#REF!</f>
        <v>#REF!</v>
      </c>
      <c r="B441" s="32" t="e">
        <f>#REF!</f>
        <v>#REF!</v>
      </c>
      <c r="C441" s="15"/>
      <c r="D441" s="15"/>
      <c r="E441" s="15"/>
      <c r="F441" s="78"/>
      <c r="G441" s="79"/>
      <c r="H441" s="111"/>
      <c r="I441" s="80" t="e">
        <f>SUM(I442:I445)</f>
        <v>#REF!</v>
      </c>
      <c r="K441" s="77">
        <v>436</v>
      </c>
    </row>
    <row r="442" spans="1:11">
      <c r="A442" s="13">
        <v>1</v>
      </c>
      <c r="B442" s="5" t="s">
        <v>82</v>
      </c>
      <c r="C442" s="6" t="str">
        <f>Gia_Tbi!C4</f>
        <v>Cái</v>
      </c>
      <c r="D442" s="6">
        <f>Gia_Tbi!D4</f>
        <v>0.4</v>
      </c>
      <c r="E442" s="6">
        <f>Gia_Tbi!E4</f>
        <v>5</v>
      </c>
      <c r="F442" s="82">
        <f>Gia_Tbi!F4</f>
        <v>10000000</v>
      </c>
      <c r="G442" s="83">
        <f>Gia_Tbi!G4</f>
        <v>4000</v>
      </c>
      <c r="H442" s="302">
        <v>0.23810000000000001</v>
      </c>
      <c r="I442" s="84">
        <f>G442*H442</f>
        <v>952.4</v>
      </c>
      <c r="K442" s="77">
        <v>437</v>
      </c>
    </row>
    <row r="443" spans="1:11">
      <c r="A443" s="13">
        <v>2</v>
      </c>
      <c r="B443" s="5" t="s">
        <v>83</v>
      </c>
      <c r="C443" s="6" t="str">
        <f>Gia_Tbi!C5</f>
        <v>Cái</v>
      </c>
      <c r="D443" s="6">
        <f>Gia_Tbi!D5</f>
        <v>0.6</v>
      </c>
      <c r="E443" s="6">
        <f>Gia_Tbi!E5</f>
        <v>5</v>
      </c>
      <c r="F443" s="82">
        <f>Gia_Tbi!F5</f>
        <v>2500000</v>
      </c>
      <c r="G443" s="83">
        <f>Gia_Tbi!G5</f>
        <v>1000</v>
      </c>
      <c r="H443" s="302">
        <v>1.1900000000000001E-2</v>
      </c>
      <c r="I443" s="84">
        <f>G443*H443</f>
        <v>11.9</v>
      </c>
      <c r="K443" s="77">
        <v>438</v>
      </c>
    </row>
    <row r="444" spans="1:11">
      <c r="A444" s="13">
        <v>3</v>
      </c>
      <c r="B444" s="5" t="s">
        <v>25</v>
      </c>
      <c r="C444" s="6" t="str">
        <f>Gia_Tbi!C6</f>
        <v>Cái</v>
      </c>
      <c r="D444" s="6">
        <f>Gia_Tbi!D6</f>
        <v>2.2000000000000002</v>
      </c>
      <c r="E444" s="6">
        <f>Gia_Tbi!E6</f>
        <v>8</v>
      </c>
      <c r="F444" s="82">
        <f>Gia_Tbi!F6</f>
        <v>12000000</v>
      </c>
      <c r="G444" s="83">
        <f>Gia_Tbi!G6</f>
        <v>3000</v>
      </c>
      <c r="H444" s="302">
        <v>7.9399999999999998E-2</v>
      </c>
      <c r="I444" s="84">
        <f>G444*H444</f>
        <v>238.2</v>
      </c>
      <c r="K444" s="77">
        <v>439</v>
      </c>
    </row>
    <row r="445" spans="1:11">
      <c r="A445" s="13">
        <v>4</v>
      </c>
      <c r="B445" s="5" t="s">
        <v>24</v>
      </c>
      <c r="C445" s="6" t="e">
        <f>Gia_Tbi!#REF!</f>
        <v>#REF!</v>
      </c>
      <c r="D445" s="6" t="e">
        <f>Gia_Tbi!#REF!</f>
        <v>#REF!</v>
      </c>
      <c r="E445" s="6" t="e">
        <f>Gia_Tbi!#REF!</f>
        <v>#REF!</v>
      </c>
      <c r="F445" s="82" t="e">
        <f>Gia_Tbi!#REF!</f>
        <v>#REF!</v>
      </c>
      <c r="G445" s="83" t="e">
        <f>Gia_Tbi!#REF!</f>
        <v>#REF!</v>
      </c>
      <c r="H445" s="302">
        <v>9.4999999999999998E-3</v>
      </c>
      <c r="I445" s="84" t="e">
        <f>G445*H445</f>
        <v>#REF!</v>
      </c>
      <c r="K445" s="77">
        <v>440</v>
      </c>
    </row>
    <row r="446" spans="1:11">
      <c r="A446" s="40">
        <v>5</v>
      </c>
      <c r="B446" s="41" t="s">
        <v>8</v>
      </c>
      <c r="C446" s="42" t="str">
        <f>Gia_Tbi!C9</f>
        <v>Cái</v>
      </c>
      <c r="D446" s="42">
        <f>Gia_Tbi!D9</f>
        <v>0.8</v>
      </c>
      <c r="E446" s="117">
        <f>Gia_Tbi!E9</f>
        <v>8</v>
      </c>
      <c r="F446" s="86">
        <f>Gia_Tbi!F9</f>
        <v>45200000</v>
      </c>
      <c r="G446" s="87">
        <f>Gia_Tbi!G9</f>
        <v>11300</v>
      </c>
      <c r="H446" s="296" t="e">
        <f>(H442*D442+H443*D443+H444*D444+H445*D445)*8</f>
        <v>#REF!</v>
      </c>
      <c r="I446" s="120" t="e">
        <f>G446*H446*E446</f>
        <v>#REF!</v>
      </c>
      <c r="K446" s="77">
        <v>441</v>
      </c>
    </row>
    <row r="447" spans="1:11" s="81" customFormat="1">
      <c r="A447" s="31" t="e">
        <f>#REF!</f>
        <v>#REF!</v>
      </c>
      <c r="B447" s="32" t="e">
        <f>#REF!</f>
        <v>#REF!</v>
      </c>
      <c r="C447" s="15"/>
      <c r="D447" s="15"/>
      <c r="E447" s="15"/>
      <c r="F447" s="78"/>
      <c r="G447" s="79"/>
      <c r="H447" s="111"/>
      <c r="I447" s="80" t="e">
        <f>SUM(I448:I451)</f>
        <v>#REF!</v>
      </c>
      <c r="K447" s="77">
        <v>442</v>
      </c>
    </row>
    <row r="448" spans="1:11">
      <c r="A448" s="13">
        <v>1</v>
      </c>
      <c r="B448" s="5" t="s">
        <v>82</v>
      </c>
      <c r="C448" s="6" t="str">
        <f>Gia_Tbi!C4</f>
        <v>Cái</v>
      </c>
      <c r="D448" s="6">
        <f>Gia_Tbi!D4</f>
        <v>0.4</v>
      </c>
      <c r="E448" s="6">
        <f>Gia_Tbi!E4</f>
        <v>5</v>
      </c>
      <c r="F448" s="82">
        <f>Gia_Tbi!F4</f>
        <v>10000000</v>
      </c>
      <c r="G448" s="83">
        <f>Gia_Tbi!G4</f>
        <v>4000</v>
      </c>
      <c r="H448" s="302">
        <v>0.12670000000000001</v>
      </c>
      <c r="I448" s="84">
        <f>G448*H448</f>
        <v>506.8</v>
      </c>
      <c r="K448" s="77">
        <v>443</v>
      </c>
    </row>
    <row r="449" spans="1:11">
      <c r="A449" s="13">
        <v>2</v>
      </c>
      <c r="B449" s="5" t="s">
        <v>83</v>
      </c>
      <c r="C449" s="6" t="str">
        <f>Gia_Tbi!C5</f>
        <v>Cái</v>
      </c>
      <c r="D449" s="6">
        <f>Gia_Tbi!D5</f>
        <v>0.6</v>
      </c>
      <c r="E449" s="6">
        <f>Gia_Tbi!E5</f>
        <v>5</v>
      </c>
      <c r="F449" s="82">
        <f>Gia_Tbi!F5</f>
        <v>2500000</v>
      </c>
      <c r="G449" s="83">
        <f>Gia_Tbi!G5</f>
        <v>1000</v>
      </c>
      <c r="H449" s="302">
        <v>6.3E-3</v>
      </c>
      <c r="I449" s="84">
        <f>G449*H449</f>
        <v>6.3</v>
      </c>
      <c r="K449" s="77">
        <v>444</v>
      </c>
    </row>
    <row r="450" spans="1:11">
      <c r="A450" s="13">
        <v>3</v>
      </c>
      <c r="B450" s="5" t="s">
        <v>25</v>
      </c>
      <c r="C450" s="6" t="str">
        <f>Gia_Tbi!C6</f>
        <v>Cái</v>
      </c>
      <c r="D450" s="6">
        <f>Gia_Tbi!D6</f>
        <v>2.2000000000000002</v>
      </c>
      <c r="E450" s="6">
        <f>Gia_Tbi!E6</f>
        <v>8</v>
      </c>
      <c r="F450" s="82">
        <f>Gia_Tbi!F6</f>
        <v>12000000</v>
      </c>
      <c r="G450" s="83">
        <f>Gia_Tbi!G6</f>
        <v>3000</v>
      </c>
      <c r="H450" s="302">
        <v>4.2200000000000001E-2</v>
      </c>
      <c r="I450" s="84">
        <f>G450*H450</f>
        <v>126.60000000000001</v>
      </c>
      <c r="K450" s="77">
        <v>445</v>
      </c>
    </row>
    <row r="451" spans="1:11">
      <c r="A451" s="13">
        <v>4</v>
      </c>
      <c r="B451" s="5" t="s">
        <v>24</v>
      </c>
      <c r="C451" s="6" t="e">
        <f>Gia_Tbi!#REF!</f>
        <v>#REF!</v>
      </c>
      <c r="D451" s="6" t="e">
        <f>Gia_Tbi!#REF!</f>
        <v>#REF!</v>
      </c>
      <c r="E451" s="6" t="e">
        <f>Gia_Tbi!#REF!</f>
        <v>#REF!</v>
      </c>
      <c r="F451" s="82" t="e">
        <f>Gia_Tbi!#REF!</f>
        <v>#REF!</v>
      </c>
      <c r="G451" s="83" t="e">
        <f>Gia_Tbi!#REF!</f>
        <v>#REF!</v>
      </c>
      <c r="H451" s="302">
        <v>5.1000000000000004E-3</v>
      </c>
      <c r="I451" s="84" t="e">
        <f>G451*H451</f>
        <v>#REF!</v>
      </c>
      <c r="K451" s="77">
        <v>446</v>
      </c>
    </row>
    <row r="452" spans="1:11">
      <c r="A452" s="40">
        <v>5</v>
      </c>
      <c r="B452" s="41" t="s">
        <v>8</v>
      </c>
      <c r="C452" s="42" t="str">
        <f>Gia_Tbi!C9</f>
        <v>Cái</v>
      </c>
      <c r="D452" s="42">
        <f>Gia_Tbi!D9</f>
        <v>0.8</v>
      </c>
      <c r="E452" s="117">
        <f>Gia_Tbi!E9</f>
        <v>8</v>
      </c>
      <c r="F452" s="86">
        <f>Gia_Tbi!F9</f>
        <v>45200000</v>
      </c>
      <c r="G452" s="87">
        <f>Gia_Tbi!G9</f>
        <v>11300</v>
      </c>
      <c r="H452" s="296" t="e">
        <f>(H448*D448+H449*D449+H450*D450+H451*D451)*8</f>
        <v>#REF!</v>
      </c>
      <c r="I452" s="120" t="e">
        <f>G452*H452*E452</f>
        <v>#REF!</v>
      </c>
      <c r="K452" s="77">
        <v>447</v>
      </c>
    </row>
    <row r="453" spans="1:11" s="81" customFormat="1">
      <c r="A453" s="31" t="e">
        <f>#REF!</f>
        <v>#REF!</v>
      </c>
      <c r="B453" s="32" t="e">
        <f>#REF!</f>
        <v>#REF!</v>
      </c>
      <c r="C453" s="15"/>
      <c r="D453" s="15"/>
      <c r="E453" s="15"/>
      <c r="F453" s="78"/>
      <c r="G453" s="79"/>
      <c r="H453" s="111"/>
      <c r="I453" s="80"/>
      <c r="K453" s="77">
        <v>448</v>
      </c>
    </row>
    <row r="454" spans="1:11" s="81" customFormat="1">
      <c r="A454" s="31" t="e">
        <f>#REF!</f>
        <v>#REF!</v>
      </c>
      <c r="B454" s="32" t="e">
        <f>#REF!</f>
        <v>#REF!</v>
      </c>
      <c r="C454" s="15"/>
      <c r="D454" s="15"/>
      <c r="E454" s="15"/>
      <c r="F454" s="78"/>
      <c r="G454" s="79"/>
      <c r="H454" s="111"/>
      <c r="I454" s="80" t="e">
        <f>SUM(I455:I458)</f>
        <v>#REF!</v>
      </c>
      <c r="K454" s="77">
        <v>449</v>
      </c>
    </row>
    <row r="455" spans="1:11">
      <c r="A455" s="13">
        <v>1</v>
      </c>
      <c r="B455" s="5" t="s">
        <v>82</v>
      </c>
      <c r="C455" s="6" t="str">
        <f>Gia_Tbi!C4</f>
        <v>Cái</v>
      </c>
      <c r="D455" s="6">
        <f>Gia_Tbi!D4</f>
        <v>0.4</v>
      </c>
      <c r="E455" s="6">
        <f>Gia_Tbi!E4</f>
        <v>5</v>
      </c>
      <c r="F455" s="82">
        <f>Gia_Tbi!F4</f>
        <v>10000000</v>
      </c>
      <c r="G455" s="83">
        <f>Gia_Tbi!G4</f>
        <v>4000</v>
      </c>
      <c r="H455" s="302">
        <v>0.19969999999999999</v>
      </c>
      <c r="I455" s="84">
        <f>G455*H455</f>
        <v>798.8</v>
      </c>
      <c r="K455" s="77">
        <v>450</v>
      </c>
    </row>
    <row r="456" spans="1:11">
      <c r="A456" s="13">
        <v>2</v>
      </c>
      <c r="B456" s="5" t="s">
        <v>83</v>
      </c>
      <c r="C456" s="6" t="str">
        <f>Gia_Tbi!C5</f>
        <v>Cái</v>
      </c>
      <c r="D456" s="6">
        <f>Gia_Tbi!D5</f>
        <v>0.6</v>
      </c>
      <c r="E456" s="6">
        <f>Gia_Tbi!E5</f>
        <v>5</v>
      </c>
      <c r="F456" s="82">
        <f>Gia_Tbi!F5</f>
        <v>2500000</v>
      </c>
      <c r="G456" s="83">
        <f>Gia_Tbi!G5</f>
        <v>1000</v>
      </c>
      <c r="H456" s="302">
        <v>0.01</v>
      </c>
      <c r="I456" s="84">
        <f>G456*H456</f>
        <v>10</v>
      </c>
      <c r="K456" s="77">
        <v>451</v>
      </c>
    </row>
    <row r="457" spans="1:11">
      <c r="A457" s="13">
        <v>3</v>
      </c>
      <c r="B457" s="5" t="s">
        <v>25</v>
      </c>
      <c r="C457" s="6" t="str">
        <f>Gia_Tbi!C6</f>
        <v>Cái</v>
      </c>
      <c r="D457" s="6">
        <f>Gia_Tbi!D6</f>
        <v>2.2000000000000002</v>
      </c>
      <c r="E457" s="6">
        <f>Gia_Tbi!E6</f>
        <v>8</v>
      </c>
      <c r="F457" s="82">
        <f>Gia_Tbi!F6</f>
        <v>12000000</v>
      </c>
      <c r="G457" s="83">
        <f>Gia_Tbi!G6</f>
        <v>3000</v>
      </c>
      <c r="H457" s="302">
        <v>6.6600000000000006E-2</v>
      </c>
      <c r="I457" s="84">
        <f>G457*H457</f>
        <v>199.8</v>
      </c>
      <c r="K457" s="77">
        <v>452</v>
      </c>
    </row>
    <row r="458" spans="1:11">
      <c r="A458" s="13">
        <v>4</v>
      </c>
      <c r="B458" s="5" t="s">
        <v>24</v>
      </c>
      <c r="C458" s="6" t="e">
        <f>Gia_Tbi!#REF!</f>
        <v>#REF!</v>
      </c>
      <c r="D458" s="6" t="e">
        <f>Gia_Tbi!#REF!</f>
        <v>#REF!</v>
      </c>
      <c r="E458" s="6" t="e">
        <f>Gia_Tbi!#REF!</f>
        <v>#REF!</v>
      </c>
      <c r="F458" s="82" t="e">
        <f>Gia_Tbi!#REF!</f>
        <v>#REF!</v>
      </c>
      <c r="G458" s="83" t="e">
        <f>Gia_Tbi!#REF!</f>
        <v>#REF!</v>
      </c>
      <c r="H458" s="302">
        <v>8.0000000000000002E-3</v>
      </c>
      <c r="I458" s="84" t="e">
        <f>G458*H458</f>
        <v>#REF!</v>
      </c>
      <c r="K458" s="77">
        <v>453</v>
      </c>
    </row>
    <row r="459" spans="1:11">
      <c r="A459" s="40">
        <v>5</v>
      </c>
      <c r="B459" s="41" t="s">
        <v>8</v>
      </c>
      <c r="C459" s="42" t="str">
        <f>Gia_Tbi!C9</f>
        <v>Cái</v>
      </c>
      <c r="D459" s="42">
        <f>Gia_Tbi!D9</f>
        <v>0.8</v>
      </c>
      <c r="E459" s="117">
        <f>Gia_Tbi!E9</f>
        <v>8</v>
      </c>
      <c r="F459" s="86">
        <f>Gia_Tbi!F9</f>
        <v>45200000</v>
      </c>
      <c r="G459" s="87">
        <f>Gia_Tbi!G9</f>
        <v>11300</v>
      </c>
      <c r="H459" s="296" t="e">
        <f>(H455*D455+H456*D456+H457*D457+H458*D458)*8</f>
        <v>#REF!</v>
      </c>
      <c r="I459" s="120" t="e">
        <f>G459*H459*E459</f>
        <v>#REF!</v>
      </c>
      <c r="K459" s="77">
        <v>454</v>
      </c>
    </row>
    <row r="460" spans="1:11" s="81" customFormat="1">
      <c r="A460" s="31" t="e">
        <f>#REF!</f>
        <v>#REF!</v>
      </c>
      <c r="B460" s="32" t="e">
        <f>#REF!</f>
        <v>#REF!</v>
      </c>
      <c r="C460" s="15"/>
      <c r="D460" s="15"/>
      <c r="E460" s="15"/>
      <c r="F460" s="78"/>
      <c r="G460" s="79"/>
      <c r="H460" s="111"/>
      <c r="I460" s="80" t="e">
        <f>SUM(I461:I464)</f>
        <v>#REF!</v>
      </c>
      <c r="K460" s="77">
        <v>455</v>
      </c>
    </row>
    <row r="461" spans="1:11">
      <c r="A461" s="13">
        <v>1</v>
      </c>
      <c r="B461" s="5" t="s">
        <v>82</v>
      </c>
      <c r="C461" s="6" t="str">
        <f>Gia_Tbi!C4</f>
        <v>Cái</v>
      </c>
      <c r="D461" s="6">
        <f>Gia_Tbi!D4</f>
        <v>0.4</v>
      </c>
      <c r="E461" s="6">
        <f>Gia_Tbi!E4</f>
        <v>5</v>
      </c>
      <c r="F461" s="82">
        <f>Gia_Tbi!F4</f>
        <v>10000000</v>
      </c>
      <c r="G461" s="83">
        <f>Gia_Tbi!G4</f>
        <v>4000</v>
      </c>
      <c r="H461" s="302">
        <v>3.4599999999999999E-2</v>
      </c>
      <c r="I461" s="84">
        <f>G461*H461</f>
        <v>138.4</v>
      </c>
      <c r="K461" s="77">
        <v>456</v>
      </c>
    </row>
    <row r="462" spans="1:11">
      <c r="A462" s="13">
        <v>2</v>
      </c>
      <c r="B462" s="5" t="s">
        <v>83</v>
      </c>
      <c r="C462" s="6" t="str">
        <f>Gia_Tbi!C5</f>
        <v>Cái</v>
      </c>
      <c r="D462" s="6">
        <f>Gia_Tbi!D5</f>
        <v>0.6</v>
      </c>
      <c r="E462" s="6">
        <f>Gia_Tbi!E5</f>
        <v>5</v>
      </c>
      <c r="F462" s="82">
        <f>Gia_Tbi!F5</f>
        <v>2500000</v>
      </c>
      <c r="G462" s="83">
        <f>Gia_Tbi!G5</f>
        <v>1000</v>
      </c>
      <c r="H462" s="302">
        <v>1.6999999999999999E-3</v>
      </c>
      <c r="I462" s="84">
        <f>G462*H462</f>
        <v>1.7</v>
      </c>
      <c r="K462" s="77">
        <v>457</v>
      </c>
    </row>
    <row r="463" spans="1:11">
      <c r="A463" s="13">
        <v>3</v>
      </c>
      <c r="B463" s="5" t="s">
        <v>25</v>
      </c>
      <c r="C463" s="6" t="str">
        <f>Gia_Tbi!C6</f>
        <v>Cái</v>
      </c>
      <c r="D463" s="6">
        <f>Gia_Tbi!D6</f>
        <v>2.2000000000000002</v>
      </c>
      <c r="E463" s="6">
        <f>Gia_Tbi!E6</f>
        <v>8</v>
      </c>
      <c r="F463" s="82">
        <f>Gia_Tbi!F6</f>
        <v>12000000</v>
      </c>
      <c r="G463" s="83">
        <f>Gia_Tbi!G6</f>
        <v>3000</v>
      </c>
      <c r="H463" s="302">
        <v>1.15E-2</v>
      </c>
      <c r="I463" s="84">
        <f>G463*H463</f>
        <v>34.5</v>
      </c>
      <c r="K463" s="77">
        <v>458</v>
      </c>
    </row>
    <row r="464" spans="1:11">
      <c r="A464" s="13">
        <v>4</v>
      </c>
      <c r="B464" s="5" t="s">
        <v>24</v>
      </c>
      <c r="C464" s="6" t="e">
        <f>Gia_Tbi!#REF!</f>
        <v>#REF!</v>
      </c>
      <c r="D464" s="6" t="e">
        <f>Gia_Tbi!#REF!</f>
        <v>#REF!</v>
      </c>
      <c r="E464" s="6" t="e">
        <f>Gia_Tbi!#REF!</f>
        <v>#REF!</v>
      </c>
      <c r="F464" s="82" t="e">
        <f>Gia_Tbi!#REF!</f>
        <v>#REF!</v>
      </c>
      <c r="G464" s="83" t="e">
        <f>Gia_Tbi!#REF!</f>
        <v>#REF!</v>
      </c>
      <c r="H464" s="302">
        <v>1.4E-3</v>
      </c>
      <c r="I464" s="84" t="e">
        <f>G464*H464</f>
        <v>#REF!</v>
      </c>
      <c r="K464" s="77">
        <v>459</v>
      </c>
    </row>
    <row r="465" spans="1:11">
      <c r="A465" s="40">
        <v>5</v>
      </c>
      <c r="B465" s="41" t="s">
        <v>8</v>
      </c>
      <c r="C465" s="42" t="str">
        <f>Gia_Tbi!C9</f>
        <v>Cái</v>
      </c>
      <c r="D465" s="42">
        <f>Gia_Tbi!D9</f>
        <v>0.8</v>
      </c>
      <c r="E465" s="117">
        <f>Gia_Tbi!E9</f>
        <v>8</v>
      </c>
      <c r="F465" s="86">
        <f>Gia_Tbi!F9</f>
        <v>45200000</v>
      </c>
      <c r="G465" s="87">
        <f>Gia_Tbi!G9</f>
        <v>11300</v>
      </c>
      <c r="H465" s="296" t="e">
        <f>(H461*D461+H462*D462+H463*D463+H464*D464)*8</f>
        <v>#REF!</v>
      </c>
      <c r="I465" s="120" t="e">
        <f>G465*H465*E465</f>
        <v>#REF!</v>
      </c>
      <c r="K465" s="77">
        <v>460</v>
      </c>
    </row>
    <row r="466" spans="1:11" s="81" customFormat="1">
      <c r="A466" s="31" t="e">
        <f>#REF!</f>
        <v>#REF!</v>
      </c>
      <c r="B466" s="32" t="e">
        <f>#REF!</f>
        <v>#REF!</v>
      </c>
      <c r="C466" s="15"/>
      <c r="D466" s="15"/>
      <c r="E466" s="15"/>
      <c r="F466" s="78"/>
      <c r="G466" s="79"/>
      <c r="H466" s="111"/>
      <c r="I466" s="80" t="e">
        <f>I447</f>
        <v>#REF!</v>
      </c>
      <c r="K466" s="77">
        <v>461</v>
      </c>
    </row>
    <row r="467" spans="1:11" s="81" customFormat="1">
      <c r="A467" s="31" t="e">
        <f>#REF!</f>
        <v>#REF!</v>
      </c>
      <c r="B467" s="32" t="e">
        <f>#REF!</f>
        <v>#REF!</v>
      </c>
      <c r="C467" s="15"/>
      <c r="D467" s="15"/>
      <c r="E467" s="15"/>
      <c r="F467" s="78"/>
      <c r="G467" s="79"/>
      <c r="H467" s="111"/>
      <c r="I467" s="80" t="e">
        <f>SUM(I468:I471)</f>
        <v>#REF!</v>
      </c>
      <c r="K467" s="77">
        <v>462</v>
      </c>
    </row>
    <row r="468" spans="1:11">
      <c r="A468" s="13">
        <v>1</v>
      </c>
      <c r="B468" s="5" t="s">
        <v>82</v>
      </c>
      <c r="C468" s="6" t="str">
        <f>Gia_Tbi!C4</f>
        <v>Cái</v>
      </c>
      <c r="D468" s="6">
        <f>Gia_Tbi!D4</f>
        <v>0.4</v>
      </c>
      <c r="E468" s="6">
        <f>Gia_Tbi!E4</f>
        <v>5</v>
      </c>
      <c r="F468" s="82">
        <f>Gia_Tbi!F4</f>
        <v>10000000</v>
      </c>
      <c r="G468" s="83">
        <f>Gia_Tbi!G4</f>
        <v>4000</v>
      </c>
      <c r="H468" s="302">
        <v>8.8300000000000003E-2</v>
      </c>
      <c r="I468" s="84">
        <f>G468*H468</f>
        <v>353.2</v>
      </c>
      <c r="K468" s="77">
        <v>463</v>
      </c>
    </row>
    <row r="469" spans="1:11">
      <c r="A469" s="13">
        <v>2</v>
      </c>
      <c r="B469" s="5" t="s">
        <v>83</v>
      </c>
      <c r="C469" s="6" t="str">
        <f>Gia_Tbi!C5</f>
        <v>Cái</v>
      </c>
      <c r="D469" s="6">
        <f>Gia_Tbi!D5</f>
        <v>0.6</v>
      </c>
      <c r="E469" s="6">
        <f>Gia_Tbi!E5</f>
        <v>5</v>
      </c>
      <c r="F469" s="82">
        <f>Gia_Tbi!F5</f>
        <v>2500000</v>
      </c>
      <c r="G469" s="83">
        <f>Gia_Tbi!G5</f>
        <v>1000</v>
      </c>
      <c r="H469" s="302">
        <v>4.4000000000000003E-3</v>
      </c>
      <c r="I469" s="84">
        <f>G469*H469</f>
        <v>4.4000000000000004</v>
      </c>
      <c r="K469" s="77">
        <v>464</v>
      </c>
    </row>
    <row r="470" spans="1:11">
      <c r="A470" s="13">
        <v>3</v>
      </c>
      <c r="B470" s="5" t="s">
        <v>25</v>
      </c>
      <c r="C470" s="6" t="str">
        <f>Gia_Tbi!C6</f>
        <v>Cái</v>
      </c>
      <c r="D470" s="6">
        <f>Gia_Tbi!D6</f>
        <v>2.2000000000000002</v>
      </c>
      <c r="E470" s="6">
        <f>Gia_Tbi!E6</f>
        <v>8</v>
      </c>
      <c r="F470" s="82">
        <f>Gia_Tbi!F6</f>
        <v>12000000</v>
      </c>
      <c r="G470" s="83">
        <f>Gia_Tbi!G6</f>
        <v>3000</v>
      </c>
      <c r="H470" s="302">
        <v>2.9399999999999999E-2</v>
      </c>
      <c r="I470" s="84">
        <f>G470*H470</f>
        <v>88.2</v>
      </c>
      <c r="K470" s="77">
        <v>465</v>
      </c>
    </row>
    <row r="471" spans="1:11">
      <c r="A471" s="13">
        <v>4</v>
      </c>
      <c r="B471" s="5" t="s">
        <v>24</v>
      </c>
      <c r="C471" s="6" t="e">
        <f>Gia_Tbi!#REF!</f>
        <v>#REF!</v>
      </c>
      <c r="D471" s="6" t="e">
        <f>Gia_Tbi!#REF!</f>
        <v>#REF!</v>
      </c>
      <c r="E471" s="6" t="e">
        <f>Gia_Tbi!#REF!</f>
        <v>#REF!</v>
      </c>
      <c r="F471" s="82" t="e">
        <f>Gia_Tbi!#REF!</f>
        <v>#REF!</v>
      </c>
      <c r="G471" s="83" t="e">
        <f>Gia_Tbi!#REF!</f>
        <v>#REF!</v>
      </c>
      <c r="H471" s="302">
        <v>3.5000000000000001E-3</v>
      </c>
      <c r="I471" s="84" t="e">
        <f>G471*H471</f>
        <v>#REF!</v>
      </c>
      <c r="K471" s="77">
        <v>466</v>
      </c>
    </row>
    <row r="472" spans="1:11">
      <c r="A472" s="40">
        <v>5</v>
      </c>
      <c r="B472" s="41" t="s">
        <v>8</v>
      </c>
      <c r="C472" s="42" t="str">
        <f>Gia_Tbi!C9</f>
        <v>Cái</v>
      </c>
      <c r="D472" s="42">
        <f>Gia_Tbi!D9</f>
        <v>0.8</v>
      </c>
      <c r="E472" s="117">
        <f>Gia_Tbi!E9</f>
        <v>8</v>
      </c>
      <c r="F472" s="86">
        <f>Gia_Tbi!F9</f>
        <v>45200000</v>
      </c>
      <c r="G472" s="87">
        <f>Gia_Tbi!G9</f>
        <v>11300</v>
      </c>
      <c r="H472" s="296" t="e">
        <f>(H468*D468+H469*D469+H470*D470+H471*D471)*8</f>
        <v>#REF!</v>
      </c>
      <c r="I472" s="120" t="e">
        <f>G472*H472*E472</f>
        <v>#REF!</v>
      </c>
      <c r="K472" s="77">
        <v>467</v>
      </c>
    </row>
    <row r="473" spans="1:11" s="4" customFormat="1">
      <c r="A473" s="12" t="e">
        <f>#REF!</f>
        <v>#REF!</v>
      </c>
      <c r="B473" s="8" t="e">
        <f>#REF!</f>
        <v>#REF!</v>
      </c>
      <c r="C473" s="7"/>
      <c r="D473" s="7"/>
      <c r="E473" s="7"/>
      <c r="F473" s="93"/>
      <c r="G473" s="94"/>
      <c r="H473" s="298"/>
      <c r="I473" s="95"/>
      <c r="K473" s="77">
        <v>468</v>
      </c>
    </row>
    <row r="474" spans="1:11">
      <c r="A474" s="13" t="e">
        <f>#REF!</f>
        <v>#REF!</v>
      </c>
      <c r="B474" s="5" t="e">
        <f>#REF!</f>
        <v>#REF!</v>
      </c>
      <c r="C474" s="6"/>
      <c r="D474" s="6"/>
      <c r="E474" s="6"/>
      <c r="F474" s="82"/>
      <c r="G474" s="83"/>
      <c r="H474" s="295"/>
      <c r="I474" s="84"/>
      <c r="K474" s="77">
        <v>469</v>
      </c>
    </row>
    <row r="475" spans="1:11">
      <c r="A475" s="13" t="e">
        <f>#REF!</f>
        <v>#REF!</v>
      </c>
      <c r="B475" s="5" t="e">
        <f>#REF!</f>
        <v>#REF!</v>
      </c>
      <c r="C475" s="6"/>
      <c r="D475" s="6"/>
      <c r="E475" s="6"/>
      <c r="F475" s="82"/>
      <c r="G475" s="83"/>
      <c r="H475" s="295"/>
      <c r="I475" s="84"/>
      <c r="K475" s="77">
        <v>470</v>
      </c>
    </row>
    <row r="476" spans="1:11">
      <c r="A476" s="13" t="e">
        <f>#REF!</f>
        <v>#REF!</v>
      </c>
      <c r="B476" s="5" t="e">
        <f>#REF!</f>
        <v>#REF!</v>
      </c>
      <c r="C476" s="6"/>
      <c r="D476" s="6"/>
      <c r="E476" s="6"/>
      <c r="F476" s="82"/>
      <c r="G476" s="83"/>
      <c r="H476" s="295"/>
      <c r="I476" s="84"/>
      <c r="K476" s="77">
        <v>471</v>
      </c>
    </row>
    <row r="477" spans="1:11">
      <c r="A477" s="13" t="e">
        <f>#REF!</f>
        <v>#REF!</v>
      </c>
      <c r="B477" s="5" t="e">
        <f>#REF!</f>
        <v>#REF!</v>
      </c>
      <c r="C477" s="6"/>
      <c r="D477" s="6"/>
      <c r="E477" s="6"/>
      <c r="F477" s="82"/>
      <c r="G477" s="83"/>
      <c r="H477" s="295"/>
      <c r="I477" s="84" t="e">
        <f>I435</f>
        <v>#REF!</v>
      </c>
      <c r="K477" s="77">
        <v>472</v>
      </c>
    </row>
    <row r="478" spans="1:11">
      <c r="A478" s="40"/>
      <c r="B478" s="41" t="s">
        <v>8</v>
      </c>
      <c r="C478" s="42" t="str">
        <f>Gia_Tbi!C9</f>
        <v>Cái</v>
      </c>
      <c r="D478" s="42">
        <f>Gia_Tbi!D9</f>
        <v>0.8</v>
      </c>
      <c r="E478" s="117">
        <f>Gia_Tbi!E9</f>
        <v>8</v>
      </c>
      <c r="F478" s="86">
        <f>Gia_Tbi!F9</f>
        <v>45200000</v>
      </c>
      <c r="G478" s="87">
        <f>Gia_Tbi!G9</f>
        <v>11300</v>
      </c>
      <c r="H478" s="296"/>
      <c r="I478" s="88" t="e">
        <f>I440</f>
        <v>#REF!</v>
      </c>
      <c r="K478" s="77">
        <v>473</v>
      </c>
    </row>
    <row r="479" spans="1:11">
      <c r="A479" s="13" t="e">
        <f>#REF!</f>
        <v>#REF!</v>
      </c>
      <c r="B479" s="5" t="e">
        <f>#REF!</f>
        <v>#REF!</v>
      </c>
      <c r="C479" s="6"/>
      <c r="D479" s="6"/>
      <c r="E479" s="6"/>
      <c r="F479" s="82"/>
      <c r="G479" s="83"/>
      <c r="H479" s="295"/>
      <c r="I479" s="84" t="e">
        <f>I441</f>
        <v>#REF!</v>
      </c>
      <c r="K479" s="77">
        <v>474</v>
      </c>
    </row>
    <row r="480" spans="1:11">
      <c r="A480" s="40"/>
      <c r="B480" s="41" t="s">
        <v>8</v>
      </c>
      <c r="C480" s="42" t="str">
        <f>Gia_Tbi!C9</f>
        <v>Cái</v>
      </c>
      <c r="D480" s="42">
        <f>Gia_Tbi!D9</f>
        <v>0.8</v>
      </c>
      <c r="E480" s="117">
        <f>Gia_Tbi!E9</f>
        <v>8</v>
      </c>
      <c r="F480" s="86">
        <f>Gia_Tbi!F9</f>
        <v>45200000</v>
      </c>
      <c r="G480" s="87">
        <f>Gia_Tbi!G9</f>
        <v>11300</v>
      </c>
      <c r="H480" s="296"/>
      <c r="I480" s="88" t="e">
        <f>I446</f>
        <v>#REF!</v>
      </c>
      <c r="K480" s="77">
        <v>475</v>
      </c>
    </row>
    <row r="481" spans="1:11">
      <c r="A481" s="13" t="e">
        <f>#REF!</f>
        <v>#REF!</v>
      </c>
      <c r="B481" s="5" t="e">
        <f>#REF!</f>
        <v>#REF!</v>
      </c>
      <c r="C481" s="6"/>
      <c r="D481" s="6"/>
      <c r="E481" s="6"/>
      <c r="F481" s="82"/>
      <c r="G481" s="83"/>
      <c r="H481" s="295"/>
      <c r="I481" s="84"/>
      <c r="K481" s="77">
        <v>476</v>
      </c>
    </row>
    <row r="482" spans="1:11">
      <c r="A482" s="13" t="e">
        <f>#REF!</f>
        <v>#REF!</v>
      </c>
      <c r="B482" s="5" t="e">
        <f>#REF!</f>
        <v>#REF!</v>
      </c>
      <c r="C482" s="6"/>
      <c r="D482" s="6"/>
      <c r="E482" s="6"/>
      <c r="F482" s="82"/>
      <c r="G482" s="83"/>
      <c r="H482" s="295"/>
      <c r="I482" s="84" t="e">
        <f>I454</f>
        <v>#REF!</v>
      </c>
      <c r="K482" s="77">
        <v>477</v>
      </c>
    </row>
    <row r="483" spans="1:11">
      <c r="A483" s="40"/>
      <c r="B483" s="41" t="s">
        <v>8</v>
      </c>
      <c r="C483" s="42" t="str">
        <f>Gia_Tbi!C9</f>
        <v>Cái</v>
      </c>
      <c r="D483" s="42">
        <f>Gia_Tbi!D9</f>
        <v>0.8</v>
      </c>
      <c r="E483" s="117">
        <f>Gia_Tbi!E9</f>
        <v>8</v>
      </c>
      <c r="F483" s="86">
        <f>Gia_Tbi!F9</f>
        <v>45200000</v>
      </c>
      <c r="G483" s="87">
        <f>Gia_Tbi!G9</f>
        <v>11300</v>
      </c>
      <c r="H483" s="296"/>
      <c r="I483" s="88" t="e">
        <f>I459</f>
        <v>#REF!</v>
      </c>
      <c r="K483" s="77">
        <v>478</v>
      </c>
    </row>
    <row r="484" spans="1:11">
      <c r="A484" s="13" t="e">
        <f>#REF!</f>
        <v>#REF!</v>
      </c>
      <c r="B484" s="5" t="e">
        <f>#REF!</f>
        <v>#REF!</v>
      </c>
      <c r="C484" s="6"/>
      <c r="D484" s="6"/>
      <c r="E484" s="6"/>
      <c r="F484" s="82"/>
      <c r="G484" s="83"/>
      <c r="H484" s="295"/>
      <c r="I484" s="84" t="e">
        <f>I460</f>
        <v>#REF!</v>
      </c>
      <c r="K484" s="77">
        <v>479</v>
      </c>
    </row>
    <row r="485" spans="1:11">
      <c r="A485" s="40"/>
      <c r="B485" s="41" t="s">
        <v>8</v>
      </c>
      <c r="C485" s="42" t="str">
        <f>Gia_Tbi!C9</f>
        <v>Cái</v>
      </c>
      <c r="D485" s="42">
        <f>Gia_Tbi!D9</f>
        <v>0.8</v>
      </c>
      <c r="E485" s="117">
        <f>Gia_Tbi!E9</f>
        <v>8</v>
      </c>
      <c r="F485" s="86">
        <f>Gia_Tbi!F9</f>
        <v>45200000</v>
      </c>
      <c r="G485" s="87">
        <f>Gia_Tbi!G9</f>
        <v>11300</v>
      </c>
      <c r="H485" s="296"/>
      <c r="I485" s="88" t="e">
        <f>I465</f>
        <v>#REF!</v>
      </c>
      <c r="K485" s="77">
        <v>480</v>
      </c>
    </row>
    <row r="486" spans="1:11">
      <c r="A486" s="13" t="e">
        <f>#REF!</f>
        <v>#REF!</v>
      </c>
      <c r="B486" s="5" t="e">
        <f>#REF!</f>
        <v>#REF!</v>
      </c>
      <c r="C486" s="6"/>
      <c r="D486" s="6"/>
      <c r="E486" s="6"/>
      <c r="F486" s="82"/>
      <c r="G486" s="83"/>
      <c r="H486" s="295"/>
      <c r="I486" s="84" t="e">
        <f>I466</f>
        <v>#REF!</v>
      </c>
      <c r="K486" s="77">
        <v>481</v>
      </c>
    </row>
    <row r="487" spans="1:11">
      <c r="A487" s="40"/>
      <c r="B487" s="41" t="s">
        <v>8</v>
      </c>
      <c r="C487" s="42" t="str">
        <f>Gia_Tbi!C9</f>
        <v>Cái</v>
      </c>
      <c r="D487" s="42">
        <f>Gia_Tbi!D9</f>
        <v>0.8</v>
      </c>
      <c r="E487" s="117">
        <f>Gia_Tbi!E9</f>
        <v>8</v>
      </c>
      <c r="F487" s="86">
        <f>Gia_Tbi!F9</f>
        <v>45200000</v>
      </c>
      <c r="G487" s="87">
        <f>Gia_Tbi!G9</f>
        <v>11300</v>
      </c>
      <c r="H487" s="296"/>
      <c r="I487" s="88" t="e">
        <f>I452</f>
        <v>#REF!</v>
      </c>
      <c r="K487" s="77">
        <v>482</v>
      </c>
    </row>
    <row r="488" spans="1:11" s="81" customFormat="1">
      <c r="A488" s="31" t="e">
        <f>#REF!</f>
        <v>#REF!</v>
      </c>
      <c r="B488" s="32" t="e">
        <f>#REF!</f>
        <v>#REF!</v>
      </c>
      <c r="C488" s="15"/>
      <c r="D488" s="15"/>
      <c r="E488" s="15"/>
      <c r="F488" s="78"/>
      <c r="G488" s="79"/>
      <c r="H488" s="111"/>
      <c r="I488" s="80" t="e">
        <f>I467</f>
        <v>#REF!</v>
      </c>
      <c r="K488" s="77">
        <v>483</v>
      </c>
    </row>
    <row r="489" spans="1:11">
      <c r="A489" s="40"/>
      <c r="B489" s="41" t="s">
        <v>8</v>
      </c>
      <c r="C489" s="42" t="str">
        <f>Gia_Tbi!C9</f>
        <v>Cái</v>
      </c>
      <c r="D489" s="42">
        <f>Gia_Tbi!D9</f>
        <v>0.8</v>
      </c>
      <c r="E489" s="117">
        <f>Gia_Tbi!E9</f>
        <v>8</v>
      </c>
      <c r="F489" s="86">
        <f>Gia_Tbi!F9</f>
        <v>45200000</v>
      </c>
      <c r="G489" s="87">
        <f>Gia_Tbi!G9</f>
        <v>11300</v>
      </c>
      <c r="H489" s="296"/>
      <c r="I489" s="88" t="e">
        <f>I472</f>
        <v>#REF!</v>
      </c>
      <c r="K489" s="77">
        <v>484</v>
      </c>
    </row>
    <row r="490" spans="1:11" s="81" customFormat="1">
      <c r="A490" s="55" t="e">
        <f>#REF!</f>
        <v>#REF!</v>
      </c>
      <c r="B490" s="56" t="e">
        <f>#REF!</f>
        <v>#REF!</v>
      </c>
      <c r="C490" s="57"/>
      <c r="D490" s="57"/>
      <c r="E490" s="57"/>
      <c r="F490" s="96"/>
      <c r="G490" s="92"/>
      <c r="H490" s="110"/>
      <c r="I490" s="97"/>
      <c r="K490" s="77">
        <v>485</v>
      </c>
    </row>
    <row r="491" spans="1:11">
      <c r="A491" s="13" t="e">
        <f>#REF!</f>
        <v>#REF!</v>
      </c>
      <c r="B491" s="5" t="e">
        <f>#REF!</f>
        <v>#REF!</v>
      </c>
      <c r="C491" s="6"/>
      <c r="D491" s="6"/>
      <c r="E491" s="6"/>
      <c r="F491" s="82"/>
      <c r="G491" s="83"/>
      <c r="H491" s="295"/>
      <c r="I491" s="84"/>
      <c r="K491" s="77">
        <v>486</v>
      </c>
    </row>
    <row r="492" spans="1:11">
      <c r="A492" s="13" t="e">
        <f>#REF!</f>
        <v>#REF!</v>
      </c>
      <c r="B492" s="5" t="e">
        <f>#REF!</f>
        <v>#REF!</v>
      </c>
      <c r="C492" s="6"/>
      <c r="D492" s="6"/>
      <c r="E492" s="6"/>
      <c r="F492" s="82"/>
      <c r="G492" s="83"/>
      <c r="H492" s="295"/>
      <c r="I492" s="84"/>
      <c r="K492" s="77">
        <v>487</v>
      </c>
    </row>
    <row r="493" spans="1:11">
      <c r="A493" s="13" t="e">
        <f>#REF!</f>
        <v>#REF!</v>
      </c>
      <c r="B493" s="5" t="e">
        <f>#REF!</f>
        <v>#REF!</v>
      </c>
      <c r="C493" s="6"/>
      <c r="D493" s="6"/>
      <c r="E493" s="6"/>
      <c r="F493" s="82"/>
      <c r="G493" s="83"/>
      <c r="H493" s="295"/>
      <c r="I493" s="84" t="e">
        <f>I477</f>
        <v>#REF!</v>
      </c>
      <c r="K493" s="77">
        <v>488</v>
      </c>
    </row>
    <row r="494" spans="1:11">
      <c r="A494" s="40"/>
      <c r="B494" s="41" t="s">
        <v>8</v>
      </c>
      <c r="C494" s="42" t="str">
        <f>Gia_Tbi!C9</f>
        <v>Cái</v>
      </c>
      <c r="D494" s="42">
        <f>Gia_Tbi!D9</f>
        <v>0.8</v>
      </c>
      <c r="E494" s="117">
        <f>Gia_Tbi!E9</f>
        <v>8</v>
      </c>
      <c r="F494" s="86">
        <f>Gia_Tbi!F9</f>
        <v>45200000</v>
      </c>
      <c r="G494" s="87">
        <f>Gia_Tbi!G9</f>
        <v>11300</v>
      </c>
      <c r="H494" s="296"/>
      <c r="I494" s="88" t="e">
        <f>I478</f>
        <v>#REF!</v>
      </c>
      <c r="K494" s="77">
        <v>489</v>
      </c>
    </row>
    <row r="495" spans="1:11">
      <c r="A495" s="13" t="e">
        <f>#REF!</f>
        <v>#REF!</v>
      </c>
      <c r="B495" s="5" t="e">
        <f>#REF!</f>
        <v>#REF!</v>
      </c>
      <c r="C495" s="6"/>
      <c r="D495" s="6"/>
      <c r="E495" s="6"/>
      <c r="F495" s="82"/>
      <c r="G495" s="83"/>
      <c r="H495" s="295"/>
      <c r="I495" s="84" t="e">
        <f>I479</f>
        <v>#REF!</v>
      </c>
      <c r="K495" s="77">
        <v>490</v>
      </c>
    </row>
    <row r="496" spans="1:11">
      <c r="A496" s="40"/>
      <c r="B496" s="41" t="s">
        <v>8</v>
      </c>
      <c r="C496" s="42" t="str">
        <f>Gia_Tbi!C9</f>
        <v>Cái</v>
      </c>
      <c r="D496" s="42">
        <f>Gia_Tbi!D9</f>
        <v>0.8</v>
      </c>
      <c r="E496" s="117">
        <f>Gia_Tbi!E9</f>
        <v>8</v>
      </c>
      <c r="F496" s="86">
        <f>Gia_Tbi!F9</f>
        <v>45200000</v>
      </c>
      <c r="G496" s="87">
        <f>Gia_Tbi!G9</f>
        <v>11300</v>
      </c>
      <c r="H496" s="296"/>
      <c r="I496" s="88" t="e">
        <f>I480</f>
        <v>#REF!</v>
      </c>
      <c r="K496" s="77">
        <v>491</v>
      </c>
    </row>
    <row r="497" spans="1:11">
      <c r="A497" s="13" t="e">
        <f>#REF!</f>
        <v>#REF!</v>
      </c>
      <c r="B497" s="5" t="e">
        <f>#REF!</f>
        <v>#REF!</v>
      </c>
      <c r="C497" s="6"/>
      <c r="D497" s="6"/>
      <c r="E497" s="6"/>
      <c r="F497" s="82"/>
      <c r="G497" s="83"/>
      <c r="H497" s="295"/>
      <c r="I497" s="84" t="e">
        <f>I486</f>
        <v>#REF!</v>
      </c>
      <c r="K497" s="77">
        <v>492</v>
      </c>
    </row>
    <row r="498" spans="1:11">
      <c r="A498" s="40"/>
      <c r="B498" s="41" t="s">
        <v>8</v>
      </c>
      <c r="C498" s="42" t="str">
        <f>Gia_Tbi!C9</f>
        <v>Cái</v>
      </c>
      <c r="D498" s="42">
        <f>Gia_Tbi!D9</f>
        <v>0.8</v>
      </c>
      <c r="E498" s="117">
        <f>Gia_Tbi!E9</f>
        <v>8</v>
      </c>
      <c r="F498" s="86">
        <f>Gia_Tbi!F9</f>
        <v>45200000</v>
      </c>
      <c r="G498" s="87">
        <f>Gia_Tbi!G9</f>
        <v>11300</v>
      </c>
      <c r="H498" s="296"/>
      <c r="I498" s="88" t="e">
        <f>I487</f>
        <v>#REF!</v>
      </c>
      <c r="K498" s="77">
        <v>493</v>
      </c>
    </row>
    <row r="499" spans="1:11">
      <c r="A499" s="13" t="e">
        <f>#REF!</f>
        <v>#REF!</v>
      </c>
      <c r="B499" s="5" t="e">
        <f>#REF!</f>
        <v>#REF!</v>
      </c>
      <c r="C499" s="6"/>
      <c r="D499" s="6"/>
      <c r="E499" s="6"/>
      <c r="F499" s="82"/>
      <c r="G499" s="83"/>
      <c r="H499" s="295"/>
      <c r="I499" s="84"/>
      <c r="K499" s="77">
        <v>494</v>
      </c>
    </row>
    <row r="500" spans="1:11">
      <c r="A500" s="13" t="e">
        <f>#REF!</f>
        <v>#REF!</v>
      </c>
      <c r="B500" s="5" t="e">
        <f>#REF!</f>
        <v>#REF!</v>
      </c>
      <c r="C500" s="6"/>
      <c r="D500" s="6"/>
      <c r="E500" s="6"/>
      <c r="F500" s="82"/>
      <c r="G500" s="83"/>
      <c r="H500" s="295"/>
      <c r="I500" s="84" t="e">
        <f>I482</f>
        <v>#REF!</v>
      </c>
      <c r="K500" s="77">
        <v>495</v>
      </c>
    </row>
    <row r="501" spans="1:11">
      <c r="A501" s="40"/>
      <c r="B501" s="41" t="s">
        <v>8</v>
      </c>
      <c r="C501" s="42" t="str">
        <f>Gia_Tbi!C9</f>
        <v>Cái</v>
      </c>
      <c r="D501" s="42">
        <f>Gia_Tbi!D9</f>
        <v>0.8</v>
      </c>
      <c r="E501" s="117">
        <f>Gia_Tbi!E9</f>
        <v>8</v>
      </c>
      <c r="F501" s="86">
        <f>Gia_Tbi!F9</f>
        <v>45200000</v>
      </c>
      <c r="G501" s="87">
        <f>Gia_Tbi!G9</f>
        <v>11300</v>
      </c>
      <c r="H501" s="296"/>
      <c r="I501" s="88" t="e">
        <f>I483</f>
        <v>#REF!</v>
      </c>
      <c r="K501" s="77">
        <v>496</v>
      </c>
    </row>
    <row r="502" spans="1:11">
      <c r="A502" s="40" t="e">
        <f>#REF!</f>
        <v>#REF!</v>
      </c>
      <c r="B502" s="41" t="e">
        <f>#REF!</f>
        <v>#REF!</v>
      </c>
      <c r="C502" s="42"/>
      <c r="D502" s="42"/>
      <c r="E502" s="42"/>
      <c r="F502" s="86"/>
      <c r="G502" s="87"/>
      <c r="H502" s="296"/>
      <c r="I502" s="88" t="e">
        <f>I484</f>
        <v>#REF!</v>
      </c>
      <c r="K502" s="77">
        <v>497</v>
      </c>
    </row>
    <row r="503" spans="1:11">
      <c r="A503" s="40"/>
      <c r="B503" s="41" t="s">
        <v>8</v>
      </c>
      <c r="C503" s="42" t="str">
        <f>Gia_Tbi!C9</f>
        <v>Cái</v>
      </c>
      <c r="D503" s="42">
        <f>Gia_Tbi!D9</f>
        <v>0.8</v>
      </c>
      <c r="E503" s="117">
        <f>Gia_Tbi!E9</f>
        <v>8</v>
      </c>
      <c r="F503" s="86">
        <f>Gia_Tbi!F9</f>
        <v>45200000</v>
      </c>
      <c r="G503" s="87">
        <f>Gia_Tbi!G9</f>
        <v>11300</v>
      </c>
      <c r="H503" s="296"/>
      <c r="I503" s="88" t="e">
        <f>I485</f>
        <v>#REF!</v>
      </c>
      <c r="K503" s="77">
        <v>498</v>
      </c>
    </row>
    <row r="504" spans="1:11" s="81" customFormat="1">
      <c r="A504" s="55" t="e">
        <f>#REF!</f>
        <v>#REF!</v>
      </c>
      <c r="B504" s="56" t="e">
        <f>#REF!</f>
        <v>#REF!</v>
      </c>
      <c r="C504" s="57"/>
      <c r="D504" s="57"/>
      <c r="E504" s="57"/>
      <c r="F504" s="96"/>
      <c r="G504" s="92"/>
      <c r="H504" s="110"/>
      <c r="I504" s="97" t="e">
        <f>I488</f>
        <v>#REF!</v>
      </c>
      <c r="K504" s="77">
        <v>499</v>
      </c>
    </row>
    <row r="505" spans="1:11">
      <c r="A505" s="40"/>
      <c r="B505" s="41" t="s">
        <v>8</v>
      </c>
      <c r="C505" s="42" t="str">
        <f>Gia_Tbi!C9</f>
        <v>Cái</v>
      </c>
      <c r="D505" s="42">
        <f>Gia_Tbi!D9</f>
        <v>0.8</v>
      </c>
      <c r="E505" s="117">
        <f>Gia_Tbi!E9</f>
        <v>8</v>
      </c>
      <c r="F505" s="86">
        <f>Gia_Tbi!F9</f>
        <v>45200000</v>
      </c>
      <c r="G505" s="87">
        <f>Gia_Tbi!G9</f>
        <v>11300</v>
      </c>
      <c r="H505" s="296"/>
      <c r="I505" s="88" t="e">
        <f>I489</f>
        <v>#REF!</v>
      </c>
      <c r="K505" s="77">
        <v>500</v>
      </c>
    </row>
    <row r="506" spans="1:11" s="81" customFormat="1">
      <c r="A506" s="31" t="e">
        <f>#REF!</f>
        <v>#REF!</v>
      </c>
      <c r="B506" s="32" t="e">
        <f>#REF!</f>
        <v>#REF!</v>
      </c>
      <c r="C506" s="15"/>
      <c r="D506" s="15"/>
      <c r="E506" s="15"/>
      <c r="F506" s="78"/>
      <c r="G506" s="79"/>
      <c r="H506" s="111"/>
      <c r="I506" s="80"/>
      <c r="K506" s="77">
        <v>501</v>
      </c>
    </row>
    <row r="507" spans="1:11" s="81" customFormat="1">
      <c r="A507" s="31" t="e">
        <f>#REF!</f>
        <v>#REF!</v>
      </c>
      <c r="B507" s="32" t="e">
        <f>#REF!</f>
        <v>#REF!</v>
      </c>
      <c r="C507" s="15"/>
      <c r="D507" s="15"/>
      <c r="E507" s="15"/>
      <c r="F507" s="78"/>
      <c r="G507" s="79"/>
      <c r="H507" s="111"/>
      <c r="I507" s="80" t="e">
        <f>SUM(I508:I511)</f>
        <v>#REF!</v>
      </c>
      <c r="K507" s="77">
        <v>502</v>
      </c>
    </row>
    <row r="508" spans="1:11">
      <c r="A508" s="13">
        <v>1</v>
      </c>
      <c r="B508" s="5" t="s">
        <v>82</v>
      </c>
      <c r="C508" s="6" t="str">
        <f>Gia_Tbi!C4</f>
        <v>Cái</v>
      </c>
      <c r="D508" s="6">
        <f>Gia_Tbi!D4</f>
        <v>0.4</v>
      </c>
      <c r="E508" s="6">
        <f>Gia_Tbi!E4</f>
        <v>5</v>
      </c>
      <c r="F508" s="82">
        <f>Gia_Tbi!F4</f>
        <v>10000000</v>
      </c>
      <c r="G508" s="83">
        <f>Gia_Tbi!G4</f>
        <v>4000</v>
      </c>
      <c r="H508" s="302">
        <v>100</v>
      </c>
      <c r="I508" s="84">
        <f>G508*H508</f>
        <v>400000</v>
      </c>
      <c r="K508" s="77">
        <v>503</v>
      </c>
    </row>
    <row r="509" spans="1:11">
      <c r="A509" s="13">
        <v>2</v>
      </c>
      <c r="B509" s="5" t="s">
        <v>83</v>
      </c>
      <c r="C509" s="6" t="str">
        <f>Gia_Tbi!C5</f>
        <v>Cái</v>
      </c>
      <c r="D509" s="6">
        <f>Gia_Tbi!D5</f>
        <v>0.6</v>
      </c>
      <c r="E509" s="6">
        <f>Gia_Tbi!E5</f>
        <v>5</v>
      </c>
      <c r="F509" s="82">
        <f>Gia_Tbi!F5</f>
        <v>2500000</v>
      </c>
      <c r="G509" s="83">
        <f>Gia_Tbi!G5</f>
        <v>1000</v>
      </c>
      <c r="H509" s="302">
        <v>1.25</v>
      </c>
      <c r="I509" s="84">
        <f>G509*H509</f>
        <v>1250</v>
      </c>
      <c r="K509" s="77">
        <v>504</v>
      </c>
    </row>
    <row r="510" spans="1:11">
      <c r="A510" s="13">
        <v>3</v>
      </c>
      <c r="B510" s="5" t="s">
        <v>25</v>
      </c>
      <c r="C510" s="6" t="str">
        <f>Gia_Tbi!C6</f>
        <v>Cái</v>
      </c>
      <c r="D510" s="6">
        <f>Gia_Tbi!D6</f>
        <v>2.2000000000000002</v>
      </c>
      <c r="E510" s="6">
        <f>Gia_Tbi!E6</f>
        <v>8</v>
      </c>
      <c r="F510" s="82">
        <f>Gia_Tbi!F6</f>
        <v>12000000</v>
      </c>
      <c r="G510" s="83">
        <f>Gia_Tbi!G6</f>
        <v>3000</v>
      </c>
      <c r="H510" s="302">
        <v>33.333300000000001</v>
      </c>
      <c r="I510" s="84">
        <f>G510*H510</f>
        <v>99999.900000000009</v>
      </c>
      <c r="K510" s="77">
        <v>505</v>
      </c>
    </row>
    <row r="511" spans="1:11">
      <c r="A511" s="13">
        <v>4</v>
      </c>
      <c r="B511" s="5" t="s">
        <v>24</v>
      </c>
      <c r="C511" s="6" t="e">
        <f>Gia_Tbi!#REF!</f>
        <v>#REF!</v>
      </c>
      <c r="D511" s="6" t="e">
        <f>Gia_Tbi!#REF!</f>
        <v>#REF!</v>
      </c>
      <c r="E511" s="6" t="e">
        <f>Gia_Tbi!#REF!</f>
        <v>#REF!</v>
      </c>
      <c r="F511" s="82" t="e">
        <f>Gia_Tbi!#REF!</f>
        <v>#REF!</v>
      </c>
      <c r="G511" s="83" t="e">
        <f>Gia_Tbi!#REF!</f>
        <v>#REF!</v>
      </c>
      <c r="H511" s="302">
        <v>1.1111</v>
      </c>
      <c r="I511" s="84" t="e">
        <f>G511*H511</f>
        <v>#REF!</v>
      </c>
      <c r="K511" s="77">
        <v>506</v>
      </c>
    </row>
    <row r="512" spans="1:11">
      <c r="A512" s="40">
        <v>5</v>
      </c>
      <c r="B512" s="41" t="s">
        <v>8</v>
      </c>
      <c r="C512" s="42" t="str">
        <f>Gia_Tbi!C9</f>
        <v>Cái</v>
      </c>
      <c r="D512" s="42">
        <f>Gia_Tbi!D9</f>
        <v>0.8</v>
      </c>
      <c r="E512" s="117">
        <f>Gia_Tbi!E9</f>
        <v>8</v>
      </c>
      <c r="F512" s="86">
        <f>Gia_Tbi!F9</f>
        <v>45200000</v>
      </c>
      <c r="G512" s="87">
        <f>Gia_Tbi!G9</f>
        <v>11300</v>
      </c>
      <c r="H512" s="296" t="e">
        <f>(H508*D508+H509*D509+H510*D510+H511*D511)*8</f>
        <v>#REF!</v>
      </c>
      <c r="I512" s="120" t="e">
        <f>G512*H512*E512</f>
        <v>#REF!</v>
      </c>
      <c r="K512" s="77">
        <v>507</v>
      </c>
    </row>
    <row r="513" spans="1:11" s="81" customFormat="1">
      <c r="A513" s="31" t="e">
        <f>#REF!</f>
        <v>#REF!</v>
      </c>
      <c r="B513" s="32" t="e">
        <f>#REF!</f>
        <v>#REF!</v>
      </c>
      <c r="C513" s="15"/>
      <c r="D513" s="15"/>
      <c r="E513" s="15"/>
      <c r="F513" s="78"/>
      <c r="G513" s="79"/>
      <c r="H513" s="111"/>
      <c r="I513" s="80" t="e">
        <f>SUM(I514:I517)</f>
        <v>#REF!</v>
      </c>
      <c r="K513" s="77">
        <v>508</v>
      </c>
    </row>
    <row r="514" spans="1:11">
      <c r="A514" s="13">
        <v>1</v>
      </c>
      <c r="B514" s="5" t="s">
        <v>82</v>
      </c>
      <c r="C514" s="6" t="str">
        <f>Gia_Tbi!C4</f>
        <v>Cái</v>
      </c>
      <c r="D514" s="6">
        <f>Gia_Tbi!D4</f>
        <v>0.4</v>
      </c>
      <c r="E514" s="6">
        <f>Gia_Tbi!E4</f>
        <v>5</v>
      </c>
      <c r="F514" s="82">
        <f>Gia_Tbi!F4</f>
        <v>10000000</v>
      </c>
      <c r="G514" s="83">
        <f>Gia_Tbi!G4</f>
        <v>4000</v>
      </c>
      <c r="H514" s="302">
        <v>100</v>
      </c>
      <c r="I514" s="84">
        <f>G514*H514</f>
        <v>400000</v>
      </c>
      <c r="K514" s="77">
        <v>509</v>
      </c>
    </row>
    <row r="515" spans="1:11">
      <c r="A515" s="13">
        <v>2</v>
      </c>
      <c r="B515" s="5" t="s">
        <v>83</v>
      </c>
      <c r="C515" s="6" t="str">
        <f>Gia_Tbi!C5</f>
        <v>Cái</v>
      </c>
      <c r="D515" s="6">
        <f>Gia_Tbi!D5</f>
        <v>0.6</v>
      </c>
      <c r="E515" s="6">
        <f>Gia_Tbi!E5</f>
        <v>5</v>
      </c>
      <c r="F515" s="82">
        <f>Gia_Tbi!F5</f>
        <v>2500000</v>
      </c>
      <c r="G515" s="83">
        <f>Gia_Tbi!G5</f>
        <v>1000</v>
      </c>
      <c r="H515" s="302">
        <v>1.25</v>
      </c>
      <c r="I515" s="84">
        <f>G515*H515</f>
        <v>1250</v>
      </c>
      <c r="K515" s="77">
        <v>510</v>
      </c>
    </row>
    <row r="516" spans="1:11">
      <c r="A516" s="13">
        <v>3</v>
      </c>
      <c r="B516" s="5" t="s">
        <v>25</v>
      </c>
      <c r="C516" s="6" t="str">
        <f>Gia_Tbi!C6</f>
        <v>Cái</v>
      </c>
      <c r="D516" s="6">
        <f>Gia_Tbi!D6</f>
        <v>2.2000000000000002</v>
      </c>
      <c r="E516" s="6">
        <f>Gia_Tbi!E6</f>
        <v>8</v>
      </c>
      <c r="F516" s="82">
        <f>Gia_Tbi!F6</f>
        <v>12000000</v>
      </c>
      <c r="G516" s="83">
        <f>Gia_Tbi!G6</f>
        <v>3000</v>
      </c>
      <c r="H516" s="302">
        <v>33.333300000000001</v>
      </c>
      <c r="I516" s="84">
        <f>G516*H516</f>
        <v>99999.900000000009</v>
      </c>
      <c r="K516" s="77">
        <v>511</v>
      </c>
    </row>
    <row r="517" spans="1:11">
      <c r="A517" s="13">
        <v>4</v>
      </c>
      <c r="B517" s="5" t="s">
        <v>24</v>
      </c>
      <c r="C517" s="6" t="e">
        <f>Gia_Tbi!#REF!</f>
        <v>#REF!</v>
      </c>
      <c r="D517" s="6" t="e">
        <f>Gia_Tbi!#REF!</f>
        <v>#REF!</v>
      </c>
      <c r="E517" s="6" t="e">
        <f>Gia_Tbi!#REF!</f>
        <v>#REF!</v>
      </c>
      <c r="F517" s="82" t="e">
        <f>Gia_Tbi!#REF!</f>
        <v>#REF!</v>
      </c>
      <c r="G517" s="83" t="e">
        <f>Gia_Tbi!#REF!</f>
        <v>#REF!</v>
      </c>
      <c r="H517" s="302">
        <v>1.1111</v>
      </c>
      <c r="I517" s="84" t="e">
        <f>G517*H517</f>
        <v>#REF!</v>
      </c>
      <c r="K517" s="77">
        <v>512</v>
      </c>
    </row>
    <row r="518" spans="1:11">
      <c r="A518" s="40">
        <v>5</v>
      </c>
      <c r="B518" s="41" t="s">
        <v>8</v>
      </c>
      <c r="C518" s="42" t="str">
        <f>Gia_Tbi!C9</f>
        <v>Cái</v>
      </c>
      <c r="D518" s="42">
        <f>Gia_Tbi!D9</f>
        <v>0.8</v>
      </c>
      <c r="E518" s="117">
        <f>Gia_Tbi!E9</f>
        <v>8</v>
      </c>
      <c r="F518" s="86">
        <f>Gia_Tbi!F9</f>
        <v>45200000</v>
      </c>
      <c r="G518" s="87">
        <f>Gia_Tbi!G9</f>
        <v>11300</v>
      </c>
      <c r="H518" s="296" t="e">
        <f>(H514*D514+H515*D515+H516*D516+H517*D517)*8</f>
        <v>#REF!</v>
      </c>
      <c r="I518" s="120" t="e">
        <f>G518*H518*E518</f>
        <v>#REF!</v>
      </c>
      <c r="K518" s="77">
        <v>513</v>
      </c>
    </row>
    <row r="519" spans="1:11" s="4" customFormat="1">
      <c r="A519" s="12" t="e">
        <f>#REF!</f>
        <v>#REF!</v>
      </c>
      <c r="B519" s="8" t="e">
        <f>#REF!</f>
        <v>#REF!</v>
      </c>
      <c r="C519" s="7"/>
      <c r="D519" s="7"/>
      <c r="E519" s="7"/>
      <c r="F519" s="93"/>
      <c r="G519" s="94"/>
      <c r="H519" s="298"/>
      <c r="I519" s="95"/>
      <c r="K519" s="77">
        <v>514</v>
      </c>
    </row>
    <row r="520" spans="1:11" s="81" customFormat="1">
      <c r="A520" s="31" t="e">
        <f>#REF!</f>
        <v>#REF!</v>
      </c>
      <c r="B520" s="32" t="e">
        <f>#REF!</f>
        <v>#REF!</v>
      </c>
      <c r="C520" s="15"/>
      <c r="D520" s="15"/>
      <c r="E520" s="15"/>
      <c r="F520" s="78"/>
      <c r="G520" s="79"/>
      <c r="H520" s="111"/>
      <c r="I520" s="80"/>
      <c r="K520" s="77">
        <v>515</v>
      </c>
    </row>
    <row r="521" spans="1:11" s="81" customFormat="1">
      <c r="A521" s="31" t="e">
        <f>#REF!</f>
        <v>#REF!</v>
      </c>
      <c r="B521" s="32" t="e">
        <f>#REF!</f>
        <v>#REF!</v>
      </c>
      <c r="C521" s="15"/>
      <c r="D521" s="15"/>
      <c r="E521" s="15"/>
      <c r="F521" s="78"/>
      <c r="G521" s="79"/>
      <c r="H521" s="111"/>
      <c r="I521" s="80"/>
      <c r="K521" s="77">
        <v>516</v>
      </c>
    </row>
    <row r="522" spans="1:11" s="4" customFormat="1">
      <c r="A522" s="12" t="e">
        <f>#REF!</f>
        <v>#REF!</v>
      </c>
      <c r="B522" s="8" t="e">
        <f>#REF!</f>
        <v>#REF!</v>
      </c>
      <c r="C522" s="7"/>
      <c r="D522" s="7"/>
      <c r="E522" s="7"/>
      <c r="F522" s="93"/>
      <c r="G522" s="94"/>
      <c r="H522" s="298"/>
      <c r="I522" s="95"/>
      <c r="K522" s="77">
        <v>517</v>
      </c>
    </row>
    <row r="523" spans="1:11" s="81" customFormat="1">
      <c r="A523" s="31" t="e">
        <f>#REF!</f>
        <v>#REF!</v>
      </c>
      <c r="B523" s="32" t="e">
        <f>#REF!</f>
        <v>#REF!</v>
      </c>
      <c r="C523" s="15"/>
      <c r="D523" s="15"/>
      <c r="E523" s="15"/>
      <c r="F523" s="78"/>
      <c r="G523" s="79"/>
      <c r="H523" s="111"/>
      <c r="I523" s="80" t="e">
        <f>I525</f>
        <v>#REF!</v>
      </c>
      <c r="K523" s="77">
        <v>518</v>
      </c>
    </row>
    <row r="524" spans="1:11">
      <c r="A524" s="13" t="e">
        <f>#REF!</f>
        <v>#REF!</v>
      </c>
      <c r="B524" s="5" t="e">
        <f>#REF!</f>
        <v>#REF!</v>
      </c>
      <c r="C524" s="6"/>
      <c r="D524" s="6"/>
      <c r="E524" s="6"/>
      <c r="F524" s="82"/>
      <c r="G524" s="83"/>
      <c r="H524" s="295"/>
      <c r="I524" s="84" t="e">
        <f>I525</f>
        <v>#REF!</v>
      </c>
      <c r="K524" s="77">
        <v>519</v>
      </c>
    </row>
    <row r="525" spans="1:11">
      <c r="A525" s="13" t="e">
        <f>#REF!</f>
        <v>#REF!</v>
      </c>
      <c r="B525" s="5" t="e">
        <f>#REF!</f>
        <v>#REF!</v>
      </c>
      <c r="C525" s="6"/>
      <c r="D525" s="6"/>
      <c r="E525" s="6"/>
      <c r="F525" s="82"/>
      <c r="G525" s="83"/>
      <c r="H525" s="295"/>
      <c r="I525" s="80" t="e">
        <f>SUM(I526:I530)</f>
        <v>#REF!</v>
      </c>
      <c r="K525" s="77">
        <v>520</v>
      </c>
    </row>
    <row r="526" spans="1:11">
      <c r="A526" s="13">
        <v>1</v>
      </c>
      <c r="B526" s="5" t="s">
        <v>82</v>
      </c>
      <c r="C526" s="6" t="str">
        <f>Gia_Tbi!C4</f>
        <v>Cái</v>
      </c>
      <c r="D526" s="6">
        <f>Gia_Tbi!D4</f>
        <v>0.4</v>
      </c>
      <c r="E526" s="6">
        <f>Gia_Tbi!E4</f>
        <v>5</v>
      </c>
      <c r="F526" s="82">
        <f>Gia_Tbi!F4</f>
        <v>10000000</v>
      </c>
      <c r="G526" s="83">
        <f>Gia_Tbi!G4</f>
        <v>4000</v>
      </c>
      <c r="H526" s="302">
        <v>0.12</v>
      </c>
      <c r="I526" s="84">
        <f>G526*H526</f>
        <v>480</v>
      </c>
      <c r="K526" s="77">
        <v>521</v>
      </c>
    </row>
    <row r="527" spans="1:11">
      <c r="A527" s="13">
        <v>3</v>
      </c>
      <c r="B527" s="5" t="s">
        <v>83</v>
      </c>
      <c r="C527" s="6" t="str">
        <f>Gia_Tbi!C5</f>
        <v>Cái</v>
      </c>
      <c r="D527" s="6">
        <f>Gia_Tbi!D5</f>
        <v>0.6</v>
      </c>
      <c r="E527" s="6">
        <f>Gia_Tbi!E5</f>
        <v>5</v>
      </c>
      <c r="F527" s="82">
        <f>Gia_Tbi!F5</f>
        <v>2500000</v>
      </c>
      <c r="G527" s="83">
        <f>Gia_Tbi!G5</f>
        <v>1000</v>
      </c>
      <c r="H527" s="302">
        <v>5.0000000000000001E-3</v>
      </c>
      <c r="I527" s="84">
        <f>G527*H527</f>
        <v>5</v>
      </c>
      <c r="K527" s="77">
        <v>522</v>
      </c>
    </row>
    <row r="528" spans="1:11">
      <c r="A528" s="13">
        <v>4</v>
      </c>
      <c r="B528" s="5" t="s">
        <v>96</v>
      </c>
      <c r="C528" s="6" t="str">
        <f>Gia_Tbi!C8</f>
        <v>Cái</v>
      </c>
      <c r="D528" s="6">
        <f>Gia_Tbi!D8</f>
        <v>0.6</v>
      </c>
      <c r="E528" s="6">
        <f>Gia_Tbi!E8</f>
        <v>8</v>
      </c>
      <c r="F528" s="82">
        <f>Gia_Tbi!F8</f>
        <v>10000000</v>
      </c>
      <c r="G528" s="83">
        <f>Gia_Tbi!G8</f>
        <v>2500</v>
      </c>
      <c r="H528" s="302">
        <v>0.12</v>
      </c>
      <c r="I528" s="84">
        <f>G528*H528</f>
        <v>300</v>
      </c>
      <c r="K528" s="77">
        <v>523</v>
      </c>
    </row>
    <row r="529" spans="1:11">
      <c r="A529" s="13">
        <v>5</v>
      </c>
      <c r="B529" s="5" t="s">
        <v>25</v>
      </c>
      <c r="C529" s="6" t="str">
        <f>Gia_Tbi!C6</f>
        <v>Cái</v>
      </c>
      <c r="D529" s="6">
        <f>Gia_Tbi!D6</f>
        <v>2.2000000000000002</v>
      </c>
      <c r="E529" s="6">
        <f>Gia_Tbi!E6</f>
        <v>8</v>
      </c>
      <c r="F529" s="82">
        <f>Gia_Tbi!F6</f>
        <v>12000000</v>
      </c>
      <c r="G529" s="83">
        <f>Gia_Tbi!G6</f>
        <v>3000</v>
      </c>
      <c r="H529" s="302">
        <v>0.02</v>
      </c>
      <c r="I529" s="84">
        <f>G529*H529</f>
        <v>60</v>
      </c>
      <c r="K529" s="77">
        <v>524</v>
      </c>
    </row>
    <row r="530" spans="1:11">
      <c r="A530" s="13">
        <v>6</v>
      </c>
      <c r="B530" s="5" t="s">
        <v>24</v>
      </c>
      <c r="C530" s="6" t="e">
        <f>Gia_Tbi!#REF!</f>
        <v>#REF!</v>
      </c>
      <c r="D530" s="6" t="e">
        <f>Gia_Tbi!#REF!</f>
        <v>#REF!</v>
      </c>
      <c r="E530" s="6" t="e">
        <f>Gia_Tbi!#REF!</f>
        <v>#REF!</v>
      </c>
      <c r="F530" s="82" t="e">
        <f>Gia_Tbi!#REF!</f>
        <v>#REF!</v>
      </c>
      <c r="G530" s="83" t="e">
        <f>Gia_Tbi!#REF!</f>
        <v>#REF!</v>
      </c>
      <c r="H530" s="302">
        <v>4.0000000000000001E-3</v>
      </c>
      <c r="I530" s="84" t="e">
        <f>G530*H530</f>
        <v>#REF!</v>
      </c>
      <c r="K530" s="77">
        <v>525</v>
      </c>
    </row>
    <row r="531" spans="1:11">
      <c r="A531" s="40">
        <v>7</v>
      </c>
      <c r="B531" s="41" t="s">
        <v>8</v>
      </c>
      <c r="C531" s="42" t="str">
        <f>Gia_Tbi!C9</f>
        <v>Cái</v>
      </c>
      <c r="D531" s="42">
        <f>Gia_Tbi!D9</f>
        <v>0.8</v>
      </c>
      <c r="E531" s="117">
        <f>Gia_Tbi!E9</f>
        <v>8</v>
      </c>
      <c r="F531" s="86">
        <f>Gia_Tbi!F9</f>
        <v>45200000</v>
      </c>
      <c r="G531" s="87">
        <f>Gia_Tbi!G9</f>
        <v>11300</v>
      </c>
      <c r="H531" s="296" t="e">
        <f>(H526*D526+H527*D527+H528*D528+H529*D529+H530*D530)*8</f>
        <v>#REF!</v>
      </c>
      <c r="I531" s="120" t="e">
        <f>G531*H531*E531</f>
        <v>#REF!</v>
      </c>
      <c r="K531" s="77">
        <v>526</v>
      </c>
    </row>
    <row r="532" spans="1:11" s="81" customFormat="1">
      <c r="A532" s="31" t="e">
        <f>#REF!</f>
        <v>#REF!</v>
      </c>
      <c r="B532" s="32" t="e">
        <f>#REF!</f>
        <v>#REF!</v>
      </c>
      <c r="C532" s="15"/>
      <c r="D532" s="15"/>
      <c r="E532" s="15"/>
      <c r="F532" s="78"/>
      <c r="G532" s="79"/>
      <c r="H532" s="111"/>
      <c r="I532" s="80" t="e">
        <f>SUM(I533:I537)</f>
        <v>#REF!</v>
      </c>
      <c r="K532" s="77">
        <v>527</v>
      </c>
    </row>
    <row r="533" spans="1:11">
      <c r="A533" s="13">
        <v>1</v>
      </c>
      <c r="B533" s="5" t="s">
        <v>82</v>
      </c>
      <c r="C533" s="6" t="str">
        <f>Gia_Tbi!C4</f>
        <v>Cái</v>
      </c>
      <c r="D533" s="6">
        <f>Gia_Tbi!D4</f>
        <v>0.4</v>
      </c>
      <c r="E533" s="6">
        <f>Gia_Tbi!E4</f>
        <v>5</v>
      </c>
      <c r="F533" s="82">
        <f>Gia_Tbi!F4</f>
        <v>10000000</v>
      </c>
      <c r="G533" s="83">
        <f>Gia_Tbi!G4</f>
        <v>4000</v>
      </c>
      <c r="H533" s="302">
        <v>0.06</v>
      </c>
      <c r="I533" s="84">
        <f>G533*H533</f>
        <v>240</v>
      </c>
      <c r="K533" s="77">
        <v>528</v>
      </c>
    </row>
    <row r="534" spans="1:11">
      <c r="A534" s="13">
        <v>3</v>
      </c>
      <c r="B534" s="5" t="s">
        <v>83</v>
      </c>
      <c r="C534" s="6" t="str">
        <f>Gia_Tbi!C5</f>
        <v>Cái</v>
      </c>
      <c r="D534" s="6">
        <f>Gia_Tbi!D5</f>
        <v>0.6</v>
      </c>
      <c r="E534" s="6">
        <f>Gia_Tbi!E5</f>
        <v>5</v>
      </c>
      <c r="F534" s="82">
        <f>Gia_Tbi!F5</f>
        <v>2500000</v>
      </c>
      <c r="G534" s="83">
        <f>Gia_Tbi!G5</f>
        <v>1000</v>
      </c>
      <c r="H534" s="302">
        <v>3.0000000000000001E-3</v>
      </c>
      <c r="I534" s="84">
        <f>G534*H534</f>
        <v>3</v>
      </c>
      <c r="K534" s="77">
        <v>529</v>
      </c>
    </row>
    <row r="535" spans="1:11">
      <c r="A535" s="13">
        <v>4</v>
      </c>
      <c r="B535" s="5" t="s">
        <v>96</v>
      </c>
      <c r="C535" s="6" t="str">
        <f>Gia_Tbi!C8</f>
        <v>Cái</v>
      </c>
      <c r="D535" s="6">
        <f>Gia_Tbi!D8</f>
        <v>0.6</v>
      </c>
      <c r="E535" s="6">
        <f>Gia_Tbi!E8</f>
        <v>8</v>
      </c>
      <c r="F535" s="82">
        <f>Gia_Tbi!F8</f>
        <v>10000000</v>
      </c>
      <c r="G535" s="83">
        <f>Gia_Tbi!G8</f>
        <v>2500</v>
      </c>
      <c r="H535" s="302">
        <v>0.06</v>
      </c>
      <c r="I535" s="84">
        <f>G535*H535</f>
        <v>150</v>
      </c>
      <c r="K535" s="77">
        <v>530</v>
      </c>
    </row>
    <row r="536" spans="1:11">
      <c r="A536" s="13">
        <v>5</v>
      </c>
      <c r="B536" s="5" t="s">
        <v>25</v>
      </c>
      <c r="C536" s="6" t="str">
        <f>Gia_Tbi!C6</f>
        <v>Cái</v>
      </c>
      <c r="D536" s="6">
        <f>Gia_Tbi!D6</f>
        <v>2.2000000000000002</v>
      </c>
      <c r="E536" s="6">
        <f>Gia_Tbi!E6</f>
        <v>8</v>
      </c>
      <c r="F536" s="82">
        <f>Gia_Tbi!F6</f>
        <v>12000000</v>
      </c>
      <c r="G536" s="83">
        <f>Gia_Tbi!G6</f>
        <v>3000</v>
      </c>
      <c r="H536" s="302">
        <v>0.01</v>
      </c>
      <c r="I536" s="84">
        <f>G536*H536</f>
        <v>30</v>
      </c>
      <c r="K536" s="77">
        <v>531</v>
      </c>
    </row>
    <row r="537" spans="1:11">
      <c r="A537" s="13">
        <v>6</v>
      </c>
      <c r="B537" s="5" t="s">
        <v>24</v>
      </c>
      <c r="C537" s="6" t="e">
        <f>Gia_Tbi!#REF!</f>
        <v>#REF!</v>
      </c>
      <c r="D537" s="6" t="e">
        <f>Gia_Tbi!#REF!</f>
        <v>#REF!</v>
      </c>
      <c r="E537" s="6" t="e">
        <f>Gia_Tbi!#REF!</f>
        <v>#REF!</v>
      </c>
      <c r="F537" s="82" t="e">
        <f>Gia_Tbi!#REF!</f>
        <v>#REF!</v>
      </c>
      <c r="G537" s="83" t="e">
        <f>Gia_Tbi!#REF!</f>
        <v>#REF!</v>
      </c>
      <c r="H537" s="302">
        <v>2E-3</v>
      </c>
      <c r="I537" s="84" t="e">
        <f>G537*H537</f>
        <v>#REF!</v>
      </c>
      <c r="K537" s="77">
        <v>532</v>
      </c>
    </row>
    <row r="538" spans="1:11">
      <c r="A538" s="40">
        <v>7</v>
      </c>
      <c r="B538" s="41" t="s">
        <v>8</v>
      </c>
      <c r="C538" s="42" t="str">
        <f>Gia_Tbi!C9</f>
        <v>Cái</v>
      </c>
      <c r="D538" s="42">
        <f>Gia_Tbi!D9</f>
        <v>0.8</v>
      </c>
      <c r="E538" s="117">
        <f>Gia_Tbi!E9</f>
        <v>8</v>
      </c>
      <c r="F538" s="86">
        <f>Gia_Tbi!F9</f>
        <v>45200000</v>
      </c>
      <c r="G538" s="87">
        <f>Gia_Tbi!G9</f>
        <v>11300</v>
      </c>
      <c r="H538" s="296" t="e">
        <f>(H533*D533+H534*D534+H535*D535+H536*D536+H537*D537)*8</f>
        <v>#REF!</v>
      </c>
      <c r="I538" s="120" t="e">
        <f>G538*H538*E538</f>
        <v>#REF!</v>
      </c>
      <c r="K538" s="77">
        <v>533</v>
      </c>
    </row>
    <row r="539" spans="1:11" s="81" customFormat="1">
      <c r="A539" s="31" t="e">
        <f>#REF!</f>
        <v>#REF!</v>
      </c>
      <c r="B539" s="32" t="e">
        <f>#REF!</f>
        <v>#REF!</v>
      </c>
      <c r="C539" s="15"/>
      <c r="D539" s="15"/>
      <c r="E539" s="15"/>
      <c r="F539" s="78"/>
      <c r="G539" s="79"/>
      <c r="H539" s="111"/>
      <c r="I539" s="80"/>
      <c r="K539" s="77">
        <v>534</v>
      </c>
    </row>
    <row r="540" spans="1:11" s="4" customFormat="1">
      <c r="A540" s="12" t="e">
        <f>#REF!</f>
        <v>#REF!</v>
      </c>
      <c r="B540" s="8" t="e">
        <f>#REF!</f>
        <v>#REF!</v>
      </c>
      <c r="C540" s="7"/>
      <c r="D540" s="7"/>
      <c r="E540" s="7"/>
      <c r="F540" s="93"/>
      <c r="G540" s="94"/>
      <c r="H540" s="298"/>
      <c r="I540" s="95"/>
      <c r="K540" s="77">
        <v>535</v>
      </c>
    </row>
    <row r="541" spans="1:11" s="81" customFormat="1">
      <c r="A541" s="31" t="e">
        <f>#REF!</f>
        <v>#REF!</v>
      </c>
      <c r="B541" s="32" t="e">
        <f>#REF!</f>
        <v>#REF!</v>
      </c>
      <c r="C541" s="15"/>
      <c r="D541" s="15"/>
      <c r="E541" s="15"/>
      <c r="F541" s="78"/>
      <c r="G541" s="79"/>
      <c r="H541" s="111"/>
      <c r="I541" s="80" t="e">
        <f>SUM(I542:I545)</f>
        <v>#REF!</v>
      </c>
      <c r="K541" s="77">
        <v>536</v>
      </c>
    </row>
    <row r="542" spans="1:11">
      <c r="A542" s="13">
        <v>1</v>
      </c>
      <c r="B542" s="5" t="s">
        <v>82</v>
      </c>
      <c r="C542" s="6" t="str">
        <f>Gia_Tbi!C4</f>
        <v>Cái</v>
      </c>
      <c r="D542" s="6">
        <f>Gia_Tbi!D4</f>
        <v>0.4</v>
      </c>
      <c r="E542" s="6">
        <f>Gia_Tbi!E4</f>
        <v>5</v>
      </c>
      <c r="F542" s="82">
        <f>Gia_Tbi!F4</f>
        <v>10000000</v>
      </c>
      <c r="G542" s="83">
        <f>Gia_Tbi!G4</f>
        <v>4000</v>
      </c>
      <c r="H542" s="302">
        <v>105</v>
      </c>
      <c r="I542" s="84">
        <f>G542*H542</f>
        <v>420000</v>
      </c>
      <c r="K542" s="77">
        <v>537</v>
      </c>
    </row>
    <row r="543" spans="1:11">
      <c r="A543" s="13">
        <v>2</v>
      </c>
      <c r="B543" s="5" t="s">
        <v>83</v>
      </c>
      <c r="C543" s="6" t="str">
        <f>Gia_Tbi!C5</f>
        <v>Cái</v>
      </c>
      <c r="D543" s="6">
        <f>Gia_Tbi!D5</f>
        <v>0.6</v>
      </c>
      <c r="E543" s="6">
        <f>Gia_Tbi!E5</f>
        <v>5</v>
      </c>
      <c r="F543" s="82">
        <f>Gia_Tbi!F5</f>
        <v>2500000</v>
      </c>
      <c r="G543" s="83">
        <f>Gia_Tbi!G5</f>
        <v>1000</v>
      </c>
      <c r="H543" s="302">
        <v>6</v>
      </c>
      <c r="I543" s="84">
        <f>G543*H543</f>
        <v>6000</v>
      </c>
      <c r="K543" s="77">
        <v>538</v>
      </c>
    </row>
    <row r="544" spans="1:11">
      <c r="A544" s="13">
        <v>3</v>
      </c>
      <c r="B544" s="5" t="s">
        <v>25</v>
      </c>
      <c r="C544" s="6" t="str">
        <f>Gia_Tbi!C6</f>
        <v>Cái</v>
      </c>
      <c r="D544" s="6">
        <f>Gia_Tbi!D6</f>
        <v>2.2000000000000002</v>
      </c>
      <c r="E544" s="6">
        <f>Gia_Tbi!E6</f>
        <v>8</v>
      </c>
      <c r="F544" s="82">
        <f>Gia_Tbi!F6</f>
        <v>12000000</v>
      </c>
      <c r="G544" s="83">
        <f>Gia_Tbi!G6</f>
        <v>3000</v>
      </c>
      <c r="H544" s="302">
        <v>11.67</v>
      </c>
      <c r="I544" s="84">
        <f>G544*H544</f>
        <v>35010</v>
      </c>
      <c r="K544" s="77">
        <v>539</v>
      </c>
    </row>
    <row r="545" spans="1:11">
      <c r="A545" s="13">
        <v>4</v>
      </c>
      <c r="B545" s="5" t="s">
        <v>24</v>
      </c>
      <c r="C545" s="6" t="e">
        <f>Gia_Tbi!#REF!</f>
        <v>#REF!</v>
      </c>
      <c r="D545" s="6" t="e">
        <f>Gia_Tbi!#REF!</f>
        <v>#REF!</v>
      </c>
      <c r="E545" s="6" t="e">
        <f>Gia_Tbi!#REF!</f>
        <v>#REF!</v>
      </c>
      <c r="F545" s="82" t="e">
        <f>Gia_Tbi!#REF!</f>
        <v>#REF!</v>
      </c>
      <c r="G545" s="83" t="e">
        <f>Gia_Tbi!#REF!</f>
        <v>#REF!</v>
      </c>
      <c r="H545" s="302">
        <v>5</v>
      </c>
      <c r="I545" s="84" t="e">
        <f>G545*H545</f>
        <v>#REF!</v>
      </c>
      <c r="K545" s="77">
        <v>540</v>
      </c>
    </row>
    <row r="546" spans="1:11">
      <c r="A546" s="40">
        <v>5</v>
      </c>
      <c r="B546" s="41" t="s">
        <v>8</v>
      </c>
      <c r="C546" s="42" t="str">
        <f>Gia_Tbi!C9</f>
        <v>Cái</v>
      </c>
      <c r="D546" s="42">
        <f>Gia_Tbi!D9</f>
        <v>0.8</v>
      </c>
      <c r="E546" s="117">
        <f>Gia_Tbi!E9</f>
        <v>8</v>
      </c>
      <c r="F546" s="86">
        <f>Gia_Tbi!F9</f>
        <v>45200000</v>
      </c>
      <c r="G546" s="87">
        <f>Gia_Tbi!G9</f>
        <v>11300</v>
      </c>
      <c r="H546" s="296" t="e">
        <f>(H542*D542+H543*D543+H544*D544+H545*D545)*8</f>
        <v>#REF!</v>
      </c>
      <c r="I546" s="120" t="e">
        <f>G546*H546*E546</f>
        <v>#REF!</v>
      </c>
      <c r="K546" s="77">
        <v>541</v>
      </c>
    </row>
    <row r="547" spans="1:11" s="81" customFormat="1">
      <c r="A547" s="31" t="e">
        <f>#REF!</f>
        <v>#REF!</v>
      </c>
      <c r="B547" s="32" t="e">
        <f>#REF!</f>
        <v>#REF!</v>
      </c>
      <c r="C547" s="15"/>
      <c r="D547" s="15"/>
      <c r="E547" s="15"/>
      <c r="F547" s="78"/>
      <c r="G547" s="79"/>
      <c r="H547" s="111"/>
      <c r="I547" s="80" t="e">
        <f>SUM(I548:I551)</f>
        <v>#REF!</v>
      </c>
      <c r="K547" s="77">
        <v>542</v>
      </c>
    </row>
    <row r="548" spans="1:11">
      <c r="A548" s="13">
        <v>1</v>
      </c>
      <c r="B548" s="5" t="s">
        <v>82</v>
      </c>
      <c r="C548" s="6" t="str">
        <f>Gia_Tbi!C4</f>
        <v>Cái</v>
      </c>
      <c r="D548" s="6">
        <f>Gia_Tbi!D4</f>
        <v>0.4</v>
      </c>
      <c r="E548" s="6">
        <f>Gia_Tbi!E4</f>
        <v>5</v>
      </c>
      <c r="F548" s="82">
        <f>Gia_Tbi!F4</f>
        <v>10000000</v>
      </c>
      <c r="G548" s="83">
        <f>Gia_Tbi!G4</f>
        <v>4000</v>
      </c>
      <c r="H548" s="302">
        <v>1.46</v>
      </c>
      <c r="I548" s="84">
        <f>G548*H548</f>
        <v>5840</v>
      </c>
      <c r="K548" s="77">
        <v>543</v>
      </c>
    </row>
    <row r="549" spans="1:11">
      <c r="A549" s="13">
        <v>2</v>
      </c>
      <c r="B549" s="5" t="s">
        <v>83</v>
      </c>
      <c r="C549" s="6" t="str">
        <f>Gia_Tbi!C5</f>
        <v>Cái</v>
      </c>
      <c r="D549" s="6">
        <f>Gia_Tbi!D5</f>
        <v>0.6</v>
      </c>
      <c r="E549" s="6">
        <f>Gia_Tbi!E5</f>
        <v>5</v>
      </c>
      <c r="F549" s="82">
        <f>Gia_Tbi!F5</f>
        <v>2500000</v>
      </c>
      <c r="G549" s="83">
        <f>Gia_Tbi!G5</f>
        <v>1000</v>
      </c>
      <c r="H549" s="302">
        <v>0.02</v>
      </c>
      <c r="I549" s="84">
        <f>G549*H549</f>
        <v>20</v>
      </c>
      <c r="K549" s="77">
        <v>544</v>
      </c>
    </row>
    <row r="550" spans="1:11">
      <c r="A550" s="13">
        <v>3</v>
      </c>
      <c r="B550" s="5" t="s">
        <v>25</v>
      </c>
      <c r="C550" s="6" t="str">
        <f>Gia_Tbi!C6</f>
        <v>Cái</v>
      </c>
      <c r="D550" s="6">
        <f>Gia_Tbi!D6</f>
        <v>2.2000000000000002</v>
      </c>
      <c r="E550" s="6">
        <f>Gia_Tbi!E6</f>
        <v>8</v>
      </c>
      <c r="F550" s="82">
        <f>Gia_Tbi!F6</f>
        <v>12000000</v>
      </c>
      <c r="G550" s="83">
        <f>Gia_Tbi!G6</f>
        <v>3000</v>
      </c>
      <c r="H550" s="302">
        <v>0.49</v>
      </c>
      <c r="I550" s="84">
        <f>G550*H550</f>
        <v>1470</v>
      </c>
      <c r="K550" s="77">
        <v>545</v>
      </c>
    </row>
    <row r="551" spans="1:11">
      <c r="A551" s="13">
        <v>4</v>
      </c>
      <c r="B551" s="5" t="s">
        <v>24</v>
      </c>
      <c r="C551" s="6" t="e">
        <f>Gia_Tbi!#REF!</f>
        <v>#REF!</v>
      </c>
      <c r="D551" s="6" t="e">
        <f>Gia_Tbi!#REF!</f>
        <v>#REF!</v>
      </c>
      <c r="E551" s="6" t="e">
        <f>Gia_Tbi!#REF!</f>
        <v>#REF!</v>
      </c>
      <c r="F551" s="82" t="e">
        <f>Gia_Tbi!#REF!</f>
        <v>#REF!</v>
      </c>
      <c r="G551" s="83" t="e">
        <f>Gia_Tbi!#REF!</f>
        <v>#REF!</v>
      </c>
      <c r="H551" s="302">
        <v>0.03</v>
      </c>
      <c r="I551" s="84" t="e">
        <f>G551*H551</f>
        <v>#REF!</v>
      </c>
      <c r="K551" s="77">
        <v>546</v>
      </c>
    </row>
    <row r="552" spans="1:11">
      <c r="A552" s="40">
        <v>5</v>
      </c>
      <c r="B552" s="41" t="s">
        <v>8</v>
      </c>
      <c r="C552" s="42" t="str">
        <f>Gia_Tbi!C9</f>
        <v>Cái</v>
      </c>
      <c r="D552" s="42">
        <f>Gia_Tbi!D9</f>
        <v>0.8</v>
      </c>
      <c r="E552" s="117">
        <f>Gia_Tbi!E9</f>
        <v>8</v>
      </c>
      <c r="F552" s="86">
        <f>Gia_Tbi!F9</f>
        <v>45200000</v>
      </c>
      <c r="G552" s="87">
        <f>Gia_Tbi!G9</f>
        <v>11300</v>
      </c>
      <c r="H552" s="296" t="e">
        <f>(H548*D548+H549*D549+H550*D550+H551*D551)*8</f>
        <v>#REF!</v>
      </c>
      <c r="I552" s="120" t="e">
        <f>G552*H552*E552</f>
        <v>#REF!</v>
      </c>
      <c r="K552" s="77">
        <v>547</v>
      </c>
    </row>
    <row r="553" spans="1:11" s="4" customFormat="1">
      <c r="A553" s="12" t="e">
        <f>#REF!</f>
        <v>#REF!</v>
      </c>
      <c r="B553" s="8" t="e">
        <f>#REF!</f>
        <v>#REF!</v>
      </c>
      <c r="C553" s="7"/>
      <c r="D553" s="7"/>
      <c r="E553" s="7"/>
      <c r="F553" s="93"/>
      <c r="G553" s="94"/>
      <c r="H553" s="298"/>
      <c r="I553" s="95"/>
      <c r="K553" s="77">
        <v>548</v>
      </c>
    </row>
    <row r="554" spans="1:11" s="81" customFormat="1">
      <c r="A554" s="31" t="e">
        <f>#REF!</f>
        <v>#REF!</v>
      </c>
      <c r="B554" s="32" t="e">
        <f>#REF!</f>
        <v>#REF!</v>
      </c>
      <c r="C554" s="15"/>
      <c r="D554" s="15"/>
      <c r="E554" s="15"/>
      <c r="F554" s="78"/>
      <c r="G554" s="79"/>
      <c r="H554" s="111"/>
      <c r="I554" s="80" t="e">
        <f>SUM(I555:I558)</f>
        <v>#REF!</v>
      </c>
      <c r="K554" s="77">
        <v>549</v>
      </c>
    </row>
    <row r="555" spans="1:11">
      <c r="A555" s="13">
        <v>1</v>
      </c>
      <c r="B555" s="5" t="s">
        <v>82</v>
      </c>
      <c r="C555" s="6" t="str">
        <f>Gia_Tbi!C4</f>
        <v>Cái</v>
      </c>
      <c r="D555" s="6">
        <f>Gia_Tbi!D4</f>
        <v>0.4</v>
      </c>
      <c r="E555" s="6">
        <f>Gia_Tbi!E4</f>
        <v>5</v>
      </c>
      <c r="F555" s="82">
        <f>Gia_Tbi!F4</f>
        <v>10000000</v>
      </c>
      <c r="G555" s="83">
        <f>Gia_Tbi!G4</f>
        <v>4000</v>
      </c>
      <c r="H555" s="302">
        <v>60</v>
      </c>
      <c r="I555" s="84">
        <f>G555*H555</f>
        <v>240000</v>
      </c>
      <c r="K555" s="77">
        <v>550</v>
      </c>
    </row>
    <row r="556" spans="1:11">
      <c r="A556" s="13">
        <v>2</v>
      </c>
      <c r="B556" s="5" t="s">
        <v>83</v>
      </c>
      <c r="C556" s="6" t="str">
        <f>Gia_Tbi!C5</f>
        <v>Cái</v>
      </c>
      <c r="D556" s="6">
        <f>Gia_Tbi!D5</f>
        <v>0.6</v>
      </c>
      <c r="E556" s="6">
        <f>Gia_Tbi!E5</f>
        <v>5</v>
      </c>
      <c r="F556" s="82">
        <f>Gia_Tbi!F5</f>
        <v>2500000</v>
      </c>
      <c r="G556" s="83">
        <f>Gia_Tbi!G5</f>
        <v>1000</v>
      </c>
      <c r="H556" s="302">
        <v>4.2</v>
      </c>
      <c r="I556" s="84">
        <f>G556*H556</f>
        <v>4200</v>
      </c>
      <c r="K556" s="77">
        <v>551</v>
      </c>
    </row>
    <row r="557" spans="1:11">
      <c r="A557" s="13">
        <v>3</v>
      </c>
      <c r="B557" s="5" t="s">
        <v>25</v>
      </c>
      <c r="C557" s="6" t="str">
        <f>Gia_Tbi!C6</f>
        <v>Cái</v>
      </c>
      <c r="D557" s="6">
        <f>Gia_Tbi!D6</f>
        <v>2.2000000000000002</v>
      </c>
      <c r="E557" s="6">
        <f>Gia_Tbi!E6</f>
        <v>8</v>
      </c>
      <c r="F557" s="82">
        <f>Gia_Tbi!F6</f>
        <v>12000000</v>
      </c>
      <c r="G557" s="83">
        <f>Gia_Tbi!G6</f>
        <v>3000</v>
      </c>
      <c r="H557" s="302">
        <v>6.67</v>
      </c>
      <c r="I557" s="84">
        <f>G557*H557</f>
        <v>20010</v>
      </c>
      <c r="K557" s="77">
        <v>552</v>
      </c>
    </row>
    <row r="558" spans="1:11">
      <c r="A558" s="13">
        <v>4</v>
      </c>
      <c r="B558" s="5" t="s">
        <v>24</v>
      </c>
      <c r="C558" s="6" t="e">
        <f>Gia_Tbi!#REF!</f>
        <v>#REF!</v>
      </c>
      <c r="D558" s="6" t="e">
        <f>Gia_Tbi!#REF!</f>
        <v>#REF!</v>
      </c>
      <c r="E558" s="6" t="e">
        <f>Gia_Tbi!#REF!</f>
        <v>#REF!</v>
      </c>
      <c r="F558" s="82" t="e">
        <f>Gia_Tbi!#REF!</f>
        <v>#REF!</v>
      </c>
      <c r="G558" s="83" t="e">
        <f>Gia_Tbi!#REF!</f>
        <v>#REF!</v>
      </c>
      <c r="H558" s="302">
        <v>4</v>
      </c>
      <c r="I558" s="84" t="e">
        <f>G558*H558</f>
        <v>#REF!</v>
      </c>
      <c r="K558" s="77">
        <v>553</v>
      </c>
    </row>
    <row r="559" spans="1:11">
      <c r="A559" s="40">
        <v>5</v>
      </c>
      <c r="B559" s="41" t="s">
        <v>8</v>
      </c>
      <c r="C559" s="42" t="str">
        <f>Gia_Tbi!C9</f>
        <v>Cái</v>
      </c>
      <c r="D559" s="42">
        <f>Gia_Tbi!D9</f>
        <v>0.8</v>
      </c>
      <c r="E559" s="117">
        <f>Gia_Tbi!E9</f>
        <v>8</v>
      </c>
      <c r="F559" s="86">
        <f>Gia_Tbi!F9</f>
        <v>45200000</v>
      </c>
      <c r="G559" s="87">
        <f>Gia_Tbi!G9</f>
        <v>11300</v>
      </c>
      <c r="H559" s="296" t="e">
        <f>(H555*D555+H556*D556+H557*D557+H558*D558)*8</f>
        <v>#REF!</v>
      </c>
      <c r="I559" s="120" t="e">
        <f>G559*H559*E559</f>
        <v>#REF!</v>
      </c>
      <c r="K559" s="77">
        <v>554</v>
      </c>
    </row>
    <row r="560" spans="1:11" s="4" customFormat="1">
      <c r="A560" s="12" t="e">
        <f>#REF!</f>
        <v>#REF!</v>
      </c>
      <c r="B560" s="8" t="e">
        <f>#REF!</f>
        <v>#REF!</v>
      </c>
      <c r="C560" s="7"/>
      <c r="D560" s="7"/>
      <c r="E560" s="7"/>
      <c r="F560" s="93"/>
      <c r="G560" s="94"/>
      <c r="H560" s="298"/>
      <c r="I560" s="95"/>
      <c r="K560" s="77">
        <v>555</v>
      </c>
    </row>
    <row r="561" spans="1:11" s="81" customFormat="1">
      <c r="A561" s="31" t="e">
        <f>#REF!</f>
        <v>#REF!</v>
      </c>
      <c r="B561" s="32" t="e">
        <f>#REF!</f>
        <v>#REF!</v>
      </c>
      <c r="C561" s="15"/>
      <c r="D561" s="15"/>
      <c r="E561" s="15"/>
      <c r="F561" s="78"/>
      <c r="G561" s="79"/>
      <c r="H561" s="111"/>
      <c r="I561" s="80"/>
      <c r="K561" s="77">
        <v>556</v>
      </c>
    </row>
    <row r="562" spans="1:11" s="81" customFormat="1">
      <c r="A562" s="31" t="e">
        <f>#REF!</f>
        <v>#REF!</v>
      </c>
      <c r="B562" s="32" t="e">
        <f>#REF!</f>
        <v>#REF!</v>
      </c>
      <c r="C562" s="15"/>
      <c r="D562" s="15"/>
      <c r="E562" s="15"/>
      <c r="F562" s="78"/>
      <c r="G562" s="79"/>
      <c r="H562" s="111"/>
      <c r="I562" s="80"/>
      <c r="K562" s="77">
        <v>557</v>
      </c>
    </row>
    <row r="563" spans="1:11" s="4" customFormat="1">
      <c r="A563" s="12" t="e">
        <f>#REF!</f>
        <v>#REF!</v>
      </c>
      <c r="B563" s="8" t="e">
        <f>#REF!</f>
        <v>#REF!</v>
      </c>
      <c r="C563" s="7"/>
      <c r="D563" s="7"/>
      <c r="E563" s="7"/>
      <c r="F563" s="93"/>
      <c r="G563" s="94"/>
      <c r="H563" s="298"/>
      <c r="I563" s="95"/>
      <c r="K563" s="77">
        <v>558</v>
      </c>
    </row>
    <row r="564" spans="1:11" s="81" customFormat="1">
      <c r="A564" s="31" t="e">
        <f>#REF!</f>
        <v>#REF!</v>
      </c>
      <c r="B564" s="32" t="e">
        <f>#REF!</f>
        <v>#REF!</v>
      </c>
      <c r="C564" s="15"/>
      <c r="D564" s="15"/>
      <c r="E564" s="15"/>
      <c r="F564" s="78"/>
      <c r="G564" s="79"/>
      <c r="H564" s="111"/>
      <c r="I564" s="80" t="e">
        <f>I567</f>
        <v>#REF!</v>
      </c>
      <c r="K564" s="77">
        <v>559</v>
      </c>
    </row>
    <row r="565" spans="1:11">
      <c r="A565" s="13" t="e">
        <f>#REF!</f>
        <v>#REF!</v>
      </c>
      <c r="B565" s="5" t="e">
        <f>#REF!</f>
        <v>#REF!</v>
      </c>
      <c r="C565" s="6"/>
      <c r="D565" s="6"/>
      <c r="E565" s="6"/>
      <c r="F565" s="82"/>
      <c r="G565" s="83"/>
      <c r="H565" s="295"/>
      <c r="I565" s="84" t="e">
        <f>I567</f>
        <v>#REF!</v>
      </c>
      <c r="K565" s="77">
        <v>560</v>
      </c>
    </row>
    <row r="566" spans="1:11">
      <c r="A566" s="13" t="e">
        <f>#REF!</f>
        <v>#REF!</v>
      </c>
      <c r="B566" s="5" t="e">
        <f>#REF!</f>
        <v>#REF!</v>
      </c>
      <c r="C566" s="6"/>
      <c r="D566" s="6"/>
      <c r="E566" s="6"/>
      <c r="F566" s="82"/>
      <c r="G566" s="83"/>
      <c r="H566" s="295"/>
      <c r="I566" s="84" t="e">
        <f>I567</f>
        <v>#REF!</v>
      </c>
      <c r="K566" s="77">
        <v>561</v>
      </c>
    </row>
    <row r="567" spans="1:11">
      <c r="A567" s="13" t="e">
        <f>#REF!</f>
        <v>#REF!</v>
      </c>
      <c r="B567" s="5" t="e">
        <f>#REF!</f>
        <v>#REF!</v>
      </c>
      <c r="C567" s="6"/>
      <c r="D567" s="6"/>
      <c r="E567" s="6"/>
      <c r="F567" s="82"/>
      <c r="G567" s="83"/>
      <c r="H567" s="295"/>
      <c r="I567" s="80" t="e">
        <f>SUM(I568:I571)</f>
        <v>#REF!</v>
      </c>
      <c r="K567" s="77">
        <v>562</v>
      </c>
    </row>
    <row r="568" spans="1:11">
      <c r="A568" s="13">
        <v>1</v>
      </c>
      <c r="B568" s="5" t="s">
        <v>82</v>
      </c>
      <c r="C568" s="6" t="str">
        <f>Gia_Tbi!C4</f>
        <v>Cái</v>
      </c>
      <c r="D568" s="6">
        <f>Gia_Tbi!D4</f>
        <v>0.4</v>
      </c>
      <c r="E568" s="6">
        <f>Gia_Tbi!E4</f>
        <v>5</v>
      </c>
      <c r="F568" s="82">
        <f>Gia_Tbi!F4</f>
        <v>10000000</v>
      </c>
      <c r="G568" s="83">
        <f>Gia_Tbi!G4</f>
        <v>4000</v>
      </c>
      <c r="H568" s="302">
        <v>15</v>
      </c>
      <c r="I568" s="84">
        <f>G568*H568</f>
        <v>60000</v>
      </c>
      <c r="K568" s="77">
        <v>563</v>
      </c>
    </row>
    <row r="569" spans="1:11">
      <c r="A569" s="13">
        <v>2</v>
      </c>
      <c r="B569" s="5" t="s">
        <v>83</v>
      </c>
      <c r="C569" s="6" t="str">
        <f>Gia_Tbi!C5</f>
        <v>Cái</v>
      </c>
      <c r="D569" s="6">
        <f>Gia_Tbi!D5</f>
        <v>0.6</v>
      </c>
      <c r="E569" s="6">
        <f>Gia_Tbi!E5</f>
        <v>5</v>
      </c>
      <c r="F569" s="82">
        <f>Gia_Tbi!F5</f>
        <v>2500000</v>
      </c>
      <c r="G569" s="83">
        <f>Gia_Tbi!G5</f>
        <v>1000</v>
      </c>
      <c r="H569" s="302">
        <v>0.8</v>
      </c>
      <c r="I569" s="84">
        <f>G569*H569</f>
        <v>800</v>
      </c>
      <c r="K569" s="77">
        <v>564</v>
      </c>
    </row>
    <row r="570" spans="1:11">
      <c r="A570" s="13">
        <v>3</v>
      </c>
      <c r="B570" s="5" t="s">
        <v>25</v>
      </c>
      <c r="C570" s="6" t="str">
        <f>Gia_Tbi!C6</f>
        <v>Cái</v>
      </c>
      <c r="D570" s="6">
        <f>Gia_Tbi!D6</f>
        <v>2.2000000000000002</v>
      </c>
      <c r="E570" s="6">
        <f>Gia_Tbi!E6</f>
        <v>8</v>
      </c>
      <c r="F570" s="82">
        <f>Gia_Tbi!F6</f>
        <v>12000000</v>
      </c>
      <c r="G570" s="83">
        <f>Gia_Tbi!G6</f>
        <v>3000</v>
      </c>
      <c r="H570" s="302">
        <v>5</v>
      </c>
      <c r="I570" s="84">
        <f>G570*H570</f>
        <v>15000</v>
      </c>
      <c r="K570" s="77">
        <v>565</v>
      </c>
    </row>
    <row r="571" spans="1:11">
      <c r="A571" s="13">
        <v>4</v>
      </c>
      <c r="B571" s="5" t="s">
        <v>24</v>
      </c>
      <c r="C571" s="6" t="e">
        <f>Gia_Tbi!#REF!</f>
        <v>#REF!</v>
      </c>
      <c r="D571" s="6" t="e">
        <f>Gia_Tbi!#REF!</f>
        <v>#REF!</v>
      </c>
      <c r="E571" s="6" t="e">
        <f>Gia_Tbi!#REF!</f>
        <v>#REF!</v>
      </c>
      <c r="F571" s="82" t="e">
        <f>Gia_Tbi!#REF!</f>
        <v>#REF!</v>
      </c>
      <c r="G571" s="83" t="e">
        <f>Gia_Tbi!#REF!</f>
        <v>#REF!</v>
      </c>
      <c r="H571" s="302">
        <v>0.5</v>
      </c>
      <c r="I571" s="84" t="e">
        <f>G571*H571</f>
        <v>#REF!</v>
      </c>
      <c r="K571" s="77">
        <v>566</v>
      </c>
    </row>
    <row r="572" spans="1:11">
      <c r="A572" s="40">
        <v>5</v>
      </c>
      <c r="B572" s="41" t="s">
        <v>8</v>
      </c>
      <c r="C572" s="42" t="str">
        <f>Gia_Tbi!C9</f>
        <v>Cái</v>
      </c>
      <c r="D572" s="42">
        <f>Gia_Tbi!D9</f>
        <v>0.8</v>
      </c>
      <c r="E572" s="117">
        <f>Gia_Tbi!E9</f>
        <v>8</v>
      </c>
      <c r="F572" s="86">
        <f>Gia_Tbi!F9</f>
        <v>45200000</v>
      </c>
      <c r="G572" s="87">
        <f>Gia_Tbi!G9</f>
        <v>11300</v>
      </c>
      <c r="H572" s="296" t="e">
        <f>(H568*D568+H569*D569+H570*D570+H571*D571)*8</f>
        <v>#REF!</v>
      </c>
      <c r="I572" s="120" t="e">
        <f>G572*H572*E572</f>
        <v>#REF!</v>
      </c>
      <c r="K572" s="77">
        <v>567</v>
      </c>
    </row>
    <row r="573" spans="1:11" s="81" customFormat="1">
      <c r="A573" s="31" t="e">
        <f>#REF!</f>
        <v>#REF!</v>
      </c>
      <c r="B573" s="32" t="e">
        <f>#REF!</f>
        <v>#REF!</v>
      </c>
      <c r="C573" s="15"/>
      <c r="D573" s="15"/>
      <c r="E573" s="15"/>
      <c r="F573" s="78"/>
      <c r="G573" s="79"/>
      <c r="H573" s="111"/>
      <c r="I573" s="80" t="e">
        <f>SUM(I574:I577)</f>
        <v>#REF!</v>
      </c>
      <c r="K573" s="77">
        <v>568</v>
      </c>
    </row>
    <row r="574" spans="1:11">
      <c r="A574" s="13">
        <v>1</v>
      </c>
      <c r="B574" s="5" t="s">
        <v>82</v>
      </c>
      <c r="C574" s="6" t="str">
        <f>Gia_Tbi!C4</f>
        <v>Cái</v>
      </c>
      <c r="D574" s="6">
        <f>Gia_Tbi!D4</f>
        <v>0.4</v>
      </c>
      <c r="E574" s="6">
        <f>Gia_Tbi!E4</f>
        <v>5</v>
      </c>
      <c r="F574" s="82">
        <f>Gia_Tbi!F4</f>
        <v>10000000</v>
      </c>
      <c r="G574" s="83">
        <f>Gia_Tbi!G4</f>
        <v>4000</v>
      </c>
      <c r="H574" s="302">
        <v>10</v>
      </c>
      <c r="I574" s="84">
        <f>G574*H574</f>
        <v>40000</v>
      </c>
      <c r="K574" s="77">
        <v>569</v>
      </c>
    </row>
    <row r="575" spans="1:11">
      <c r="A575" s="13">
        <v>2</v>
      </c>
      <c r="B575" s="5" t="s">
        <v>83</v>
      </c>
      <c r="C575" s="6" t="str">
        <f>Gia_Tbi!C5</f>
        <v>Cái</v>
      </c>
      <c r="D575" s="6">
        <f>Gia_Tbi!D5</f>
        <v>0.6</v>
      </c>
      <c r="E575" s="6">
        <f>Gia_Tbi!E5</f>
        <v>5</v>
      </c>
      <c r="F575" s="82">
        <f>Gia_Tbi!F5</f>
        <v>2500000</v>
      </c>
      <c r="G575" s="83">
        <f>Gia_Tbi!G5</f>
        <v>1000</v>
      </c>
      <c r="H575" s="302">
        <v>0.4</v>
      </c>
      <c r="I575" s="84">
        <f>G575*H575</f>
        <v>400</v>
      </c>
      <c r="K575" s="77">
        <v>570</v>
      </c>
    </row>
    <row r="576" spans="1:11">
      <c r="A576" s="13">
        <v>3</v>
      </c>
      <c r="B576" s="5" t="s">
        <v>25</v>
      </c>
      <c r="C576" s="6" t="str">
        <f>Gia_Tbi!C6</f>
        <v>Cái</v>
      </c>
      <c r="D576" s="6">
        <f>Gia_Tbi!D6</f>
        <v>2.2000000000000002</v>
      </c>
      <c r="E576" s="6">
        <f>Gia_Tbi!E6</f>
        <v>8</v>
      </c>
      <c r="F576" s="82">
        <f>Gia_Tbi!F6</f>
        <v>12000000</v>
      </c>
      <c r="G576" s="83">
        <f>Gia_Tbi!G6</f>
        <v>3000</v>
      </c>
      <c r="H576" s="302">
        <v>3.33</v>
      </c>
      <c r="I576" s="84">
        <f>G576*H576</f>
        <v>9990</v>
      </c>
      <c r="K576" s="77">
        <v>571</v>
      </c>
    </row>
    <row r="577" spans="1:11">
      <c r="A577" s="13">
        <v>4</v>
      </c>
      <c r="B577" s="5" t="s">
        <v>24</v>
      </c>
      <c r="C577" s="6" t="e">
        <f>Gia_Tbi!#REF!</f>
        <v>#REF!</v>
      </c>
      <c r="D577" s="6" t="e">
        <f>Gia_Tbi!#REF!</f>
        <v>#REF!</v>
      </c>
      <c r="E577" s="6" t="e">
        <f>Gia_Tbi!#REF!</f>
        <v>#REF!</v>
      </c>
      <c r="F577" s="82" t="e">
        <f>Gia_Tbi!#REF!</f>
        <v>#REF!</v>
      </c>
      <c r="G577" s="83" t="e">
        <f>Gia_Tbi!#REF!</f>
        <v>#REF!</v>
      </c>
      <c r="H577" s="302">
        <v>0.3</v>
      </c>
      <c r="I577" s="84" t="e">
        <f>G577*H577</f>
        <v>#REF!</v>
      </c>
      <c r="K577" s="77">
        <v>572</v>
      </c>
    </row>
    <row r="578" spans="1:11">
      <c r="A578" s="40">
        <v>5</v>
      </c>
      <c r="B578" s="41" t="s">
        <v>8</v>
      </c>
      <c r="C578" s="42" t="str">
        <f>Gia_Tbi!C9</f>
        <v>Cái</v>
      </c>
      <c r="D578" s="42">
        <f>Gia_Tbi!D9</f>
        <v>0.8</v>
      </c>
      <c r="E578" s="117">
        <f>Gia_Tbi!E9</f>
        <v>8</v>
      </c>
      <c r="F578" s="86">
        <f>Gia_Tbi!F9</f>
        <v>45200000</v>
      </c>
      <c r="G578" s="87">
        <f>Gia_Tbi!G9</f>
        <v>11300</v>
      </c>
      <c r="H578" s="296" t="e">
        <f>(H574*D574+H575*D575+H576*D576+H577*D577)*8</f>
        <v>#REF!</v>
      </c>
      <c r="I578" s="120" t="e">
        <f>G578*H578*E578</f>
        <v>#REF!</v>
      </c>
      <c r="K578" s="77">
        <v>573</v>
      </c>
    </row>
    <row r="579" spans="1:11" s="81" customFormat="1">
      <c r="A579" s="31" t="e">
        <f>#REF!</f>
        <v>#REF!</v>
      </c>
      <c r="B579" s="32" t="e">
        <f>#REF!</f>
        <v>#REF!</v>
      </c>
      <c r="C579" s="15"/>
      <c r="D579" s="15"/>
      <c r="E579" s="15"/>
      <c r="F579" s="78"/>
      <c r="G579" s="79"/>
      <c r="H579" s="111"/>
      <c r="I579" s="80"/>
      <c r="K579" s="77">
        <v>574</v>
      </c>
    </row>
    <row r="580" spans="1:11">
      <c r="A580" s="13" t="e">
        <f>#REF!</f>
        <v>#REF!</v>
      </c>
      <c r="B580" s="5" t="e">
        <f>#REF!</f>
        <v>#REF!</v>
      </c>
      <c r="C580" s="6"/>
      <c r="D580" s="6"/>
      <c r="E580" s="6"/>
      <c r="F580" s="82"/>
      <c r="G580" s="83"/>
      <c r="H580" s="295"/>
      <c r="I580" s="80" t="e">
        <f>SUM(I581:I584)</f>
        <v>#REF!</v>
      </c>
      <c r="K580" s="77">
        <v>575</v>
      </c>
    </row>
    <row r="581" spans="1:11">
      <c r="A581" s="13">
        <v>1</v>
      </c>
      <c r="B581" s="5" t="s">
        <v>82</v>
      </c>
      <c r="C581" s="6" t="str">
        <f>Gia_Tbi!C4</f>
        <v>Cái</v>
      </c>
      <c r="D581" s="6">
        <f>Gia_Tbi!D4</f>
        <v>0.4</v>
      </c>
      <c r="E581" s="6">
        <f>Gia_Tbi!E4</f>
        <v>5</v>
      </c>
      <c r="F581" s="82">
        <f>Gia_Tbi!F4</f>
        <v>10000000</v>
      </c>
      <c r="G581" s="83">
        <f>Gia_Tbi!G4</f>
        <v>4000</v>
      </c>
      <c r="H581" s="302">
        <v>45</v>
      </c>
      <c r="I581" s="84">
        <f>G581*H581</f>
        <v>180000</v>
      </c>
      <c r="K581" s="77">
        <v>576</v>
      </c>
    </row>
    <row r="582" spans="1:11">
      <c r="A582" s="13">
        <v>2</v>
      </c>
      <c r="B582" s="5" t="s">
        <v>83</v>
      </c>
      <c r="C582" s="6" t="str">
        <f>Gia_Tbi!C5</f>
        <v>Cái</v>
      </c>
      <c r="D582" s="6">
        <f>Gia_Tbi!D5</f>
        <v>0.6</v>
      </c>
      <c r="E582" s="6">
        <f>Gia_Tbi!E5</f>
        <v>5</v>
      </c>
      <c r="F582" s="82">
        <f>Gia_Tbi!F5</f>
        <v>2500000</v>
      </c>
      <c r="G582" s="83">
        <f>Gia_Tbi!G5</f>
        <v>1000</v>
      </c>
      <c r="H582" s="302">
        <v>1.5</v>
      </c>
      <c r="I582" s="84">
        <f>G582*H582</f>
        <v>1500</v>
      </c>
      <c r="K582" s="77">
        <v>577</v>
      </c>
    </row>
    <row r="583" spans="1:11">
      <c r="A583" s="13">
        <v>3</v>
      </c>
      <c r="B583" s="5" t="s">
        <v>25</v>
      </c>
      <c r="C583" s="6" t="str">
        <f>Gia_Tbi!C6</f>
        <v>Cái</v>
      </c>
      <c r="D583" s="6">
        <f>Gia_Tbi!D6</f>
        <v>2.2000000000000002</v>
      </c>
      <c r="E583" s="6">
        <f>Gia_Tbi!E6</f>
        <v>8</v>
      </c>
      <c r="F583" s="82">
        <f>Gia_Tbi!F6</f>
        <v>12000000</v>
      </c>
      <c r="G583" s="83">
        <f>Gia_Tbi!G6</f>
        <v>3000</v>
      </c>
      <c r="H583" s="302">
        <v>15</v>
      </c>
      <c r="I583" s="84">
        <f>G583*H583</f>
        <v>45000</v>
      </c>
      <c r="K583" s="77">
        <v>578</v>
      </c>
    </row>
    <row r="584" spans="1:11">
      <c r="A584" s="13">
        <v>4</v>
      </c>
      <c r="B584" s="5" t="s">
        <v>24</v>
      </c>
      <c r="C584" s="6" t="e">
        <f>Gia_Tbi!#REF!</f>
        <v>#REF!</v>
      </c>
      <c r="D584" s="6" t="e">
        <f>Gia_Tbi!#REF!</f>
        <v>#REF!</v>
      </c>
      <c r="E584" s="6" t="e">
        <f>Gia_Tbi!#REF!</f>
        <v>#REF!</v>
      </c>
      <c r="F584" s="82" t="e">
        <f>Gia_Tbi!#REF!</f>
        <v>#REF!</v>
      </c>
      <c r="G584" s="83" t="e">
        <f>Gia_Tbi!#REF!</f>
        <v>#REF!</v>
      </c>
      <c r="H584" s="302">
        <v>0.85</v>
      </c>
      <c r="I584" s="84" t="e">
        <f>G584*H584</f>
        <v>#REF!</v>
      </c>
      <c r="K584" s="77">
        <v>579</v>
      </c>
    </row>
    <row r="585" spans="1:11">
      <c r="A585" s="40">
        <v>5</v>
      </c>
      <c r="B585" s="41" t="s">
        <v>8</v>
      </c>
      <c r="C585" s="42" t="str">
        <f>Gia_Tbi!C9</f>
        <v>Cái</v>
      </c>
      <c r="D585" s="42">
        <f>Gia_Tbi!D9</f>
        <v>0.8</v>
      </c>
      <c r="E585" s="117">
        <f>Gia_Tbi!E9</f>
        <v>8</v>
      </c>
      <c r="F585" s="86">
        <f>Gia_Tbi!F9</f>
        <v>45200000</v>
      </c>
      <c r="G585" s="87">
        <f>Gia_Tbi!G9</f>
        <v>11300</v>
      </c>
      <c r="H585" s="296" t="e">
        <f>(H581*D581+H582*D582+H583*D583+H584*D584)*8</f>
        <v>#REF!</v>
      </c>
      <c r="I585" s="120" t="e">
        <f>G585*H585*E585</f>
        <v>#REF!</v>
      </c>
      <c r="K585" s="77">
        <v>580</v>
      </c>
    </row>
    <row r="586" spans="1:11">
      <c r="A586" s="13" t="e">
        <f>#REF!</f>
        <v>#REF!</v>
      </c>
      <c r="B586" s="5" t="e">
        <f>#REF!</f>
        <v>#REF!</v>
      </c>
      <c r="C586" s="6"/>
      <c r="D586" s="6"/>
      <c r="E586" s="6"/>
      <c r="F586" s="82"/>
      <c r="G586" s="83"/>
      <c r="H586" s="295"/>
      <c r="I586" s="80" t="e">
        <f>SUM(I587:I590)</f>
        <v>#REF!</v>
      </c>
      <c r="K586" s="77">
        <v>581</v>
      </c>
    </row>
    <row r="587" spans="1:11">
      <c r="A587" s="13">
        <v>1</v>
      </c>
      <c r="B587" s="5" t="s">
        <v>82</v>
      </c>
      <c r="C587" s="6" t="str">
        <f>Gia_Tbi!C4</f>
        <v>Cái</v>
      </c>
      <c r="D587" s="6">
        <f>Gia_Tbi!D4</f>
        <v>0.4</v>
      </c>
      <c r="E587" s="6">
        <f>Gia_Tbi!E4</f>
        <v>5</v>
      </c>
      <c r="F587" s="82">
        <f>Gia_Tbi!F4</f>
        <v>10000000</v>
      </c>
      <c r="G587" s="83">
        <f>Gia_Tbi!G4</f>
        <v>4000</v>
      </c>
      <c r="H587" s="302">
        <v>0.68</v>
      </c>
      <c r="I587" s="84">
        <f>G587*H587</f>
        <v>2720</v>
      </c>
      <c r="K587" s="77">
        <v>582</v>
      </c>
    </row>
    <row r="588" spans="1:11">
      <c r="A588" s="13">
        <v>2</v>
      </c>
      <c r="B588" s="5" t="s">
        <v>83</v>
      </c>
      <c r="C588" s="6" t="str">
        <f>Gia_Tbi!C5</f>
        <v>Cái</v>
      </c>
      <c r="D588" s="6">
        <f>Gia_Tbi!D5</f>
        <v>0.6</v>
      </c>
      <c r="E588" s="6">
        <f>Gia_Tbi!E5</f>
        <v>5</v>
      </c>
      <c r="F588" s="82">
        <f>Gia_Tbi!F5</f>
        <v>2500000</v>
      </c>
      <c r="G588" s="83">
        <f>Gia_Tbi!G5</f>
        <v>1000</v>
      </c>
      <c r="H588" s="302">
        <v>0.01</v>
      </c>
      <c r="I588" s="84">
        <f>G588*H588</f>
        <v>10</v>
      </c>
      <c r="K588" s="77">
        <v>583</v>
      </c>
    </row>
    <row r="589" spans="1:11">
      <c r="A589" s="13">
        <v>3</v>
      </c>
      <c r="B589" s="5" t="s">
        <v>25</v>
      </c>
      <c r="C589" s="6" t="str">
        <f>Gia_Tbi!C6</f>
        <v>Cái</v>
      </c>
      <c r="D589" s="6">
        <f>Gia_Tbi!D6</f>
        <v>2.2000000000000002</v>
      </c>
      <c r="E589" s="6">
        <f>Gia_Tbi!E6</f>
        <v>8</v>
      </c>
      <c r="F589" s="82">
        <f>Gia_Tbi!F6</f>
        <v>12000000</v>
      </c>
      <c r="G589" s="83">
        <f>Gia_Tbi!G6</f>
        <v>3000</v>
      </c>
      <c r="H589" s="302">
        <v>0.22700000000000001</v>
      </c>
      <c r="I589" s="84">
        <f>G589*H589</f>
        <v>681</v>
      </c>
      <c r="K589" s="77">
        <v>584</v>
      </c>
    </row>
    <row r="590" spans="1:11">
      <c r="A590" s="13">
        <v>4</v>
      </c>
      <c r="B590" s="5" t="s">
        <v>24</v>
      </c>
      <c r="C590" s="6" t="e">
        <f>Gia_Tbi!#REF!</f>
        <v>#REF!</v>
      </c>
      <c r="D590" s="6" t="e">
        <f>Gia_Tbi!#REF!</f>
        <v>#REF!</v>
      </c>
      <c r="E590" s="6" t="e">
        <f>Gia_Tbi!#REF!</f>
        <v>#REF!</v>
      </c>
      <c r="F590" s="82" t="e">
        <f>Gia_Tbi!#REF!</f>
        <v>#REF!</v>
      </c>
      <c r="G590" s="83" t="e">
        <f>Gia_Tbi!#REF!</f>
        <v>#REF!</v>
      </c>
      <c r="H590" s="302">
        <v>0.01</v>
      </c>
      <c r="I590" s="84" t="e">
        <f>G590*H590</f>
        <v>#REF!</v>
      </c>
      <c r="K590" s="77">
        <v>585</v>
      </c>
    </row>
    <row r="591" spans="1:11">
      <c r="A591" s="40">
        <v>5</v>
      </c>
      <c r="B591" s="41" t="s">
        <v>8</v>
      </c>
      <c r="C591" s="42" t="str">
        <f>Gia_Tbi!C9</f>
        <v>Cái</v>
      </c>
      <c r="D591" s="42">
        <f>Gia_Tbi!D9</f>
        <v>0.8</v>
      </c>
      <c r="E591" s="117">
        <f>Gia_Tbi!E9</f>
        <v>8</v>
      </c>
      <c r="F591" s="86">
        <f>Gia_Tbi!F9</f>
        <v>45200000</v>
      </c>
      <c r="G591" s="87">
        <f>Gia_Tbi!G9</f>
        <v>11300</v>
      </c>
      <c r="H591" s="296" t="e">
        <f>(H587*D587+H588*D588+H589*D589+H590*D590)*8</f>
        <v>#REF!</v>
      </c>
      <c r="I591" s="120" t="e">
        <f>G591*H591*E591</f>
        <v>#REF!</v>
      </c>
      <c r="K591" s="77">
        <v>586</v>
      </c>
    </row>
    <row r="592" spans="1:11" s="81" customFormat="1">
      <c r="A592" s="31" t="e">
        <f>#REF!</f>
        <v>#REF!</v>
      </c>
      <c r="B592" s="32" t="e">
        <f>#REF!</f>
        <v>#REF!</v>
      </c>
      <c r="C592" s="15"/>
      <c r="D592" s="15"/>
      <c r="E592" s="15"/>
      <c r="F592" s="78"/>
      <c r="G592" s="79"/>
      <c r="H592" s="111"/>
      <c r="I592" s="80"/>
      <c r="K592" s="77">
        <v>587</v>
      </c>
    </row>
    <row r="593" spans="1:11">
      <c r="A593" s="13" t="e">
        <f>#REF!</f>
        <v>#REF!</v>
      </c>
      <c r="B593" s="5" t="e">
        <f>#REF!</f>
        <v>#REF!</v>
      </c>
      <c r="C593" s="6"/>
      <c r="D593" s="6"/>
      <c r="E593" s="6"/>
      <c r="F593" s="82"/>
      <c r="G593" s="83"/>
      <c r="H593" s="295"/>
      <c r="I593" s="84"/>
      <c r="K593" s="77">
        <v>588</v>
      </c>
    </row>
    <row r="594" spans="1:11" s="9" customFormat="1" ht="41.25" customHeight="1">
      <c r="A594" s="24" t="e">
        <f>#REF!</f>
        <v>#REF!</v>
      </c>
      <c r="B594" s="1265" t="e">
        <f>#REF!</f>
        <v>#REF!</v>
      </c>
      <c r="C594" s="1266"/>
      <c r="D594" s="1266"/>
      <c r="E594" s="1266"/>
      <c r="F594" s="1266"/>
      <c r="G594" s="1266"/>
      <c r="H594" s="1266"/>
      <c r="I594" s="1267"/>
      <c r="K594" s="77">
        <v>589</v>
      </c>
    </row>
    <row r="595" spans="1:11" s="81" customFormat="1">
      <c r="A595" s="31" t="e">
        <f>#REF!</f>
        <v>#REF!</v>
      </c>
      <c r="B595" s="32" t="e">
        <f>#REF!</f>
        <v>#REF!</v>
      </c>
      <c r="C595" s="15"/>
      <c r="D595" s="15"/>
      <c r="E595" s="15"/>
      <c r="F595" s="78"/>
      <c r="G595" s="79"/>
      <c r="H595" s="111"/>
      <c r="I595" s="80" t="e">
        <f>SUM(I596:I599)</f>
        <v>#REF!</v>
      </c>
      <c r="K595" s="77">
        <v>590</v>
      </c>
    </row>
    <row r="596" spans="1:11">
      <c r="A596" s="13">
        <v>1</v>
      </c>
      <c r="B596" s="5" t="s">
        <v>82</v>
      </c>
      <c r="C596" s="6" t="str">
        <f>Gia_Tbi!C4</f>
        <v>Cái</v>
      </c>
      <c r="D596" s="6">
        <f>Gia_Tbi!D4</f>
        <v>0.4</v>
      </c>
      <c r="E596" s="6">
        <f>Gia_Tbi!E4</f>
        <v>5</v>
      </c>
      <c r="F596" s="82">
        <f>Gia_Tbi!F4</f>
        <v>10000000</v>
      </c>
      <c r="G596" s="83">
        <f>Gia_Tbi!G4</f>
        <v>4000</v>
      </c>
      <c r="H596" s="302">
        <v>4</v>
      </c>
      <c r="I596" s="84">
        <f>G596*H596</f>
        <v>16000</v>
      </c>
      <c r="K596" s="77">
        <v>591</v>
      </c>
    </row>
    <row r="597" spans="1:11">
      <c r="A597" s="13">
        <v>2</v>
      </c>
      <c r="B597" s="5" t="s">
        <v>83</v>
      </c>
      <c r="C597" s="6" t="str">
        <f>Gia_Tbi!C5</f>
        <v>Cái</v>
      </c>
      <c r="D597" s="6">
        <f>Gia_Tbi!D5</f>
        <v>0.6</v>
      </c>
      <c r="E597" s="6">
        <f>Gia_Tbi!E5</f>
        <v>5</v>
      </c>
      <c r="F597" s="82">
        <f>Gia_Tbi!F5</f>
        <v>2500000</v>
      </c>
      <c r="G597" s="83">
        <f>Gia_Tbi!G5</f>
        <v>1000</v>
      </c>
      <c r="H597" s="302">
        <v>0.5</v>
      </c>
      <c r="I597" s="84">
        <f>G597*H597</f>
        <v>500</v>
      </c>
      <c r="K597" s="77">
        <v>592</v>
      </c>
    </row>
    <row r="598" spans="1:11">
      <c r="A598" s="13">
        <v>3</v>
      </c>
      <c r="B598" s="5" t="s">
        <v>25</v>
      </c>
      <c r="C598" s="6" t="str">
        <f>Gia_Tbi!C6</f>
        <v>Cái</v>
      </c>
      <c r="D598" s="6">
        <f>Gia_Tbi!D6</f>
        <v>2.2000000000000002</v>
      </c>
      <c r="E598" s="6">
        <f>Gia_Tbi!E6</f>
        <v>8</v>
      </c>
      <c r="F598" s="82">
        <f>Gia_Tbi!F6</f>
        <v>12000000</v>
      </c>
      <c r="G598" s="83">
        <f>Gia_Tbi!G6</f>
        <v>3000</v>
      </c>
      <c r="H598" s="302">
        <v>1.5</v>
      </c>
      <c r="I598" s="84">
        <f>G598*H598</f>
        <v>4500</v>
      </c>
      <c r="K598" s="77">
        <v>593</v>
      </c>
    </row>
    <row r="599" spans="1:11">
      <c r="A599" s="13">
        <v>4</v>
      </c>
      <c r="B599" s="5" t="s">
        <v>24</v>
      </c>
      <c r="C599" s="6" t="e">
        <f>Gia_Tbi!#REF!</f>
        <v>#REF!</v>
      </c>
      <c r="D599" s="6" t="e">
        <f>Gia_Tbi!#REF!</f>
        <v>#REF!</v>
      </c>
      <c r="E599" s="6" t="e">
        <f>Gia_Tbi!#REF!</f>
        <v>#REF!</v>
      </c>
      <c r="F599" s="82" t="e">
        <f>Gia_Tbi!#REF!</f>
        <v>#REF!</v>
      </c>
      <c r="G599" s="83" t="e">
        <f>Gia_Tbi!#REF!</f>
        <v>#REF!</v>
      </c>
      <c r="H599" s="302">
        <v>1</v>
      </c>
      <c r="I599" s="84" t="e">
        <f>G599*H599</f>
        <v>#REF!</v>
      </c>
      <c r="K599" s="77">
        <v>594</v>
      </c>
    </row>
    <row r="600" spans="1:11">
      <c r="A600" s="40">
        <v>5</v>
      </c>
      <c r="B600" s="41" t="s">
        <v>8</v>
      </c>
      <c r="C600" s="42" t="str">
        <f>Gia_Tbi!C9</f>
        <v>Cái</v>
      </c>
      <c r="D600" s="42">
        <f>Gia_Tbi!D9</f>
        <v>0.8</v>
      </c>
      <c r="E600" s="117">
        <f>Gia_Tbi!E9</f>
        <v>8</v>
      </c>
      <c r="F600" s="86">
        <f>Gia_Tbi!F9</f>
        <v>45200000</v>
      </c>
      <c r="G600" s="87">
        <f>Gia_Tbi!G9</f>
        <v>11300</v>
      </c>
      <c r="H600" s="296" t="e">
        <f>(H596*D596+H597*D597+H598*D598+H599*D599)*8</f>
        <v>#REF!</v>
      </c>
      <c r="I600" s="120" t="e">
        <f>G600*H600*E600</f>
        <v>#REF!</v>
      </c>
      <c r="K600" s="77">
        <v>595</v>
      </c>
    </row>
    <row r="601" spans="1:11" s="4" customFormat="1">
      <c r="A601" s="12" t="e">
        <f>#REF!</f>
        <v>#REF!</v>
      </c>
      <c r="B601" s="8" t="e">
        <f>#REF!</f>
        <v>#REF!</v>
      </c>
      <c r="C601" s="7"/>
      <c r="D601" s="7"/>
      <c r="E601" s="7"/>
      <c r="F601" s="93"/>
      <c r="G601" s="94"/>
      <c r="H601" s="298"/>
      <c r="I601" s="95"/>
      <c r="K601" s="77">
        <v>596</v>
      </c>
    </row>
    <row r="602" spans="1:11" s="81" customFormat="1">
      <c r="A602" s="1268" t="e">
        <f>#REF!</f>
        <v>#REF!</v>
      </c>
      <c r="B602" s="1271" t="e">
        <f>#REF!</f>
        <v>#REF!</v>
      </c>
      <c r="C602" s="15"/>
      <c r="D602" s="109" t="s">
        <v>105</v>
      </c>
      <c r="E602" s="15"/>
      <c r="F602" s="78"/>
      <c r="G602" s="79"/>
      <c r="H602" s="111">
        <v>0.8</v>
      </c>
      <c r="I602" s="80" t="e">
        <f>H602*I603</f>
        <v>#REF!</v>
      </c>
      <c r="K602" s="77">
        <v>597</v>
      </c>
    </row>
    <row r="603" spans="1:11" s="81" customFormat="1">
      <c r="A603" s="1269"/>
      <c r="B603" s="1272"/>
      <c r="C603" s="15"/>
      <c r="D603" s="109" t="s">
        <v>106</v>
      </c>
      <c r="E603" s="15"/>
      <c r="F603" s="78"/>
      <c r="G603" s="79"/>
      <c r="H603" s="111">
        <v>1</v>
      </c>
      <c r="I603" s="97" t="e">
        <f>SUM(I605:I608)</f>
        <v>#REF!</v>
      </c>
      <c r="K603" s="77">
        <v>598</v>
      </c>
    </row>
    <row r="604" spans="1:11" s="81" customFormat="1">
      <c r="A604" s="1270"/>
      <c r="B604" s="1273"/>
      <c r="C604" s="15"/>
      <c r="D604" s="109" t="s">
        <v>107</v>
      </c>
      <c r="E604" s="15"/>
      <c r="F604" s="78"/>
      <c r="G604" s="79"/>
      <c r="H604" s="111">
        <v>1.2</v>
      </c>
      <c r="I604" s="97" t="e">
        <f>H604*I603</f>
        <v>#REF!</v>
      </c>
      <c r="K604" s="77">
        <v>599</v>
      </c>
    </row>
    <row r="605" spans="1:11">
      <c r="A605" s="13">
        <v>1</v>
      </c>
      <c r="B605" s="5" t="s">
        <v>82</v>
      </c>
      <c r="C605" s="6" t="str">
        <f>Gia_Tbi!C4</f>
        <v>Cái</v>
      </c>
      <c r="D605" s="6">
        <f>Gia_Tbi!D4</f>
        <v>0.4</v>
      </c>
      <c r="E605" s="6">
        <f>Gia_Tbi!E4</f>
        <v>5</v>
      </c>
      <c r="F605" s="82">
        <f>Gia_Tbi!F4</f>
        <v>10000000</v>
      </c>
      <c r="G605" s="83">
        <f>Gia_Tbi!G4</f>
        <v>4000</v>
      </c>
      <c r="H605" s="302">
        <v>10</v>
      </c>
      <c r="I605" s="84">
        <f>G605*H605</f>
        <v>40000</v>
      </c>
      <c r="K605" s="77">
        <v>600</v>
      </c>
    </row>
    <row r="606" spans="1:11">
      <c r="A606" s="13">
        <v>2</v>
      </c>
      <c r="B606" s="5" t="s">
        <v>83</v>
      </c>
      <c r="C606" s="6" t="str">
        <f>Gia_Tbi!C5</f>
        <v>Cái</v>
      </c>
      <c r="D606" s="6">
        <f>Gia_Tbi!D5</f>
        <v>0.6</v>
      </c>
      <c r="E606" s="6">
        <f>Gia_Tbi!E5</f>
        <v>5</v>
      </c>
      <c r="F606" s="82">
        <f>Gia_Tbi!F5</f>
        <v>2500000</v>
      </c>
      <c r="G606" s="83">
        <f>Gia_Tbi!G5</f>
        <v>1000</v>
      </c>
      <c r="H606" s="302">
        <v>0.3</v>
      </c>
      <c r="I606" s="84">
        <f>G606*H606</f>
        <v>300</v>
      </c>
      <c r="K606" s="77">
        <v>601</v>
      </c>
    </row>
    <row r="607" spans="1:11">
      <c r="A607" s="13">
        <v>3</v>
      </c>
      <c r="B607" s="5" t="s">
        <v>25</v>
      </c>
      <c r="C607" s="6" t="str">
        <f>Gia_Tbi!C6</f>
        <v>Cái</v>
      </c>
      <c r="D607" s="6">
        <f>Gia_Tbi!D6</f>
        <v>2.2000000000000002</v>
      </c>
      <c r="E607" s="6">
        <f>Gia_Tbi!E6</f>
        <v>8</v>
      </c>
      <c r="F607" s="82">
        <f>Gia_Tbi!F6</f>
        <v>12000000</v>
      </c>
      <c r="G607" s="83">
        <f>Gia_Tbi!G6</f>
        <v>3000</v>
      </c>
      <c r="H607" s="302">
        <v>3.33</v>
      </c>
      <c r="I607" s="84">
        <f>G607*H607</f>
        <v>9990</v>
      </c>
      <c r="K607" s="77">
        <v>602</v>
      </c>
    </row>
    <row r="608" spans="1:11">
      <c r="A608" s="13">
        <v>4</v>
      </c>
      <c r="B608" s="5" t="s">
        <v>24</v>
      </c>
      <c r="C608" s="6" t="e">
        <f>Gia_Tbi!#REF!</f>
        <v>#REF!</v>
      </c>
      <c r="D608" s="6" t="e">
        <f>Gia_Tbi!#REF!</f>
        <v>#REF!</v>
      </c>
      <c r="E608" s="6" t="e">
        <f>Gia_Tbi!#REF!</f>
        <v>#REF!</v>
      </c>
      <c r="F608" s="82" t="e">
        <f>Gia_Tbi!#REF!</f>
        <v>#REF!</v>
      </c>
      <c r="G608" s="83" t="e">
        <f>Gia_Tbi!#REF!</f>
        <v>#REF!</v>
      </c>
      <c r="H608" s="302">
        <v>0.25</v>
      </c>
      <c r="I608" s="84" t="e">
        <f>G608*H608</f>
        <v>#REF!</v>
      </c>
      <c r="K608" s="77">
        <v>603</v>
      </c>
    </row>
    <row r="609" spans="1:11">
      <c r="A609" s="40">
        <v>5</v>
      </c>
      <c r="B609" s="41" t="s">
        <v>8</v>
      </c>
      <c r="C609" s="42" t="str">
        <f>Gia_Tbi!C9</f>
        <v>Cái</v>
      </c>
      <c r="D609" s="42">
        <f>Gia_Tbi!D9</f>
        <v>0.8</v>
      </c>
      <c r="E609" s="117">
        <f>Gia_Tbi!E9</f>
        <v>8</v>
      </c>
      <c r="F609" s="86">
        <f>Gia_Tbi!F9</f>
        <v>45200000</v>
      </c>
      <c r="G609" s="87">
        <f>Gia_Tbi!G9</f>
        <v>11300</v>
      </c>
      <c r="H609" s="296" t="e">
        <f>(H605*D605+H606*D606+H607*D607+H608*D608)*8</f>
        <v>#REF!</v>
      </c>
      <c r="I609" s="120" t="e">
        <f>G609*H609*E609</f>
        <v>#REF!</v>
      </c>
      <c r="K609" s="77">
        <v>604</v>
      </c>
    </row>
    <row r="610" spans="1:11" s="81" customFormat="1">
      <c r="A610" s="1268" t="e">
        <f>#REF!</f>
        <v>#REF!</v>
      </c>
      <c r="B610" s="1271" t="e">
        <f>#REF!</f>
        <v>#REF!</v>
      </c>
      <c r="C610" s="15"/>
      <c r="D610" s="109" t="s">
        <v>105</v>
      </c>
      <c r="E610" s="15"/>
      <c r="F610" s="78"/>
      <c r="G610" s="79"/>
      <c r="H610" s="111">
        <v>0.8</v>
      </c>
      <c r="I610" s="80" t="e">
        <f>H610*I611</f>
        <v>#REF!</v>
      </c>
      <c r="K610" s="77">
        <v>605</v>
      </c>
    </row>
    <row r="611" spans="1:11" s="81" customFormat="1">
      <c r="A611" s="1269"/>
      <c r="B611" s="1272"/>
      <c r="C611" s="15"/>
      <c r="D611" s="109" t="s">
        <v>106</v>
      </c>
      <c r="E611" s="15"/>
      <c r="F611" s="78"/>
      <c r="G611" s="79"/>
      <c r="H611" s="111">
        <v>1</v>
      </c>
      <c r="I611" s="97" t="e">
        <f>SUM(I613:I616)</f>
        <v>#REF!</v>
      </c>
      <c r="K611" s="77">
        <v>606</v>
      </c>
    </row>
    <row r="612" spans="1:11" s="81" customFormat="1">
      <c r="A612" s="1270"/>
      <c r="B612" s="1273"/>
      <c r="C612" s="15"/>
      <c r="D612" s="109" t="s">
        <v>107</v>
      </c>
      <c r="E612" s="15"/>
      <c r="F612" s="78"/>
      <c r="G612" s="79"/>
      <c r="H612" s="111">
        <v>1.2</v>
      </c>
      <c r="I612" s="97" t="e">
        <f>H612*I611</f>
        <v>#REF!</v>
      </c>
      <c r="K612" s="77">
        <v>607</v>
      </c>
    </row>
    <row r="613" spans="1:11">
      <c r="A613" s="13">
        <v>1</v>
      </c>
      <c r="B613" s="5" t="s">
        <v>82</v>
      </c>
      <c r="C613" s="6" t="str">
        <f>Gia_Tbi!C4</f>
        <v>Cái</v>
      </c>
      <c r="D613" s="6">
        <f>Gia_Tbi!D4</f>
        <v>0.4</v>
      </c>
      <c r="E613" s="6">
        <f>Gia_Tbi!E4</f>
        <v>5</v>
      </c>
      <c r="F613" s="82">
        <f>Gia_Tbi!F4</f>
        <v>10000000</v>
      </c>
      <c r="G613" s="83">
        <f>Gia_Tbi!G4</f>
        <v>4000</v>
      </c>
      <c r="H613" s="302">
        <v>20</v>
      </c>
      <c r="I613" s="84">
        <f>G613*H613</f>
        <v>80000</v>
      </c>
      <c r="K613" s="77">
        <v>608</v>
      </c>
    </row>
    <row r="614" spans="1:11">
      <c r="A614" s="13">
        <v>2</v>
      </c>
      <c r="B614" s="5" t="s">
        <v>83</v>
      </c>
      <c r="C614" s="6" t="str">
        <f>Gia_Tbi!C5</f>
        <v>Cái</v>
      </c>
      <c r="D614" s="6">
        <f>Gia_Tbi!D5</f>
        <v>0.6</v>
      </c>
      <c r="E614" s="6">
        <f>Gia_Tbi!E5</f>
        <v>5</v>
      </c>
      <c r="F614" s="82">
        <f>Gia_Tbi!F5</f>
        <v>2500000</v>
      </c>
      <c r="G614" s="83">
        <f>Gia_Tbi!G5</f>
        <v>1000</v>
      </c>
      <c r="H614" s="302">
        <v>0.5</v>
      </c>
      <c r="I614" s="84">
        <f>G614*H614</f>
        <v>500</v>
      </c>
      <c r="K614" s="77">
        <v>609</v>
      </c>
    </row>
    <row r="615" spans="1:11">
      <c r="A615" s="13">
        <v>3</v>
      </c>
      <c r="B615" s="5" t="s">
        <v>25</v>
      </c>
      <c r="C615" s="6" t="str">
        <f>Gia_Tbi!C6</f>
        <v>Cái</v>
      </c>
      <c r="D615" s="6">
        <f>Gia_Tbi!D6</f>
        <v>2.2000000000000002</v>
      </c>
      <c r="E615" s="6">
        <f>Gia_Tbi!E6</f>
        <v>8</v>
      </c>
      <c r="F615" s="82">
        <f>Gia_Tbi!F6</f>
        <v>12000000</v>
      </c>
      <c r="G615" s="83">
        <f>Gia_Tbi!G6</f>
        <v>3000</v>
      </c>
      <c r="H615" s="302">
        <v>6.67</v>
      </c>
      <c r="I615" s="84">
        <f>G615*H615</f>
        <v>20010</v>
      </c>
      <c r="K615" s="77">
        <v>610</v>
      </c>
    </row>
    <row r="616" spans="1:11">
      <c r="A616" s="13">
        <v>4</v>
      </c>
      <c r="B616" s="5" t="s">
        <v>24</v>
      </c>
      <c r="C616" s="6" t="e">
        <f>Gia_Tbi!#REF!</f>
        <v>#REF!</v>
      </c>
      <c r="D616" s="6" t="e">
        <f>Gia_Tbi!#REF!</f>
        <v>#REF!</v>
      </c>
      <c r="E616" s="6" t="e">
        <f>Gia_Tbi!#REF!</f>
        <v>#REF!</v>
      </c>
      <c r="F616" s="82" t="e">
        <f>Gia_Tbi!#REF!</f>
        <v>#REF!</v>
      </c>
      <c r="G616" s="83" t="e">
        <f>Gia_Tbi!#REF!</f>
        <v>#REF!</v>
      </c>
      <c r="H616" s="302">
        <v>0.3</v>
      </c>
      <c r="I616" s="84" t="e">
        <f>G616*H616</f>
        <v>#REF!</v>
      </c>
      <c r="K616" s="77">
        <v>611</v>
      </c>
    </row>
    <row r="617" spans="1:11">
      <c r="A617" s="40">
        <v>5</v>
      </c>
      <c r="B617" s="41" t="s">
        <v>8</v>
      </c>
      <c r="C617" s="42" t="str">
        <f>Gia_Tbi!C9</f>
        <v>Cái</v>
      </c>
      <c r="D617" s="42">
        <f>Gia_Tbi!D9</f>
        <v>0.8</v>
      </c>
      <c r="E617" s="117">
        <f>Gia_Tbi!E9</f>
        <v>8</v>
      </c>
      <c r="F617" s="86">
        <f>Gia_Tbi!F9</f>
        <v>45200000</v>
      </c>
      <c r="G617" s="87">
        <f>Gia_Tbi!G9</f>
        <v>11300</v>
      </c>
      <c r="H617" s="296" t="e">
        <f>(H613*D613+H614*D614+H615*D615+H616*D616)*8</f>
        <v>#REF!</v>
      </c>
      <c r="I617" s="120" t="e">
        <f>G617*H617*E617</f>
        <v>#REF!</v>
      </c>
      <c r="K617" s="77">
        <v>612</v>
      </c>
    </row>
    <row r="618" spans="1:11" s="81" customFormat="1">
      <c r="A618" s="1268" t="e">
        <f>#REF!</f>
        <v>#REF!</v>
      </c>
      <c r="B618" s="1271" t="e">
        <f>#REF!</f>
        <v>#REF!</v>
      </c>
      <c r="C618" s="15"/>
      <c r="D618" s="109" t="s">
        <v>105</v>
      </c>
      <c r="E618" s="15"/>
      <c r="F618" s="78"/>
      <c r="G618" s="79"/>
      <c r="H618" s="111">
        <v>0.8</v>
      </c>
      <c r="I618" s="80" t="e">
        <f>H618*I619</f>
        <v>#REF!</v>
      </c>
      <c r="K618" s="77">
        <v>613</v>
      </c>
    </row>
    <row r="619" spans="1:11" s="81" customFormat="1">
      <c r="A619" s="1269"/>
      <c r="B619" s="1272"/>
      <c r="C619" s="15"/>
      <c r="D619" s="109" t="s">
        <v>106</v>
      </c>
      <c r="E619" s="15"/>
      <c r="F619" s="78"/>
      <c r="G619" s="79"/>
      <c r="H619" s="111">
        <v>1</v>
      </c>
      <c r="I619" s="97" t="e">
        <f>SUM(I621:I624)</f>
        <v>#REF!</v>
      </c>
      <c r="K619" s="77">
        <v>614</v>
      </c>
    </row>
    <row r="620" spans="1:11" s="81" customFormat="1">
      <c r="A620" s="1270"/>
      <c r="B620" s="1273"/>
      <c r="C620" s="15"/>
      <c r="D620" s="109" t="s">
        <v>107</v>
      </c>
      <c r="E620" s="15"/>
      <c r="F620" s="78"/>
      <c r="G620" s="79"/>
      <c r="H620" s="111">
        <v>1.2</v>
      </c>
      <c r="I620" s="97" t="e">
        <f>H620*I619</f>
        <v>#REF!</v>
      </c>
      <c r="K620" s="77">
        <v>615</v>
      </c>
    </row>
    <row r="621" spans="1:11">
      <c r="A621" s="13">
        <v>1</v>
      </c>
      <c r="B621" s="5" t="s">
        <v>82</v>
      </c>
      <c r="C621" s="6" t="str">
        <f>Gia_Tbi!C4</f>
        <v>Cái</v>
      </c>
      <c r="D621" s="6">
        <f>Gia_Tbi!D4</f>
        <v>0.4</v>
      </c>
      <c r="E621" s="6">
        <f>Gia_Tbi!E4</f>
        <v>5</v>
      </c>
      <c r="F621" s="82">
        <f>Gia_Tbi!F4</f>
        <v>10000000</v>
      </c>
      <c r="G621" s="83">
        <f>Gia_Tbi!G4</f>
        <v>4000</v>
      </c>
      <c r="H621" s="302">
        <v>20</v>
      </c>
      <c r="I621" s="84">
        <f>G621*H621</f>
        <v>80000</v>
      </c>
      <c r="K621" s="77">
        <v>616</v>
      </c>
    </row>
    <row r="622" spans="1:11">
      <c r="A622" s="13">
        <v>2</v>
      </c>
      <c r="B622" s="5" t="s">
        <v>83</v>
      </c>
      <c r="C622" s="6" t="str">
        <f>Gia_Tbi!C5</f>
        <v>Cái</v>
      </c>
      <c r="D622" s="6">
        <f>Gia_Tbi!D5</f>
        <v>0.6</v>
      </c>
      <c r="E622" s="6">
        <f>Gia_Tbi!E5</f>
        <v>5</v>
      </c>
      <c r="F622" s="82">
        <f>Gia_Tbi!F5</f>
        <v>2500000</v>
      </c>
      <c r="G622" s="83">
        <f>Gia_Tbi!G5</f>
        <v>1000</v>
      </c>
      <c r="H622" s="302">
        <v>0.45</v>
      </c>
      <c r="I622" s="84">
        <f>G622*H622</f>
        <v>450</v>
      </c>
      <c r="K622" s="77">
        <v>617</v>
      </c>
    </row>
    <row r="623" spans="1:11">
      <c r="A623" s="13">
        <v>3</v>
      </c>
      <c r="B623" s="5" t="s">
        <v>25</v>
      </c>
      <c r="C623" s="6" t="str">
        <f>Gia_Tbi!C6</f>
        <v>Cái</v>
      </c>
      <c r="D623" s="6">
        <f>Gia_Tbi!D6</f>
        <v>2.2000000000000002</v>
      </c>
      <c r="E623" s="6">
        <f>Gia_Tbi!E6</f>
        <v>8</v>
      </c>
      <c r="F623" s="82">
        <f>Gia_Tbi!F6</f>
        <v>12000000</v>
      </c>
      <c r="G623" s="83">
        <f>Gia_Tbi!G6</f>
        <v>3000</v>
      </c>
      <c r="H623" s="302">
        <v>6.67</v>
      </c>
      <c r="I623" s="84">
        <f>G623*H623</f>
        <v>20010</v>
      </c>
      <c r="K623" s="77">
        <v>618</v>
      </c>
    </row>
    <row r="624" spans="1:11">
      <c r="A624" s="13">
        <v>4</v>
      </c>
      <c r="B624" s="5" t="s">
        <v>24</v>
      </c>
      <c r="C624" s="6" t="e">
        <f>Gia_Tbi!#REF!</f>
        <v>#REF!</v>
      </c>
      <c r="D624" s="6" t="e">
        <f>Gia_Tbi!#REF!</f>
        <v>#REF!</v>
      </c>
      <c r="E624" s="6" t="e">
        <f>Gia_Tbi!#REF!</f>
        <v>#REF!</v>
      </c>
      <c r="F624" s="82" t="e">
        <f>Gia_Tbi!#REF!</f>
        <v>#REF!</v>
      </c>
      <c r="G624" s="83" t="e">
        <f>Gia_Tbi!#REF!</f>
        <v>#REF!</v>
      </c>
      <c r="H624" s="302">
        <v>0.56000000000000005</v>
      </c>
      <c r="I624" s="84" t="e">
        <f>G624*H624</f>
        <v>#REF!</v>
      </c>
      <c r="K624" s="77">
        <v>619</v>
      </c>
    </row>
    <row r="625" spans="1:11">
      <c r="A625" s="40">
        <v>5</v>
      </c>
      <c r="B625" s="41" t="s">
        <v>8</v>
      </c>
      <c r="C625" s="42" t="str">
        <f>Gia_Tbi!C9</f>
        <v>Cái</v>
      </c>
      <c r="D625" s="42">
        <f>Gia_Tbi!D9</f>
        <v>0.8</v>
      </c>
      <c r="E625" s="117">
        <f>Gia_Tbi!E9</f>
        <v>8</v>
      </c>
      <c r="F625" s="86">
        <f>Gia_Tbi!F9</f>
        <v>45200000</v>
      </c>
      <c r="G625" s="87">
        <f>Gia_Tbi!G9</f>
        <v>11300</v>
      </c>
      <c r="H625" s="296" t="e">
        <f>(H621*D621+H622*D622+H623*D623+H624*D624)*8</f>
        <v>#REF!</v>
      </c>
      <c r="I625" s="120" t="e">
        <f>G625*H625*E625</f>
        <v>#REF!</v>
      </c>
      <c r="K625" s="77">
        <v>620</v>
      </c>
    </row>
    <row r="626" spans="1:11" s="81" customFormat="1">
      <c r="A626" s="1268" t="e">
        <f>#REF!</f>
        <v>#REF!</v>
      </c>
      <c r="B626" s="1271" t="e">
        <f>#REF!</f>
        <v>#REF!</v>
      </c>
      <c r="C626" s="15"/>
      <c r="D626" s="109" t="s">
        <v>105</v>
      </c>
      <c r="E626" s="15"/>
      <c r="F626" s="78"/>
      <c r="G626" s="79"/>
      <c r="H626" s="111">
        <v>0.8</v>
      </c>
      <c r="I626" s="80" t="e">
        <f>H626*I627</f>
        <v>#REF!</v>
      </c>
      <c r="K626" s="77">
        <v>621</v>
      </c>
    </row>
    <row r="627" spans="1:11" s="81" customFormat="1">
      <c r="A627" s="1269"/>
      <c r="B627" s="1272"/>
      <c r="C627" s="15"/>
      <c r="D627" s="109" t="s">
        <v>106</v>
      </c>
      <c r="E627" s="15"/>
      <c r="F627" s="78"/>
      <c r="G627" s="79"/>
      <c r="H627" s="111">
        <v>1</v>
      </c>
      <c r="I627" s="97" t="e">
        <f>SUM(I629:I632)</f>
        <v>#REF!</v>
      </c>
      <c r="K627" s="77">
        <v>622</v>
      </c>
    </row>
    <row r="628" spans="1:11" s="81" customFormat="1">
      <c r="A628" s="1270"/>
      <c r="B628" s="1273"/>
      <c r="C628" s="15"/>
      <c r="D628" s="109" t="s">
        <v>107</v>
      </c>
      <c r="E628" s="15"/>
      <c r="F628" s="78"/>
      <c r="G628" s="79"/>
      <c r="H628" s="111">
        <v>1.2</v>
      </c>
      <c r="I628" s="97" t="e">
        <f>H628*I627</f>
        <v>#REF!</v>
      </c>
      <c r="K628" s="77">
        <v>623</v>
      </c>
    </row>
    <row r="629" spans="1:11">
      <c r="A629" s="13">
        <v>1</v>
      </c>
      <c r="B629" s="5" t="s">
        <v>82</v>
      </c>
      <c r="C629" s="6" t="str">
        <f>Gia_Tbi!C4</f>
        <v>Cái</v>
      </c>
      <c r="D629" s="6">
        <f>Gia_Tbi!D4</f>
        <v>0.4</v>
      </c>
      <c r="E629" s="6">
        <f>Gia_Tbi!E4</f>
        <v>5</v>
      </c>
      <c r="F629" s="82">
        <f>Gia_Tbi!F4</f>
        <v>10000000</v>
      </c>
      <c r="G629" s="83">
        <f>Gia_Tbi!G4</f>
        <v>4000</v>
      </c>
      <c r="H629" s="302">
        <v>10</v>
      </c>
      <c r="I629" s="84">
        <f>G629*H629</f>
        <v>40000</v>
      </c>
      <c r="K629" s="77">
        <v>624</v>
      </c>
    </row>
    <row r="630" spans="1:11">
      <c r="A630" s="13">
        <v>2</v>
      </c>
      <c r="B630" s="5" t="s">
        <v>83</v>
      </c>
      <c r="C630" s="6" t="str">
        <f>Gia_Tbi!C5</f>
        <v>Cái</v>
      </c>
      <c r="D630" s="6">
        <f>Gia_Tbi!D5</f>
        <v>0.6</v>
      </c>
      <c r="E630" s="6">
        <f>Gia_Tbi!E5</f>
        <v>5</v>
      </c>
      <c r="F630" s="82">
        <f>Gia_Tbi!F5</f>
        <v>2500000</v>
      </c>
      <c r="G630" s="83">
        <f>Gia_Tbi!G5</f>
        <v>1000</v>
      </c>
      <c r="H630" s="302">
        <v>0.26</v>
      </c>
      <c r="I630" s="84">
        <f>G630*H630</f>
        <v>260</v>
      </c>
      <c r="K630" s="77">
        <v>625</v>
      </c>
    </row>
    <row r="631" spans="1:11">
      <c r="A631" s="13">
        <v>3</v>
      </c>
      <c r="B631" s="5" t="s">
        <v>25</v>
      </c>
      <c r="C631" s="6" t="str">
        <f>Gia_Tbi!C6</f>
        <v>Cái</v>
      </c>
      <c r="D631" s="6">
        <f>Gia_Tbi!D6</f>
        <v>2.2000000000000002</v>
      </c>
      <c r="E631" s="6">
        <f>Gia_Tbi!E6</f>
        <v>8</v>
      </c>
      <c r="F631" s="82">
        <f>Gia_Tbi!F6</f>
        <v>12000000</v>
      </c>
      <c r="G631" s="83">
        <f>Gia_Tbi!G6</f>
        <v>3000</v>
      </c>
      <c r="H631" s="302">
        <v>3.33</v>
      </c>
      <c r="I631" s="84">
        <f>G631*H631</f>
        <v>9990</v>
      </c>
      <c r="K631" s="77">
        <v>626</v>
      </c>
    </row>
    <row r="632" spans="1:11">
      <c r="A632" s="13">
        <v>4</v>
      </c>
      <c r="B632" s="5" t="s">
        <v>24</v>
      </c>
      <c r="C632" s="6" t="e">
        <f>Gia_Tbi!#REF!</f>
        <v>#REF!</v>
      </c>
      <c r="D632" s="6" t="e">
        <f>Gia_Tbi!#REF!</f>
        <v>#REF!</v>
      </c>
      <c r="E632" s="6" t="e">
        <f>Gia_Tbi!#REF!</f>
        <v>#REF!</v>
      </c>
      <c r="F632" s="82" t="e">
        <f>Gia_Tbi!#REF!</f>
        <v>#REF!</v>
      </c>
      <c r="G632" s="83" t="e">
        <f>Gia_Tbi!#REF!</f>
        <v>#REF!</v>
      </c>
      <c r="H632" s="302">
        <v>0.42</v>
      </c>
      <c r="I632" s="84" t="e">
        <f>G632*H632</f>
        <v>#REF!</v>
      </c>
      <c r="K632" s="77">
        <v>627</v>
      </c>
    </row>
    <row r="633" spans="1:11">
      <c r="A633" s="40">
        <v>5</v>
      </c>
      <c r="B633" s="41" t="s">
        <v>8</v>
      </c>
      <c r="C633" s="42" t="str">
        <f>Gia_Tbi!C9</f>
        <v>Cái</v>
      </c>
      <c r="D633" s="42">
        <f>Gia_Tbi!D9</f>
        <v>0.8</v>
      </c>
      <c r="E633" s="117">
        <f>Gia_Tbi!E9</f>
        <v>8</v>
      </c>
      <c r="F633" s="86">
        <f>Gia_Tbi!F9</f>
        <v>45200000</v>
      </c>
      <c r="G633" s="87">
        <f>Gia_Tbi!G9</f>
        <v>11300</v>
      </c>
      <c r="H633" s="296" t="e">
        <f>(H629*D629+H630*D630+H631*D631+H632*D632)*8</f>
        <v>#REF!</v>
      </c>
      <c r="I633" s="120" t="e">
        <f>G633*H633*E633</f>
        <v>#REF!</v>
      </c>
      <c r="K633" s="77">
        <v>628</v>
      </c>
    </row>
    <row r="634" spans="1:11" s="81" customFormat="1">
      <c r="A634" s="1268" t="e">
        <f>#REF!</f>
        <v>#REF!</v>
      </c>
      <c r="B634" s="1271" t="e">
        <f>#REF!</f>
        <v>#REF!</v>
      </c>
      <c r="C634" s="15"/>
      <c r="D634" s="109" t="s">
        <v>105</v>
      </c>
      <c r="E634" s="15"/>
      <c r="F634" s="78"/>
      <c r="G634" s="79"/>
      <c r="H634" s="111">
        <v>0.8</v>
      </c>
      <c r="I634" s="80" t="e">
        <f>H634*I635</f>
        <v>#REF!</v>
      </c>
      <c r="K634" s="77">
        <v>629</v>
      </c>
    </row>
    <row r="635" spans="1:11" s="81" customFormat="1">
      <c r="A635" s="1269"/>
      <c r="B635" s="1272"/>
      <c r="C635" s="15"/>
      <c r="D635" s="109" t="s">
        <v>106</v>
      </c>
      <c r="E635" s="15"/>
      <c r="F635" s="78"/>
      <c r="G635" s="79"/>
      <c r="H635" s="111">
        <v>1</v>
      </c>
      <c r="I635" s="97" t="e">
        <f>SUM(I637:I640)</f>
        <v>#REF!</v>
      </c>
      <c r="K635" s="77">
        <v>630</v>
      </c>
    </row>
    <row r="636" spans="1:11" s="81" customFormat="1">
      <c r="A636" s="1270"/>
      <c r="B636" s="1273"/>
      <c r="C636" s="15"/>
      <c r="D636" s="109" t="s">
        <v>107</v>
      </c>
      <c r="E636" s="15"/>
      <c r="F636" s="78"/>
      <c r="G636" s="79"/>
      <c r="H636" s="111">
        <v>1.2</v>
      </c>
      <c r="I636" s="97" t="e">
        <f>H636*I635</f>
        <v>#REF!</v>
      </c>
      <c r="K636" s="77">
        <v>631</v>
      </c>
    </row>
    <row r="637" spans="1:11">
      <c r="A637" s="13">
        <v>1</v>
      </c>
      <c r="B637" s="5" t="s">
        <v>82</v>
      </c>
      <c r="C637" s="6" t="str">
        <f>Gia_Tbi!C4</f>
        <v>Cái</v>
      </c>
      <c r="D637" s="6">
        <f>Gia_Tbi!D4</f>
        <v>0.4</v>
      </c>
      <c r="E637" s="6">
        <f>Gia_Tbi!E4</f>
        <v>5</v>
      </c>
      <c r="F637" s="82">
        <f>Gia_Tbi!F4</f>
        <v>10000000</v>
      </c>
      <c r="G637" s="83">
        <f>Gia_Tbi!G4</f>
        <v>4000</v>
      </c>
      <c r="H637" s="302">
        <v>30</v>
      </c>
      <c r="I637" s="84">
        <f>G637*H637</f>
        <v>120000</v>
      </c>
      <c r="K637" s="77">
        <v>632</v>
      </c>
    </row>
    <row r="638" spans="1:11">
      <c r="A638" s="13">
        <v>2</v>
      </c>
      <c r="B638" s="5" t="s">
        <v>83</v>
      </c>
      <c r="C638" s="6" t="str">
        <f>Gia_Tbi!C5</f>
        <v>Cái</v>
      </c>
      <c r="D638" s="6">
        <f>Gia_Tbi!D5</f>
        <v>0.6</v>
      </c>
      <c r="E638" s="6">
        <f>Gia_Tbi!E5</f>
        <v>5</v>
      </c>
      <c r="F638" s="82">
        <f>Gia_Tbi!F5</f>
        <v>2500000</v>
      </c>
      <c r="G638" s="83">
        <f>Gia_Tbi!G5</f>
        <v>1000</v>
      </c>
      <c r="H638" s="302">
        <v>10</v>
      </c>
      <c r="I638" s="84">
        <f>G638*H638</f>
        <v>10000</v>
      </c>
      <c r="K638" s="77">
        <v>633</v>
      </c>
    </row>
    <row r="639" spans="1:11">
      <c r="A639" s="13">
        <v>3</v>
      </c>
      <c r="B639" s="5" t="s">
        <v>25</v>
      </c>
      <c r="C639" s="6" t="str">
        <f>Gia_Tbi!C6</f>
        <v>Cái</v>
      </c>
      <c r="D639" s="6">
        <f>Gia_Tbi!D6</f>
        <v>2.2000000000000002</v>
      </c>
      <c r="E639" s="6">
        <f>Gia_Tbi!E6</f>
        <v>8</v>
      </c>
      <c r="F639" s="82">
        <f>Gia_Tbi!F6</f>
        <v>12000000</v>
      </c>
      <c r="G639" s="83">
        <f>Gia_Tbi!G6</f>
        <v>3000</v>
      </c>
      <c r="H639" s="302">
        <v>10</v>
      </c>
      <c r="I639" s="84">
        <f>G639*H639</f>
        <v>30000</v>
      </c>
      <c r="K639" s="77">
        <v>634</v>
      </c>
    </row>
    <row r="640" spans="1:11">
      <c r="A640" s="13">
        <v>4</v>
      </c>
      <c r="B640" s="5" t="s">
        <v>24</v>
      </c>
      <c r="C640" s="6" t="e">
        <f>Gia_Tbi!#REF!</f>
        <v>#REF!</v>
      </c>
      <c r="D640" s="6" t="e">
        <f>Gia_Tbi!#REF!</f>
        <v>#REF!</v>
      </c>
      <c r="E640" s="6" t="e">
        <f>Gia_Tbi!#REF!</f>
        <v>#REF!</v>
      </c>
      <c r="F640" s="82" t="e">
        <f>Gia_Tbi!#REF!</f>
        <v>#REF!</v>
      </c>
      <c r="G640" s="83" t="e">
        <f>Gia_Tbi!#REF!</f>
        <v>#REF!</v>
      </c>
      <c r="H640" s="302">
        <v>0.89</v>
      </c>
      <c r="I640" s="84" t="e">
        <f>G640*H640</f>
        <v>#REF!</v>
      </c>
      <c r="K640" s="77">
        <v>635</v>
      </c>
    </row>
    <row r="641" spans="1:11">
      <c r="A641" s="40">
        <v>5</v>
      </c>
      <c r="B641" s="41" t="s">
        <v>8</v>
      </c>
      <c r="C641" s="42" t="str">
        <f>Gia_Tbi!C9</f>
        <v>Cái</v>
      </c>
      <c r="D641" s="42">
        <f>Gia_Tbi!D9</f>
        <v>0.8</v>
      </c>
      <c r="E641" s="117">
        <f>Gia_Tbi!E9</f>
        <v>8</v>
      </c>
      <c r="F641" s="86">
        <f>Gia_Tbi!F9</f>
        <v>45200000</v>
      </c>
      <c r="G641" s="87">
        <f>Gia_Tbi!G9</f>
        <v>11300</v>
      </c>
      <c r="H641" s="296" t="e">
        <f>(H637*D637+H638*D638+H639*D639+H640*D640)*8</f>
        <v>#REF!</v>
      </c>
      <c r="I641" s="120" t="e">
        <f>G641*H641*E641</f>
        <v>#REF!</v>
      </c>
      <c r="K641" s="77">
        <v>636</v>
      </c>
    </row>
    <row r="642" spans="1:11" s="81" customFormat="1">
      <c r="A642" s="31" t="e">
        <f>#REF!</f>
        <v>#REF!</v>
      </c>
      <c r="B642" s="32" t="e">
        <f>#REF!</f>
        <v>#REF!</v>
      </c>
      <c r="C642" s="15"/>
      <c r="D642" s="15"/>
      <c r="E642" s="15"/>
      <c r="F642" s="78"/>
      <c r="G642" s="79"/>
      <c r="H642" s="111"/>
      <c r="I642" s="80" t="e">
        <f>SUM(I643:I646)</f>
        <v>#REF!</v>
      </c>
      <c r="K642" s="77">
        <v>637</v>
      </c>
    </row>
    <row r="643" spans="1:11">
      <c r="A643" s="13">
        <v>1</v>
      </c>
      <c r="B643" s="5" t="s">
        <v>82</v>
      </c>
      <c r="C643" s="6" t="str">
        <f>Gia_Tbi!C4</f>
        <v>Cái</v>
      </c>
      <c r="D643" s="6">
        <f>Gia_Tbi!D4</f>
        <v>0.4</v>
      </c>
      <c r="E643" s="6">
        <f>Gia_Tbi!E4</f>
        <v>5</v>
      </c>
      <c r="F643" s="82">
        <f>Gia_Tbi!F4</f>
        <v>10000000</v>
      </c>
      <c r="G643" s="83">
        <f>Gia_Tbi!G4</f>
        <v>4000</v>
      </c>
      <c r="H643" s="302">
        <v>24</v>
      </c>
      <c r="I643" s="84">
        <f>G643*H643</f>
        <v>96000</v>
      </c>
      <c r="K643" s="77">
        <v>638</v>
      </c>
    </row>
    <row r="644" spans="1:11">
      <c r="A644" s="13">
        <v>2</v>
      </c>
      <c r="B644" s="5" t="s">
        <v>83</v>
      </c>
      <c r="C644" s="6" t="str">
        <f>Gia_Tbi!C5</f>
        <v>Cái</v>
      </c>
      <c r="D644" s="6">
        <f>Gia_Tbi!D5</f>
        <v>0.6</v>
      </c>
      <c r="E644" s="6">
        <f>Gia_Tbi!E5</f>
        <v>5</v>
      </c>
      <c r="F644" s="82">
        <f>Gia_Tbi!F5</f>
        <v>2500000</v>
      </c>
      <c r="G644" s="83">
        <f>Gia_Tbi!G5</f>
        <v>1000</v>
      </c>
      <c r="H644" s="302">
        <v>3</v>
      </c>
      <c r="I644" s="84">
        <f>G644*H644</f>
        <v>3000</v>
      </c>
      <c r="K644" s="77">
        <v>639</v>
      </c>
    </row>
    <row r="645" spans="1:11">
      <c r="A645" s="13">
        <v>3</v>
      </c>
      <c r="B645" s="5" t="s">
        <v>25</v>
      </c>
      <c r="C645" s="6" t="str">
        <f>Gia_Tbi!C6</f>
        <v>Cái</v>
      </c>
      <c r="D645" s="6">
        <f>Gia_Tbi!D6</f>
        <v>2.2000000000000002</v>
      </c>
      <c r="E645" s="6">
        <f>Gia_Tbi!E6</f>
        <v>8</v>
      </c>
      <c r="F645" s="82">
        <f>Gia_Tbi!F6</f>
        <v>12000000</v>
      </c>
      <c r="G645" s="83">
        <f>Gia_Tbi!G6</f>
        <v>3000</v>
      </c>
      <c r="H645" s="302">
        <v>8</v>
      </c>
      <c r="I645" s="84">
        <f>G645*H645</f>
        <v>24000</v>
      </c>
      <c r="K645" s="77">
        <v>640</v>
      </c>
    </row>
    <row r="646" spans="1:11">
      <c r="A646" s="13">
        <v>4</v>
      </c>
      <c r="B646" s="5" t="s">
        <v>24</v>
      </c>
      <c r="C646" s="6" t="e">
        <f>Gia_Tbi!#REF!</f>
        <v>#REF!</v>
      </c>
      <c r="D646" s="6" t="e">
        <f>Gia_Tbi!#REF!</f>
        <v>#REF!</v>
      </c>
      <c r="E646" s="6" t="e">
        <f>Gia_Tbi!#REF!</f>
        <v>#REF!</v>
      </c>
      <c r="F646" s="82" t="e">
        <f>Gia_Tbi!#REF!</f>
        <v>#REF!</v>
      </c>
      <c r="G646" s="83" t="e">
        <f>Gia_Tbi!#REF!</f>
        <v>#REF!</v>
      </c>
      <c r="H646" s="302">
        <v>3.5</v>
      </c>
      <c r="I646" s="84" t="e">
        <f>G646*H646</f>
        <v>#REF!</v>
      </c>
      <c r="K646" s="77">
        <v>641</v>
      </c>
    </row>
    <row r="647" spans="1:11">
      <c r="A647" s="40">
        <v>5</v>
      </c>
      <c r="B647" s="41" t="s">
        <v>8</v>
      </c>
      <c r="C647" s="42" t="str">
        <f>Gia_Tbi!C9</f>
        <v>Cái</v>
      </c>
      <c r="D647" s="42">
        <f>Gia_Tbi!D9</f>
        <v>0.8</v>
      </c>
      <c r="E647" s="117">
        <f>Gia_Tbi!E9</f>
        <v>8</v>
      </c>
      <c r="F647" s="86">
        <f>Gia_Tbi!F9</f>
        <v>45200000</v>
      </c>
      <c r="G647" s="87">
        <f>Gia_Tbi!G9</f>
        <v>11300</v>
      </c>
      <c r="H647" s="296" t="e">
        <f>(H643*D643+H644*D644+H645*D645+H646*D646)*8</f>
        <v>#REF!</v>
      </c>
      <c r="I647" s="120" t="e">
        <f>G647*H647*E647</f>
        <v>#REF!</v>
      </c>
      <c r="K647" s="77">
        <v>642</v>
      </c>
    </row>
    <row r="648" spans="1:11" s="4" customFormat="1">
      <c r="A648" s="12" t="e">
        <f>#REF!</f>
        <v>#REF!</v>
      </c>
      <c r="B648" s="8" t="e">
        <f>#REF!</f>
        <v>#REF!</v>
      </c>
      <c r="C648" s="7"/>
      <c r="D648" s="7"/>
      <c r="E648" s="7"/>
      <c r="F648" s="93"/>
      <c r="G648" s="94"/>
      <c r="H648" s="298"/>
      <c r="I648" s="95"/>
      <c r="K648" s="77">
        <v>643</v>
      </c>
    </row>
    <row r="649" spans="1:11" s="81" customFormat="1">
      <c r="A649" s="31" t="e">
        <f>#REF!</f>
        <v>#REF!</v>
      </c>
      <c r="B649" s="32" t="e">
        <f>#REF!</f>
        <v>#REF!</v>
      </c>
      <c r="C649" s="15"/>
      <c r="D649" s="15"/>
      <c r="E649" s="15"/>
      <c r="F649" s="78"/>
      <c r="G649" s="79"/>
      <c r="H649" s="111"/>
      <c r="I649" s="80" t="e">
        <f>I650+I656</f>
        <v>#REF!</v>
      </c>
      <c r="K649" s="77">
        <v>644</v>
      </c>
    </row>
    <row r="650" spans="1:11" s="81" customFormat="1" ht="31.5">
      <c r="A650" s="31" t="s">
        <v>69</v>
      </c>
      <c r="B650" s="32" t="s">
        <v>97</v>
      </c>
      <c r="C650" s="15"/>
      <c r="D650" s="15"/>
      <c r="E650" s="15"/>
      <c r="F650" s="78"/>
      <c r="G650" s="79"/>
      <c r="H650" s="111"/>
      <c r="I650" s="80" t="e">
        <f>SUM(I651:I654)</f>
        <v>#REF!</v>
      </c>
      <c r="K650" s="77">
        <v>645</v>
      </c>
    </row>
    <row r="651" spans="1:11">
      <c r="A651" s="13">
        <v>1</v>
      </c>
      <c r="B651" s="5" t="s">
        <v>82</v>
      </c>
      <c r="C651" s="6" t="str">
        <f>Gia_Tbi!C4</f>
        <v>Cái</v>
      </c>
      <c r="D651" s="6">
        <f>Gia_Tbi!D4</f>
        <v>0.4</v>
      </c>
      <c r="E651" s="6">
        <f>Gia_Tbi!E4</f>
        <v>5</v>
      </c>
      <c r="F651" s="82">
        <f>Gia_Tbi!F4</f>
        <v>10000000</v>
      </c>
      <c r="G651" s="83">
        <f>Gia_Tbi!G4</f>
        <v>4000</v>
      </c>
      <c r="H651" s="302">
        <v>40</v>
      </c>
      <c r="I651" s="84">
        <f>G651*H651</f>
        <v>160000</v>
      </c>
      <c r="K651" s="77">
        <v>646</v>
      </c>
    </row>
    <row r="652" spans="1:11">
      <c r="A652" s="13">
        <v>2</v>
      </c>
      <c r="B652" s="5" t="s">
        <v>83</v>
      </c>
      <c r="C652" s="6" t="str">
        <f>Gia_Tbi!C5</f>
        <v>Cái</v>
      </c>
      <c r="D652" s="6">
        <f>Gia_Tbi!D5</f>
        <v>0.6</v>
      </c>
      <c r="E652" s="6">
        <f>Gia_Tbi!E5</f>
        <v>5</v>
      </c>
      <c r="F652" s="82">
        <f>Gia_Tbi!F5</f>
        <v>2500000</v>
      </c>
      <c r="G652" s="83">
        <f>Gia_Tbi!G5</f>
        <v>1000</v>
      </c>
      <c r="H652" s="302">
        <v>1</v>
      </c>
      <c r="I652" s="84">
        <f>G652*H652</f>
        <v>1000</v>
      </c>
      <c r="K652" s="77">
        <v>647</v>
      </c>
    </row>
    <row r="653" spans="1:11">
      <c r="A653" s="13">
        <v>3</v>
      </c>
      <c r="B653" s="5" t="s">
        <v>25</v>
      </c>
      <c r="C653" s="6" t="str">
        <f>Gia_Tbi!C6</f>
        <v>Cái</v>
      </c>
      <c r="D653" s="6">
        <f>Gia_Tbi!D6</f>
        <v>2.2000000000000002</v>
      </c>
      <c r="E653" s="6">
        <f>Gia_Tbi!E6</f>
        <v>8</v>
      </c>
      <c r="F653" s="82">
        <f>Gia_Tbi!F6</f>
        <v>12000000</v>
      </c>
      <c r="G653" s="83">
        <f>Gia_Tbi!G6</f>
        <v>3000</v>
      </c>
      <c r="H653" s="302">
        <v>6.67</v>
      </c>
      <c r="I653" s="84">
        <f>G653*H653</f>
        <v>20010</v>
      </c>
      <c r="K653" s="77">
        <v>648</v>
      </c>
    </row>
    <row r="654" spans="1:11">
      <c r="A654" s="13">
        <v>4</v>
      </c>
      <c r="B654" s="5" t="s">
        <v>24</v>
      </c>
      <c r="C654" s="6" t="e">
        <f>Gia_Tbi!#REF!</f>
        <v>#REF!</v>
      </c>
      <c r="D654" s="6" t="e">
        <f>Gia_Tbi!#REF!</f>
        <v>#REF!</v>
      </c>
      <c r="E654" s="6" t="e">
        <f>Gia_Tbi!#REF!</f>
        <v>#REF!</v>
      </c>
      <c r="F654" s="82" t="e">
        <f>Gia_Tbi!#REF!</f>
        <v>#REF!</v>
      </c>
      <c r="G654" s="83" t="e">
        <f>Gia_Tbi!#REF!</f>
        <v>#REF!</v>
      </c>
      <c r="H654" s="302">
        <v>1.5</v>
      </c>
      <c r="I654" s="84" t="e">
        <f>G654*H654</f>
        <v>#REF!</v>
      </c>
      <c r="K654" s="77">
        <v>649</v>
      </c>
    </row>
    <row r="655" spans="1:11">
      <c r="A655" s="40">
        <v>5</v>
      </c>
      <c r="B655" s="41" t="s">
        <v>8</v>
      </c>
      <c r="C655" s="42" t="str">
        <f>Gia_Tbi!C9</f>
        <v>Cái</v>
      </c>
      <c r="D655" s="42">
        <f>Gia_Tbi!D9</f>
        <v>0.8</v>
      </c>
      <c r="E655" s="117">
        <f>Gia_Tbi!E9</f>
        <v>8</v>
      </c>
      <c r="F655" s="86">
        <f>Gia_Tbi!F9</f>
        <v>45200000</v>
      </c>
      <c r="G655" s="87">
        <f>Gia_Tbi!G9</f>
        <v>11300</v>
      </c>
      <c r="H655" s="296" t="e">
        <f>(H651*D651+H652*D652+H653*D653+H654*D654)*8</f>
        <v>#REF!</v>
      </c>
      <c r="I655" s="120" t="e">
        <f>G655*H655*E655</f>
        <v>#REF!</v>
      </c>
      <c r="K655" s="77">
        <v>650</v>
      </c>
    </row>
    <row r="656" spans="1:11" s="81" customFormat="1" ht="31.5">
      <c r="A656" s="31" t="s">
        <v>70</v>
      </c>
      <c r="B656" s="32" t="s">
        <v>99</v>
      </c>
      <c r="C656" s="15"/>
      <c r="D656" s="15"/>
      <c r="E656" s="15"/>
      <c r="F656" s="78"/>
      <c r="G656" s="79"/>
      <c r="H656" s="111"/>
      <c r="I656" s="80" t="e">
        <f>SUM(I657:I660)</f>
        <v>#REF!</v>
      </c>
      <c r="K656" s="77">
        <v>651</v>
      </c>
    </row>
    <row r="657" spans="1:11">
      <c r="A657" s="13">
        <v>1</v>
      </c>
      <c r="B657" s="5" t="s">
        <v>82</v>
      </c>
      <c r="C657" s="6" t="str">
        <f>Gia_Tbi!C4</f>
        <v>Cái</v>
      </c>
      <c r="D657" s="6">
        <f>Gia_Tbi!D4</f>
        <v>0.4</v>
      </c>
      <c r="E657" s="6">
        <f>Gia_Tbi!E4</f>
        <v>5</v>
      </c>
      <c r="F657" s="82">
        <f>Gia_Tbi!F4</f>
        <v>10000000</v>
      </c>
      <c r="G657" s="83">
        <f>Gia_Tbi!G4</f>
        <v>4000</v>
      </c>
      <c r="H657" s="302">
        <v>125</v>
      </c>
      <c r="I657" s="84">
        <f>G657*H657</f>
        <v>500000</v>
      </c>
      <c r="K657" s="77">
        <v>652</v>
      </c>
    </row>
    <row r="658" spans="1:11">
      <c r="A658" s="13">
        <v>2</v>
      </c>
      <c r="B658" s="5" t="s">
        <v>83</v>
      </c>
      <c r="C658" s="6" t="str">
        <f>Gia_Tbi!C5</f>
        <v>Cái</v>
      </c>
      <c r="D658" s="6">
        <f>Gia_Tbi!D5</f>
        <v>0.6</v>
      </c>
      <c r="E658" s="6">
        <f>Gia_Tbi!E5</f>
        <v>5</v>
      </c>
      <c r="F658" s="82">
        <f>Gia_Tbi!F5</f>
        <v>2500000</v>
      </c>
      <c r="G658" s="83">
        <f>Gia_Tbi!G5</f>
        <v>1000</v>
      </c>
      <c r="H658" s="302">
        <v>6.5</v>
      </c>
      <c r="I658" s="84">
        <f>G658*H658</f>
        <v>6500</v>
      </c>
      <c r="K658" s="77">
        <v>653</v>
      </c>
    </row>
    <row r="659" spans="1:11">
      <c r="A659" s="13">
        <v>3</v>
      </c>
      <c r="B659" s="5" t="s">
        <v>25</v>
      </c>
      <c r="C659" s="6" t="str">
        <f>Gia_Tbi!C6</f>
        <v>Cái</v>
      </c>
      <c r="D659" s="6">
        <f>Gia_Tbi!D6</f>
        <v>2.2000000000000002</v>
      </c>
      <c r="E659" s="6">
        <f>Gia_Tbi!E6</f>
        <v>8</v>
      </c>
      <c r="F659" s="82">
        <f>Gia_Tbi!F6</f>
        <v>12000000</v>
      </c>
      <c r="G659" s="83">
        <f>Gia_Tbi!G6</f>
        <v>3000</v>
      </c>
      <c r="H659" s="302">
        <v>41.67</v>
      </c>
      <c r="I659" s="84">
        <f>G659*H659</f>
        <v>125010</v>
      </c>
      <c r="K659" s="77">
        <v>654</v>
      </c>
    </row>
    <row r="660" spans="1:11">
      <c r="A660" s="13">
        <v>4</v>
      </c>
      <c r="B660" s="5" t="s">
        <v>24</v>
      </c>
      <c r="C660" s="6" t="e">
        <f>Gia_Tbi!#REF!</f>
        <v>#REF!</v>
      </c>
      <c r="D660" s="6" t="e">
        <f>Gia_Tbi!#REF!</f>
        <v>#REF!</v>
      </c>
      <c r="E660" s="6" t="e">
        <f>Gia_Tbi!#REF!</f>
        <v>#REF!</v>
      </c>
      <c r="F660" s="82" t="e">
        <f>Gia_Tbi!#REF!</f>
        <v>#REF!</v>
      </c>
      <c r="G660" s="83" t="e">
        <f>Gia_Tbi!#REF!</f>
        <v>#REF!</v>
      </c>
      <c r="H660" s="302">
        <v>3.5</v>
      </c>
      <c r="I660" s="84" t="e">
        <f>G660*H660</f>
        <v>#REF!</v>
      </c>
      <c r="K660" s="77">
        <v>655</v>
      </c>
    </row>
    <row r="661" spans="1:11">
      <c r="A661" s="40">
        <v>5</v>
      </c>
      <c r="B661" s="41" t="s">
        <v>8</v>
      </c>
      <c r="C661" s="42" t="str">
        <f>Gia_Tbi!C9</f>
        <v>Cái</v>
      </c>
      <c r="D661" s="42">
        <f>Gia_Tbi!D9</f>
        <v>0.8</v>
      </c>
      <c r="E661" s="117">
        <f>Gia_Tbi!E9</f>
        <v>8</v>
      </c>
      <c r="F661" s="86">
        <f>Gia_Tbi!F9</f>
        <v>45200000</v>
      </c>
      <c r="G661" s="87">
        <f>Gia_Tbi!G9</f>
        <v>11300</v>
      </c>
      <c r="H661" s="296" t="e">
        <f>(H657*D657+H658*D658+H659*D659+H660*D660)*8</f>
        <v>#REF!</v>
      </c>
      <c r="I661" s="120" t="e">
        <f>G661*H661*E661</f>
        <v>#REF!</v>
      </c>
      <c r="K661" s="77">
        <v>656</v>
      </c>
    </row>
    <row r="662" spans="1:11" s="81" customFormat="1">
      <c r="A662" s="31" t="e">
        <f>#REF!</f>
        <v>#REF!</v>
      </c>
      <c r="B662" s="32" t="e">
        <f>#REF!</f>
        <v>#REF!</v>
      </c>
      <c r="C662" s="15"/>
      <c r="D662" s="15"/>
      <c r="E662" s="15"/>
      <c r="F662" s="78"/>
      <c r="G662" s="79"/>
      <c r="H662" s="111"/>
      <c r="I662" s="80" t="e">
        <f>I664</f>
        <v>#REF!</v>
      </c>
      <c r="K662" s="77">
        <v>657</v>
      </c>
    </row>
    <row r="663" spans="1:11">
      <c r="A663" s="13" t="e">
        <f>#REF!</f>
        <v>#REF!</v>
      </c>
      <c r="B663" s="5" t="e">
        <f>#REF!</f>
        <v>#REF!</v>
      </c>
      <c r="C663" s="6"/>
      <c r="D663" s="6"/>
      <c r="E663" s="6"/>
      <c r="F663" s="82"/>
      <c r="G663" s="83"/>
      <c r="H663" s="295"/>
      <c r="I663" s="84" t="e">
        <f>I664</f>
        <v>#REF!</v>
      </c>
      <c r="K663" s="77">
        <v>658</v>
      </c>
    </row>
    <row r="664" spans="1:11">
      <c r="A664" s="13" t="e">
        <f>#REF!</f>
        <v>#REF!</v>
      </c>
      <c r="B664" s="5" t="e">
        <f>#REF!</f>
        <v>#REF!</v>
      </c>
      <c r="C664" s="6"/>
      <c r="D664" s="6"/>
      <c r="E664" s="6"/>
      <c r="F664" s="82"/>
      <c r="G664" s="83"/>
      <c r="H664" s="295"/>
      <c r="I664" s="80" t="e">
        <f>SUM(I665:I668)</f>
        <v>#REF!</v>
      </c>
      <c r="K664" s="77">
        <v>659</v>
      </c>
    </row>
    <row r="665" spans="1:11">
      <c r="A665" s="13">
        <v>1</v>
      </c>
      <c r="B665" s="5" t="s">
        <v>82</v>
      </c>
      <c r="C665" s="6" t="str">
        <f>Gia_Tbi!C4</f>
        <v>Cái</v>
      </c>
      <c r="D665" s="6">
        <f>Gia_Tbi!D4</f>
        <v>0.4</v>
      </c>
      <c r="E665" s="6">
        <f>Gia_Tbi!E4</f>
        <v>5</v>
      </c>
      <c r="F665" s="82">
        <f>Gia_Tbi!F4</f>
        <v>10000000</v>
      </c>
      <c r="G665" s="83">
        <f>Gia_Tbi!G4</f>
        <v>4000</v>
      </c>
      <c r="H665" s="302">
        <v>4.4999999999999998E-2</v>
      </c>
      <c r="I665" s="84">
        <f>G665*H665</f>
        <v>180</v>
      </c>
      <c r="K665" s="77">
        <v>660</v>
      </c>
    </row>
    <row r="666" spans="1:11">
      <c r="A666" s="13">
        <v>2</v>
      </c>
      <c r="B666" s="5" t="s">
        <v>83</v>
      </c>
      <c r="C666" s="6" t="str">
        <f>Gia_Tbi!C5</f>
        <v>Cái</v>
      </c>
      <c r="D666" s="6">
        <f>Gia_Tbi!D5</f>
        <v>0.6</v>
      </c>
      <c r="E666" s="6">
        <f>Gia_Tbi!E5</f>
        <v>5</v>
      </c>
      <c r="F666" s="82">
        <f>Gia_Tbi!F5</f>
        <v>2500000</v>
      </c>
      <c r="G666" s="83">
        <f>Gia_Tbi!G5</f>
        <v>1000</v>
      </c>
      <c r="H666" s="302">
        <v>1E-3</v>
      </c>
      <c r="I666" s="84">
        <f>G666*H666</f>
        <v>1</v>
      </c>
      <c r="K666" s="77">
        <v>661</v>
      </c>
    </row>
    <row r="667" spans="1:11">
      <c r="A667" s="13">
        <v>3</v>
      </c>
      <c r="B667" s="5" t="s">
        <v>25</v>
      </c>
      <c r="C667" s="6" t="str">
        <f>Gia_Tbi!C6</f>
        <v>Cái</v>
      </c>
      <c r="D667" s="6">
        <f>Gia_Tbi!D6</f>
        <v>2.2000000000000002</v>
      </c>
      <c r="E667" s="6">
        <f>Gia_Tbi!E6</f>
        <v>8</v>
      </c>
      <c r="F667" s="82">
        <f>Gia_Tbi!F6</f>
        <v>12000000</v>
      </c>
      <c r="G667" s="83">
        <f>Gia_Tbi!G6</f>
        <v>3000</v>
      </c>
      <c r="H667" s="302">
        <v>2E-3</v>
      </c>
      <c r="I667" s="84">
        <f>G667*H667</f>
        <v>6</v>
      </c>
      <c r="K667" s="77">
        <v>662</v>
      </c>
    </row>
    <row r="668" spans="1:11">
      <c r="A668" s="13">
        <v>4</v>
      </c>
      <c r="B668" s="5" t="s">
        <v>24</v>
      </c>
      <c r="C668" s="6" t="e">
        <f>Gia_Tbi!#REF!</f>
        <v>#REF!</v>
      </c>
      <c r="D668" s="6" t="e">
        <f>Gia_Tbi!#REF!</f>
        <v>#REF!</v>
      </c>
      <c r="E668" s="6" t="e">
        <f>Gia_Tbi!#REF!</f>
        <v>#REF!</v>
      </c>
      <c r="F668" s="82" t="e">
        <f>Gia_Tbi!#REF!</f>
        <v>#REF!</v>
      </c>
      <c r="G668" s="83" t="e">
        <f>Gia_Tbi!#REF!</f>
        <v>#REF!</v>
      </c>
      <c r="H668" s="302">
        <v>3.2</v>
      </c>
      <c r="I668" s="84" t="e">
        <f>G668*H668</f>
        <v>#REF!</v>
      </c>
      <c r="K668" s="77">
        <v>663</v>
      </c>
    </row>
    <row r="669" spans="1:11">
      <c r="A669" s="40">
        <v>5</v>
      </c>
      <c r="B669" s="41" t="s">
        <v>8</v>
      </c>
      <c r="C669" s="42" t="str">
        <f>Gia_Tbi!C9</f>
        <v>Cái</v>
      </c>
      <c r="D669" s="42">
        <f>Gia_Tbi!D9</f>
        <v>0.8</v>
      </c>
      <c r="E669" s="117">
        <f>Gia_Tbi!E9</f>
        <v>8</v>
      </c>
      <c r="F669" s="86">
        <f>Gia_Tbi!F9</f>
        <v>45200000</v>
      </c>
      <c r="G669" s="87">
        <f>Gia_Tbi!G9</f>
        <v>11300</v>
      </c>
      <c r="H669" s="296" t="e">
        <f>(H665*D665+H666*D666+H667*D667+H668*D668)*8</f>
        <v>#REF!</v>
      </c>
      <c r="I669" s="120" t="e">
        <f>G669*H669*E669</f>
        <v>#REF!</v>
      </c>
      <c r="K669" s="77">
        <v>664</v>
      </c>
    </row>
    <row r="670" spans="1:11" s="81" customFormat="1">
      <c r="A670" s="31" t="e">
        <f>#REF!</f>
        <v>#REF!</v>
      </c>
      <c r="B670" s="32" t="e">
        <f>#REF!</f>
        <v>#REF!</v>
      </c>
      <c r="C670" s="15"/>
      <c r="D670" s="15"/>
      <c r="E670" s="15"/>
      <c r="F670" s="78"/>
      <c r="G670" s="79"/>
      <c r="H670" s="111"/>
      <c r="I670" s="80" t="e">
        <f>I671+I677</f>
        <v>#REF!</v>
      </c>
      <c r="K670" s="77">
        <v>665</v>
      </c>
    </row>
    <row r="671" spans="1:11" s="81" customFormat="1" ht="31.5">
      <c r="A671" s="31" t="s">
        <v>64</v>
      </c>
      <c r="B671" s="32" t="s">
        <v>73</v>
      </c>
      <c r="C671" s="15"/>
      <c r="D671" s="15"/>
      <c r="E671" s="15"/>
      <c r="F671" s="78"/>
      <c r="G671" s="79"/>
      <c r="H671" s="111"/>
      <c r="I671" s="80" t="e">
        <f>SUM(I672:I675)</f>
        <v>#REF!</v>
      </c>
      <c r="K671" s="77">
        <v>666</v>
      </c>
    </row>
    <row r="672" spans="1:11">
      <c r="A672" s="13">
        <v>1</v>
      </c>
      <c r="B672" s="5" t="s">
        <v>82</v>
      </c>
      <c r="C672" s="6" t="str">
        <f>Gia_Tbi!C4</f>
        <v>Cái</v>
      </c>
      <c r="D672" s="6">
        <f>Gia_Tbi!D4</f>
        <v>0.4</v>
      </c>
      <c r="E672" s="6">
        <f>Gia_Tbi!E4</f>
        <v>5</v>
      </c>
      <c r="F672" s="82">
        <f>Gia_Tbi!F4</f>
        <v>10000000</v>
      </c>
      <c r="G672" s="83">
        <f>Gia_Tbi!G4</f>
        <v>4000</v>
      </c>
      <c r="H672" s="302">
        <v>20</v>
      </c>
      <c r="I672" s="84">
        <f>G672*H672</f>
        <v>80000</v>
      </c>
      <c r="K672" s="77">
        <v>667</v>
      </c>
    </row>
    <row r="673" spans="1:11">
      <c r="A673" s="13">
        <v>2</v>
      </c>
      <c r="B673" s="5" t="s">
        <v>83</v>
      </c>
      <c r="C673" s="6" t="str">
        <f>Gia_Tbi!C5</f>
        <v>Cái</v>
      </c>
      <c r="D673" s="6">
        <f>Gia_Tbi!D5</f>
        <v>0.6</v>
      </c>
      <c r="E673" s="6">
        <f>Gia_Tbi!E5</f>
        <v>5</v>
      </c>
      <c r="F673" s="82">
        <f>Gia_Tbi!F5</f>
        <v>2500000</v>
      </c>
      <c r="G673" s="83">
        <f>Gia_Tbi!G5</f>
        <v>1000</v>
      </c>
      <c r="H673" s="302">
        <v>3</v>
      </c>
      <c r="I673" s="84">
        <f>G673*H673</f>
        <v>3000</v>
      </c>
      <c r="K673" s="77">
        <v>668</v>
      </c>
    </row>
    <row r="674" spans="1:11">
      <c r="A674" s="13">
        <v>3</v>
      </c>
      <c r="B674" s="5" t="s">
        <v>25</v>
      </c>
      <c r="C674" s="6" t="str">
        <f>Gia_Tbi!C6</f>
        <v>Cái</v>
      </c>
      <c r="D674" s="6">
        <f>Gia_Tbi!D6</f>
        <v>2.2000000000000002</v>
      </c>
      <c r="E674" s="6">
        <f>Gia_Tbi!E6</f>
        <v>8</v>
      </c>
      <c r="F674" s="82">
        <f>Gia_Tbi!F6</f>
        <v>12000000</v>
      </c>
      <c r="G674" s="83">
        <f>Gia_Tbi!G6</f>
        <v>3000</v>
      </c>
      <c r="H674" s="302">
        <v>6.67</v>
      </c>
      <c r="I674" s="84">
        <f>G674*H674</f>
        <v>20010</v>
      </c>
      <c r="K674" s="77">
        <v>669</v>
      </c>
    </row>
    <row r="675" spans="1:11">
      <c r="A675" s="13">
        <v>4</v>
      </c>
      <c r="B675" s="5" t="s">
        <v>24</v>
      </c>
      <c r="C675" s="6" t="e">
        <f>Gia_Tbi!#REF!</f>
        <v>#REF!</v>
      </c>
      <c r="D675" s="6" t="e">
        <f>Gia_Tbi!#REF!</f>
        <v>#REF!</v>
      </c>
      <c r="E675" s="6" t="e">
        <f>Gia_Tbi!#REF!</f>
        <v>#REF!</v>
      </c>
      <c r="F675" s="82" t="e">
        <f>Gia_Tbi!#REF!</f>
        <v>#REF!</v>
      </c>
      <c r="G675" s="83" t="e">
        <f>Gia_Tbi!#REF!</f>
        <v>#REF!</v>
      </c>
      <c r="H675" s="302">
        <v>1.2</v>
      </c>
      <c r="I675" s="84" t="e">
        <f>G675*H675</f>
        <v>#REF!</v>
      </c>
      <c r="K675" s="77">
        <v>670</v>
      </c>
    </row>
    <row r="676" spans="1:11">
      <c r="A676" s="40">
        <v>5</v>
      </c>
      <c r="B676" s="41" t="s">
        <v>8</v>
      </c>
      <c r="C676" s="42" t="str">
        <f>Gia_Tbi!C9</f>
        <v>Cái</v>
      </c>
      <c r="D676" s="42">
        <f>Gia_Tbi!D9</f>
        <v>0.8</v>
      </c>
      <c r="E676" s="117">
        <f>Gia_Tbi!E9</f>
        <v>8</v>
      </c>
      <c r="F676" s="86">
        <f>Gia_Tbi!F9</f>
        <v>45200000</v>
      </c>
      <c r="G676" s="87">
        <f>Gia_Tbi!G9</f>
        <v>11300</v>
      </c>
      <c r="H676" s="296" t="e">
        <f>(H672*D672+H673*D673+H674*D674+H675*D675)*8</f>
        <v>#REF!</v>
      </c>
      <c r="I676" s="120" t="e">
        <f>G676*H676*E676</f>
        <v>#REF!</v>
      </c>
      <c r="K676" s="77">
        <v>671</v>
      </c>
    </row>
    <row r="677" spans="1:11" s="81" customFormat="1" ht="47.25">
      <c r="A677" s="31" t="s">
        <v>98</v>
      </c>
      <c r="B677" s="32" t="s">
        <v>100</v>
      </c>
      <c r="C677" s="15"/>
      <c r="D677" s="15"/>
      <c r="E677" s="15"/>
      <c r="F677" s="78"/>
      <c r="G677" s="79"/>
      <c r="H677" s="111"/>
      <c r="I677" s="80" t="e">
        <f>SUM(I678:I681)</f>
        <v>#REF!</v>
      </c>
      <c r="K677" s="77">
        <v>672</v>
      </c>
    </row>
    <row r="678" spans="1:11">
      <c r="A678" s="13">
        <v>1</v>
      </c>
      <c r="B678" s="5" t="s">
        <v>82</v>
      </c>
      <c r="C678" s="6" t="str">
        <f>Gia_Tbi!C4</f>
        <v>Cái</v>
      </c>
      <c r="D678" s="6">
        <f>Gia_Tbi!D4</f>
        <v>0.4</v>
      </c>
      <c r="E678" s="6">
        <f>Gia_Tbi!E4</f>
        <v>5</v>
      </c>
      <c r="F678" s="82">
        <f>Gia_Tbi!F4</f>
        <v>10000000</v>
      </c>
      <c r="G678" s="83">
        <f>Gia_Tbi!G4</f>
        <v>4000</v>
      </c>
      <c r="H678" s="302">
        <v>1.9E-2</v>
      </c>
      <c r="I678" s="84">
        <f>G678*H678</f>
        <v>76</v>
      </c>
      <c r="K678" s="77">
        <v>673</v>
      </c>
    </row>
    <row r="679" spans="1:11">
      <c r="A679" s="13">
        <v>2</v>
      </c>
      <c r="B679" s="5" t="s">
        <v>83</v>
      </c>
      <c r="C679" s="6" t="str">
        <f>Gia_Tbi!C5</f>
        <v>Cái</v>
      </c>
      <c r="D679" s="6">
        <f>Gia_Tbi!D5</f>
        <v>0.6</v>
      </c>
      <c r="E679" s="6">
        <f>Gia_Tbi!E5</f>
        <v>5</v>
      </c>
      <c r="F679" s="82">
        <f>Gia_Tbi!F5</f>
        <v>2500000</v>
      </c>
      <c r="G679" s="83">
        <f>Gia_Tbi!G5</f>
        <v>1000</v>
      </c>
      <c r="H679" s="302">
        <v>1E-3</v>
      </c>
      <c r="I679" s="84">
        <f>G679*H679</f>
        <v>1</v>
      </c>
      <c r="K679" s="77">
        <v>674</v>
      </c>
    </row>
    <row r="680" spans="1:11">
      <c r="A680" s="13">
        <v>3</v>
      </c>
      <c r="B680" s="5" t="s">
        <v>25</v>
      </c>
      <c r="C680" s="6" t="str">
        <f>Gia_Tbi!C6</f>
        <v>Cái</v>
      </c>
      <c r="D680" s="6">
        <f>Gia_Tbi!D6</f>
        <v>2.2000000000000002</v>
      </c>
      <c r="E680" s="6">
        <f>Gia_Tbi!E6</f>
        <v>8</v>
      </c>
      <c r="F680" s="82">
        <f>Gia_Tbi!F6</f>
        <v>12000000</v>
      </c>
      <c r="G680" s="83">
        <f>Gia_Tbi!G6</f>
        <v>3000</v>
      </c>
      <c r="H680" s="302">
        <v>6.0000000000000001E-3</v>
      </c>
      <c r="I680" s="84">
        <f>G680*H680</f>
        <v>18</v>
      </c>
      <c r="K680" s="77">
        <v>675</v>
      </c>
    </row>
    <row r="681" spans="1:11">
      <c r="A681" s="13">
        <v>4</v>
      </c>
      <c r="B681" s="5" t="s">
        <v>24</v>
      </c>
      <c r="C681" s="6" t="e">
        <f>Gia_Tbi!#REF!</f>
        <v>#REF!</v>
      </c>
      <c r="D681" s="6" t="e">
        <f>Gia_Tbi!#REF!</f>
        <v>#REF!</v>
      </c>
      <c r="E681" s="6" t="e">
        <f>Gia_Tbi!#REF!</f>
        <v>#REF!</v>
      </c>
      <c r="F681" s="82" t="e">
        <f>Gia_Tbi!#REF!</f>
        <v>#REF!</v>
      </c>
      <c r="G681" s="83" t="e">
        <f>Gia_Tbi!#REF!</f>
        <v>#REF!</v>
      </c>
      <c r="H681" s="302">
        <v>1E-3</v>
      </c>
      <c r="I681" s="84" t="e">
        <f>G681*H681</f>
        <v>#REF!</v>
      </c>
      <c r="K681" s="77">
        <v>676</v>
      </c>
    </row>
    <row r="682" spans="1:11">
      <c r="A682" s="40">
        <v>5</v>
      </c>
      <c r="B682" s="41" t="s">
        <v>8</v>
      </c>
      <c r="C682" s="42" t="str">
        <f>Gia_Tbi!C9</f>
        <v>Cái</v>
      </c>
      <c r="D682" s="42">
        <f>Gia_Tbi!D9</f>
        <v>0.8</v>
      </c>
      <c r="E682" s="117">
        <f>Gia_Tbi!E9</f>
        <v>8</v>
      </c>
      <c r="F682" s="86">
        <f>Gia_Tbi!F9</f>
        <v>45200000</v>
      </c>
      <c r="G682" s="87">
        <f>Gia_Tbi!G9</f>
        <v>11300</v>
      </c>
      <c r="H682" s="296" t="e">
        <f>(H678*D678+H679*D679+H680*D680+H681*D681)*8</f>
        <v>#REF!</v>
      </c>
      <c r="I682" s="120" t="e">
        <f>G682*H682*E682</f>
        <v>#REF!</v>
      </c>
      <c r="K682" s="77">
        <v>677</v>
      </c>
    </row>
    <row r="683" spans="1:11" s="4" customFormat="1">
      <c r="A683" s="12" t="e">
        <f>#REF!</f>
        <v>#REF!</v>
      </c>
      <c r="B683" s="8" t="e">
        <f>#REF!</f>
        <v>#REF!</v>
      </c>
      <c r="C683" s="7"/>
      <c r="D683" s="7"/>
      <c r="E683" s="7"/>
      <c r="F683" s="93"/>
      <c r="G683" s="94"/>
      <c r="H683" s="298"/>
      <c r="I683" s="95"/>
      <c r="K683" s="77">
        <v>678</v>
      </c>
    </row>
    <row r="684" spans="1:11" s="81" customFormat="1">
      <c r="A684" s="31" t="e">
        <f>#REF!</f>
        <v>#REF!</v>
      </c>
      <c r="B684" s="32" t="e">
        <f>#REF!</f>
        <v>#REF!</v>
      </c>
      <c r="C684" s="15"/>
      <c r="D684" s="15"/>
      <c r="E684" s="15"/>
      <c r="F684" s="78"/>
      <c r="G684" s="79"/>
      <c r="H684" s="111"/>
      <c r="I684" s="80" t="e">
        <f>SUM(I685:I688)</f>
        <v>#REF!</v>
      </c>
      <c r="K684" s="77">
        <v>679</v>
      </c>
    </row>
    <row r="685" spans="1:11">
      <c r="A685" s="13">
        <v>1</v>
      </c>
      <c r="B685" s="5" t="s">
        <v>82</v>
      </c>
      <c r="C685" s="6" t="str">
        <f>Gia_Tbi!C4</f>
        <v>Cái</v>
      </c>
      <c r="D685" s="6">
        <f>Gia_Tbi!D4</f>
        <v>0.4</v>
      </c>
      <c r="E685" s="6">
        <f>Gia_Tbi!E4</f>
        <v>5</v>
      </c>
      <c r="F685" s="82">
        <f>Gia_Tbi!F4</f>
        <v>10000000</v>
      </c>
      <c r="G685" s="83">
        <f>Gia_Tbi!G4</f>
        <v>4000</v>
      </c>
      <c r="H685" s="302">
        <v>40</v>
      </c>
      <c r="I685" s="84">
        <f>G685*H685</f>
        <v>160000</v>
      </c>
      <c r="K685" s="77">
        <v>680</v>
      </c>
    </row>
    <row r="686" spans="1:11">
      <c r="A686" s="13">
        <v>2</v>
      </c>
      <c r="B686" s="5" t="s">
        <v>83</v>
      </c>
      <c r="C686" s="6" t="str">
        <f>Gia_Tbi!C5</f>
        <v>Cái</v>
      </c>
      <c r="D686" s="6">
        <f>Gia_Tbi!D5</f>
        <v>0.6</v>
      </c>
      <c r="E686" s="6">
        <f>Gia_Tbi!E5</f>
        <v>5</v>
      </c>
      <c r="F686" s="82">
        <f>Gia_Tbi!F5</f>
        <v>2500000</v>
      </c>
      <c r="G686" s="83">
        <f>Gia_Tbi!G5</f>
        <v>1000</v>
      </c>
      <c r="H686" s="302">
        <v>0.5</v>
      </c>
      <c r="I686" s="84">
        <f>G686*H686</f>
        <v>500</v>
      </c>
      <c r="K686" s="77">
        <v>681</v>
      </c>
    </row>
    <row r="687" spans="1:11">
      <c r="A687" s="13">
        <v>3</v>
      </c>
      <c r="B687" s="5" t="s">
        <v>25</v>
      </c>
      <c r="C687" s="6" t="str">
        <f>Gia_Tbi!C6</f>
        <v>Cái</v>
      </c>
      <c r="D687" s="6">
        <f>Gia_Tbi!D6</f>
        <v>2.2000000000000002</v>
      </c>
      <c r="E687" s="6">
        <f>Gia_Tbi!E6</f>
        <v>8</v>
      </c>
      <c r="F687" s="82">
        <f>Gia_Tbi!F6</f>
        <v>12000000</v>
      </c>
      <c r="G687" s="83">
        <f>Gia_Tbi!G6</f>
        <v>3000</v>
      </c>
      <c r="H687" s="302">
        <v>13.333</v>
      </c>
      <c r="I687" s="84">
        <f>G687*H687</f>
        <v>39999</v>
      </c>
      <c r="K687" s="77">
        <v>682</v>
      </c>
    </row>
    <row r="688" spans="1:11">
      <c r="A688" s="13">
        <v>4</v>
      </c>
      <c r="B688" s="5" t="s">
        <v>24</v>
      </c>
      <c r="C688" s="6" t="e">
        <f>Gia_Tbi!#REF!</f>
        <v>#REF!</v>
      </c>
      <c r="D688" s="6" t="e">
        <f>Gia_Tbi!#REF!</f>
        <v>#REF!</v>
      </c>
      <c r="E688" s="6" t="e">
        <f>Gia_Tbi!#REF!</f>
        <v>#REF!</v>
      </c>
      <c r="F688" s="82" t="e">
        <f>Gia_Tbi!#REF!</f>
        <v>#REF!</v>
      </c>
      <c r="G688" s="83" t="e">
        <f>Gia_Tbi!#REF!</f>
        <v>#REF!</v>
      </c>
      <c r="H688" s="302">
        <v>0.6</v>
      </c>
      <c r="I688" s="84" t="e">
        <f>G688*H688</f>
        <v>#REF!</v>
      </c>
      <c r="K688" s="77">
        <v>683</v>
      </c>
    </row>
    <row r="689" spans="1:11">
      <c r="A689" s="40">
        <v>5</v>
      </c>
      <c r="B689" s="41" t="s">
        <v>8</v>
      </c>
      <c r="C689" s="42" t="str">
        <f>Gia_Tbi!C9</f>
        <v>Cái</v>
      </c>
      <c r="D689" s="42">
        <f>Gia_Tbi!D9</f>
        <v>0.8</v>
      </c>
      <c r="E689" s="117">
        <f>Gia_Tbi!E9</f>
        <v>8</v>
      </c>
      <c r="F689" s="86">
        <f>Gia_Tbi!F9</f>
        <v>45200000</v>
      </c>
      <c r="G689" s="87">
        <f>Gia_Tbi!G9</f>
        <v>11300</v>
      </c>
      <c r="H689" s="296" t="e">
        <f>(H685*D685+H686*D686+H687*D687+H688*D688)*8</f>
        <v>#REF!</v>
      </c>
      <c r="I689" s="120" t="e">
        <f>G689*H689*E689</f>
        <v>#REF!</v>
      </c>
      <c r="K689" s="77">
        <v>684</v>
      </c>
    </row>
    <row r="690" spans="1:11" s="81" customFormat="1">
      <c r="A690" s="31" t="e">
        <f>#REF!</f>
        <v>#REF!</v>
      </c>
      <c r="B690" s="32" t="e">
        <f>#REF!</f>
        <v>#REF!</v>
      </c>
      <c r="C690" s="15"/>
      <c r="D690" s="15"/>
      <c r="E690" s="15"/>
      <c r="F690" s="78"/>
      <c r="G690" s="79"/>
      <c r="H690" s="111"/>
      <c r="I690" s="80" t="e">
        <f>SUM(I691:I695)</f>
        <v>#REF!</v>
      </c>
      <c r="K690" s="77">
        <v>685</v>
      </c>
    </row>
    <row r="691" spans="1:11">
      <c r="A691" s="13">
        <v>1</v>
      </c>
      <c r="B691" s="5" t="s">
        <v>82</v>
      </c>
      <c r="C691" s="6" t="str">
        <f>Gia_Tbi!C4</f>
        <v>Cái</v>
      </c>
      <c r="D691" s="6">
        <f>Gia_Tbi!D4</f>
        <v>0.4</v>
      </c>
      <c r="E691" s="6">
        <f>Gia_Tbi!E4</f>
        <v>5</v>
      </c>
      <c r="F691" s="82">
        <f>Gia_Tbi!F4</f>
        <v>10000000</v>
      </c>
      <c r="G691" s="83">
        <f>Gia_Tbi!G4</f>
        <v>4000</v>
      </c>
      <c r="H691" s="302">
        <v>245</v>
      </c>
      <c r="I691" s="84">
        <f>G691*H691</f>
        <v>980000</v>
      </c>
      <c r="K691" s="77">
        <v>686</v>
      </c>
    </row>
    <row r="692" spans="1:11">
      <c r="A692" s="13">
        <v>2</v>
      </c>
      <c r="B692" s="5" t="s">
        <v>83</v>
      </c>
      <c r="C692" s="6" t="str">
        <f>Gia_Tbi!C5</f>
        <v>Cái</v>
      </c>
      <c r="D692" s="6">
        <f>Gia_Tbi!D5</f>
        <v>0.6</v>
      </c>
      <c r="E692" s="6">
        <f>Gia_Tbi!E5</f>
        <v>5</v>
      </c>
      <c r="F692" s="82">
        <f>Gia_Tbi!F5</f>
        <v>2500000</v>
      </c>
      <c r="G692" s="83">
        <f>Gia_Tbi!G5</f>
        <v>1000</v>
      </c>
      <c r="H692" s="302">
        <v>6.9</v>
      </c>
      <c r="I692" s="84">
        <f>G692*H692</f>
        <v>6900</v>
      </c>
      <c r="K692" s="77">
        <v>687</v>
      </c>
    </row>
    <row r="693" spans="1:11">
      <c r="A693" s="13">
        <v>3</v>
      </c>
      <c r="B693" s="5" t="s">
        <v>25</v>
      </c>
      <c r="C693" s="6" t="str">
        <f>Gia_Tbi!C6</f>
        <v>Cái</v>
      </c>
      <c r="D693" s="6">
        <f>Gia_Tbi!D6</f>
        <v>2.2000000000000002</v>
      </c>
      <c r="E693" s="6">
        <f>Gia_Tbi!E6</f>
        <v>8</v>
      </c>
      <c r="F693" s="82">
        <f>Gia_Tbi!F6</f>
        <v>12000000</v>
      </c>
      <c r="G693" s="83">
        <f>Gia_Tbi!G6</f>
        <v>3000</v>
      </c>
      <c r="H693" s="302">
        <v>81.667000000000002</v>
      </c>
      <c r="I693" s="84">
        <f>G693*H693</f>
        <v>245001</v>
      </c>
      <c r="K693" s="77">
        <v>688</v>
      </c>
    </row>
    <row r="694" spans="1:11">
      <c r="A694" s="13">
        <v>4</v>
      </c>
      <c r="B694" s="5" t="s">
        <v>24</v>
      </c>
      <c r="C694" s="6" t="e">
        <f>Gia_Tbi!#REF!</f>
        <v>#REF!</v>
      </c>
      <c r="D694" s="6" t="e">
        <f>Gia_Tbi!#REF!</f>
        <v>#REF!</v>
      </c>
      <c r="E694" s="6" t="e">
        <f>Gia_Tbi!#REF!</f>
        <v>#REF!</v>
      </c>
      <c r="F694" s="82" t="e">
        <f>Gia_Tbi!#REF!</f>
        <v>#REF!</v>
      </c>
      <c r="G694" s="83" t="e">
        <f>Gia_Tbi!#REF!</f>
        <v>#REF!</v>
      </c>
      <c r="H694" s="302">
        <v>7.9</v>
      </c>
      <c r="I694" s="84" t="e">
        <f>G694*H694</f>
        <v>#REF!</v>
      </c>
      <c r="K694" s="77">
        <v>689</v>
      </c>
    </row>
    <row r="695" spans="1:11">
      <c r="A695" s="40">
        <v>5</v>
      </c>
      <c r="B695" s="41" t="s">
        <v>8</v>
      </c>
      <c r="C695" s="42" t="str">
        <f>Gia_Tbi!C9</f>
        <v>Cái</v>
      </c>
      <c r="D695" s="42">
        <f>Gia_Tbi!D9</f>
        <v>0.8</v>
      </c>
      <c r="E695" s="117">
        <f>Gia_Tbi!E9</f>
        <v>8</v>
      </c>
      <c r="F695" s="86">
        <f>Gia_Tbi!F9</f>
        <v>45200000</v>
      </c>
      <c r="G695" s="87">
        <f>Gia_Tbi!G9</f>
        <v>11300</v>
      </c>
      <c r="H695" s="296" t="e">
        <f>(H691*D691+H692*D692+H693*D693+H694*D694)*8</f>
        <v>#REF!</v>
      </c>
      <c r="I695" s="88" t="e">
        <f>G695*H695*E695</f>
        <v>#REF!</v>
      </c>
      <c r="K695" s="77">
        <v>690</v>
      </c>
    </row>
    <row r="696" spans="1:11" s="81" customFormat="1">
      <c r="A696" s="31" t="e">
        <f>#REF!</f>
        <v>#REF!</v>
      </c>
      <c r="B696" s="32" t="e">
        <f>#REF!</f>
        <v>#REF!</v>
      </c>
      <c r="C696" s="15"/>
      <c r="D696" s="15"/>
      <c r="E696" s="15"/>
      <c r="F696" s="78"/>
      <c r="G696" s="79"/>
      <c r="H696" s="111"/>
      <c r="I696" s="80"/>
      <c r="K696" s="77">
        <v>691</v>
      </c>
    </row>
    <row r="697" spans="1:11" s="4" customFormat="1">
      <c r="A697" s="12" t="e">
        <f>#REF!</f>
        <v>#REF!</v>
      </c>
      <c r="B697" s="8" t="e">
        <f>#REF!</f>
        <v>#REF!</v>
      </c>
      <c r="C697" s="7"/>
      <c r="D697" s="7"/>
      <c r="E697" s="7"/>
      <c r="F697" s="93"/>
      <c r="G697" s="94"/>
      <c r="H697" s="298"/>
      <c r="I697" s="95"/>
      <c r="K697" s="77">
        <v>692</v>
      </c>
    </row>
    <row r="698" spans="1:11" s="81" customFormat="1">
      <c r="A698" s="31" t="e">
        <f>#REF!</f>
        <v>#REF!</v>
      </c>
      <c r="B698" s="32" t="e">
        <f>#REF!</f>
        <v>#REF!</v>
      </c>
      <c r="C698" s="15"/>
      <c r="D698" s="15"/>
      <c r="E698" s="15"/>
      <c r="F698" s="78"/>
      <c r="G698" s="79"/>
      <c r="H698" s="111"/>
      <c r="I698" s="80"/>
      <c r="K698" s="77">
        <v>693</v>
      </c>
    </row>
    <row r="699" spans="1:11" s="81" customFormat="1">
      <c r="A699" s="31" t="e">
        <f>#REF!</f>
        <v>#REF!</v>
      </c>
      <c r="B699" s="32" t="e">
        <f>#REF!</f>
        <v>#REF!</v>
      </c>
      <c r="C699" s="15"/>
      <c r="D699" s="15"/>
      <c r="E699" s="15"/>
      <c r="F699" s="78"/>
      <c r="G699" s="79"/>
      <c r="H699" s="111"/>
      <c r="I699" s="80" t="e">
        <f>SUM(I700:I703)</f>
        <v>#REF!</v>
      </c>
      <c r="K699" s="77">
        <v>694</v>
      </c>
    </row>
    <row r="700" spans="1:11">
      <c r="A700" s="13">
        <v>1</v>
      </c>
      <c r="B700" s="5" t="s">
        <v>82</v>
      </c>
      <c r="C700" s="6" t="str">
        <f>Gia_Tbi!C4</f>
        <v>Cái</v>
      </c>
      <c r="D700" s="6">
        <f>Gia_Tbi!D4</f>
        <v>0.4</v>
      </c>
      <c r="E700" s="6">
        <f>Gia_Tbi!E4</f>
        <v>5</v>
      </c>
      <c r="F700" s="82">
        <f>Gia_Tbi!F4</f>
        <v>10000000</v>
      </c>
      <c r="G700" s="83">
        <f>Gia_Tbi!G4</f>
        <v>4000</v>
      </c>
      <c r="H700" s="302">
        <v>0.29199999999999998</v>
      </c>
      <c r="I700" s="84">
        <f>G700*H700</f>
        <v>1168</v>
      </c>
      <c r="K700" s="77">
        <v>695</v>
      </c>
    </row>
    <row r="701" spans="1:11">
      <c r="A701" s="13">
        <v>2</v>
      </c>
      <c r="B701" s="5" t="s">
        <v>83</v>
      </c>
      <c r="C701" s="6" t="str">
        <f>Gia_Tbi!C5</f>
        <v>Cái</v>
      </c>
      <c r="D701" s="6">
        <f>Gia_Tbi!D5</f>
        <v>0.6</v>
      </c>
      <c r="E701" s="6">
        <f>Gia_Tbi!E5</f>
        <v>5</v>
      </c>
      <c r="F701" s="82">
        <f>Gia_Tbi!F5</f>
        <v>2500000</v>
      </c>
      <c r="G701" s="83">
        <f>Gia_Tbi!G5</f>
        <v>1000</v>
      </c>
      <c r="H701" s="302">
        <v>6.0000000000000001E-3</v>
      </c>
      <c r="I701" s="84">
        <f>G701*H701</f>
        <v>6</v>
      </c>
      <c r="K701" s="77">
        <v>696</v>
      </c>
    </row>
    <row r="702" spans="1:11">
      <c r="A702" s="13">
        <v>3</v>
      </c>
      <c r="B702" s="5" t="s">
        <v>25</v>
      </c>
      <c r="C702" s="6" t="str">
        <f>Gia_Tbi!C6</f>
        <v>Cái</v>
      </c>
      <c r="D702" s="6">
        <f>Gia_Tbi!D6</f>
        <v>2.2000000000000002</v>
      </c>
      <c r="E702" s="6">
        <f>Gia_Tbi!E6</f>
        <v>8</v>
      </c>
      <c r="F702" s="82">
        <f>Gia_Tbi!F6</f>
        <v>12000000</v>
      </c>
      <c r="G702" s="83">
        <f>Gia_Tbi!G6</f>
        <v>3000</v>
      </c>
      <c r="H702" s="302">
        <v>9.7000000000000003E-2</v>
      </c>
      <c r="I702" s="84">
        <f>G702*H702</f>
        <v>291</v>
      </c>
      <c r="K702" s="77">
        <v>697</v>
      </c>
    </row>
    <row r="703" spans="1:11">
      <c r="A703" s="13">
        <v>4</v>
      </c>
      <c r="B703" s="5" t="s">
        <v>24</v>
      </c>
      <c r="C703" s="6" t="e">
        <f>Gia_Tbi!#REF!</f>
        <v>#REF!</v>
      </c>
      <c r="D703" s="6" t="e">
        <f>Gia_Tbi!#REF!</f>
        <v>#REF!</v>
      </c>
      <c r="E703" s="6" t="e">
        <f>Gia_Tbi!#REF!</f>
        <v>#REF!</v>
      </c>
      <c r="F703" s="82" t="e">
        <f>Gia_Tbi!#REF!</f>
        <v>#REF!</v>
      </c>
      <c r="G703" s="83" t="e">
        <f>Gia_Tbi!#REF!</f>
        <v>#REF!</v>
      </c>
      <c r="H703" s="302">
        <v>5.0000000000000001E-3</v>
      </c>
      <c r="I703" s="84" t="e">
        <f>G703*H703</f>
        <v>#REF!</v>
      </c>
      <c r="K703" s="77">
        <v>698</v>
      </c>
    </row>
    <row r="704" spans="1:11">
      <c r="A704" s="40">
        <v>5</v>
      </c>
      <c r="B704" s="41" t="s">
        <v>8</v>
      </c>
      <c r="C704" s="42" t="str">
        <f>Gia_Tbi!C9</f>
        <v>Cái</v>
      </c>
      <c r="D704" s="42">
        <f>Gia_Tbi!D9</f>
        <v>0.8</v>
      </c>
      <c r="E704" s="117">
        <f>Gia_Tbi!E9</f>
        <v>8</v>
      </c>
      <c r="F704" s="86">
        <f>Gia_Tbi!F9</f>
        <v>45200000</v>
      </c>
      <c r="G704" s="87">
        <f>Gia_Tbi!G9</f>
        <v>11300</v>
      </c>
      <c r="H704" s="296" t="e">
        <f>(H700*D700+H701*D701+H702*D702+H703*D703)*8</f>
        <v>#REF!</v>
      </c>
      <c r="I704" s="120" t="e">
        <f>G704*H704*E704</f>
        <v>#REF!</v>
      </c>
      <c r="K704" s="77">
        <v>699</v>
      </c>
    </row>
    <row r="705" spans="1:11" s="81" customFormat="1">
      <c r="A705" s="31" t="e">
        <f>#REF!</f>
        <v>#REF!</v>
      </c>
      <c r="B705" s="32" t="e">
        <f>#REF!</f>
        <v>#REF!</v>
      </c>
      <c r="C705" s="15"/>
      <c r="D705" s="15"/>
      <c r="E705" s="15"/>
      <c r="F705" s="78"/>
      <c r="G705" s="79"/>
      <c r="H705" s="111"/>
      <c r="I705" s="80" t="e">
        <f>SUM(I706:I709)</f>
        <v>#REF!</v>
      </c>
      <c r="K705" s="77">
        <v>700</v>
      </c>
    </row>
    <row r="706" spans="1:11">
      <c r="A706" s="13">
        <v>1</v>
      </c>
      <c r="B706" s="5" t="s">
        <v>82</v>
      </c>
      <c r="C706" s="6" t="str">
        <f>Gia_Tbi!C4</f>
        <v>Cái</v>
      </c>
      <c r="D706" s="6">
        <f>Gia_Tbi!D4</f>
        <v>0.4</v>
      </c>
      <c r="E706" s="6">
        <f>Gia_Tbi!E4</f>
        <v>5</v>
      </c>
      <c r="F706" s="82">
        <f>Gia_Tbi!F4</f>
        <v>10000000</v>
      </c>
      <c r="G706" s="83">
        <f>Gia_Tbi!G4</f>
        <v>4000</v>
      </c>
      <c r="H706" s="302">
        <v>0.23799999999999999</v>
      </c>
      <c r="I706" s="84">
        <f>G706*H706</f>
        <v>952</v>
      </c>
      <c r="K706" s="77">
        <v>701</v>
      </c>
    </row>
    <row r="707" spans="1:11">
      <c r="A707" s="13">
        <v>2</v>
      </c>
      <c r="B707" s="5" t="s">
        <v>83</v>
      </c>
      <c r="C707" s="6" t="str">
        <f>Gia_Tbi!C5</f>
        <v>Cái</v>
      </c>
      <c r="D707" s="6">
        <f>Gia_Tbi!D5</f>
        <v>0.6</v>
      </c>
      <c r="E707" s="6">
        <f>Gia_Tbi!E5</f>
        <v>5</v>
      </c>
      <c r="F707" s="82">
        <f>Gia_Tbi!F5</f>
        <v>2500000</v>
      </c>
      <c r="G707" s="83">
        <f>Gia_Tbi!G5</f>
        <v>1000</v>
      </c>
      <c r="H707" s="302">
        <v>5.0000000000000001E-3</v>
      </c>
      <c r="I707" s="84">
        <f>G707*H707</f>
        <v>5</v>
      </c>
      <c r="K707" s="77">
        <v>702</v>
      </c>
    </row>
    <row r="708" spans="1:11">
      <c r="A708" s="13">
        <v>3</v>
      </c>
      <c r="B708" s="5" t="s">
        <v>25</v>
      </c>
      <c r="C708" s="6" t="str">
        <f>Gia_Tbi!C6</f>
        <v>Cái</v>
      </c>
      <c r="D708" s="6">
        <f>Gia_Tbi!D6</f>
        <v>2.2000000000000002</v>
      </c>
      <c r="E708" s="6">
        <f>Gia_Tbi!E6</f>
        <v>8</v>
      </c>
      <c r="F708" s="82">
        <f>Gia_Tbi!F6</f>
        <v>12000000</v>
      </c>
      <c r="G708" s="83">
        <f>Gia_Tbi!G6</f>
        <v>3000</v>
      </c>
      <c r="H708" s="302">
        <v>7.9000000000000001E-2</v>
      </c>
      <c r="I708" s="84">
        <f>G708*H708</f>
        <v>237</v>
      </c>
      <c r="K708" s="77">
        <v>703</v>
      </c>
    </row>
    <row r="709" spans="1:11">
      <c r="A709" s="13">
        <v>4</v>
      </c>
      <c r="B709" s="5" t="s">
        <v>24</v>
      </c>
      <c r="C709" s="6" t="e">
        <f>Gia_Tbi!#REF!</f>
        <v>#REF!</v>
      </c>
      <c r="D709" s="6" t="e">
        <f>Gia_Tbi!#REF!</f>
        <v>#REF!</v>
      </c>
      <c r="E709" s="6" t="e">
        <f>Gia_Tbi!#REF!</f>
        <v>#REF!</v>
      </c>
      <c r="F709" s="82" t="e">
        <f>Gia_Tbi!#REF!</f>
        <v>#REF!</v>
      </c>
      <c r="G709" s="83" t="e">
        <f>Gia_Tbi!#REF!</f>
        <v>#REF!</v>
      </c>
      <c r="H709" s="302">
        <v>4.0000000000000001E-3</v>
      </c>
      <c r="I709" s="84" t="e">
        <f>G709*H709</f>
        <v>#REF!</v>
      </c>
      <c r="K709" s="77">
        <v>704</v>
      </c>
    </row>
    <row r="710" spans="1:11">
      <c r="A710" s="40">
        <v>5</v>
      </c>
      <c r="B710" s="41" t="s">
        <v>8</v>
      </c>
      <c r="C710" s="42" t="str">
        <f>Gia_Tbi!C9</f>
        <v>Cái</v>
      </c>
      <c r="D710" s="42">
        <f>Gia_Tbi!D9</f>
        <v>0.8</v>
      </c>
      <c r="E710" s="117">
        <f>Gia_Tbi!E9</f>
        <v>8</v>
      </c>
      <c r="F710" s="86">
        <f>Gia_Tbi!F9</f>
        <v>45200000</v>
      </c>
      <c r="G710" s="87">
        <f>Gia_Tbi!G9</f>
        <v>11300</v>
      </c>
      <c r="H710" s="296" t="e">
        <f>(H706*D706+H707*D707+H708*D708+H709*D709)*8</f>
        <v>#REF!</v>
      </c>
      <c r="I710" s="120" t="e">
        <f>G710*H710*E710</f>
        <v>#REF!</v>
      </c>
      <c r="K710" s="77">
        <v>705</v>
      </c>
    </row>
    <row r="711" spans="1:11" s="81" customFormat="1">
      <c r="A711" s="31" t="e">
        <f>#REF!</f>
        <v>#REF!</v>
      </c>
      <c r="B711" s="32" t="e">
        <f>#REF!</f>
        <v>#REF!</v>
      </c>
      <c r="C711" s="15"/>
      <c r="D711" s="15"/>
      <c r="E711" s="15"/>
      <c r="F711" s="78"/>
      <c r="G711" s="79"/>
      <c r="H711" s="111"/>
      <c r="I711" s="80"/>
      <c r="K711" s="77">
        <v>706</v>
      </c>
    </row>
    <row r="712" spans="1:11" s="81" customFormat="1">
      <c r="A712" s="31" t="e">
        <f>#REF!</f>
        <v>#REF!</v>
      </c>
      <c r="B712" s="32" t="e">
        <f>#REF!</f>
        <v>#REF!</v>
      </c>
      <c r="C712" s="15"/>
      <c r="D712" s="15"/>
      <c r="E712" s="15"/>
      <c r="F712" s="78"/>
      <c r="G712" s="79"/>
      <c r="H712" s="111"/>
      <c r="I712" s="80" t="e">
        <f>SUM(I713:I716)</f>
        <v>#REF!</v>
      </c>
      <c r="K712" s="77">
        <v>707</v>
      </c>
    </row>
    <row r="713" spans="1:11">
      <c r="A713" s="13">
        <v>1</v>
      </c>
      <c r="B713" s="5" t="s">
        <v>82</v>
      </c>
      <c r="C713" s="6" t="str">
        <f>Gia_Tbi!C4</f>
        <v>Cái</v>
      </c>
      <c r="D713" s="6">
        <f>Gia_Tbi!D4</f>
        <v>0.4</v>
      </c>
      <c r="E713" s="6">
        <f>Gia_Tbi!E4</f>
        <v>5</v>
      </c>
      <c r="F713" s="82">
        <f>Gia_Tbi!F4</f>
        <v>10000000</v>
      </c>
      <c r="G713" s="83">
        <f>Gia_Tbi!G4</f>
        <v>4000</v>
      </c>
      <c r="H713" s="302">
        <v>0.2</v>
      </c>
      <c r="I713" s="84">
        <f>G713*H713</f>
        <v>800</v>
      </c>
      <c r="K713" s="77">
        <v>708</v>
      </c>
    </row>
    <row r="714" spans="1:11">
      <c r="A714" s="13">
        <v>2</v>
      </c>
      <c r="B714" s="5" t="s">
        <v>83</v>
      </c>
      <c r="C714" s="6" t="str">
        <f>Gia_Tbi!C5</f>
        <v>Cái</v>
      </c>
      <c r="D714" s="6">
        <f>Gia_Tbi!D5</f>
        <v>0.6</v>
      </c>
      <c r="E714" s="6">
        <f>Gia_Tbi!E5</f>
        <v>5</v>
      </c>
      <c r="F714" s="82">
        <f>Gia_Tbi!F5</f>
        <v>2500000</v>
      </c>
      <c r="G714" s="83">
        <f>Gia_Tbi!G5</f>
        <v>1000</v>
      </c>
      <c r="H714" s="302">
        <v>4.0000000000000001E-3</v>
      </c>
      <c r="I714" s="84">
        <f>G714*H714</f>
        <v>4</v>
      </c>
      <c r="K714" s="77">
        <v>709</v>
      </c>
    </row>
    <row r="715" spans="1:11">
      <c r="A715" s="13">
        <v>3</v>
      </c>
      <c r="B715" s="5" t="s">
        <v>25</v>
      </c>
      <c r="C715" s="6" t="str">
        <f>Gia_Tbi!C6</f>
        <v>Cái</v>
      </c>
      <c r="D715" s="6">
        <f>Gia_Tbi!D6</f>
        <v>2.2000000000000002</v>
      </c>
      <c r="E715" s="6">
        <f>Gia_Tbi!E6</f>
        <v>8</v>
      </c>
      <c r="F715" s="82">
        <f>Gia_Tbi!F6</f>
        <v>12000000</v>
      </c>
      <c r="G715" s="83">
        <f>Gia_Tbi!G6</f>
        <v>3000</v>
      </c>
      <c r="H715" s="302">
        <v>6.7000000000000004E-2</v>
      </c>
      <c r="I715" s="84">
        <f>G715*H715</f>
        <v>201</v>
      </c>
      <c r="K715" s="77">
        <v>710</v>
      </c>
    </row>
    <row r="716" spans="1:11">
      <c r="A716" s="13">
        <v>4</v>
      </c>
      <c r="B716" s="5" t="s">
        <v>24</v>
      </c>
      <c r="C716" s="6" t="e">
        <f>Gia_Tbi!#REF!</f>
        <v>#REF!</v>
      </c>
      <c r="D716" s="6" t="e">
        <f>Gia_Tbi!#REF!</f>
        <v>#REF!</v>
      </c>
      <c r="E716" s="6" t="e">
        <f>Gia_Tbi!#REF!</f>
        <v>#REF!</v>
      </c>
      <c r="F716" s="82" t="e">
        <f>Gia_Tbi!#REF!</f>
        <v>#REF!</v>
      </c>
      <c r="G716" s="83" t="e">
        <f>Gia_Tbi!#REF!</f>
        <v>#REF!</v>
      </c>
      <c r="H716" s="302">
        <v>3.0000000000000001E-3</v>
      </c>
      <c r="I716" s="84" t="e">
        <f>G716*H716</f>
        <v>#REF!</v>
      </c>
      <c r="K716" s="77">
        <v>711</v>
      </c>
    </row>
    <row r="717" spans="1:11">
      <c r="A717" s="40">
        <v>5</v>
      </c>
      <c r="B717" s="41" t="s">
        <v>8</v>
      </c>
      <c r="C717" s="42" t="str">
        <f>Gia_Tbi!C9</f>
        <v>Cái</v>
      </c>
      <c r="D717" s="42">
        <f>Gia_Tbi!D9</f>
        <v>0.8</v>
      </c>
      <c r="E717" s="117">
        <f>Gia_Tbi!E9</f>
        <v>8</v>
      </c>
      <c r="F717" s="86">
        <f>Gia_Tbi!F9</f>
        <v>45200000</v>
      </c>
      <c r="G717" s="87">
        <f>Gia_Tbi!G9</f>
        <v>11300</v>
      </c>
      <c r="H717" s="296" t="e">
        <f>(H713*D713+H714*D714+H715*D715+H716*D716)*8</f>
        <v>#REF!</v>
      </c>
      <c r="I717" s="120" t="e">
        <f>G717*H717*E717</f>
        <v>#REF!</v>
      </c>
      <c r="K717" s="77">
        <v>712</v>
      </c>
    </row>
    <row r="718" spans="1:11" s="81" customFormat="1">
      <c r="A718" s="31" t="e">
        <f>#REF!</f>
        <v>#REF!</v>
      </c>
      <c r="B718" s="32" t="e">
        <f>#REF!</f>
        <v>#REF!</v>
      </c>
      <c r="C718" s="15"/>
      <c r="D718" s="15"/>
      <c r="E718" s="15"/>
      <c r="F718" s="78"/>
      <c r="G718" s="79"/>
      <c r="H718" s="111"/>
      <c r="I718" s="80" t="e">
        <f>SUM(I719:I722)</f>
        <v>#REF!</v>
      </c>
      <c r="K718" s="77">
        <v>713</v>
      </c>
    </row>
    <row r="719" spans="1:11">
      <c r="A719" s="13">
        <v>1</v>
      </c>
      <c r="B719" s="5" t="s">
        <v>82</v>
      </c>
      <c r="C719" s="6" t="str">
        <f>Gia_Tbi!C4</f>
        <v>Cái</v>
      </c>
      <c r="D719" s="6">
        <f>Gia_Tbi!D4</f>
        <v>0.4</v>
      </c>
      <c r="E719" s="6">
        <f>Gia_Tbi!E4</f>
        <v>5</v>
      </c>
      <c r="F719" s="82">
        <f>Gia_Tbi!F4</f>
        <v>10000000</v>
      </c>
      <c r="G719" s="83">
        <f>Gia_Tbi!G4</f>
        <v>4000</v>
      </c>
      <c r="H719" s="302">
        <v>3.5000000000000003E-2</v>
      </c>
      <c r="I719" s="84">
        <f>G719*H719</f>
        <v>140</v>
      </c>
      <c r="K719" s="77">
        <v>714</v>
      </c>
    </row>
    <row r="720" spans="1:11">
      <c r="A720" s="13">
        <v>2</v>
      </c>
      <c r="B720" s="5" t="s">
        <v>83</v>
      </c>
      <c r="C720" s="6" t="str">
        <f>Gia_Tbi!C5</f>
        <v>Cái</v>
      </c>
      <c r="D720" s="6">
        <f>Gia_Tbi!D5</f>
        <v>0.6</v>
      </c>
      <c r="E720" s="6">
        <f>Gia_Tbi!E5</f>
        <v>5</v>
      </c>
      <c r="F720" s="82">
        <f>Gia_Tbi!F5</f>
        <v>2500000</v>
      </c>
      <c r="G720" s="83">
        <f>Gia_Tbi!G5</f>
        <v>1000</v>
      </c>
      <c r="H720" s="302">
        <v>2E-3</v>
      </c>
      <c r="I720" s="84">
        <f>G720*H720</f>
        <v>2</v>
      </c>
      <c r="K720" s="77">
        <v>715</v>
      </c>
    </row>
    <row r="721" spans="1:11">
      <c r="A721" s="13">
        <v>3</v>
      </c>
      <c r="B721" s="5" t="s">
        <v>25</v>
      </c>
      <c r="C721" s="6" t="str">
        <f>Gia_Tbi!C6</f>
        <v>Cái</v>
      </c>
      <c r="D721" s="6">
        <f>Gia_Tbi!D6</f>
        <v>2.2000000000000002</v>
      </c>
      <c r="E721" s="6">
        <f>Gia_Tbi!E6</f>
        <v>8</v>
      </c>
      <c r="F721" s="82">
        <f>Gia_Tbi!F6</f>
        <v>12000000</v>
      </c>
      <c r="G721" s="83">
        <f>Gia_Tbi!G6</f>
        <v>3000</v>
      </c>
      <c r="H721" s="302">
        <v>1.2E-2</v>
      </c>
      <c r="I721" s="84">
        <f>G721*H721</f>
        <v>36</v>
      </c>
      <c r="K721" s="77">
        <v>716</v>
      </c>
    </row>
    <row r="722" spans="1:11">
      <c r="A722" s="13">
        <v>4</v>
      </c>
      <c r="B722" s="5" t="s">
        <v>24</v>
      </c>
      <c r="C722" s="6" t="e">
        <f>Gia_Tbi!#REF!</f>
        <v>#REF!</v>
      </c>
      <c r="D722" s="6" t="e">
        <f>Gia_Tbi!#REF!</f>
        <v>#REF!</v>
      </c>
      <c r="E722" s="6" t="e">
        <f>Gia_Tbi!#REF!</f>
        <v>#REF!</v>
      </c>
      <c r="F722" s="82" t="e">
        <f>Gia_Tbi!#REF!</f>
        <v>#REF!</v>
      </c>
      <c r="G722" s="83" t="e">
        <f>Gia_Tbi!#REF!</f>
        <v>#REF!</v>
      </c>
      <c r="H722" s="302">
        <v>2E-3</v>
      </c>
      <c r="I722" s="84" t="e">
        <f>G722*H722</f>
        <v>#REF!</v>
      </c>
      <c r="K722" s="77">
        <v>717</v>
      </c>
    </row>
    <row r="723" spans="1:11">
      <c r="A723" s="40">
        <v>5</v>
      </c>
      <c r="B723" s="41" t="s">
        <v>8</v>
      </c>
      <c r="C723" s="42" t="str">
        <f>Gia_Tbi!C9</f>
        <v>Cái</v>
      </c>
      <c r="D723" s="42">
        <f>Gia_Tbi!D9</f>
        <v>0.8</v>
      </c>
      <c r="E723" s="117">
        <f>Gia_Tbi!E9</f>
        <v>8</v>
      </c>
      <c r="F723" s="86">
        <f>Gia_Tbi!F9</f>
        <v>45200000</v>
      </c>
      <c r="G723" s="87">
        <f>Gia_Tbi!G9</f>
        <v>11300</v>
      </c>
      <c r="H723" s="296" t="e">
        <f>(H719*D719+H720*D720+H721*D721+H722*D722)*8</f>
        <v>#REF!</v>
      </c>
      <c r="I723" s="120" t="e">
        <f>G723*H723*E723</f>
        <v>#REF!</v>
      </c>
      <c r="K723" s="77">
        <v>718</v>
      </c>
    </row>
    <row r="724" spans="1:11" s="81" customFormat="1">
      <c r="A724" s="31" t="e">
        <f>#REF!</f>
        <v>#REF!</v>
      </c>
      <c r="B724" s="32" t="e">
        <f>#REF!</f>
        <v>#REF!</v>
      </c>
      <c r="C724" s="15"/>
      <c r="D724" s="15"/>
      <c r="E724" s="15"/>
      <c r="F724" s="78"/>
      <c r="G724" s="79"/>
      <c r="H724" s="111"/>
      <c r="I724" s="80" t="e">
        <f>SUM(I725:I728)</f>
        <v>#REF!</v>
      </c>
      <c r="K724" s="77">
        <v>719</v>
      </c>
    </row>
    <row r="725" spans="1:11">
      <c r="A725" s="13">
        <v>1</v>
      </c>
      <c r="B725" s="5" t="s">
        <v>82</v>
      </c>
      <c r="C725" s="6" t="str">
        <f>Gia_Tbi!C4</f>
        <v>Cái</v>
      </c>
      <c r="D725" s="6">
        <f>Gia_Tbi!D4</f>
        <v>0.4</v>
      </c>
      <c r="E725" s="6">
        <f>Gia_Tbi!E4</f>
        <v>5</v>
      </c>
      <c r="F725" s="82">
        <f>Gia_Tbi!F4</f>
        <v>10000000</v>
      </c>
      <c r="G725" s="83">
        <f>Gia_Tbi!G4</f>
        <v>4000</v>
      </c>
      <c r="H725" s="302">
        <v>0.127</v>
      </c>
      <c r="I725" s="84">
        <f>G725*H725</f>
        <v>508</v>
      </c>
      <c r="K725" s="77">
        <v>720</v>
      </c>
    </row>
    <row r="726" spans="1:11">
      <c r="A726" s="13">
        <v>2</v>
      </c>
      <c r="B726" s="5" t="s">
        <v>83</v>
      </c>
      <c r="C726" s="6" t="str">
        <f>Gia_Tbi!C5</f>
        <v>Cái</v>
      </c>
      <c r="D726" s="6">
        <f>Gia_Tbi!D5</f>
        <v>0.6</v>
      </c>
      <c r="E726" s="6">
        <f>Gia_Tbi!E5</f>
        <v>5</v>
      </c>
      <c r="F726" s="82">
        <f>Gia_Tbi!F5</f>
        <v>2500000</v>
      </c>
      <c r="G726" s="83">
        <f>Gia_Tbi!G5</f>
        <v>1000</v>
      </c>
      <c r="H726" s="302">
        <v>3.0000000000000001E-3</v>
      </c>
      <c r="I726" s="84">
        <f>G726*H726</f>
        <v>3</v>
      </c>
      <c r="K726" s="77">
        <v>721</v>
      </c>
    </row>
    <row r="727" spans="1:11">
      <c r="A727" s="13">
        <v>3</v>
      </c>
      <c r="B727" s="5" t="s">
        <v>25</v>
      </c>
      <c r="C727" s="6" t="str">
        <f>Gia_Tbi!C6</f>
        <v>Cái</v>
      </c>
      <c r="D727" s="6">
        <f>Gia_Tbi!D6</f>
        <v>2.2000000000000002</v>
      </c>
      <c r="E727" s="6">
        <f>Gia_Tbi!E6</f>
        <v>8</v>
      </c>
      <c r="F727" s="82">
        <f>Gia_Tbi!F6</f>
        <v>12000000</v>
      </c>
      <c r="G727" s="83">
        <f>Gia_Tbi!G6</f>
        <v>3000</v>
      </c>
      <c r="H727" s="302">
        <v>4.2000000000000003E-2</v>
      </c>
      <c r="I727" s="84">
        <f>G727*H727</f>
        <v>126.00000000000001</v>
      </c>
      <c r="K727" s="77">
        <v>722</v>
      </c>
    </row>
    <row r="728" spans="1:11">
      <c r="A728" s="13">
        <v>4</v>
      </c>
      <c r="B728" s="5" t="s">
        <v>24</v>
      </c>
      <c r="C728" s="6" t="e">
        <f>Gia_Tbi!#REF!</f>
        <v>#REF!</v>
      </c>
      <c r="D728" s="6" t="e">
        <f>Gia_Tbi!#REF!</f>
        <v>#REF!</v>
      </c>
      <c r="E728" s="6" t="e">
        <f>Gia_Tbi!#REF!</f>
        <v>#REF!</v>
      </c>
      <c r="F728" s="82" t="e">
        <f>Gia_Tbi!#REF!</f>
        <v>#REF!</v>
      </c>
      <c r="G728" s="83" t="e">
        <f>Gia_Tbi!#REF!</f>
        <v>#REF!</v>
      </c>
      <c r="H728" s="302">
        <v>3.0000000000000001E-3</v>
      </c>
      <c r="I728" s="84" t="e">
        <f>G728*H728</f>
        <v>#REF!</v>
      </c>
      <c r="K728" s="77">
        <v>723</v>
      </c>
    </row>
    <row r="729" spans="1:11">
      <c r="A729" s="40">
        <v>5</v>
      </c>
      <c r="B729" s="41" t="s">
        <v>8</v>
      </c>
      <c r="C729" s="42" t="str">
        <f>Gia_Tbi!C9</f>
        <v>Cái</v>
      </c>
      <c r="D729" s="42">
        <f>Gia_Tbi!D9</f>
        <v>0.8</v>
      </c>
      <c r="E729" s="117">
        <f>Gia_Tbi!E9</f>
        <v>8</v>
      </c>
      <c r="F729" s="86">
        <f>Gia_Tbi!F9</f>
        <v>45200000</v>
      </c>
      <c r="G729" s="87">
        <f>Gia_Tbi!G9</f>
        <v>11300</v>
      </c>
      <c r="H729" s="296" t="e">
        <f>(H725*D725+H726*D726+H727*D727+H728*D728)*8</f>
        <v>#REF!</v>
      </c>
      <c r="I729" s="120" t="e">
        <f>G729*H729*E729</f>
        <v>#REF!</v>
      </c>
      <c r="K729" s="77">
        <v>724</v>
      </c>
    </row>
    <row r="730" spans="1:11" s="81" customFormat="1">
      <c r="A730" s="31" t="e">
        <f>#REF!</f>
        <v>#REF!</v>
      </c>
      <c r="B730" s="32" t="e">
        <f>#REF!</f>
        <v>#REF!</v>
      </c>
      <c r="C730" s="15"/>
      <c r="D730" s="15"/>
      <c r="E730" s="15"/>
      <c r="F730" s="78"/>
      <c r="G730" s="79"/>
      <c r="H730" s="111"/>
      <c r="I730" s="80" t="e">
        <f>SUM(I731:I734)</f>
        <v>#REF!</v>
      </c>
      <c r="K730" s="77">
        <v>725</v>
      </c>
    </row>
    <row r="731" spans="1:11">
      <c r="A731" s="13">
        <v>1</v>
      </c>
      <c r="B731" s="5" t="s">
        <v>82</v>
      </c>
      <c r="C731" s="6" t="str">
        <f>Gia_Tbi!C4</f>
        <v>Cái</v>
      </c>
      <c r="D731" s="6">
        <f>Gia_Tbi!D4</f>
        <v>0.4</v>
      </c>
      <c r="E731" s="6">
        <f>Gia_Tbi!E4</f>
        <v>5</v>
      </c>
      <c r="F731" s="82">
        <f>Gia_Tbi!F4</f>
        <v>10000000</v>
      </c>
      <c r="G731" s="83">
        <f>Gia_Tbi!G4</f>
        <v>4000</v>
      </c>
      <c r="H731" s="302">
        <v>8.7999999999999995E-2</v>
      </c>
      <c r="I731" s="84">
        <f>G731*H731</f>
        <v>352</v>
      </c>
      <c r="K731" s="77">
        <v>726</v>
      </c>
    </row>
    <row r="732" spans="1:11">
      <c r="A732" s="13">
        <v>2</v>
      </c>
      <c r="B732" s="5" t="s">
        <v>83</v>
      </c>
      <c r="C732" s="6" t="str">
        <f>Gia_Tbi!C5</f>
        <v>Cái</v>
      </c>
      <c r="D732" s="6">
        <f>Gia_Tbi!D5</f>
        <v>0.6</v>
      </c>
      <c r="E732" s="6">
        <f>Gia_Tbi!E5</f>
        <v>5</v>
      </c>
      <c r="F732" s="82">
        <f>Gia_Tbi!F5</f>
        <v>2500000</v>
      </c>
      <c r="G732" s="83">
        <f>Gia_Tbi!G5</f>
        <v>1000</v>
      </c>
      <c r="H732" s="302">
        <v>1E-3</v>
      </c>
      <c r="I732" s="84">
        <f>G732*H732</f>
        <v>1</v>
      </c>
      <c r="K732" s="77">
        <v>727</v>
      </c>
    </row>
    <row r="733" spans="1:11">
      <c r="A733" s="13">
        <v>3</v>
      </c>
      <c r="B733" s="5" t="s">
        <v>25</v>
      </c>
      <c r="C733" s="6" t="str">
        <f>Gia_Tbi!C6</f>
        <v>Cái</v>
      </c>
      <c r="D733" s="6">
        <f>Gia_Tbi!D6</f>
        <v>2.2000000000000002</v>
      </c>
      <c r="E733" s="6">
        <f>Gia_Tbi!E6</f>
        <v>8</v>
      </c>
      <c r="F733" s="82">
        <f>Gia_Tbi!F6</f>
        <v>12000000</v>
      </c>
      <c r="G733" s="83">
        <f>Gia_Tbi!G6</f>
        <v>3000</v>
      </c>
      <c r="H733" s="302">
        <v>2.9000000000000001E-2</v>
      </c>
      <c r="I733" s="84">
        <f>G733*H733</f>
        <v>87</v>
      </c>
      <c r="K733" s="77">
        <v>728</v>
      </c>
    </row>
    <row r="734" spans="1:11">
      <c r="A734" s="13">
        <v>4</v>
      </c>
      <c r="B734" s="5" t="s">
        <v>24</v>
      </c>
      <c r="C734" s="6" t="e">
        <f>Gia_Tbi!#REF!</f>
        <v>#REF!</v>
      </c>
      <c r="D734" s="6" t="e">
        <f>Gia_Tbi!#REF!</f>
        <v>#REF!</v>
      </c>
      <c r="E734" s="6" t="e">
        <f>Gia_Tbi!#REF!</f>
        <v>#REF!</v>
      </c>
      <c r="F734" s="82" t="e">
        <f>Gia_Tbi!#REF!</f>
        <v>#REF!</v>
      </c>
      <c r="G734" s="83" t="e">
        <f>Gia_Tbi!#REF!</f>
        <v>#REF!</v>
      </c>
      <c r="H734" s="302">
        <v>1E-3</v>
      </c>
      <c r="I734" s="84" t="e">
        <f>G734*H734</f>
        <v>#REF!</v>
      </c>
      <c r="K734" s="77">
        <v>729</v>
      </c>
    </row>
    <row r="735" spans="1:11">
      <c r="A735" s="40">
        <v>5</v>
      </c>
      <c r="B735" s="41" t="s">
        <v>8</v>
      </c>
      <c r="C735" s="42" t="str">
        <f>Gia_Tbi!C9</f>
        <v>Cái</v>
      </c>
      <c r="D735" s="42">
        <f>Gia_Tbi!D9</f>
        <v>0.8</v>
      </c>
      <c r="E735" s="117">
        <f>Gia_Tbi!E9</f>
        <v>8</v>
      </c>
      <c r="F735" s="86">
        <f>Gia_Tbi!F9</f>
        <v>45200000</v>
      </c>
      <c r="G735" s="87">
        <f>Gia_Tbi!G9</f>
        <v>11300</v>
      </c>
      <c r="H735" s="296" t="e">
        <f>(H731*D731+H732*D732+H733*D733+H734*D734)*8</f>
        <v>#REF!</v>
      </c>
      <c r="I735" s="120" t="e">
        <f>G735*H735*E735</f>
        <v>#REF!</v>
      </c>
      <c r="K735" s="77">
        <v>730</v>
      </c>
    </row>
    <row r="736" spans="1:11" s="81" customFormat="1">
      <c r="A736" s="31" t="e">
        <f>#REF!</f>
        <v>#REF!</v>
      </c>
      <c r="B736" s="32" t="e">
        <f>#REF!</f>
        <v>#REF!</v>
      </c>
      <c r="C736" s="15"/>
      <c r="D736" s="15"/>
      <c r="E736" s="15"/>
      <c r="F736" s="78"/>
      <c r="G736" s="79"/>
      <c r="H736" s="111"/>
      <c r="I736" s="80"/>
      <c r="K736" s="77">
        <v>731</v>
      </c>
    </row>
    <row r="737" spans="1:11">
      <c r="A737" s="13" t="e">
        <f>#REF!</f>
        <v>#REF!</v>
      </c>
      <c r="B737" s="5" t="e">
        <f>#REF!</f>
        <v>#REF!</v>
      </c>
      <c r="C737" s="6"/>
      <c r="D737" s="6"/>
      <c r="E737" s="6"/>
      <c r="F737" s="82"/>
      <c r="G737" s="83"/>
      <c r="H737" s="295"/>
      <c r="I737" s="84"/>
      <c r="K737" s="77">
        <v>732</v>
      </c>
    </row>
    <row r="738" spans="1:11">
      <c r="A738" s="13" t="e">
        <f>#REF!</f>
        <v>#REF!</v>
      </c>
      <c r="B738" s="5" t="e">
        <f>#REF!</f>
        <v>#REF!</v>
      </c>
      <c r="C738" s="6"/>
      <c r="D738" s="6"/>
      <c r="E738" s="6"/>
      <c r="F738" s="82"/>
      <c r="G738" s="83"/>
      <c r="H738" s="295"/>
      <c r="I738" s="84"/>
      <c r="K738" s="77">
        <v>733</v>
      </c>
    </row>
    <row r="739" spans="1:11">
      <c r="A739" s="13" t="e">
        <f>#REF!</f>
        <v>#REF!</v>
      </c>
      <c r="B739" s="5" t="e">
        <f>#REF!</f>
        <v>#REF!</v>
      </c>
      <c r="C739" s="6"/>
      <c r="D739" s="6"/>
      <c r="E739" s="6"/>
      <c r="F739" s="82"/>
      <c r="G739" s="83"/>
      <c r="H739" s="295"/>
      <c r="I739" s="84" t="e">
        <f>I699</f>
        <v>#REF!</v>
      </c>
      <c r="K739" s="77">
        <v>734</v>
      </c>
    </row>
    <row r="740" spans="1:11">
      <c r="A740" s="40"/>
      <c r="B740" s="41" t="s">
        <v>8</v>
      </c>
      <c r="C740" s="42" t="str">
        <f>Gia_Tbi!C9</f>
        <v>Cái</v>
      </c>
      <c r="D740" s="42">
        <f>Gia_Tbi!D9</f>
        <v>0.8</v>
      </c>
      <c r="E740" s="117">
        <f>Gia_Tbi!E9</f>
        <v>8</v>
      </c>
      <c r="F740" s="86">
        <f>Gia_Tbi!F9</f>
        <v>45200000</v>
      </c>
      <c r="G740" s="87">
        <f>Gia_Tbi!G9</f>
        <v>11300</v>
      </c>
      <c r="H740" s="296"/>
      <c r="I740" s="88" t="e">
        <f>I704</f>
        <v>#REF!</v>
      </c>
      <c r="K740" s="77">
        <v>735</v>
      </c>
    </row>
    <row r="741" spans="1:11">
      <c r="A741" s="13" t="e">
        <f>#REF!</f>
        <v>#REF!</v>
      </c>
      <c r="B741" s="5" t="e">
        <f>#REF!</f>
        <v>#REF!</v>
      </c>
      <c r="C741" s="6"/>
      <c r="D741" s="6"/>
      <c r="E741" s="6"/>
      <c r="F741" s="82"/>
      <c r="G741" s="83"/>
      <c r="H741" s="295"/>
      <c r="I741" s="84" t="e">
        <f>I705</f>
        <v>#REF!</v>
      </c>
      <c r="K741" s="77">
        <v>736</v>
      </c>
    </row>
    <row r="742" spans="1:11">
      <c r="A742" s="40"/>
      <c r="B742" s="41" t="s">
        <v>8</v>
      </c>
      <c r="C742" s="42" t="str">
        <f>Gia_Tbi!C9</f>
        <v>Cái</v>
      </c>
      <c r="D742" s="42">
        <f>Gia_Tbi!D9</f>
        <v>0.8</v>
      </c>
      <c r="E742" s="117">
        <f>Gia_Tbi!E9</f>
        <v>8</v>
      </c>
      <c r="F742" s="86">
        <f>Gia_Tbi!F9</f>
        <v>45200000</v>
      </c>
      <c r="G742" s="87">
        <f>Gia_Tbi!G9</f>
        <v>11300</v>
      </c>
      <c r="H742" s="296"/>
      <c r="I742" s="88" t="e">
        <f>I710</f>
        <v>#REF!</v>
      </c>
      <c r="K742" s="77">
        <v>737</v>
      </c>
    </row>
    <row r="743" spans="1:11">
      <c r="A743" s="13" t="e">
        <f>#REF!</f>
        <v>#REF!</v>
      </c>
      <c r="B743" s="5" t="e">
        <f>#REF!</f>
        <v>#REF!</v>
      </c>
      <c r="C743" s="6"/>
      <c r="D743" s="6"/>
      <c r="E743" s="6"/>
      <c r="F743" s="82"/>
      <c r="G743" s="83"/>
      <c r="H743" s="295"/>
      <c r="I743" s="84"/>
      <c r="K743" s="77">
        <v>738</v>
      </c>
    </row>
    <row r="744" spans="1:11">
      <c r="A744" s="13" t="e">
        <f>#REF!</f>
        <v>#REF!</v>
      </c>
      <c r="B744" s="5" t="e">
        <f>#REF!</f>
        <v>#REF!</v>
      </c>
      <c r="C744" s="6"/>
      <c r="D744" s="6"/>
      <c r="E744" s="6"/>
      <c r="F744" s="82"/>
      <c r="G744" s="83"/>
      <c r="H744" s="295"/>
      <c r="I744" s="84" t="e">
        <f>I712</f>
        <v>#REF!</v>
      </c>
      <c r="K744" s="77">
        <v>739</v>
      </c>
    </row>
    <row r="745" spans="1:11">
      <c r="A745" s="40"/>
      <c r="B745" s="41" t="s">
        <v>8</v>
      </c>
      <c r="C745" s="42" t="str">
        <f>Gia_Tbi!C9</f>
        <v>Cái</v>
      </c>
      <c r="D745" s="42">
        <f>Gia_Tbi!D9</f>
        <v>0.8</v>
      </c>
      <c r="E745" s="117">
        <f>Gia_Tbi!E9</f>
        <v>8</v>
      </c>
      <c r="F745" s="86">
        <f>Gia_Tbi!F9</f>
        <v>45200000</v>
      </c>
      <c r="G745" s="87">
        <f>Gia_Tbi!G9</f>
        <v>11300</v>
      </c>
      <c r="H745" s="296"/>
      <c r="I745" s="88" t="e">
        <f>I717</f>
        <v>#REF!</v>
      </c>
      <c r="K745" s="77">
        <v>740</v>
      </c>
    </row>
    <row r="746" spans="1:11">
      <c r="A746" s="13" t="e">
        <f>#REF!</f>
        <v>#REF!</v>
      </c>
      <c r="B746" s="5" t="e">
        <f>#REF!</f>
        <v>#REF!</v>
      </c>
      <c r="C746" s="6"/>
      <c r="D746" s="6"/>
      <c r="E746" s="6"/>
      <c r="F746" s="82"/>
      <c r="G746" s="83"/>
      <c r="H746" s="295"/>
      <c r="I746" s="84" t="e">
        <f>I718</f>
        <v>#REF!</v>
      </c>
      <c r="K746" s="77">
        <v>741</v>
      </c>
    </row>
    <row r="747" spans="1:11">
      <c r="A747" s="40"/>
      <c r="B747" s="41" t="s">
        <v>8</v>
      </c>
      <c r="C747" s="42" t="str">
        <f>Gia_Tbi!C9</f>
        <v>Cái</v>
      </c>
      <c r="D747" s="42">
        <f>Gia_Tbi!D9</f>
        <v>0.8</v>
      </c>
      <c r="E747" s="117">
        <f>Gia_Tbi!E9</f>
        <v>8</v>
      </c>
      <c r="F747" s="86">
        <f>Gia_Tbi!F9</f>
        <v>45200000</v>
      </c>
      <c r="G747" s="87">
        <f>Gia_Tbi!G9</f>
        <v>11300</v>
      </c>
      <c r="H747" s="296"/>
      <c r="I747" s="88" t="e">
        <f>I723</f>
        <v>#REF!</v>
      </c>
      <c r="K747" s="77">
        <v>742</v>
      </c>
    </row>
    <row r="748" spans="1:11">
      <c r="A748" s="13" t="e">
        <f>#REF!</f>
        <v>#REF!</v>
      </c>
      <c r="B748" s="5" t="e">
        <f>#REF!</f>
        <v>#REF!</v>
      </c>
      <c r="C748" s="6"/>
      <c r="D748" s="6"/>
      <c r="E748" s="6"/>
      <c r="F748" s="82"/>
      <c r="G748" s="83"/>
      <c r="H748" s="295"/>
      <c r="I748" s="84" t="e">
        <f>I724</f>
        <v>#REF!</v>
      </c>
      <c r="K748" s="77">
        <v>743</v>
      </c>
    </row>
    <row r="749" spans="1:11">
      <c r="A749" s="40"/>
      <c r="B749" s="41" t="s">
        <v>8</v>
      </c>
      <c r="C749" s="42" t="str">
        <f>Gia_Tbi!C9</f>
        <v>Cái</v>
      </c>
      <c r="D749" s="42">
        <f>Gia_Tbi!D9</f>
        <v>0.8</v>
      </c>
      <c r="E749" s="117">
        <f>Gia_Tbi!E9</f>
        <v>8</v>
      </c>
      <c r="F749" s="86">
        <f>Gia_Tbi!F9</f>
        <v>45200000</v>
      </c>
      <c r="G749" s="87">
        <f>Gia_Tbi!G9</f>
        <v>11300</v>
      </c>
      <c r="H749" s="296"/>
      <c r="I749" s="88" t="e">
        <f>I729</f>
        <v>#REF!</v>
      </c>
      <c r="K749" s="77">
        <v>744</v>
      </c>
    </row>
    <row r="750" spans="1:11">
      <c r="A750" s="13" t="e">
        <f>#REF!</f>
        <v>#REF!</v>
      </c>
      <c r="B750" s="5" t="e">
        <f>#REF!</f>
        <v>#REF!</v>
      </c>
      <c r="C750" s="6"/>
      <c r="D750" s="6"/>
      <c r="E750" s="6"/>
      <c r="F750" s="82"/>
      <c r="G750" s="83"/>
      <c r="H750" s="295"/>
      <c r="I750" s="84" t="e">
        <f>I730</f>
        <v>#REF!</v>
      </c>
      <c r="K750" s="77">
        <v>745</v>
      </c>
    </row>
    <row r="751" spans="1:11">
      <c r="A751" s="40"/>
      <c r="B751" s="41" t="s">
        <v>8</v>
      </c>
      <c r="C751" s="42" t="str">
        <f>Gia_Tbi!C9</f>
        <v>Cái</v>
      </c>
      <c r="D751" s="42">
        <f>Gia_Tbi!D9</f>
        <v>0.8</v>
      </c>
      <c r="E751" s="117">
        <f>Gia_Tbi!E9</f>
        <v>8</v>
      </c>
      <c r="F751" s="86">
        <f>Gia_Tbi!F9</f>
        <v>45200000</v>
      </c>
      <c r="G751" s="87">
        <f>Gia_Tbi!G9</f>
        <v>11300</v>
      </c>
      <c r="H751" s="296"/>
      <c r="I751" s="88" t="e">
        <f>I735</f>
        <v>#REF!</v>
      </c>
      <c r="K751" s="77">
        <v>746</v>
      </c>
    </row>
    <row r="752" spans="1:11" s="81" customFormat="1">
      <c r="A752" s="55" t="e">
        <f>#REF!</f>
        <v>#REF!</v>
      </c>
      <c r="B752" s="56" t="e">
        <f>#REF!</f>
        <v>#REF!</v>
      </c>
      <c r="C752" s="57"/>
      <c r="D752" s="57"/>
      <c r="E752" s="57"/>
      <c r="F752" s="96"/>
      <c r="G752" s="92"/>
      <c r="H752" s="110"/>
      <c r="I752" s="97"/>
      <c r="K752" s="77">
        <v>747</v>
      </c>
    </row>
    <row r="753" spans="1:11">
      <c r="A753" s="13" t="e">
        <f>#REF!</f>
        <v>#REF!</v>
      </c>
      <c r="B753" s="5" t="e">
        <f>#REF!</f>
        <v>#REF!</v>
      </c>
      <c r="C753" s="6"/>
      <c r="D753" s="6"/>
      <c r="E753" s="6"/>
      <c r="F753" s="82"/>
      <c r="G753" s="83"/>
      <c r="H753" s="295"/>
      <c r="I753" s="84"/>
      <c r="K753" s="77">
        <v>748</v>
      </c>
    </row>
    <row r="754" spans="1:11">
      <c r="A754" s="13" t="e">
        <f>#REF!</f>
        <v>#REF!</v>
      </c>
      <c r="B754" s="5" t="e">
        <f>#REF!</f>
        <v>#REF!</v>
      </c>
      <c r="C754" s="6"/>
      <c r="D754" s="6"/>
      <c r="E754" s="6"/>
      <c r="F754" s="82"/>
      <c r="G754" s="83"/>
      <c r="H754" s="295"/>
      <c r="I754" s="84" t="e">
        <f>I739</f>
        <v>#REF!</v>
      </c>
      <c r="K754" s="77">
        <v>749</v>
      </c>
    </row>
    <row r="755" spans="1:11">
      <c r="A755" s="40"/>
      <c r="B755" s="41" t="s">
        <v>8</v>
      </c>
      <c r="C755" s="42" t="str">
        <f>Gia_Tbi!C9</f>
        <v>Cái</v>
      </c>
      <c r="D755" s="42">
        <f>Gia_Tbi!D9</f>
        <v>0.8</v>
      </c>
      <c r="E755" s="117">
        <f>Gia_Tbi!E9</f>
        <v>8</v>
      </c>
      <c r="F755" s="86">
        <f>Gia_Tbi!F9</f>
        <v>45200000</v>
      </c>
      <c r="G755" s="87">
        <f>Gia_Tbi!G9</f>
        <v>11300</v>
      </c>
      <c r="H755" s="296"/>
      <c r="I755" s="88" t="e">
        <f>I740</f>
        <v>#REF!</v>
      </c>
      <c r="K755" s="77">
        <v>750</v>
      </c>
    </row>
    <row r="756" spans="1:11">
      <c r="A756" s="13" t="e">
        <f>#REF!</f>
        <v>#REF!</v>
      </c>
      <c r="B756" s="5" t="e">
        <f>#REF!</f>
        <v>#REF!</v>
      </c>
      <c r="C756" s="6"/>
      <c r="D756" s="6"/>
      <c r="E756" s="6"/>
      <c r="F756" s="82"/>
      <c r="G756" s="83"/>
      <c r="H756" s="295"/>
      <c r="I756" s="84" t="e">
        <f>I741</f>
        <v>#REF!</v>
      </c>
      <c r="K756" s="77">
        <v>751</v>
      </c>
    </row>
    <row r="757" spans="1:11">
      <c r="A757" s="40"/>
      <c r="B757" s="41" t="s">
        <v>8</v>
      </c>
      <c r="C757" s="42" t="str">
        <f>Gia_Tbi!C9</f>
        <v>Cái</v>
      </c>
      <c r="D757" s="42">
        <f>Gia_Tbi!D9</f>
        <v>0.8</v>
      </c>
      <c r="E757" s="117">
        <f>Gia_Tbi!E9</f>
        <v>8</v>
      </c>
      <c r="F757" s="86">
        <f>Gia_Tbi!F9</f>
        <v>45200000</v>
      </c>
      <c r="G757" s="87">
        <f>Gia_Tbi!G9</f>
        <v>11300</v>
      </c>
      <c r="H757" s="296"/>
      <c r="I757" s="88" t="e">
        <f>I742</f>
        <v>#REF!</v>
      </c>
      <c r="K757" s="77">
        <v>752</v>
      </c>
    </row>
    <row r="758" spans="1:11">
      <c r="A758" s="13" t="e">
        <f>#REF!</f>
        <v>#REF!</v>
      </c>
      <c r="B758" s="5" t="e">
        <f>#REF!</f>
        <v>#REF!</v>
      </c>
      <c r="C758" s="6"/>
      <c r="D758" s="6"/>
      <c r="E758" s="6"/>
      <c r="F758" s="82"/>
      <c r="G758" s="83"/>
      <c r="H758" s="295"/>
      <c r="I758" s="84" t="e">
        <f>I748</f>
        <v>#REF!</v>
      </c>
      <c r="K758" s="77">
        <v>753</v>
      </c>
    </row>
    <row r="759" spans="1:11">
      <c r="A759" s="40"/>
      <c r="B759" s="41" t="s">
        <v>8</v>
      </c>
      <c r="C759" s="42" t="str">
        <f>Gia_Tbi!C9</f>
        <v>Cái</v>
      </c>
      <c r="D759" s="42">
        <f>Gia_Tbi!D9</f>
        <v>0.8</v>
      </c>
      <c r="E759" s="117">
        <f>Gia_Tbi!E9</f>
        <v>8</v>
      </c>
      <c r="F759" s="86">
        <f>Gia_Tbi!F9</f>
        <v>45200000</v>
      </c>
      <c r="G759" s="87">
        <f>Gia_Tbi!G9</f>
        <v>11300</v>
      </c>
      <c r="H759" s="296"/>
      <c r="I759" s="88" t="e">
        <f>I749</f>
        <v>#REF!</v>
      </c>
      <c r="K759" s="77">
        <v>754</v>
      </c>
    </row>
    <row r="760" spans="1:11">
      <c r="A760" s="13" t="e">
        <f>#REF!</f>
        <v>#REF!</v>
      </c>
      <c r="B760" s="5" t="e">
        <f>#REF!</f>
        <v>#REF!</v>
      </c>
      <c r="C760" s="6"/>
      <c r="D760" s="6"/>
      <c r="E760" s="6"/>
      <c r="F760" s="82"/>
      <c r="G760" s="83"/>
      <c r="H760" s="295"/>
      <c r="I760" s="84"/>
      <c r="K760" s="77">
        <v>755</v>
      </c>
    </row>
    <row r="761" spans="1:11">
      <c r="A761" s="13" t="e">
        <f>#REF!</f>
        <v>#REF!</v>
      </c>
      <c r="B761" s="5" t="e">
        <f>#REF!</f>
        <v>#REF!</v>
      </c>
      <c r="C761" s="6"/>
      <c r="D761" s="6"/>
      <c r="E761" s="6"/>
      <c r="F761" s="82"/>
      <c r="G761" s="83"/>
      <c r="H761" s="295"/>
      <c r="I761" s="84" t="e">
        <f>I744</f>
        <v>#REF!</v>
      </c>
      <c r="K761" s="77">
        <v>756</v>
      </c>
    </row>
    <row r="762" spans="1:11">
      <c r="A762" s="40"/>
      <c r="B762" s="41" t="s">
        <v>8</v>
      </c>
      <c r="C762" s="42" t="str">
        <f>Gia_Tbi!C9</f>
        <v>Cái</v>
      </c>
      <c r="D762" s="42">
        <f>Gia_Tbi!D9</f>
        <v>0.8</v>
      </c>
      <c r="E762" s="117">
        <f>Gia_Tbi!E9</f>
        <v>8</v>
      </c>
      <c r="F762" s="86">
        <f>Gia_Tbi!F9</f>
        <v>45200000</v>
      </c>
      <c r="G762" s="87">
        <f>Gia_Tbi!G9</f>
        <v>11300</v>
      </c>
      <c r="H762" s="296"/>
      <c r="I762" s="88" t="e">
        <f>I745</f>
        <v>#REF!</v>
      </c>
      <c r="K762" s="77">
        <v>757</v>
      </c>
    </row>
    <row r="763" spans="1:11">
      <c r="A763" s="13" t="e">
        <f>#REF!</f>
        <v>#REF!</v>
      </c>
      <c r="B763" s="5" t="e">
        <f>#REF!</f>
        <v>#REF!</v>
      </c>
      <c r="C763" s="6"/>
      <c r="D763" s="6"/>
      <c r="E763" s="6"/>
      <c r="F763" s="82"/>
      <c r="G763" s="83"/>
      <c r="H763" s="295"/>
      <c r="I763" s="84" t="e">
        <f>I746</f>
        <v>#REF!</v>
      </c>
      <c r="K763" s="77">
        <v>758</v>
      </c>
    </row>
    <row r="764" spans="1:11">
      <c r="A764" s="40"/>
      <c r="B764" s="41" t="s">
        <v>8</v>
      </c>
      <c r="C764" s="42" t="str">
        <f>Gia_Tbi!C9</f>
        <v>Cái</v>
      </c>
      <c r="D764" s="42">
        <f>Gia_Tbi!D9</f>
        <v>0.8</v>
      </c>
      <c r="E764" s="117">
        <f>Gia_Tbi!E9</f>
        <v>8</v>
      </c>
      <c r="F764" s="86">
        <f>Gia_Tbi!F9</f>
        <v>45200000</v>
      </c>
      <c r="G764" s="87">
        <f>Gia_Tbi!G9</f>
        <v>11300</v>
      </c>
      <c r="H764" s="296"/>
      <c r="I764" s="88" t="e">
        <f>I747</f>
        <v>#REF!</v>
      </c>
      <c r="K764" s="77">
        <v>759</v>
      </c>
    </row>
    <row r="765" spans="1:11">
      <c r="A765" s="13" t="e">
        <f>#REF!</f>
        <v>#REF!</v>
      </c>
      <c r="B765" s="5" t="e">
        <f>#REF!</f>
        <v>#REF!</v>
      </c>
      <c r="C765" s="6"/>
      <c r="D765" s="6"/>
      <c r="E765" s="6"/>
      <c r="F765" s="82"/>
      <c r="G765" s="83"/>
      <c r="H765" s="295"/>
      <c r="I765" s="84" t="e">
        <f>I750</f>
        <v>#REF!</v>
      </c>
      <c r="K765" s="77">
        <v>760</v>
      </c>
    </row>
    <row r="766" spans="1:11">
      <c r="A766" s="40"/>
      <c r="B766" s="41" t="s">
        <v>8</v>
      </c>
      <c r="C766" s="42" t="str">
        <f>Gia_Tbi!C9</f>
        <v>Cái</v>
      </c>
      <c r="D766" s="42">
        <f>Gia_Tbi!D9</f>
        <v>0.8</v>
      </c>
      <c r="E766" s="117">
        <f>Gia_Tbi!E9</f>
        <v>8</v>
      </c>
      <c r="F766" s="86">
        <f>Gia_Tbi!F9</f>
        <v>45200000</v>
      </c>
      <c r="G766" s="87">
        <f>Gia_Tbi!G9</f>
        <v>11300</v>
      </c>
      <c r="H766" s="296"/>
      <c r="I766" s="88" t="e">
        <f>I751</f>
        <v>#REF!</v>
      </c>
      <c r="K766" s="77">
        <v>761</v>
      </c>
    </row>
    <row r="767" spans="1:11">
      <c r="A767" s="64" t="e">
        <f>#REF!</f>
        <v>#REF!</v>
      </c>
      <c r="B767" s="65" t="e">
        <f>#REF!</f>
        <v>#REF!</v>
      </c>
      <c r="C767" s="19"/>
      <c r="D767" s="19"/>
      <c r="E767" s="19"/>
      <c r="F767" s="98"/>
      <c r="G767" s="99"/>
      <c r="H767" s="305"/>
      <c r="I767" s="80" t="e">
        <f>SUM(I768:I771)</f>
        <v>#REF!</v>
      </c>
      <c r="K767" s="77">
        <v>762</v>
      </c>
    </row>
    <row r="768" spans="1:11">
      <c r="A768" s="13">
        <v>1</v>
      </c>
      <c r="B768" s="5" t="s">
        <v>82</v>
      </c>
      <c r="C768" s="6" t="str">
        <f>Gia_Tbi!C4</f>
        <v>Cái</v>
      </c>
      <c r="D768" s="6">
        <f>Gia_Tbi!D4</f>
        <v>0.4</v>
      </c>
      <c r="E768" s="6">
        <f>Gia_Tbi!E4</f>
        <v>5</v>
      </c>
      <c r="F768" s="82">
        <f>Gia_Tbi!F4</f>
        <v>10000000</v>
      </c>
      <c r="G768" s="83">
        <f>Gia_Tbi!G4</f>
        <v>4000</v>
      </c>
      <c r="H768" s="302">
        <v>270</v>
      </c>
      <c r="I768" s="84">
        <f>G768*H768</f>
        <v>1080000</v>
      </c>
      <c r="K768" s="77">
        <v>763</v>
      </c>
    </row>
    <row r="769" spans="1:11">
      <c r="A769" s="13">
        <v>2</v>
      </c>
      <c r="B769" s="5" t="s">
        <v>83</v>
      </c>
      <c r="C769" s="6" t="str">
        <f>Gia_Tbi!C5</f>
        <v>Cái</v>
      </c>
      <c r="D769" s="6">
        <f>Gia_Tbi!D5</f>
        <v>0.6</v>
      </c>
      <c r="E769" s="6">
        <f>Gia_Tbi!E5</f>
        <v>5</v>
      </c>
      <c r="F769" s="82">
        <f>Gia_Tbi!F5</f>
        <v>2500000</v>
      </c>
      <c r="G769" s="83">
        <f>Gia_Tbi!G5</f>
        <v>1000</v>
      </c>
      <c r="H769" s="302">
        <v>3.375</v>
      </c>
      <c r="I769" s="84">
        <f>G769*H769</f>
        <v>3375</v>
      </c>
      <c r="K769" s="77">
        <v>764</v>
      </c>
    </row>
    <row r="770" spans="1:11">
      <c r="A770" s="13">
        <v>3</v>
      </c>
      <c r="B770" s="5" t="s">
        <v>25</v>
      </c>
      <c r="C770" s="6" t="str">
        <f>Gia_Tbi!C6</f>
        <v>Cái</v>
      </c>
      <c r="D770" s="6">
        <f>Gia_Tbi!D6</f>
        <v>2.2000000000000002</v>
      </c>
      <c r="E770" s="6">
        <f>Gia_Tbi!E6</f>
        <v>8</v>
      </c>
      <c r="F770" s="82">
        <f>Gia_Tbi!F6</f>
        <v>12000000</v>
      </c>
      <c r="G770" s="83">
        <f>Gia_Tbi!G6</f>
        <v>3000</v>
      </c>
      <c r="H770" s="302">
        <v>30</v>
      </c>
      <c r="I770" s="84">
        <f>G770*H770</f>
        <v>90000</v>
      </c>
      <c r="K770" s="77">
        <v>765</v>
      </c>
    </row>
    <row r="771" spans="1:11">
      <c r="A771" s="13">
        <v>4</v>
      </c>
      <c r="B771" s="5" t="s">
        <v>24</v>
      </c>
      <c r="C771" s="6" t="e">
        <f>Gia_Tbi!#REF!</f>
        <v>#REF!</v>
      </c>
      <c r="D771" s="6" t="e">
        <f>Gia_Tbi!#REF!</f>
        <v>#REF!</v>
      </c>
      <c r="E771" s="6" t="e">
        <f>Gia_Tbi!#REF!</f>
        <v>#REF!</v>
      </c>
      <c r="F771" s="82" t="e">
        <f>Gia_Tbi!#REF!</f>
        <v>#REF!</v>
      </c>
      <c r="G771" s="83" t="e">
        <f>Gia_Tbi!#REF!</f>
        <v>#REF!</v>
      </c>
      <c r="H771" s="302">
        <v>3</v>
      </c>
      <c r="I771" s="84" t="e">
        <f>G771*H771</f>
        <v>#REF!</v>
      </c>
      <c r="K771" s="77">
        <v>766</v>
      </c>
    </row>
    <row r="772" spans="1:11">
      <c r="A772" s="40">
        <v>5</v>
      </c>
      <c r="B772" s="41" t="s">
        <v>8</v>
      </c>
      <c r="C772" s="42" t="str">
        <f>Gia_Tbi!C9</f>
        <v>Cái</v>
      </c>
      <c r="D772" s="42">
        <f>Gia_Tbi!D9</f>
        <v>0.8</v>
      </c>
      <c r="E772" s="117">
        <f>Gia_Tbi!E9</f>
        <v>8</v>
      </c>
      <c r="F772" s="86">
        <f>Gia_Tbi!F9</f>
        <v>45200000</v>
      </c>
      <c r="G772" s="87">
        <f>Gia_Tbi!G9</f>
        <v>11300</v>
      </c>
      <c r="H772" s="296" t="e">
        <f>(H768*D768+H769*D769+H770*D770+H771*D771)*8</f>
        <v>#REF!</v>
      </c>
      <c r="I772" s="120" t="e">
        <f>G772*H772*E772</f>
        <v>#REF!</v>
      </c>
      <c r="K772" s="77">
        <v>767</v>
      </c>
    </row>
    <row r="773" spans="1:11" s="4" customFormat="1">
      <c r="A773" s="12" t="e">
        <f>#REF!</f>
        <v>#REF!</v>
      </c>
      <c r="B773" s="8" t="e">
        <f>#REF!</f>
        <v>#REF!</v>
      </c>
      <c r="C773" s="7"/>
      <c r="D773" s="7"/>
      <c r="E773" s="7"/>
      <c r="F773" s="93"/>
      <c r="G773" s="94"/>
      <c r="H773" s="298"/>
      <c r="I773" s="95"/>
      <c r="K773" s="77">
        <v>768</v>
      </c>
    </row>
    <row r="774" spans="1:11" s="81" customFormat="1">
      <c r="A774" s="31" t="e">
        <f>#REF!</f>
        <v>#REF!</v>
      </c>
      <c r="B774" s="32" t="e">
        <f>#REF!</f>
        <v>#REF!</v>
      </c>
      <c r="C774" s="15"/>
      <c r="D774" s="15"/>
      <c r="E774" s="15"/>
      <c r="F774" s="78"/>
      <c r="G774" s="79"/>
      <c r="H774" s="111"/>
      <c r="I774" s="80" t="e">
        <f>I776</f>
        <v>#REF!</v>
      </c>
      <c r="K774" s="77">
        <v>769</v>
      </c>
    </row>
    <row r="775" spans="1:11">
      <c r="A775" s="13" t="e">
        <f>#REF!</f>
        <v>#REF!</v>
      </c>
      <c r="B775" s="5" t="e">
        <f>#REF!</f>
        <v>#REF!</v>
      </c>
      <c r="C775" s="6"/>
      <c r="D775" s="6"/>
      <c r="E775" s="6"/>
      <c r="F775" s="82"/>
      <c r="G775" s="83"/>
      <c r="H775" s="295"/>
      <c r="I775" s="84" t="e">
        <f>I776</f>
        <v>#REF!</v>
      </c>
      <c r="K775" s="77">
        <v>770</v>
      </c>
    </row>
    <row r="776" spans="1:11">
      <c r="A776" s="13" t="e">
        <f>#REF!</f>
        <v>#REF!</v>
      </c>
      <c r="B776" s="5" t="e">
        <f>#REF!</f>
        <v>#REF!</v>
      </c>
      <c r="C776" s="6"/>
      <c r="D776" s="6"/>
      <c r="E776" s="6"/>
      <c r="F776" s="82"/>
      <c r="G776" s="83"/>
      <c r="H776" s="295"/>
      <c r="I776" s="80" t="e">
        <f>SUM(I777:I781)</f>
        <v>#REF!</v>
      </c>
      <c r="K776" s="77">
        <v>771</v>
      </c>
    </row>
    <row r="777" spans="1:11">
      <c r="A777" s="13">
        <v>1</v>
      </c>
      <c r="B777" s="5" t="s">
        <v>82</v>
      </c>
      <c r="C777" s="6" t="str">
        <f>Gia_Tbi!C4</f>
        <v>Cái</v>
      </c>
      <c r="D777" s="6">
        <f>Gia_Tbi!D4</f>
        <v>0.4</v>
      </c>
      <c r="E777" s="6">
        <f>Gia_Tbi!E4</f>
        <v>5</v>
      </c>
      <c r="F777" s="82">
        <f>Gia_Tbi!F4</f>
        <v>10000000</v>
      </c>
      <c r="G777" s="83">
        <f>Gia_Tbi!G4</f>
        <v>4000</v>
      </c>
      <c r="H777" s="302">
        <v>0.12</v>
      </c>
      <c r="I777" s="84">
        <f>G777*H777</f>
        <v>480</v>
      </c>
      <c r="K777" s="77">
        <v>772</v>
      </c>
    </row>
    <row r="778" spans="1:11">
      <c r="A778" s="13">
        <v>3</v>
      </c>
      <c r="B778" s="5" t="s">
        <v>83</v>
      </c>
      <c r="C778" s="6" t="str">
        <f>Gia_Tbi!C5</f>
        <v>Cái</v>
      </c>
      <c r="D778" s="6">
        <f>Gia_Tbi!D5</f>
        <v>0.6</v>
      </c>
      <c r="E778" s="6">
        <f>Gia_Tbi!E5</f>
        <v>5</v>
      </c>
      <c r="F778" s="82">
        <f>Gia_Tbi!F5</f>
        <v>2500000</v>
      </c>
      <c r="G778" s="83">
        <f>Gia_Tbi!G5</f>
        <v>1000</v>
      </c>
      <c r="H778" s="302">
        <v>5.0000000000000001E-3</v>
      </c>
      <c r="I778" s="84">
        <f>G778*H778</f>
        <v>5</v>
      </c>
      <c r="K778" s="77">
        <v>773</v>
      </c>
    </row>
    <row r="779" spans="1:11">
      <c r="A779" s="13">
        <v>4</v>
      </c>
      <c r="B779" s="5" t="s">
        <v>96</v>
      </c>
      <c r="C779" s="6" t="str">
        <f>Gia_Tbi!C8</f>
        <v>Cái</v>
      </c>
      <c r="D779" s="6">
        <f>Gia_Tbi!D8</f>
        <v>0.6</v>
      </c>
      <c r="E779" s="6">
        <f>Gia_Tbi!E8</f>
        <v>8</v>
      </c>
      <c r="F779" s="82">
        <f>Gia_Tbi!F8</f>
        <v>10000000</v>
      </c>
      <c r="G779" s="83">
        <f>Gia_Tbi!G8</f>
        <v>2500</v>
      </c>
      <c r="H779" s="302">
        <v>0.12</v>
      </c>
      <c r="I779" s="84">
        <f>G779*H779</f>
        <v>300</v>
      </c>
      <c r="K779" s="77">
        <v>774</v>
      </c>
    </row>
    <row r="780" spans="1:11">
      <c r="A780" s="13">
        <v>5</v>
      </c>
      <c r="B780" s="5" t="s">
        <v>25</v>
      </c>
      <c r="C780" s="6" t="str">
        <f>Gia_Tbi!C6</f>
        <v>Cái</v>
      </c>
      <c r="D780" s="6">
        <f>Gia_Tbi!D6</f>
        <v>2.2000000000000002</v>
      </c>
      <c r="E780" s="6">
        <f>Gia_Tbi!E6</f>
        <v>8</v>
      </c>
      <c r="F780" s="82">
        <f>Gia_Tbi!F6</f>
        <v>12000000</v>
      </c>
      <c r="G780" s="83">
        <f>Gia_Tbi!G6</f>
        <v>3000</v>
      </c>
      <c r="H780" s="302">
        <v>0.02</v>
      </c>
      <c r="I780" s="84">
        <f>G780*H780</f>
        <v>60</v>
      </c>
      <c r="K780" s="77">
        <v>775</v>
      </c>
    </row>
    <row r="781" spans="1:11">
      <c r="A781" s="13">
        <v>6</v>
      </c>
      <c r="B781" s="5" t="s">
        <v>24</v>
      </c>
      <c r="C781" s="6" t="e">
        <f>Gia_Tbi!#REF!</f>
        <v>#REF!</v>
      </c>
      <c r="D781" s="6" t="e">
        <f>Gia_Tbi!#REF!</f>
        <v>#REF!</v>
      </c>
      <c r="E781" s="6" t="e">
        <f>Gia_Tbi!#REF!</f>
        <v>#REF!</v>
      </c>
      <c r="F781" s="82" t="e">
        <f>Gia_Tbi!#REF!</f>
        <v>#REF!</v>
      </c>
      <c r="G781" s="83" t="e">
        <f>Gia_Tbi!#REF!</f>
        <v>#REF!</v>
      </c>
      <c r="H781" s="302">
        <v>4.0000000000000001E-3</v>
      </c>
      <c r="I781" s="84" t="e">
        <f>G781*H781</f>
        <v>#REF!</v>
      </c>
      <c r="K781" s="77">
        <v>776</v>
      </c>
    </row>
    <row r="782" spans="1:11">
      <c r="A782" s="40">
        <v>7</v>
      </c>
      <c r="B782" s="41" t="s">
        <v>8</v>
      </c>
      <c r="C782" s="42" t="str">
        <f>Gia_Tbi!C9</f>
        <v>Cái</v>
      </c>
      <c r="D782" s="42">
        <f>Gia_Tbi!D9</f>
        <v>0.8</v>
      </c>
      <c r="E782" s="117">
        <f>Gia_Tbi!E9</f>
        <v>8</v>
      </c>
      <c r="F782" s="86">
        <f>Gia_Tbi!F9</f>
        <v>45200000</v>
      </c>
      <c r="G782" s="87">
        <f>Gia_Tbi!G9</f>
        <v>11300</v>
      </c>
      <c r="H782" s="296" t="e">
        <f>(H777*D777+H778*D778+H779*D779+H780*D780+H781*D781)*8</f>
        <v>#REF!</v>
      </c>
      <c r="I782" s="120" t="e">
        <f>G782*H782*E782</f>
        <v>#REF!</v>
      </c>
      <c r="K782" s="77">
        <v>777</v>
      </c>
    </row>
    <row r="783" spans="1:11" s="81" customFormat="1">
      <c r="A783" s="31" t="e">
        <f>#REF!</f>
        <v>#REF!</v>
      </c>
      <c r="B783" s="32" t="e">
        <f>#REF!</f>
        <v>#REF!</v>
      </c>
      <c r="C783" s="15"/>
      <c r="D783" s="15"/>
      <c r="E783" s="15"/>
      <c r="F783" s="78"/>
      <c r="G783" s="79"/>
      <c r="H783" s="111"/>
      <c r="I783" s="80" t="e">
        <f>SUM(I784:I788)</f>
        <v>#REF!</v>
      </c>
      <c r="K783" s="77">
        <v>778</v>
      </c>
    </row>
    <row r="784" spans="1:11">
      <c r="A784" s="13">
        <v>1</v>
      </c>
      <c r="B784" s="5" t="s">
        <v>82</v>
      </c>
      <c r="C784" s="6" t="str">
        <f>Gia_Tbi!C4</f>
        <v>Cái</v>
      </c>
      <c r="D784" s="6">
        <f>Gia_Tbi!D4</f>
        <v>0.4</v>
      </c>
      <c r="E784" s="6">
        <f>Gia_Tbi!E4</f>
        <v>5</v>
      </c>
      <c r="F784" s="82">
        <f>Gia_Tbi!F4</f>
        <v>10000000</v>
      </c>
      <c r="G784" s="83">
        <f>Gia_Tbi!G4</f>
        <v>4000</v>
      </c>
      <c r="H784" s="302">
        <v>0.06</v>
      </c>
      <c r="I784" s="84">
        <f>G784*H784</f>
        <v>240</v>
      </c>
      <c r="K784" s="77">
        <v>779</v>
      </c>
    </row>
    <row r="785" spans="1:11">
      <c r="A785" s="13">
        <v>3</v>
      </c>
      <c r="B785" s="5" t="s">
        <v>83</v>
      </c>
      <c r="C785" s="6" t="str">
        <f>Gia_Tbi!C5</f>
        <v>Cái</v>
      </c>
      <c r="D785" s="6">
        <f>Gia_Tbi!D5</f>
        <v>0.6</v>
      </c>
      <c r="E785" s="6">
        <f>Gia_Tbi!E5</f>
        <v>5</v>
      </c>
      <c r="F785" s="82">
        <f>Gia_Tbi!F5</f>
        <v>2500000</v>
      </c>
      <c r="G785" s="83">
        <f>Gia_Tbi!G5</f>
        <v>1000</v>
      </c>
      <c r="H785" s="302">
        <v>3.0000000000000001E-3</v>
      </c>
      <c r="I785" s="84">
        <f>G785*H785</f>
        <v>3</v>
      </c>
      <c r="K785" s="77">
        <v>780</v>
      </c>
    </row>
    <row r="786" spans="1:11">
      <c r="A786" s="13">
        <v>4</v>
      </c>
      <c r="B786" s="5" t="s">
        <v>96</v>
      </c>
      <c r="C786" s="6" t="str">
        <f>Gia_Tbi!C8</f>
        <v>Cái</v>
      </c>
      <c r="D786" s="6">
        <f>Gia_Tbi!D8</f>
        <v>0.6</v>
      </c>
      <c r="E786" s="6">
        <f>Gia_Tbi!E8</f>
        <v>8</v>
      </c>
      <c r="F786" s="82">
        <f>Gia_Tbi!F8</f>
        <v>10000000</v>
      </c>
      <c r="G786" s="83">
        <f>Gia_Tbi!G8</f>
        <v>2500</v>
      </c>
      <c r="H786" s="302">
        <v>0.06</v>
      </c>
      <c r="I786" s="84">
        <f>G786*H786</f>
        <v>150</v>
      </c>
      <c r="K786" s="77">
        <v>781</v>
      </c>
    </row>
    <row r="787" spans="1:11">
      <c r="A787" s="13">
        <v>5</v>
      </c>
      <c r="B787" s="5" t="s">
        <v>25</v>
      </c>
      <c r="C787" s="6" t="str">
        <f>Gia_Tbi!C6</f>
        <v>Cái</v>
      </c>
      <c r="D787" s="6">
        <f>Gia_Tbi!D6</f>
        <v>2.2000000000000002</v>
      </c>
      <c r="E787" s="6">
        <f>Gia_Tbi!E6</f>
        <v>8</v>
      </c>
      <c r="F787" s="82">
        <f>Gia_Tbi!F6</f>
        <v>12000000</v>
      </c>
      <c r="G787" s="83">
        <f>Gia_Tbi!G6</f>
        <v>3000</v>
      </c>
      <c r="H787" s="302">
        <v>0.01</v>
      </c>
      <c r="I787" s="84">
        <f>G787*H787</f>
        <v>30</v>
      </c>
      <c r="K787" s="77">
        <v>782</v>
      </c>
    </row>
    <row r="788" spans="1:11">
      <c r="A788" s="13">
        <v>6</v>
      </c>
      <c r="B788" s="5" t="s">
        <v>24</v>
      </c>
      <c r="C788" s="6" t="e">
        <f>Gia_Tbi!#REF!</f>
        <v>#REF!</v>
      </c>
      <c r="D788" s="6" t="e">
        <f>Gia_Tbi!#REF!</f>
        <v>#REF!</v>
      </c>
      <c r="E788" s="6" t="e">
        <f>Gia_Tbi!#REF!</f>
        <v>#REF!</v>
      </c>
      <c r="F788" s="82" t="e">
        <f>Gia_Tbi!#REF!</f>
        <v>#REF!</v>
      </c>
      <c r="G788" s="83" t="e">
        <f>Gia_Tbi!#REF!</f>
        <v>#REF!</v>
      </c>
      <c r="H788" s="302">
        <v>2E-3</v>
      </c>
      <c r="I788" s="84" t="e">
        <f>G788*H788</f>
        <v>#REF!</v>
      </c>
      <c r="K788" s="77">
        <v>783</v>
      </c>
    </row>
    <row r="789" spans="1:11">
      <c r="A789" s="40">
        <v>7</v>
      </c>
      <c r="B789" s="41" t="s">
        <v>8</v>
      </c>
      <c r="C789" s="42" t="str">
        <f>Gia_Tbi!C9</f>
        <v>Cái</v>
      </c>
      <c r="D789" s="42">
        <f>Gia_Tbi!D9</f>
        <v>0.8</v>
      </c>
      <c r="E789" s="117">
        <f>Gia_Tbi!E9</f>
        <v>8</v>
      </c>
      <c r="F789" s="86">
        <f>Gia_Tbi!F9</f>
        <v>45200000</v>
      </c>
      <c r="G789" s="87">
        <f>Gia_Tbi!G9</f>
        <v>11300</v>
      </c>
      <c r="H789" s="296" t="e">
        <f>(H784*D784+H785*D785+H786*D786+H787*D787+H788*D788)*8</f>
        <v>#REF!</v>
      </c>
      <c r="I789" s="120" t="e">
        <f>G789*H789*E789</f>
        <v>#REF!</v>
      </c>
      <c r="K789" s="77">
        <v>784</v>
      </c>
    </row>
    <row r="790" spans="1:11" s="81" customFormat="1">
      <c r="A790" s="31" t="e">
        <f>#REF!</f>
        <v>#REF!</v>
      </c>
      <c r="B790" s="32" t="e">
        <f>#REF!</f>
        <v>#REF!</v>
      </c>
      <c r="C790" s="15"/>
      <c r="D790" s="15"/>
      <c r="E790" s="15"/>
      <c r="F790" s="78"/>
      <c r="G790" s="79"/>
      <c r="H790" s="111"/>
      <c r="I790" s="80"/>
      <c r="K790" s="77">
        <v>785</v>
      </c>
    </row>
    <row r="791" spans="1:11">
      <c r="A791" s="40" t="e">
        <f>#REF!</f>
        <v>#REF!</v>
      </c>
      <c r="B791" s="41" t="e">
        <f>#REF!</f>
        <v>#REF!</v>
      </c>
      <c r="C791" s="42"/>
      <c r="D791" s="42"/>
      <c r="E791" s="42"/>
      <c r="F791" s="86"/>
      <c r="G791" s="87"/>
      <c r="H791" s="296"/>
      <c r="I791" s="88"/>
      <c r="K791" s="77">
        <v>786</v>
      </c>
    </row>
    <row r="792" spans="1:11" s="4" customFormat="1">
      <c r="A792" s="35" t="e">
        <f>#REF!</f>
        <v>#REF!</v>
      </c>
      <c r="B792" s="36" t="e">
        <f>#REF!</f>
        <v>#REF!</v>
      </c>
      <c r="C792" s="37"/>
      <c r="D792" s="37"/>
      <c r="E792" s="37"/>
      <c r="F792" s="89"/>
      <c r="G792" s="90"/>
      <c r="H792" s="297"/>
      <c r="I792" s="91"/>
      <c r="K792" s="77">
        <v>787</v>
      </c>
    </row>
    <row r="793" spans="1:11" s="81" customFormat="1">
      <c r="A793" s="31" t="e">
        <f>#REF!</f>
        <v>#REF!</v>
      </c>
      <c r="B793" s="32" t="e">
        <f>#REF!</f>
        <v>#REF!</v>
      </c>
      <c r="C793" s="15"/>
      <c r="D793" s="15"/>
      <c r="E793" s="15"/>
      <c r="F793" s="78"/>
      <c r="G793" s="79"/>
      <c r="H793" s="111"/>
      <c r="I793" s="80" t="e">
        <f>SUM(I794:I798)</f>
        <v>#REF!</v>
      </c>
      <c r="K793" s="77">
        <v>788</v>
      </c>
    </row>
    <row r="794" spans="1:11">
      <c r="A794" s="13">
        <v>1</v>
      </c>
      <c r="B794" s="5" t="s">
        <v>82</v>
      </c>
      <c r="C794" s="6" t="str">
        <f>Gia_Tbi!C4</f>
        <v>Cái</v>
      </c>
      <c r="D794" s="6">
        <f>Gia_Tbi!D4</f>
        <v>0.4</v>
      </c>
      <c r="E794" s="6">
        <f>Gia_Tbi!E4</f>
        <v>5</v>
      </c>
      <c r="F794" s="82">
        <f>Gia_Tbi!F4</f>
        <v>10000000</v>
      </c>
      <c r="G794" s="83">
        <f>Gia_Tbi!G4</f>
        <v>4000</v>
      </c>
      <c r="H794" s="302">
        <v>105</v>
      </c>
      <c r="I794" s="84">
        <f>G794*H794</f>
        <v>420000</v>
      </c>
      <c r="K794" s="77">
        <v>789</v>
      </c>
    </row>
    <row r="795" spans="1:11">
      <c r="A795" s="13">
        <v>3</v>
      </c>
      <c r="B795" s="5" t="s">
        <v>83</v>
      </c>
      <c r="C795" s="6" t="str">
        <f>Gia_Tbi!C5</f>
        <v>Cái</v>
      </c>
      <c r="D795" s="6">
        <f>Gia_Tbi!D5</f>
        <v>0.6</v>
      </c>
      <c r="E795" s="6">
        <f>Gia_Tbi!E5</f>
        <v>5</v>
      </c>
      <c r="F795" s="82">
        <f>Gia_Tbi!F5</f>
        <v>2500000</v>
      </c>
      <c r="G795" s="83">
        <f>Gia_Tbi!G5</f>
        <v>1000</v>
      </c>
      <c r="H795" s="302">
        <v>6</v>
      </c>
      <c r="I795" s="84">
        <f>G795*H795</f>
        <v>6000</v>
      </c>
      <c r="K795" s="77">
        <v>790</v>
      </c>
    </row>
    <row r="796" spans="1:11">
      <c r="A796" s="13">
        <v>4</v>
      </c>
      <c r="B796" s="5" t="s">
        <v>96</v>
      </c>
      <c r="C796" s="6" t="str">
        <f>Gia_Tbi!C8</f>
        <v>Cái</v>
      </c>
      <c r="D796" s="6">
        <f>Gia_Tbi!D8</f>
        <v>0.6</v>
      </c>
      <c r="E796" s="6">
        <f>Gia_Tbi!E8</f>
        <v>8</v>
      </c>
      <c r="F796" s="82">
        <f>Gia_Tbi!F8</f>
        <v>10000000</v>
      </c>
      <c r="G796" s="83">
        <f>Gia_Tbi!G8</f>
        <v>2500</v>
      </c>
      <c r="H796" s="302">
        <v>11.67</v>
      </c>
      <c r="I796" s="84">
        <f>G796*H796</f>
        <v>29175</v>
      </c>
      <c r="K796" s="77">
        <v>791</v>
      </c>
    </row>
    <row r="797" spans="1:11">
      <c r="A797" s="13">
        <v>5</v>
      </c>
      <c r="B797" s="5" t="s">
        <v>25</v>
      </c>
      <c r="C797" s="6" t="str">
        <f>Gia_Tbi!C6</f>
        <v>Cái</v>
      </c>
      <c r="D797" s="6">
        <f>Gia_Tbi!D6</f>
        <v>2.2000000000000002</v>
      </c>
      <c r="E797" s="6">
        <f>Gia_Tbi!E6</f>
        <v>8</v>
      </c>
      <c r="F797" s="82">
        <f>Gia_Tbi!F6</f>
        <v>12000000</v>
      </c>
      <c r="G797" s="83">
        <f>Gia_Tbi!G6</f>
        <v>3000</v>
      </c>
      <c r="H797" s="302">
        <v>5</v>
      </c>
      <c r="I797" s="84">
        <f>G797*H797</f>
        <v>15000</v>
      </c>
      <c r="K797" s="77">
        <v>792</v>
      </c>
    </row>
    <row r="798" spans="1:11">
      <c r="A798" s="13">
        <v>6</v>
      </c>
      <c r="B798" s="5" t="s">
        <v>24</v>
      </c>
      <c r="C798" s="6" t="e">
        <f>Gia_Tbi!#REF!</f>
        <v>#REF!</v>
      </c>
      <c r="D798" s="6" t="e">
        <f>Gia_Tbi!#REF!</f>
        <v>#REF!</v>
      </c>
      <c r="E798" s="6" t="e">
        <f>Gia_Tbi!#REF!</f>
        <v>#REF!</v>
      </c>
      <c r="F798" s="82" t="e">
        <f>Gia_Tbi!#REF!</f>
        <v>#REF!</v>
      </c>
      <c r="G798" s="83" t="e">
        <f>Gia_Tbi!#REF!</f>
        <v>#REF!</v>
      </c>
      <c r="H798" s="302">
        <v>2E-3</v>
      </c>
      <c r="I798" s="84" t="e">
        <f>G798*H798</f>
        <v>#REF!</v>
      </c>
      <c r="K798" s="77">
        <v>793</v>
      </c>
    </row>
    <row r="799" spans="1:11">
      <c r="A799" s="40">
        <v>7</v>
      </c>
      <c r="B799" s="41" t="s">
        <v>8</v>
      </c>
      <c r="C799" s="42" t="str">
        <f>Gia_Tbi!C9</f>
        <v>Cái</v>
      </c>
      <c r="D799" s="42">
        <f>Gia_Tbi!D9</f>
        <v>0.8</v>
      </c>
      <c r="E799" s="117">
        <f>Gia_Tbi!E9</f>
        <v>8</v>
      </c>
      <c r="F799" s="86">
        <f>Gia_Tbi!F9</f>
        <v>45200000</v>
      </c>
      <c r="G799" s="87">
        <f>Gia_Tbi!G9</f>
        <v>11300</v>
      </c>
      <c r="H799" s="296" t="e">
        <f>(H794*D794+H795*D795+H796*D796+H797*D797+H798*D798)*8</f>
        <v>#REF!</v>
      </c>
      <c r="I799" s="120" t="e">
        <f>G799*H799*E799</f>
        <v>#REF!</v>
      </c>
      <c r="K799" s="77">
        <v>794</v>
      </c>
    </row>
    <row r="800" spans="1:11" s="81" customFormat="1">
      <c r="A800" s="31" t="e">
        <f>#REF!</f>
        <v>#REF!</v>
      </c>
      <c r="B800" s="32" t="e">
        <f>#REF!</f>
        <v>#REF!</v>
      </c>
      <c r="C800" s="15"/>
      <c r="D800" s="15"/>
      <c r="E800" s="15"/>
      <c r="F800" s="78"/>
      <c r="G800" s="79"/>
      <c r="H800" s="111"/>
      <c r="I800" s="80" t="e">
        <f>SUM(I801:I805)</f>
        <v>#REF!</v>
      </c>
      <c r="K800" s="77">
        <v>795</v>
      </c>
    </row>
    <row r="801" spans="1:11">
      <c r="A801" s="13">
        <v>1</v>
      </c>
      <c r="B801" s="5" t="s">
        <v>82</v>
      </c>
      <c r="C801" s="6" t="str">
        <f>Gia_Tbi!C4</f>
        <v>Cái</v>
      </c>
      <c r="D801" s="6">
        <f>Gia_Tbi!D4</f>
        <v>0.4</v>
      </c>
      <c r="E801" s="6">
        <f>Gia_Tbi!E4</f>
        <v>5</v>
      </c>
      <c r="F801" s="82">
        <f>Gia_Tbi!F4</f>
        <v>10000000</v>
      </c>
      <c r="G801" s="83">
        <f>Gia_Tbi!G4</f>
        <v>4000</v>
      </c>
      <c r="H801" s="302">
        <v>1.46</v>
      </c>
      <c r="I801" s="84">
        <f>G801*H801</f>
        <v>5840</v>
      </c>
      <c r="K801" s="77">
        <v>796</v>
      </c>
    </row>
    <row r="802" spans="1:11">
      <c r="A802" s="13">
        <v>3</v>
      </c>
      <c r="B802" s="5" t="s">
        <v>83</v>
      </c>
      <c r="C802" s="6" t="str">
        <f>Gia_Tbi!C5</f>
        <v>Cái</v>
      </c>
      <c r="D802" s="6">
        <f>Gia_Tbi!D5</f>
        <v>0.6</v>
      </c>
      <c r="E802" s="6">
        <f>Gia_Tbi!E5</f>
        <v>5</v>
      </c>
      <c r="F802" s="82">
        <f>Gia_Tbi!F5</f>
        <v>2500000</v>
      </c>
      <c r="G802" s="83">
        <f>Gia_Tbi!G5</f>
        <v>1000</v>
      </c>
      <c r="H802" s="302">
        <v>0.02</v>
      </c>
      <c r="I802" s="84">
        <f>G802*H802</f>
        <v>20</v>
      </c>
      <c r="K802" s="77">
        <v>797</v>
      </c>
    </row>
    <row r="803" spans="1:11">
      <c r="A803" s="13">
        <v>4</v>
      </c>
      <c r="B803" s="5" t="s">
        <v>96</v>
      </c>
      <c r="C803" s="6" t="str">
        <f>Gia_Tbi!C8</f>
        <v>Cái</v>
      </c>
      <c r="D803" s="6">
        <f>Gia_Tbi!D8</f>
        <v>0.6</v>
      </c>
      <c r="E803" s="6">
        <f>Gia_Tbi!E8</f>
        <v>8</v>
      </c>
      <c r="F803" s="82">
        <f>Gia_Tbi!F8</f>
        <v>10000000</v>
      </c>
      <c r="G803" s="83">
        <f>Gia_Tbi!G8</f>
        <v>2500</v>
      </c>
      <c r="H803" s="302">
        <v>0.49</v>
      </c>
      <c r="I803" s="84">
        <f>G803*H803</f>
        <v>1225</v>
      </c>
      <c r="K803" s="77">
        <v>798</v>
      </c>
    </row>
    <row r="804" spans="1:11">
      <c r="A804" s="13">
        <v>5</v>
      </c>
      <c r="B804" s="5" t="s">
        <v>25</v>
      </c>
      <c r="C804" s="6" t="str">
        <f>Gia_Tbi!C6</f>
        <v>Cái</v>
      </c>
      <c r="D804" s="6">
        <f>Gia_Tbi!D6</f>
        <v>2.2000000000000002</v>
      </c>
      <c r="E804" s="6">
        <f>Gia_Tbi!E6</f>
        <v>8</v>
      </c>
      <c r="F804" s="82">
        <f>Gia_Tbi!F6</f>
        <v>12000000</v>
      </c>
      <c r="G804" s="83">
        <f>Gia_Tbi!G6</f>
        <v>3000</v>
      </c>
      <c r="H804" s="302">
        <v>0.03</v>
      </c>
      <c r="I804" s="84">
        <f>G804*H804</f>
        <v>90</v>
      </c>
      <c r="K804" s="77">
        <v>799</v>
      </c>
    </row>
    <row r="805" spans="1:11">
      <c r="A805" s="13">
        <v>6</v>
      </c>
      <c r="B805" s="5" t="s">
        <v>24</v>
      </c>
      <c r="C805" s="6" t="e">
        <f>Gia_Tbi!#REF!</f>
        <v>#REF!</v>
      </c>
      <c r="D805" s="6" t="e">
        <f>Gia_Tbi!#REF!</f>
        <v>#REF!</v>
      </c>
      <c r="E805" s="6" t="e">
        <f>Gia_Tbi!#REF!</f>
        <v>#REF!</v>
      </c>
      <c r="F805" s="82" t="e">
        <f>Gia_Tbi!#REF!</f>
        <v>#REF!</v>
      </c>
      <c r="G805" s="83" t="e">
        <f>Gia_Tbi!#REF!</f>
        <v>#REF!</v>
      </c>
      <c r="H805" s="302">
        <v>2E-3</v>
      </c>
      <c r="I805" s="84" t="e">
        <f>G805*H805</f>
        <v>#REF!</v>
      </c>
      <c r="K805" s="77">
        <v>800</v>
      </c>
    </row>
    <row r="806" spans="1:11">
      <c r="A806" s="40">
        <v>7</v>
      </c>
      <c r="B806" s="41" t="s">
        <v>8</v>
      </c>
      <c r="C806" s="42" t="str">
        <f>Gia_Tbi!C9</f>
        <v>Cái</v>
      </c>
      <c r="D806" s="42">
        <f>Gia_Tbi!D9</f>
        <v>0.8</v>
      </c>
      <c r="E806" s="117">
        <f>Gia_Tbi!E9</f>
        <v>8</v>
      </c>
      <c r="F806" s="86">
        <f>Gia_Tbi!F9</f>
        <v>45200000</v>
      </c>
      <c r="G806" s="87">
        <f>Gia_Tbi!G9</f>
        <v>11300</v>
      </c>
      <c r="H806" s="296" t="e">
        <f>(H801*D801+H802*D802+H803*D803+H804*D804+H805*D805)*8</f>
        <v>#REF!</v>
      </c>
      <c r="I806" s="120" t="e">
        <f>G806*H806*E806</f>
        <v>#REF!</v>
      </c>
      <c r="K806" s="77">
        <v>801</v>
      </c>
    </row>
    <row r="807" spans="1:11" s="4" customFormat="1">
      <c r="A807" s="12" t="e">
        <f>#REF!</f>
        <v>#REF!</v>
      </c>
      <c r="B807" s="8" t="e">
        <f>#REF!</f>
        <v>#REF!</v>
      </c>
      <c r="C807" s="7"/>
      <c r="D807" s="7"/>
      <c r="E807" s="7"/>
      <c r="F807" s="93"/>
      <c r="G807" s="94"/>
      <c r="H807" s="298"/>
      <c r="I807" s="95"/>
      <c r="K807" s="77">
        <v>802</v>
      </c>
    </row>
    <row r="808" spans="1:11">
      <c r="A808" s="13" t="e">
        <f>#REF!</f>
        <v>#REF!</v>
      </c>
      <c r="B808" s="5" t="e">
        <f>#REF!</f>
        <v>#REF!</v>
      </c>
      <c r="C808" s="6"/>
      <c r="D808" s="6"/>
      <c r="E808" s="6"/>
      <c r="F808" s="82"/>
      <c r="G808" s="83"/>
      <c r="H808" s="295"/>
      <c r="I808" s="80" t="e">
        <f>SUM(I809:I812)</f>
        <v>#REF!</v>
      </c>
      <c r="K808" s="77">
        <v>803</v>
      </c>
    </row>
    <row r="809" spans="1:11">
      <c r="A809" s="13">
        <v>1</v>
      </c>
      <c r="B809" s="5" t="s">
        <v>82</v>
      </c>
      <c r="C809" s="6" t="str">
        <f>Gia_Tbi!C4</f>
        <v>Cái</v>
      </c>
      <c r="D809" s="6">
        <f>Gia_Tbi!D4</f>
        <v>0.4</v>
      </c>
      <c r="E809" s="6">
        <f>Gia_Tbi!E4</f>
        <v>5</v>
      </c>
      <c r="F809" s="82">
        <f>Gia_Tbi!F4</f>
        <v>10000000</v>
      </c>
      <c r="G809" s="83">
        <f>Gia_Tbi!G4</f>
        <v>4000</v>
      </c>
      <c r="H809" s="302">
        <v>60</v>
      </c>
      <c r="I809" s="84">
        <f>G809*H809</f>
        <v>240000</v>
      </c>
      <c r="K809" s="77">
        <v>804</v>
      </c>
    </row>
    <row r="810" spans="1:11">
      <c r="A810" s="13">
        <v>2</v>
      </c>
      <c r="B810" s="5" t="s">
        <v>83</v>
      </c>
      <c r="C810" s="6" t="str">
        <f>Gia_Tbi!C5</f>
        <v>Cái</v>
      </c>
      <c r="D810" s="6">
        <f>Gia_Tbi!D5</f>
        <v>0.6</v>
      </c>
      <c r="E810" s="6">
        <f>Gia_Tbi!E5</f>
        <v>5</v>
      </c>
      <c r="F810" s="82">
        <f>Gia_Tbi!F5</f>
        <v>2500000</v>
      </c>
      <c r="G810" s="83">
        <f>Gia_Tbi!G5</f>
        <v>1000</v>
      </c>
      <c r="H810" s="302">
        <v>12</v>
      </c>
      <c r="I810" s="84">
        <f>G810*H810</f>
        <v>12000</v>
      </c>
      <c r="K810" s="77">
        <v>805</v>
      </c>
    </row>
    <row r="811" spans="1:11">
      <c r="A811" s="13">
        <v>3</v>
      </c>
      <c r="B811" s="5" t="s">
        <v>25</v>
      </c>
      <c r="C811" s="6" t="str">
        <f>Gia_Tbi!C6</f>
        <v>Cái</v>
      </c>
      <c r="D811" s="6">
        <f>Gia_Tbi!D6</f>
        <v>2.2000000000000002</v>
      </c>
      <c r="E811" s="6">
        <f>Gia_Tbi!E6</f>
        <v>8</v>
      </c>
      <c r="F811" s="82">
        <f>Gia_Tbi!F6</f>
        <v>12000000</v>
      </c>
      <c r="G811" s="83">
        <f>Gia_Tbi!G6</f>
        <v>3000</v>
      </c>
      <c r="H811" s="302">
        <v>6.67</v>
      </c>
      <c r="I811" s="84">
        <f>G811*H811</f>
        <v>20010</v>
      </c>
      <c r="K811" s="77">
        <v>806</v>
      </c>
    </row>
    <row r="812" spans="1:11">
      <c r="A812" s="13">
        <v>4</v>
      </c>
      <c r="B812" s="5" t="s">
        <v>24</v>
      </c>
      <c r="C812" s="6" t="e">
        <f>Gia_Tbi!#REF!</f>
        <v>#REF!</v>
      </c>
      <c r="D812" s="6" t="e">
        <f>Gia_Tbi!#REF!</f>
        <v>#REF!</v>
      </c>
      <c r="E812" s="6" t="e">
        <f>Gia_Tbi!#REF!</f>
        <v>#REF!</v>
      </c>
      <c r="F812" s="82" t="e">
        <f>Gia_Tbi!#REF!</f>
        <v>#REF!</v>
      </c>
      <c r="G812" s="83" t="e">
        <f>Gia_Tbi!#REF!</f>
        <v>#REF!</v>
      </c>
      <c r="H812" s="302">
        <v>4</v>
      </c>
      <c r="I812" s="84" t="e">
        <f>G812*H812</f>
        <v>#REF!</v>
      </c>
      <c r="K812" s="77">
        <v>807</v>
      </c>
    </row>
    <row r="813" spans="1:11">
      <c r="A813" s="40">
        <v>5</v>
      </c>
      <c r="B813" s="41" t="s">
        <v>8</v>
      </c>
      <c r="C813" s="42" t="str">
        <f>Gia_Tbi!C9</f>
        <v>Cái</v>
      </c>
      <c r="D813" s="42">
        <f>Gia_Tbi!D9</f>
        <v>0.8</v>
      </c>
      <c r="E813" s="117">
        <f>Gia_Tbi!E9</f>
        <v>8</v>
      </c>
      <c r="F813" s="86">
        <f>Gia_Tbi!F9</f>
        <v>45200000</v>
      </c>
      <c r="G813" s="87">
        <f>Gia_Tbi!G9</f>
        <v>11300</v>
      </c>
      <c r="H813" s="296" t="e">
        <f>(H809*D809+H810*D810+H811*D811+H812*D812)*8</f>
        <v>#REF!</v>
      </c>
      <c r="I813" s="120" t="e">
        <f>G813*H813*E813</f>
        <v>#REF!</v>
      </c>
      <c r="K813" s="77">
        <v>808</v>
      </c>
    </row>
    <row r="814" spans="1:11" s="4" customFormat="1">
      <c r="A814" s="12" t="e">
        <f>#REF!</f>
        <v>#REF!</v>
      </c>
      <c r="B814" s="8" t="e">
        <f>#REF!</f>
        <v>#REF!</v>
      </c>
      <c r="C814" s="7"/>
      <c r="D814" s="7"/>
      <c r="E814" s="7"/>
      <c r="F814" s="93"/>
      <c r="G814" s="94"/>
      <c r="H814" s="298"/>
      <c r="I814" s="95"/>
      <c r="K814" s="77">
        <v>809</v>
      </c>
    </row>
    <row r="815" spans="1:11" s="81" customFormat="1">
      <c r="A815" s="31" t="e">
        <f>#REF!</f>
        <v>#REF!</v>
      </c>
      <c r="B815" s="32" t="e">
        <f>#REF!</f>
        <v>#REF!</v>
      </c>
      <c r="C815" s="15"/>
      <c r="D815" s="15"/>
      <c r="E815" s="15"/>
      <c r="F815" s="78"/>
      <c r="G815" s="79"/>
      <c r="H815" s="111"/>
      <c r="I815" s="80"/>
      <c r="K815" s="77">
        <v>810</v>
      </c>
    </row>
    <row r="816" spans="1:11" s="81" customFormat="1">
      <c r="A816" s="31" t="e">
        <f>#REF!</f>
        <v>#REF!</v>
      </c>
      <c r="B816" s="32" t="e">
        <f>#REF!</f>
        <v>#REF!</v>
      </c>
      <c r="C816" s="15"/>
      <c r="D816" s="15"/>
      <c r="E816" s="15"/>
      <c r="F816" s="78"/>
      <c r="G816" s="79"/>
      <c r="H816" s="111"/>
      <c r="I816" s="80"/>
      <c r="K816" s="77">
        <v>811</v>
      </c>
    </row>
    <row r="817" spans="1:11" s="4" customFormat="1">
      <c r="A817" s="12" t="e">
        <f>#REF!</f>
        <v>#REF!</v>
      </c>
      <c r="B817" s="8" t="e">
        <f>#REF!</f>
        <v>#REF!</v>
      </c>
      <c r="C817" s="7"/>
      <c r="D817" s="7"/>
      <c r="E817" s="7"/>
      <c r="F817" s="93"/>
      <c r="G817" s="94"/>
      <c r="H817" s="298"/>
      <c r="I817" s="95"/>
      <c r="K817" s="77">
        <v>812</v>
      </c>
    </row>
    <row r="818" spans="1:11" s="81" customFormat="1">
      <c r="A818" s="31" t="e">
        <f>#REF!</f>
        <v>#REF!</v>
      </c>
      <c r="B818" s="32" t="e">
        <f>#REF!</f>
        <v>#REF!</v>
      </c>
      <c r="C818" s="15"/>
      <c r="D818" s="15"/>
      <c r="E818" s="15"/>
      <c r="F818" s="78"/>
      <c r="G818" s="79"/>
      <c r="H818" s="111"/>
      <c r="I818" s="80" t="e">
        <f>I821</f>
        <v>#REF!</v>
      </c>
      <c r="K818" s="77">
        <v>813</v>
      </c>
    </row>
    <row r="819" spans="1:11">
      <c r="A819" s="13" t="e">
        <f>#REF!</f>
        <v>#REF!</v>
      </c>
      <c r="B819" s="5" t="e">
        <f>#REF!</f>
        <v>#REF!</v>
      </c>
      <c r="C819" s="6"/>
      <c r="D819" s="6"/>
      <c r="E819" s="6"/>
      <c r="F819" s="82"/>
      <c r="G819" s="83"/>
      <c r="H819" s="295"/>
      <c r="I819" s="84" t="e">
        <f>I821</f>
        <v>#REF!</v>
      </c>
      <c r="K819" s="77">
        <v>814</v>
      </c>
    </row>
    <row r="820" spans="1:11">
      <c r="A820" s="13" t="e">
        <f>#REF!</f>
        <v>#REF!</v>
      </c>
      <c r="B820" s="5" t="e">
        <f>#REF!</f>
        <v>#REF!</v>
      </c>
      <c r="C820" s="6"/>
      <c r="D820" s="6"/>
      <c r="E820" s="6"/>
      <c r="F820" s="82"/>
      <c r="G820" s="83"/>
      <c r="H820" s="295"/>
      <c r="I820" s="84" t="e">
        <f>I821</f>
        <v>#REF!</v>
      </c>
      <c r="K820" s="77">
        <v>815</v>
      </c>
    </row>
    <row r="821" spans="1:11">
      <c r="A821" s="13" t="e">
        <f>#REF!</f>
        <v>#REF!</v>
      </c>
      <c r="B821" s="5" t="e">
        <f>#REF!</f>
        <v>#REF!</v>
      </c>
      <c r="C821" s="6"/>
      <c r="D821" s="6"/>
      <c r="E821" s="6"/>
      <c r="F821" s="82"/>
      <c r="G821" s="83"/>
      <c r="H821" s="295"/>
      <c r="I821" s="80" t="e">
        <f>SUM(I822:I825)</f>
        <v>#REF!</v>
      </c>
      <c r="K821" s="77">
        <v>816</v>
      </c>
    </row>
    <row r="822" spans="1:11">
      <c r="A822" s="13">
        <v>1</v>
      </c>
      <c r="B822" s="5" t="s">
        <v>82</v>
      </c>
      <c r="C822" s="6" t="str">
        <f>Gia_Tbi!C4</f>
        <v>Cái</v>
      </c>
      <c r="D822" s="6">
        <f>Gia_Tbi!D4</f>
        <v>0.4</v>
      </c>
      <c r="E822" s="6">
        <f>Gia_Tbi!E4</f>
        <v>5</v>
      </c>
      <c r="F822" s="82">
        <f>Gia_Tbi!F4</f>
        <v>10000000</v>
      </c>
      <c r="G822" s="83">
        <f>Gia_Tbi!G4</f>
        <v>4000</v>
      </c>
      <c r="H822" s="302">
        <v>15</v>
      </c>
      <c r="I822" s="84">
        <f>G822*H822</f>
        <v>60000</v>
      </c>
      <c r="K822" s="77">
        <v>817</v>
      </c>
    </row>
    <row r="823" spans="1:11">
      <c r="A823" s="13">
        <v>2</v>
      </c>
      <c r="B823" s="5" t="s">
        <v>83</v>
      </c>
      <c r="C823" s="6" t="str">
        <f>Gia_Tbi!C5</f>
        <v>Cái</v>
      </c>
      <c r="D823" s="6">
        <f>Gia_Tbi!D5</f>
        <v>0.6</v>
      </c>
      <c r="E823" s="6">
        <f>Gia_Tbi!E5</f>
        <v>5</v>
      </c>
      <c r="F823" s="82">
        <f>Gia_Tbi!F5</f>
        <v>2500000</v>
      </c>
      <c r="G823" s="83">
        <f>Gia_Tbi!G5</f>
        <v>1000</v>
      </c>
      <c r="H823" s="302">
        <v>0.8</v>
      </c>
      <c r="I823" s="84">
        <f>G823*H823</f>
        <v>800</v>
      </c>
      <c r="K823" s="77">
        <v>818</v>
      </c>
    </row>
    <row r="824" spans="1:11">
      <c r="A824" s="13">
        <v>3</v>
      </c>
      <c r="B824" s="5" t="s">
        <v>25</v>
      </c>
      <c r="C824" s="6" t="str">
        <f>Gia_Tbi!C6</f>
        <v>Cái</v>
      </c>
      <c r="D824" s="6">
        <f>Gia_Tbi!D6</f>
        <v>2.2000000000000002</v>
      </c>
      <c r="E824" s="6">
        <f>Gia_Tbi!E6</f>
        <v>8</v>
      </c>
      <c r="F824" s="82">
        <f>Gia_Tbi!F6</f>
        <v>12000000</v>
      </c>
      <c r="G824" s="83">
        <f>Gia_Tbi!G6</f>
        <v>3000</v>
      </c>
      <c r="H824" s="302">
        <v>5</v>
      </c>
      <c r="I824" s="84">
        <f>G824*H824</f>
        <v>15000</v>
      </c>
      <c r="K824" s="77">
        <v>819</v>
      </c>
    </row>
    <row r="825" spans="1:11">
      <c r="A825" s="13">
        <v>4</v>
      </c>
      <c r="B825" s="5" t="s">
        <v>24</v>
      </c>
      <c r="C825" s="6" t="e">
        <f>Gia_Tbi!#REF!</f>
        <v>#REF!</v>
      </c>
      <c r="D825" s="6" t="e">
        <f>Gia_Tbi!#REF!</f>
        <v>#REF!</v>
      </c>
      <c r="E825" s="6" t="e">
        <f>Gia_Tbi!#REF!</f>
        <v>#REF!</v>
      </c>
      <c r="F825" s="82" t="e">
        <f>Gia_Tbi!#REF!</f>
        <v>#REF!</v>
      </c>
      <c r="G825" s="83" t="e">
        <f>Gia_Tbi!#REF!</f>
        <v>#REF!</v>
      </c>
      <c r="H825" s="302">
        <v>0.5</v>
      </c>
      <c r="I825" s="84" t="e">
        <f>G825*H825</f>
        <v>#REF!</v>
      </c>
      <c r="K825" s="77">
        <v>820</v>
      </c>
    </row>
    <row r="826" spans="1:11">
      <c r="A826" s="40">
        <v>5</v>
      </c>
      <c r="B826" s="41" t="s">
        <v>8</v>
      </c>
      <c r="C826" s="42" t="str">
        <f>Gia_Tbi!C9</f>
        <v>Cái</v>
      </c>
      <c r="D826" s="42">
        <f>Gia_Tbi!D9</f>
        <v>0.8</v>
      </c>
      <c r="E826" s="117">
        <f>Gia_Tbi!E9</f>
        <v>8</v>
      </c>
      <c r="F826" s="86">
        <f>Gia_Tbi!F9</f>
        <v>45200000</v>
      </c>
      <c r="G826" s="87">
        <f>Gia_Tbi!G9</f>
        <v>11300</v>
      </c>
      <c r="H826" s="296" t="e">
        <f>(H822*D822+H823*D823+H824*D824+H825*D825)*8</f>
        <v>#REF!</v>
      </c>
      <c r="I826" s="120" t="e">
        <f>G826*H826*E826</f>
        <v>#REF!</v>
      </c>
      <c r="K826" s="77">
        <v>821</v>
      </c>
    </row>
    <row r="827" spans="1:11" s="81" customFormat="1">
      <c r="A827" s="31" t="e">
        <f>#REF!</f>
        <v>#REF!</v>
      </c>
      <c r="B827" s="32" t="e">
        <f>#REF!</f>
        <v>#REF!</v>
      </c>
      <c r="C827" s="15"/>
      <c r="D827" s="15"/>
      <c r="E827" s="15"/>
      <c r="F827" s="78"/>
      <c r="G827" s="79"/>
      <c r="H827" s="111"/>
      <c r="I827" s="80" t="e">
        <f>SUM(I828:I831)</f>
        <v>#REF!</v>
      </c>
      <c r="K827" s="77">
        <v>822</v>
      </c>
    </row>
    <row r="828" spans="1:11">
      <c r="A828" s="13">
        <v>1</v>
      </c>
      <c r="B828" s="5" t="s">
        <v>82</v>
      </c>
      <c r="C828" s="6" t="str">
        <f>Gia_Tbi!C4</f>
        <v>Cái</v>
      </c>
      <c r="D828" s="6">
        <f>Gia_Tbi!D4</f>
        <v>0.4</v>
      </c>
      <c r="E828" s="6">
        <f>Gia_Tbi!E4</f>
        <v>5</v>
      </c>
      <c r="F828" s="82">
        <f>Gia_Tbi!F4</f>
        <v>10000000</v>
      </c>
      <c r="G828" s="83">
        <f>Gia_Tbi!G4</f>
        <v>4000</v>
      </c>
      <c r="H828" s="302">
        <v>10</v>
      </c>
      <c r="I828" s="84">
        <f>G828*H828</f>
        <v>40000</v>
      </c>
      <c r="K828" s="77">
        <v>823</v>
      </c>
    </row>
    <row r="829" spans="1:11">
      <c r="A829" s="13">
        <v>2</v>
      </c>
      <c r="B829" s="5" t="s">
        <v>83</v>
      </c>
      <c r="C829" s="6" t="str">
        <f>Gia_Tbi!C5</f>
        <v>Cái</v>
      </c>
      <c r="D829" s="6">
        <f>Gia_Tbi!D5</f>
        <v>0.6</v>
      </c>
      <c r="E829" s="6">
        <f>Gia_Tbi!E5</f>
        <v>5</v>
      </c>
      <c r="F829" s="82">
        <f>Gia_Tbi!F5</f>
        <v>2500000</v>
      </c>
      <c r="G829" s="83">
        <f>Gia_Tbi!G5</f>
        <v>1000</v>
      </c>
      <c r="H829" s="302">
        <v>0.4</v>
      </c>
      <c r="I829" s="84">
        <f>G829*H829</f>
        <v>400</v>
      </c>
      <c r="K829" s="77">
        <v>824</v>
      </c>
    </row>
    <row r="830" spans="1:11">
      <c r="A830" s="13">
        <v>3</v>
      </c>
      <c r="B830" s="5" t="s">
        <v>25</v>
      </c>
      <c r="C830" s="6" t="str">
        <f>Gia_Tbi!C6</f>
        <v>Cái</v>
      </c>
      <c r="D830" s="6">
        <f>Gia_Tbi!D6</f>
        <v>2.2000000000000002</v>
      </c>
      <c r="E830" s="6">
        <f>Gia_Tbi!E6</f>
        <v>8</v>
      </c>
      <c r="F830" s="82">
        <f>Gia_Tbi!F6</f>
        <v>12000000</v>
      </c>
      <c r="G830" s="83">
        <f>Gia_Tbi!G6</f>
        <v>3000</v>
      </c>
      <c r="H830" s="302">
        <v>3.33</v>
      </c>
      <c r="I830" s="84">
        <f>G830*H830</f>
        <v>9990</v>
      </c>
      <c r="K830" s="77">
        <v>825</v>
      </c>
    </row>
    <row r="831" spans="1:11">
      <c r="A831" s="13">
        <v>4</v>
      </c>
      <c r="B831" s="5" t="s">
        <v>24</v>
      </c>
      <c r="C831" s="6" t="e">
        <f>Gia_Tbi!#REF!</f>
        <v>#REF!</v>
      </c>
      <c r="D831" s="6" t="e">
        <f>Gia_Tbi!#REF!</f>
        <v>#REF!</v>
      </c>
      <c r="E831" s="6" t="e">
        <f>Gia_Tbi!#REF!</f>
        <v>#REF!</v>
      </c>
      <c r="F831" s="82" t="e">
        <f>Gia_Tbi!#REF!</f>
        <v>#REF!</v>
      </c>
      <c r="G831" s="83" t="e">
        <f>Gia_Tbi!#REF!</f>
        <v>#REF!</v>
      </c>
      <c r="H831" s="302">
        <v>0.3</v>
      </c>
      <c r="I831" s="84" t="e">
        <f>G831*H831</f>
        <v>#REF!</v>
      </c>
      <c r="K831" s="77">
        <v>826</v>
      </c>
    </row>
    <row r="832" spans="1:11">
      <c r="A832" s="40">
        <v>5</v>
      </c>
      <c r="B832" s="41" t="s">
        <v>8</v>
      </c>
      <c r="C832" s="42" t="str">
        <f>Gia_Tbi!C9</f>
        <v>Cái</v>
      </c>
      <c r="D832" s="42">
        <f>Gia_Tbi!D9</f>
        <v>0.8</v>
      </c>
      <c r="E832" s="117">
        <f>Gia_Tbi!E9</f>
        <v>8</v>
      </c>
      <c r="F832" s="86">
        <f>Gia_Tbi!F9</f>
        <v>45200000</v>
      </c>
      <c r="G832" s="87">
        <f>Gia_Tbi!G9</f>
        <v>11300</v>
      </c>
      <c r="H832" s="296" t="e">
        <f>(H828*D828+H829*D829+H830*D830+H831*D831)*8</f>
        <v>#REF!</v>
      </c>
      <c r="I832" s="120" t="e">
        <f>G832*H832*E832</f>
        <v>#REF!</v>
      </c>
      <c r="K832" s="77">
        <v>827</v>
      </c>
    </row>
    <row r="833" spans="1:11" s="81" customFormat="1">
      <c r="A833" s="31" t="e">
        <f>#REF!</f>
        <v>#REF!</v>
      </c>
      <c r="B833" s="32" t="e">
        <f>#REF!</f>
        <v>#REF!</v>
      </c>
      <c r="C833" s="15"/>
      <c r="D833" s="15"/>
      <c r="E833" s="15"/>
      <c r="F833" s="78"/>
      <c r="G833" s="79"/>
      <c r="H833" s="111"/>
      <c r="I833" s="80"/>
      <c r="K833" s="77">
        <v>828</v>
      </c>
    </row>
    <row r="834" spans="1:11">
      <c r="A834" s="13" t="e">
        <f>#REF!</f>
        <v>#REF!</v>
      </c>
      <c r="B834" s="5" t="e">
        <f>#REF!</f>
        <v>#REF!</v>
      </c>
      <c r="C834" s="6"/>
      <c r="D834" s="6"/>
      <c r="E834" s="6"/>
      <c r="F834" s="82"/>
      <c r="G834" s="83"/>
      <c r="H834" s="295"/>
      <c r="I834" s="80" t="e">
        <f>SUM(I835:I838)</f>
        <v>#REF!</v>
      </c>
      <c r="K834" s="77">
        <v>829</v>
      </c>
    </row>
    <row r="835" spans="1:11">
      <c r="A835" s="13">
        <v>1</v>
      </c>
      <c r="B835" s="5" t="s">
        <v>82</v>
      </c>
      <c r="C835" s="6" t="str">
        <f>Gia_Tbi!C4</f>
        <v>Cái</v>
      </c>
      <c r="D835" s="6">
        <f>Gia_Tbi!D4</f>
        <v>0.4</v>
      </c>
      <c r="E835" s="6">
        <f>Gia_Tbi!E4</f>
        <v>5</v>
      </c>
      <c r="F835" s="82">
        <f>Gia_Tbi!F4</f>
        <v>10000000</v>
      </c>
      <c r="G835" s="83">
        <f>Gia_Tbi!G4</f>
        <v>4000</v>
      </c>
      <c r="H835" s="302">
        <v>45</v>
      </c>
      <c r="I835" s="84">
        <f>G835*H835</f>
        <v>180000</v>
      </c>
      <c r="K835" s="77">
        <v>830</v>
      </c>
    </row>
    <row r="836" spans="1:11">
      <c r="A836" s="13">
        <v>2</v>
      </c>
      <c r="B836" s="5" t="s">
        <v>83</v>
      </c>
      <c r="C836" s="6" t="str">
        <f>Gia_Tbi!C5</f>
        <v>Cái</v>
      </c>
      <c r="D836" s="6">
        <f>Gia_Tbi!D5</f>
        <v>0.6</v>
      </c>
      <c r="E836" s="6">
        <f>Gia_Tbi!E5</f>
        <v>5</v>
      </c>
      <c r="F836" s="82">
        <f>Gia_Tbi!F5</f>
        <v>2500000</v>
      </c>
      <c r="G836" s="83">
        <f>Gia_Tbi!G5</f>
        <v>1000</v>
      </c>
      <c r="H836" s="302">
        <v>1.5</v>
      </c>
      <c r="I836" s="84">
        <f>G836*H836</f>
        <v>1500</v>
      </c>
      <c r="K836" s="77">
        <v>831</v>
      </c>
    </row>
    <row r="837" spans="1:11">
      <c r="A837" s="13">
        <v>3</v>
      </c>
      <c r="B837" s="5" t="s">
        <v>25</v>
      </c>
      <c r="C837" s="6" t="str">
        <f>Gia_Tbi!C6</f>
        <v>Cái</v>
      </c>
      <c r="D837" s="6">
        <f>Gia_Tbi!D6</f>
        <v>2.2000000000000002</v>
      </c>
      <c r="E837" s="6">
        <f>Gia_Tbi!E6</f>
        <v>8</v>
      </c>
      <c r="F837" s="82">
        <f>Gia_Tbi!F6</f>
        <v>12000000</v>
      </c>
      <c r="G837" s="83">
        <f>Gia_Tbi!G6</f>
        <v>3000</v>
      </c>
      <c r="H837" s="302">
        <v>15</v>
      </c>
      <c r="I837" s="84">
        <f>G837*H837</f>
        <v>45000</v>
      </c>
      <c r="K837" s="77">
        <v>832</v>
      </c>
    </row>
    <row r="838" spans="1:11">
      <c r="A838" s="13">
        <v>4</v>
      </c>
      <c r="B838" s="5" t="s">
        <v>24</v>
      </c>
      <c r="C838" s="6" t="e">
        <f>Gia_Tbi!#REF!</f>
        <v>#REF!</v>
      </c>
      <c r="D838" s="6" t="e">
        <f>Gia_Tbi!#REF!</f>
        <v>#REF!</v>
      </c>
      <c r="E838" s="6" t="e">
        <f>Gia_Tbi!#REF!</f>
        <v>#REF!</v>
      </c>
      <c r="F838" s="82" t="e">
        <f>Gia_Tbi!#REF!</f>
        <v>#REF!</v>
      </c>
      <c r="G838" s="83" t="e">
        <f>Gia_Tbi!#REF!</f>
        <v>#REF!</v>
      </c>
      <c r="H838" s="302">
        <v>0.85</v>
      </c>
      <c r="I838" s="84" t="e">
        <f>G838*H838</f>
        <v>#REF!</v>
      </c>
      <c r="K838" s="77">
        <v>833</v>
      </c>
    </row>
    <row r="839" spans="1:11">
      <c r="A839" s="40">
        <v>5</v>
      </c>
      <c r="B839" s="41" t="s">
        <v>8</v>
      </c>
      <c r="C839" s="42" t="str">
        <f>Gia_Tbi!C9</f>
        <v>Cái</v>
      </c>
      <c r="D839" s="42">
        <f>Gia_Tbi!D9</f>
        <v>0.8</v>
      </c>
      <c r="E839" s="117">
        <f>Gia_Tbi!E9</f>
        <v>8</v>
      </c>
      <c r="F839" s="86">
        <f>Gia_Tbi!F9</f>
        <v>45200000</v>
      </c>
      <c r="G839" s="87">
        <f>Gia_Tbi!G9</f>
        <v>11300</v>
      </c>
      <c r="H839" s="296" t="e">
        <f>(H835*D835+H836*D836+H837*D837+H838*D838)*8</f>
        <v>#REF!</v>
      </c>
      <c r="I839" s="120" t="e">
        <f>G839*H839*E839</f>
        <v>#REF!</v>
      </c>
      <c r="K839" s="77">
        <v>834</v>
      </c>
    </row>
    <row r="840" spans="1:11">
      <c r="A840" s="13" t="e">
        <f>#REF!</f>
        <v>#REF!</v>
      </c>
      <c r="B840" s="5" t="e">
        <f>#REF!</f>
        <v>#REF!</v>
      </c>
      <c r="C840" s="6"/>
      <c r="D840" s="6"/>
      <c r="E840" s="6"/>
      <c r="F840" s="82"/>
      <c r="G840" s="83"/>
      <c r="H840" s="295"/>
      <c r="I840" s="80" t="e">
        <f>SUM(I841:I844)</f>
        <v>#REF!</v>
      </c>
      <c r="K840" s="77">
        <v>835</v>
      </c>
    </row>
    <row r="841" spans="1:11">
      <c r="A841" s="13">
        <v>1</v>
      </c>
      <c r="B841" s="5" t="s">
        <v>82</v>
      </c>
      <c r="C841" s="6" t="str">
        <f>Gia_Tbi!C4</f>
        <v>Cái</v>
      </c>
      <c r="D841" s="6">
        <f>Gia_Tbi!D4</f>
        <v>0.4</v>
      </c>
      <c r="E841" s="6">
        <f>Gia_Tbi!E4</f>
        <v>5</v>
      </c>
      <c r="F841" s="82">
        <f>Gia_Tbi!F4</f>
        <v>10000000</v>
      </c>
      <c r="G841" s="83">
        <f>Gia_Tbi!G4</f>
        <v>4000</v>
      </c>
      <c r="H841" s="302">
        <v>0.68</v>
      </c>
      <c r="I841" s="84">
        <f>G841*H841</f>
        <v>2720</v>
      </c>
      <c r="K841" s="77">
        <v>836</v>
      </c>
    </row>
    <row r="842" spans="1:11">
      <c r="A842" s="13">
        <v>2</v>
      </c>
      <c r="B842" s="5" t="s">
        <v>83</v>
      </c>
      <c r="C842" s="6" t="str">
        <f>Gia_Tbi!C5</f>
        <v>Cái</v>
      </c>
      <c r="D842" s="6">
        <f>Gia_Tbi!D5</f>
        <v>0.6</v>
      </c>
      <c r="E842" s="6">
        <f>Gia_Tbi!E5</f>
        <v>5</v>
      </c>
      <c r="F842" s="82">
        <f>Gia_Tbi!F5</f>
        <v>2500000</v>
      </c>
      <c r="G842" s="83">
        <f>Gia_Tbi!G5</f>
        <v>1000</v>
      </c>
      <c r="H842" s="302">
        <v>0.01</v>
      </c>
      <c r="I842" s="84">
        <f>G842*H842</f>
        <v>10</v>
      </c>
      <c r="K842" s="77">
        <v>837</v>
      </c>
    </row>
    <row r="843" spans="1:11">
      <c r="A843" s="13">
        <v>3</v>
      </c>
      <c r="B843" s="5" t="s">
        <v>25</v>
      </c>
      <c r="C843" s="6" t="str">
        <f>Gia_Tbi!C6</f>
        <v>Cái</v>
      </c>
      <c r="D843" s="6">
        <f>Gia_Tbi!D6</f>
        <v>2.2000000000000002</v>
      </c>
      <c r="E843" s="6">
        <f>Gia_Tbi!E6</f>
        <v>8</v>
      </c>
      <c r="F843" s="82">
        <f>Gia_Tbi!F6</f>
        <v>12000000</v>
      </c>
      <c r="G843" s="83">
        <f>Gia_Tbi!G6</f>
        <v>3000</v>
      </c>
      <c r="H843" s="302">
        <v>0.22700000000000001</v>
      </c>
      <c r="I843" s="84">
        <f>G843*H843</f>
        <v>681</v>
      </c>
      <c r="K843" s="77">
        <v>838</v>
      </c>
    </row>
    <row r="844" spans="1:11">
      <c r="A844" s="13">
        <v>4</v>
      </c>
      <c r="B844" s="5" t="s">
        <v>24</v>
      </c>
      <c r="C844" s="6" t="e">
        <f>Gia_Tbi!#REF!</f>
        <v>#REF!</v>
      </c>
      <c r="D844" s="6" t="e">
        <f>Gia_Tbi!#REF!</f>
        <v>#REF!</v>
      </c>
      <c r="E844" s="6" t="e">
        <f>Gia_Tbi!#REF!</f>
        <v>#REF!</v>
      </c>
      <c r="F844" s="82" t="e">
        <f>Gia_Tbi!#REF!</f>
        <v>#REF!</v>
      </c>
      <c r="G844" s="83" t="e">
        <f>Gia_Tbi!#REF!</f>
        <v>#REF!</v>
      </c>
      <c r="H844" s="302">
        <v>0.01</v>
      </c>
      <c r="I844" s="84" t="e">
        <f>G844*H844</f>
        <v>#REF!</v>
      </c>
      <c r="K844" s="77">
        <v>839</v>
      </c>
    </row>
    <row r="845" spans="1:11">
      <c r="A845" s="40">
        <v>5</v>
      </c>
      <c r="B845" s="41" t="s">
        <v>8</v>
      </c>
      <c r="C845" s="42" t="str">
        <f>Gia_Tbi!C9</f>
        <v>Cái</v>
      </c>
      <c r="D845" s="42">
        <f>Gia_Tbi!D9</f>
        <v>0.8</v>
      </c>
      <c r="E845" s="117">
        <f>Gia_Tbi!E9</f>
        <v>8</v>
      </c>
      <c r="F845" s="86">
        <f>Gia_Tbi!F9</f>
        <v>45200000</v>
      </c>
      <c r="G845" s="87">
        <f>Gia_Tbi!G9</f>
        <v>11300</v>
      </c>
      <c r="H845" s="296" t="e">
        <f>(H841*D841+H842*D842+H843*D843+H844*D844)*8</f>
        <v>#REF!</v>
      </c>
      <c r="I845" s="120" t="e">
        <f>G845*H845*E845</f>
        <v>#REF!</v>
      </c>
      <c r="K845" s="77">
        <v>840</v>
      </c>
    </row>
    <row r="846" spans="1:11" s="81" customFormat="1">
      <c r="A846" s="31" t="e">
        <f>#REF!</f>
        <v>#REF!</v>
      </c>
      <c r="B846" s="32" t="e">
        <f>#REF!</f>
        <v>#REF!</v>
      </c>
      <c r="C846" s="15"/>
      <c r="D846" s="15"/>
      <c r="E846" s="15"/>
      <c r="F846" s="78"/>
      <c r="G846" s="79"/>
      <c r="H846" s="111"/>
      <c r="I846" s="80"/>
      <c r="K846" s="77">
        <v>841</v>
      </c>
    </row>
    <row r="847" spans="1:11">
      <c r="A847" s="13" t="e">
        <f>#REF!</f>
        <v>#REF!</v>
      </c>
      <c r="B847" s="5" t="e">
        <f>#REF!</f>
        <v>#REF!</v>
      </c>
      <c r="C847" s="6"/>
      <c r="D847" s="6"/>
      <c r="E847" s="6"/>
      <c r="F847" s="82"/>
      <c r="G847" s="83"/>
      <c r="H847" s="295"/>
      <c r="I847" s="84"/>
      <c r="K847" s="77">
        <v>842</v>
      </c>
    </row>
    <row r="848" spans="1:11" s="9" customFormat="1">
      <c r="A848" s="24" t="e">
        <f>#REF!</f>
        <v>#REF!</v>
      </c>
      <c r="B848" s="1265" t="e">
        <f>#REF!</f>
        <v>#REF!</v>
      </c>
      <c r="C848" s="1266"/>
      <c r="D848" s="1266"/>
      <c r="E848" s="1266"/>
      <c r="F848" s="1266"/>
      <c r="G848" s="1266"/>
      <c r="H848" s="1266"/>
      <c r="I848" s="1267"/>
      <c r="K848" s="77">
        <v>843</v>
      </c>
    </row>
    <row r="849" spans="1:11" s="4" customFormat="1">
      <c r="A849" s="12" t="e">
        <f>#REF!</f>
        <v>#REF!</v>
      </c>
      <c r="B849" s="8" t="e">
        <f>#REF!</f>
        <v>#REF!</v>
      </c>
      <c r="C849" s="7"/>
      <c r="D849" s="7"/>
      <c r="E849" s="7"/>
      <c r="F849" s="93"/>
      <c r="G849" s="94"/>
      <c r="H849" s="298"/>
      <c r="I849" s="95"/>
      <c r="K849" s="77">
        <v>844</v>
      </c>
    </row>
    <row r="850" spans="1:11" s="4" customFormat="1">
      <c r="A850" s="12" t="e">
        <f>#REF!</f>
        <v>#REF!</v>
      </c>
      <c r="B850" s="8" t="e">
        <f>#REF!</f>
        <v>#REF!</v>
      </c>
      <c r="C850" s="7"/>
      <c r="D850" s="7"/>
      <c r="E850" s="7"/>
      <c r="F850" s="93"/>
      <c r="G850" s="94"/>
      <c r="H850" s="298"/>
      <c r="I850" s="80" t="e">
        <f>SUM(I851:I854)</f>
        <v>#REF!</v>
      </c>
      <c r="K850" s="77">
        <v>845</v>
      </c>
    </row>
    <row r="851" spans="1:11">
      <c r="A851" s="13">
        <v>1</v>
      </c>
      <c r="B851" s="5" t="s">
        <v>82</v>
      </c>
      <c r="C851" s="6" t="str">
        <f>Gia_Tbi!C4</f>
        <v>Cái</v>
      </c>
      <c r="D851" s="6">
        <f>Gia_Tbi!D4</f>
        <v>0.4</v>
      </c>
      <c r="E851" s="6">
        <f>Gia_Tbi!E4</f>
        <v>5</v>
      </c>
      <c r="F851" s="82">
        <f>Gia_Tbi!F4</f>
        <v>10000000</v>
      </c>
      <c r="G851" s="83">
        <f>Gia_Tbi!G4</f>
        <v>4000</v>
      </c>
      <c r="H851" s="302">
        <v>4</v>
      </c>
      <c r="I851" s="84">
        <f>G851*H851</f>
        <v>16000</v>
      </c>
      <c r="K851" s="77">
        <v>846</v>
      </c>
    </row>
    <row r="852" spans="1:11">
      <c r="A852" s="13">
        <v>2</v>
      </c>
      <c r="B852" s="5" t="s">
        <v>83</v>
      </c>
      <c r="C852" s="6" t="str">
        <f>Gia_Tbi!C5</f>
        <v>Cái</v>
      </c>
      <c r="D852" s="6">
        <f>Gia_Tbi!D5</f>
        <v>0.6</v>
      </c>
      <c r="E852" s="6">
        <f>Gia_Tbi!E5</f>
        <v>5</v>
      </c>
      <c r="F852" s="82">
        <f>Gia_Tbi!F5</f>
        <v>2500000</v>
      </c>
      <c r="G852" s="83">
        <f>Gia_Tbi!G5</f>
        <v>1000</v>
      </c>
      <c r="H852" s="302">
        <v>0.5</v>
      </c>
      <c r="I852" s="84">
        <f>G852*H852</f>
        <v>500</v>
      </c>
      <c r="K852" s="77">
        <v>847</v>
      </c>
    </row>
    <row r="853" spans="1:11">
      <c r="A853" s="13">
        <v>3</v>
      </c>
      <c r="B853" s="5" t="s">
        <v>25</v>
      </c>
      <c r="C853" s="6" t="str">
        <f>Gia_Tbi!C6</f>
        <v>Cái</v>
      </c>
      <c r="D853" s="6">
        <f>Gia_Tbi!D6</f>
        <v>2.2000000000000002</v>
      </c>
      <c r="E853" s="6">
        <f>Gia_Tbi!E6</f>
        <v>8</v>
      </c>
      <c r="F853" s="82">
        <f>Gia_Tbi!F6</f>
        <v>12000000</v>
      </c>
      <c r="G853" s="83">
        <f>Gia_Tbi!G6</f>
        <v>3000</v>
      </c>
      <c r="H853" s="302">
        <v>1.33</v>
      </c>
      <c r="I853" s="84">
        <f>G853*H853</f>
        <v>3990</v>
      </c>
      <c r="K853" s="77">
        <v>848</v>
      </c>
    </row>
    <row r="854" spans="1:11">
      <c r="A854" s="13">
        <v>4</v>
      </c>
      <c r="B854" s="5" t="s">
        <v>24</v>
      </c>
      <c r="C854" s="6" t="e">
        <f>Gia_Tbi!#REF!</f>
        <v>#REF!</v>
      </c>
      <c r="D854" s="6" t="e">
        <f>Gia_Tbi!#REF!</f>
        <v>#REF!</v>
      </c>
      <c r="E854" s="6" t="e">
        <f>Gia_Tbi!#REF!</f>
        <v>#REF!</v>
      </c>
      <c r="F854" s="82" t="e">
        <f>Gia_Tbi!#REF!</f>
        <v>#REF!</v>
      </c>
      <c r="G854" s="83" t="e">
        <f>Gia_Tbi!#REF!</f>
        <v>#REF!</v>
      </c>
      <c r="H854" s="302">
        <v>0.08</v>
      </c>
      <c r="I854" s="84" t="e">
        <f>G854*H854</f>
        <v>#REF!</v>
      </c>
      <c r="K854" s="77">
        <v>849</v>
      </c>
    </row>
    <row r="855" spans="1:11">
      <c r="A855" s="40">
        <v>5</v>
      </c>
      <c r="B855" s="41" t="s">
        <v>8</v>
      </c>
      <c r="C855" s="42" t="str">
        <f>Gia_Tbi!C9</f>
        <v>Cái</v>
      </c>
      <c r="D855" s="42">
        <f>Gia_Tbi!D9</f>
        <v>0.8</v>
      </c>
      <c r="E855" s="117">
        <f>Gia_Tbi!E9</f>
        <v>8</v>
      </c>
      <c r="F855" s="86">
        <f>Gia_Tbi!F9</f>
        <v>45200000</v>
      </c>
      <c r="G855" s="87">
        <f>Gia_Tbi!G9</f>
        <v>11300</v>
      </c>
      <c r="H855" s="296" t="e">
        <f>(H851*D851+H852*D852+H853*D853+H854*D854)*8</f>
        <v>#REF!</v>
      </c>
      <c r="I855" s="120" t="e">
        <f>G855*H855*E855</f>
        <v>#REF!</v>
      </c>
      <c r="K855" s="77">
        <v>850</v>
      </c>
    </row>
    <row r="856" spans="1:11" s="4" customFormat="1">
      <c r="A856" s="12" t="e">
        <f>#REF!</f>
        <v>#REF!</v>
      </c>
      <c r="B856" s="8" t="e">
        <f>#REF!</f>
        <v>#REF!</v>
      </c>
      <c r="C856" s="7"/>
      <c r="D856" s="7"/>
      <c r="E856" s="7"/>
      <c r="F856" s="93"/>
      <c r="G856" s="94"/>
      <c r="H856" s="298"/>
      <c r="I856" s="95"/>
      <c r="K856" s="77">
        <v>851</v>
      </c>
    </row>
    <row r="857" spans="1:11" s="81" customFormat="1">
      <c r="A857" s="31" t="e">
        <f>#REF!</f>
        <v>#REF!</v>
      </c>
      <c r="B857" s="32" t="e">
        <f>#REF!</f>
        <v>#REF!</v>
      </c>
      <c r="C857" s="15"/>
      <c r="D857" s="15"/>
      <c r="E857" s="15"/>
      <c r="F857" s="78"/>
      <c r="G857" s="79"/>
      <c r="H857" s="111"/>
      <c r="I857" s="80" t="e">
        <f>SUM(I858:I861)</f>
        <v>#REF!</v>
      </c>
      <c r="K857" s="77">
        <v>852</v>
      </c>
    </row>
    <row r="858" spans="1:11">
      <c r="A858" s="13">
        <v>1</v>
      </c>
      <c r="B858" s="5" t="s">
        <v>82</v>
      </c>
      <c r="C858" s="6" t="str">
        <f>Gia_Tbi!C4</f>
        <v>Cái</v>
      </c>
      <c r="D858" s="6">
        <f>Gia_Tbi!D4</f>
        <v>0.4</v>
      </c>
      <c r="E858" s="6">
        <f>Gia_Tbi!E4</f>
        <v>5</v>
      </c>
      <c r="F858" s="82">
        <f>Gia_Tbi!F4</f>
        <v>10000000</v>
      </c>
      <c r="G858" s="83">
        <f>Gia_Tbi!G4</f>
        <v>4000</v>
      </c>
      <c r="H858" s="302">
        <v>20</v>
      </c>
      <c r="I858" s="84">
        <f>G858*H858</f>
        <v>80000</v>
      </c>
      <c r="K858" s="77">
        <v>853</v>
      </c>
    </row>
    <row r="859" spans="1:11">
      <c r="A859" s="13">
        <v>2</v>
      </c>
      <c r="B859" s="5" t="s">
        <v>83</v>
      </c>
      <c r="C859" s="6" t="str">
        <f>Gia_Tbi!C5</f>
        <v>Cái</v>
      </c>
      <c r="D859" s="6">
        <f>Gia_Tbi!D5</f>
        <v>0.6</v>
      </c>
      <c r="E859" s="6">
        <f>Gia_Tbi!E5</f>
        <v>5</v>
      </c>
      <c r="F859" s="82">
        <f>Gia_Tbi!F5</f>
        <v>2500000</v>
      </c>
      <c r="G859" s="83">
        <f>Gia_Tbi!G5</f>
        <v>1000</v>
      </c>
      <c r="H859" s="302">
        <v>0.65</v>
      </c>
      <c r="I859" s="84">
        <f>G859*H859</f>
        <v>650</v>
      </c>
      <c r="K859" s="77">
        <v>854</v>
      </c>
    </row>
    <row r="860" spans="1:11">
      <c r="A860" s="13">
        <v>3</v>
      </c>
      <c r="B860" s="5" t="s">
        <v>25</v>
      </c>
      <c r="C860" s="6" t="str">
        <f>Gia_Tbi!C6</f>
        <v>Cái</v>
      </c>
      <c r="D860" s="6">
        <f>Gia_Tbi!D6</f>
        <v>2.2000000000000002</v>
      </c>
      <c r="E860" s="6">
        <f>Gia_Tbi!E6</f>
        <v>8</v>
      </c>
      <c r="F860" s="82">
        <f>Gia_Tbi!F6</f>
        <v>12000000</v>
      </c>
      <c r="G860" s="83">
        <f>Gia_Tbi!G6</f>
        <v>3000</v>
      </c>
      <c r="H860" s="302">
        <v>6.67</v>
      </c>
      <c r="I860" s="84">
        <f>G860*H860</f>
        <v>20010</v>
      </c>
      <c r="K860" s="77">
        <v>855</v>
      </c>
    </row>
    <row r="861" spans="1:11">
      <c r="A861" s="13">
        <v>4</v>
      </c>
      <c r="B861" s="5" t="s">
        <v>24</v>
      </c>
      <c r="C861" s="6" t="e">
        <f>Gia_Tbi!#REF!</f>
        <v>#REF!</v>
      </c>
      <c r="D861" s="6" t="e">
        <f>Gia_Tbi!#REF!</f>
        <v>#REF!</v>
      </c>
      <c r="E861" s="6" t="e">
        <f>Gia_Tbi!#REF!</f>
        <v>#REF!</v>
      </c>
      <c r="F861" s="82" t="e">
        <f>Gia_Tbi!#REF!</f>
        <v>#REF!</v>
      </c>
      <c r="G861" s="83" t="e">
        <f>Gia_Tbi!#REF!</f>
        <v>#REF!</v>
      </c>
      <c r="H861" s="302">
        <v>0.12</v>
      </c>
      <c r="I861" s="84" t="e">
        <f>G861*H861</f>
        <v>#REF!</v>
      </c>
      <c r="K861" s="77">
        <v>856</v>
      </c>
    </row>
    <row r="862" spans="1:11">
      <c r="A862" s="40">
        <v>5</v>
      </c>
      <c r="B862" s="41" t="s">
        <v>8</v>
      </c>
      <c r="C862" s="42" t="str">
        <f>Gia_Tbi!C9</f>
        <v>Cái</v>
      </c>
      <c r="D862" s="42">
        <f>Gia_Tbi!D9</f>
        <v>0.8</v>
      </c>
      <c r="E862" s="117">
        <f>Gia_Tbi!E9</f>
        <v>8</v>
      </c>
      <c r="F862" s="86">
        <f>Gia_Tbi!F9</f>
        <v>45200000</v>
      </c>
      <c r="G862" s="87">
        <f>Gia_Tbi!G9</f>
        <v>11300</v>
      </c>
      <c r="H862" s="296" t="e">
        <f>(H858*D858+H859*D859+H860*D860+H861*D861)*8</f>
        <v>#REF!</v>
      </c>
      <c r="I862" s="120" t="e">
        <f>G862*H862*E862</f>
        <v>#REF!</v>
      </c>
      <c r="K862" s="77">
        <v>857</v>
      </c>
    </row>
    <row r="863" spans="1:11" s="81" customFormat="1">
      <c r="A863" s="31" t="e">
        <f>#REF!</f>
        <v>#REF!</v>
      </c>
      <c r="B863" s="32" t="e">
        <f>#REF!</f>
        <v>#REF!</v>
      </c>
      <c r="C863" s="15"/>
      <c r="D863" s="15"/>
      <c r="E863" s="15"/>
      <c r="F863" s="78"/>
      <c r="G863" s="79"/>
      <c r="H863" s="111"/>
      <c r="I863" s="80" t="e">
        <f>SUM(I864:I867)</f>
        <v>#REF!</v>
      </c>
      <c r="K863" s="77">
        <v>858</v>
      </c>
    </row>
    <row r="864" spans="1:11">
      <c r="A864" s="13">
        <v>1</v>
      </c>
      <c r="B864" s="5" t="s">
        <v>82</v>
      </c>
      <c r="C864" s="6" t="str">
        <f>Gia_Tbi!C4</f>
        <v>Cái</v>
      </c>
      <c r="D864" s="6">
        <f>Gia_Tbi!D4</f>
        <v>0.4</v>
      </c>
      <c r="E864" s="6">
        <f>Gia_Tbi!E4</f>
        <v>5</v>
      </c>
      <c r="F864" s="82">
        <f>Gia_Tbi!F4</f>
        <v>10000000</v>
      </c>
      <c r="G864" s="83">
        <f>Gia_Tbi!G4</f>
        <v>4000</v>
      </c>
      <c r="H864" s="302">
        <v>3</v>
      </c>
      <c r="I864" s="84">
        <f>G864*H864</f>
        <v>12000</v>
      </c>
      <c r="K864" s="77">
        <v>859</v>
      </c>
    </row>
    <row r="865" spans="1:11">
      <c r="A865" s="13">
        <v>2</v>
      </c>
      <c r="B865" s="5" t="s">
        <v>83</v>
      </c>
      <c r="C865" s="6" t="str">
        <f>Gia_Tbi!C5</f>
        <v>Cái</v>
      </c>
      <c r="D865" s="6">
        <f>Gia_Tbi!D5</f>
        <v>0.6</v>
      </c>
      <c r="E865" s="6">
        <f>Gia_Tbi!E5</f>
        <v>5</v>
      </c>
      <c r="F865" s="82">
        <f>Gia_Tbi!F5</f>
        <v>2500000</v>
      </c>
      <c r="G865" s="83">
        <f>Gia_Tbi!G5</f>
        <v>1000</v>
      </c>
      <c r="H865" s="302">
        <v>0.12</v>
      </c>
      <c r="I865" s="84">
        <f>G865*H865</f>
        <v>120</v>
      </c>
      <c r="K865" s="77">
        <v>860</v>
      </c>
    </row>
    <row r="866" spans="1:11">
      <c r="A866" s="13">
        <v>3</v>
      </c>
      <c r="B866" s="5" t="s">
        <v>25</v>
      </c>
      <c r="C866" s="6" t="str">
        <f>Gia_Tbi!C6</f>
        <v>Cái</v>
      </c>
      <c r="D866" s="6">
        <f>Gia_Tbi!D6</f>
        <v>2.2000000000000002</v>
      </c>
      <c r="E866" s="6">
        <f>Gia_Tbi!E6</f>
        <v>8</v>
      </c>
      <c r="F866" s="82">
        <f>Gia_Tbi!F6</f>
        <v>12000000</v>
      </c>
      <c r="G866" s="83">
        <f>Gia_Tbi!G6</f>
        <v>3000</v>
      </c>
      <c r="H866" s="302">
        <v>1</v>
      </c>
      <c r="I866" s="84">
        <f>G866*H866</f>
        <v>3000</v>
      </c>
      <c r="K866" s="77">
        <v>861</v>
      </c>
    </row>
    <row r="867" spans="1:11">
      <c r="A867" s="13">
        <v>4</v>
      </c>
      <c r="B867" s="5" t="s">
        <v>24</v>
      </c>
      <c r="C867" s="6" t="e">
        <f>Gia_Tbi!#REF!</f>
        <v>#REF!</v>
      </c>
      <c r="D867" s="6" t="e">
        <f>Gia_Tbi!#REF!</f>
        <v>#REF!</v>
      </c>
      <c r="E867" s="6" t="e">
        <f>Gia_Tbi!#REF!</f>
        <v>#REF!</v>
      </c>
      <c r="F867" s="82" t="e">
        <f>Gia_Tbi!#REF!</f>
        <v>#REF!</v>
      </c>
      <c r="G867" s="83" t="e">
        <f>Gia_Tbi!#REF!</f>
        <v>#REF!</v>
      </c>
      <c r="H867" s="302">
        <v>0.03</v>
      </c>
      <c r="I867" s="84" t="e">
        <f>G867*H867</f>
        <v>#REF!</v>
      </c>
      <c r="K867" s="77">
        <v>862</v>
      </c>
    </row>
    <row r="868" spans="1:11">
      <c r="A868" s="40">
        <v>5</v>
      </c>
      <c r="B868" s="41" t="s">
        <v>8</v>
      </c>
      <c r="C868" s="42" t="str">
        <f>Gia_Tbi!C9</f>
        <v>Cái</v>
      </c>
      <c r="D868" s="42">
        <f>Gia_Tbi!D9</f>
        <v>0.8</v>
      </c>
      <c r="E868" s="117">
        <f>Gia_Tbi!E9</f>
        <v>8</v>
      </c>
      <c r="F868" s="86">
        <f>Gia_Tbi!F9</f>
        <v>45200000</v>
      </c>
      <c r="G868" s="87">
        <f>Gia_Tbi!G9</f>
        <v>11300</v>
      </c>
      <c r="H868" s="296" t="e">
        <f>(H864*D864+H865*D865+H866*D866+H867*D867)*8</f>
        <v>#REF!</v>
      </c>
      <c r="I868" s="120" t="e">
        <f>G868*H868*E868</f>
        <v>#REF!</v>
      </c>
      <c r="K868" s="77">
        <v>863</v>
      </c>
    </row>
    <row r="869" spans="1:11" s="81" customFormat="1">
      <c r="A869" s="31" t="e">
        <f>#REF!</f>
        <v>#REF!</v>
      </c>
      <c r="B869" s="32" t="e">
        <f>#REF!</f>
        <v>#REF!</v>
      </c>
      <c r="C869" s="15"/>
      <c r="D869" s="15"/>
      <c r="E869" s="15"/>
      <c r="F869" s="78"/>
      <c r="G869" s="79"/>
      <c r="H869" s="111"/>
      <c r="I869" s="80" t="e">
        <f>SUM(I870:I873)</f>
        <v>#REF!</v>
      </c>
      <c r="K869" s="77">
        <v>864</v>
      </c>
    </row>
    <row r="870" spans="1:11">
      <c r="A870" s="13">
        <v>1</v>
      </c>
      <c r="B870" s="5" t="s">
        <v>82</v>
      </c>
      <c r="C870" s="6" t="str">
        <f>Gia_Tbi!C4</f>
        <v>Cái</v>
      </c>
      <c r="D870" s="6">
        <f>Gia_Tbi!D4</f>
        <v>0.4</v>
      </c>
      <c r="E870" s="6">
        <f>Gia_Tbi!E4</f>
        <v>5</v>
      </c>
      <c r="F870" s="82">
        <f>Gia_Tbi!F4</f>
        <v>10000000</v>
      </c>
      <c r="G870" s="83">
        <f>Gia_Tbi!G4</f>
        <v>4000</v>
      </c>
      <c r="H870" s="302">
        <v>10</v>
      </c>
      <c r="I870" s="84">
        <f>G870*H870</f>
        <v>40000</v>
      </c>
      <c r="K870" s="77">
        <v>865</v>
      </c>
    </row>
    <row r="871" spans="1:11">
      <c r="A871" s="13">
        <v>2</v>
      </c>
      <c r="B871" s="5" t="s">
        <v>83</v>
      </c>
      <c r="C871" s="6" t="str">
        <f>Gia_Tbi!C5</f>
        <v>Cái</v>
      </c>
      <c r="D871" s="6">
        <f>Gia_Tbi!D5</f>
        <v>0.6</v>
      </c>
      <c r="E871" s="6">
        <f>Gia_Tbi!E5</f>
        <v>5</v>
      </c>
      <c r="F871" s="82">
        <f>Gia_Tbi!F5</f>
        <v>2500000</v>
      </c>
      <c r="G871" s="83">
        <f>Gia_Tbi!G5</f>
        <v>1000</v>
      </c>
      <c r="H871" s="302">
        <v>0.23</v>
      </c>
      <c r="I871" s="84">
        <f>G871*H871</f>
        <v>230</v>
      </c>
      <c r="K871" s="77">
        <v>866</v>
      </c>
    </row>
    <row r="872" spans="1:11">
      <c r="A872" s="13">
        <v>3</v>
      </c>
      <c r="B872" s="5" t="s">
        <v>25</v>
      </c>
      <c r="C872" s="6" t="str">
        <f>Gia_Tbi!C6</f>
        <v>Cái</v>
      </c>
      <c r="D872" s="6">
        <f>Gia_Tbi!D6</f>
        <v>2.2000000000000002</v>
      </c>
      <c r="E872" s="6">
        <f>Gia_Tbi!E6</f>
        <v>8</v>
      </c>
      <c r="F872" s="82">
        <f>Gia_Tbi!F6</f>
        <v>12000000</v>
      </c>
      <c r="G872" s="83">
        <f>Gia_Tbi!G6</f>
        <v>3000</v>
      </c>
      <c r="H872" s="302">
        <v>3.33</v>
      </c>
      <c r="I872" s="84">
        <f>G872*H872</f>
        <v>9990</v>
      </c>
      <c r="K872" s="77">
        <v>867</v>
      </c>
    </row>
    <row r="873" spans="1:11">
      <c r="A873" s="13">
        <v>4</v>
      </c>
      <c r="B873" s="5" t="s">
        <v>24</v>
      </c>
      <c r="C873" s="6" t="e">
        <f>Gia_Tbi!#REF!</f>
        <v>#REF!</v>
      </c>
      <c r="D873" s="6" t="e">
        <f>Gia_Tbi!#REF!</f>
        <v>#REF!</v>
      </c>
      <c r="E873" s="6" t="e">
        <f>Gia_Tbi!#REF!</f>
        <v>#REF!</v>
      </c>
      <c r="F873" s="82" t="e">
        <f>Gia_Tbi!#REF!</f>
        <v>#REF!</v>
      </c>
      <c r="G873" s="83" t="e">
        <f>Gia_Tbi!#REF!</f>
        <v>#REF!</v>
      </c>
      <c r="H873" s="302">
        <v>0.11</v>
      </c>
      <c r="I873" s="84" t="e">
        <f>G873*H873</f>
        <v>#REF!</v>
      </c>
      <c r="K873" s="77">
        <v>868</v>
      </c>
    </row>
    <row r="874" spans="1:11">
      <c r="A874" s="40">
        <v>5</v>
      </c>
      <c r="B874" s="41" t="s">
        <v>8</v>
      </c>
      <c r="C874" s="42" t="str">
        <f>Gia_Tbi!C9</f>
        <v>Cái</v>
      </c>
      <c r="D874" s="42">
        <f>Gia_Tbi!D9</f>
        <v>0.8</v>
      </c>
      <c r="E874" s="117">
        <f>Gia_Tbi!E9</f>
        <v>8</v>
      </c>
      <c r="F874" s="86">
        <f>Gia_Tbi!F9</f>
        <v>45200000</v>
      </c>
      <c r="G874" s="87">
        <f>Gia_Tbi!G9</f>
        <v>11300</v>
      </c>
      <c r="H874" s="296" t="e">
        <f>(H870*D870+H871*D871+H872*D872+H873*D873)*8</f>
        <v>#REF!</v>
      </c>
      <c r="I874" s="120" t="e">
        <f>G874*H874*E874</f>
        <v>#REF!</v>
      </c>
      <c r="K874" s="77">
        <v>869</v>
      </c>
    </row>
    <row r="875" spans="1:11" s="81" customFormat="1">
      <c r="A875" s="31" t="e">
        <f>#REF!</f>
        <v>#REF!</v>
      </c>
      <c r="B875" s="32" t="e">
        <f>#REF!</f>
        <v>#REF!</v>
      </c>
      <c r="C875" s="15"/>
      <c r="D875" s="15"/>
      <c r="E875" s="15"/>
      <c r="F875" s="78"/>
      <c r="G875" s="79"/>
      <c r="H875" s="111"/>
      <c r="I875" s="80" t="e">
        <f>SUM(I876:I879)</f>
        <v>#REF!</v>
      </c>
      <c r="K875" s="77">
        <v>870</v>
      </c>
    </row>
    <row r="876" spans="1:11">
      <c r="A876" s="13">
        <v>1</v>
      </c>
      <c r="B876" s="5" t="s">
        <v>82</v>
      </c>
      <c r="C876" s="6" t="str">
        <f>Gia_Tbi!C4</f>
        <v>Cái</v>
      </c>
      <c r="D876" s="6">
        <f>Gia_Tbi!D4</f>
        <v>0.4</v>
      </c>
      <c r="E876" s="6">
        <f>Gia_Tbi!E4</f>
        <v>5</v>
      </c>
      <c r="F876" s="82">
        <f>Gia_Tbi!F4</f>
        <v>10000000</v>
      </c>
      <c r="G876" s="83">
        <f>Gia_Tbi!G4</f>
        <v>4000</v>
      </c>
      <c r="H876" s="302">
        <v>10</v>
      </c>
      <c r="I876" s="84">
        <f>G876*H876</f>
        <v>40000</v>
      </c>
      <c r="K876" s="77">
        <v>871</v>
      </c>
    </row>
    <row r="877" spans="1:11">
      <c r="A877" s="13">
        <v>2</v>
      </c>
      <c r="B877" s="5" t="s">
        <v>83</v>
      </c>
      <c r="C877" s="6" t="str">
        <f>Gia_Tbi!C5</f>
        <v>Cái</v>
      </c>
      <c r="D877" s="6">
        <f>Gia_Tbi!D5</f>
        <v>0.6</v>
      </c>
      <c r="E877" s="6">
        <f>Gia_Tbi!E5</f>
        <v>5</v>
      </c>
      <c r="F877" s="82">
        <f>Gia_Tbi!F5</f>
        <v>2500000</v>
      </c>
      <c r="G877" s="83">
        <f>Gia_Tbi!G5</f>
        <v>1000</v>
      </c>
      <c r="H877" s="302">
        <v>0.23</v>
      </c>
      <c r="I877" s="84">
        <f>G877*H877</f>
        <v>230</v>
      </c>
      <c r="K877" s="77">
        <v>872</v>
      </c>
    </row>
    <row r="878" spans="1:11">
      <c r="A878" s="13">
        <v>3</v>
      </c>
      <c r="B878" s="5" t="s">
        <v>25</v>
      </c>
      <c r="C878" s="6" t="str">
        <f>Gia_Tbi!C6</f>
        <v>Cái</v>
      </c>
      <c r="D878" s="6">
        <f>Gia_Tbi!D6</f>
        <v>2.2000000000000002</v>
      </c>
      <c r="E878" s="6">
        <f>Gia_Tbi!E6</f>
        <v>8</v>
      </c>
      <c r="F878" s="82">
        <f>Gia_Tbi!F6</f>
        <v>12000000</v>
      </c>
      <c r="G878" s="83">
        <f>Gia_Tbi!G6</f>
        <v>3000</v>
      </c>
      <c r="H878" s="302">
        <v>3.33</v>
      </c>
      <c r="I878" s="84">
        <f>G878*H878</f>
        <v>9990</v>
      </c>
      <c r="K878" s="77">
        <v>873</v>
      </c>
    </row>
    <row r="879" spans="1:11">
      <c r="A879" s="13">
        <v>4</v>
      </c>
      <c r="B879" s="5" t="s">
        <v>24</v>
      </c>
      <c r="C879" s="6" t="e">
        <f>Gia_Tbi!#REF!</f>
        <v>#REF!</v>
      </c>
      <c r="D879" s="6" t="e">
        <f>Gia_Tbi!#REF!</f>
        <v>#REF!</v>
      </c>
      <c r="E879" s="6" t="e">
        <f>Gia_Tbi!#REF!</f>
        <v>#REF!</v>
      </c>
      <c r="F879" s="82" t="e">
        <f>Gia_Tbi!#REF!</f>
        <v>#REF!</v>
      </c>
      <c r="G879" s="83" t="e">
        <f>Gia_Tbi!#REF!</f>
        <v>#REF!</v>
      </c>
      <c r="H879" s="302">
        <v>0.11</v>
      </c>
      <c r="I879" s="84" t="e">
        <f>G879*H879</f>
        <v>#REF!</v>
      </c>
      <c r="K879" s="77">
        <v>874</v>
      </c>
    </row>
    <row r="880" spans="1:11">
      <c r="A880" s="40">
        <v>5</v>
      </c>
      <c r="B880" s="41" t="s">
        <v>8</v>
      </c>
      <c r="C880" s="42" t="str">
        <f>Gia_Tbi!C9</f>
        <v>Cái</v>
      </c>
      <c r="D880" s="42">
        <f>Gia_Tbi!D9</f>
        <v>0.8</v>
      </c>
      <c r="E880" s="117">
        <f>Gia_Tbi!E9</f>
        <v>8</v>
      </c>
      <c r="F880" s="86">
        <f>Gia_Tbi!F9</f>
        <v>45200000</v>
      </c>
      <c r="G880" s="87">
        <f>Gia_Tbi!G9</f>
        <v>11300</v>
      </c>
      <c r="H880" s="296" t="e">
        <f>(H876*D876+H877*D877+H878*D878+H879*D879)*8</f>
        <v>#REF!</v>
      </c>
      <c r="I880" s="120" t="e">
        <f>G880*H880*E880</f>
        <v>#REF!</v>
      </c>
      <c r="K880" s="77">
        <v>875</v>
      </c>
    </row>
    <row r="881" spans="1:11" s="81" customFormat="1">
      <c r="A881" s="31" t="e">
        <f>#REF!</f>
        <v>#REF!</v>
      </c>
      <c r="B881" s="32" t="e">
        <f>#REF!</f>
        <v>#REF!</v>
      </c>
      <c r="C881" s="15"/>
      <c r="D881" s="15"/>
      <c r="E881" s="15"/>
      <c r="F881" s="78"/>
      <c r="G881" s="79"/>
      <c r="H881" s="111"/>
      <c r="I881" s="80" t="e">
        <f>SUM(I882:I885)</f>
        <v>#REF!</v>
      </c>
      <c r="K881" s="77">
        <v>876</v>
      </c>
    </row>
    <row r="882" spans="1:11">
      <c r="A882" s="13">
        <v>1</v>
      </c>
      <c r="B882" s="5" t="s">
        <v>82</v>
      </c>
      <c r="C882" s="6" t="str">
        <f>Gia_Tbi!C4</f>
        <v>Cái</v>
      </c>
      <c r="D882" s="6">
        <f>Gia_Tbi!D4</f>
        <v>0.4</v>
      </c>
      <c r="E882" s="6">
        <f>Gia_Tbi!E4</f>
        <v>5</v>
      </c>
      <c r="F882" s="82">
        <f>Gia_Tbi!F4</f>
        <v>10000000</v>
      </c>
      <c r="G882" s="83">
        <f>Gia_Tbi!G4</f>
        <v>4000</v>
      </c>
      <c r="H882" s="302">
        <v>5</v>
      </c>
      <c r="I882" s="84">
        <f>G882*H882</f>
        <v>20000</v>
      </c>
      <c r="K882" s="77">
        <v>877</v>
      </c>
    </row>
    <row r="883" spans="1:11">
      <c r="A883" s="13">
        <v>2</v>
      </c>
      <c r="B883" s="5" t="s">
        <v>83</v>
      </c>
      <c r="C883" s="6" t="str">
        <f>Gia_Tbi!C5</f>
        <v>Cái</v>
      </c>
      <c r="D883" s="6">
        <f>Gia_Tbi!D5</f>
        <v>0.6</v>
      </c>
      <c r="E883" s="6">
        <f>Gia_Tbi!E5</f>
        <v>5</v>
      </c>
      <c r="F883" s="82">
        <f>Gia_Tbi!F5</f>
        <v>2500000</v>
      </c>
      <c r="G883" s="83">
        <f>Gia_Tbi!G5</f>
        <v>1000</v>
      </c>
      <c r="H883" s="302">
        <v>0.06</v>
      </c>
      <c r="I883" s="84">
        <f>G883*H883</f>
        <v>60</v>
      </c>
      <c r="K883" s="77">
        <v>878</v>
      </c>
    </row>
    <row r="884" spans="1:11">
      <c r="A884" s="13">
        <v>3</v>
      </c>
      <c r="B884" s="5" t="s">
        <v>25</v>
      </c>
      <c r="C884" s="6" t="str">
        <f>Gia_Tbi!C6</f>
        <v>Cái</v>
      </c>
      <c r="D884" s="6">
        <f>Gia_Tbi!D6</f>
        <v>2.2000000000000002</v>
      </c>
      <c r="E884" s="6">
        <f>Gia_Tbi!E6</f>
        <v>8</v>
      </c>
      <c r="F884" s="82">
        <f>Gia_Tbi!F6</f>
        <v>12000000</v>
      </c>
      <c r="G884" s="83">
        <f>Gia_Tbi!G6</f>
        <v>3000</v>
      </c>
      <c r="H884" s="302">
        <v>1.67</v>
      </c>
      <c r="I884" s="84">
        <f>G884*H884</f>
        <v>5010</v>
      </c>
      <c r="K884" s="77">
        <v>879</v>
      </c>
    </row>
    <row r="885" spans="1:11">
      <c r="A885" s="13">
        <v>4</v>
      </c>
      <c r="B885" s="5" t="s">
        <v>24</v>
      </c>
      <c r="C885" s="6" t="e">
        <f>Gia_Tbi!#REF!</f>
        <v>#REF!</v>
      </c>
      <c r="D885" s="6" t="e">
        <f>Gia_Tbi!#REF!</f>
        <v>#REF!</v>
      </c>
      <c r="E885" s="6" t="e">
        <f>Gia_Tbi!#REF!</f>
        <v>#REF!</v>
      </c>
      <c r="F885" s="82" t="e">
        <f>Gia_Tbi!#REF!</f>
        <v>#REF!</v>
      </c>
      <c r="G885" s="83" t="e">
        <f>Gia_Tbi!#REF!</f>
        <v>#REF!</v>
      </c>
      <c r="H885" s="302">
        <v>0.04</v>
      </c>
      <c r="I885" s="84" t="e">
        <f>G885*H885</f>
        <v>#REF!</v>
      </c>
      <c r="K885" s="77">
        <v>880</v>
      </c>
    </row>
    <row r="886" spans="1:11">
      <c r="A886" s="40">
        <v>5</v>
      </c>
      <c r="B886" s="41" t="s">
        <v>8</v>
      </c>
      <c r="C886" s="42" t="str">
        <f>Gia_Tbi!C9</f>
        <v>Cái</v>
      </c>
      <c r="D886" s="42">
        <f>Gia_Tbi!D9</f>
        <v>0.8</v>
      </c>
      <c r="E886" s="117">
        <f>Gia_Tbi!E9</f>
        <v>8</v>
      </c>
      <c r="F886" s="86">
        <f>Gia_Tbi!F9</f>
        <v>45200000</v>
      </c>
      <c r="G886" s="87">
        <f>Gia_Tbi!G9</f>
        <v>11300</v>
      </c>
      <c r="H886" s="296" t="e">
        <f>(H882*D882+H883*D883+H884*D884+H885*D885)*8</f>
        <v>#REF!</v>
      </c>
      <c r="I886" s="120" t="e">
        <f>G886*H886*E886</f>
        <v>#REF!</v>
      </c>
      <c r="K886" s="77">
        <v>881</v>
      </c>
    </row>
    <row r="887" spans="1:11" s="81" customFormat="1">
      <c r="A887" s="31" t="e">
        <f>#REF!</f>
        <v>#REF!</v>
      </c>
      <c r="B887" s="32" t="e">
        <f>#REF!</f>
        <v>#REF!</v>
      </c>
      <c r="C887" s="15"/>
      <c r="D887" s="15"/>
      <c r="E887" s="15"/>
      <c r="F887" s="78"/>
      <c r="G887" s="79"/>
      <c r="H887" s="111"/>
      <c r="I887" s="80" t="e">
        <f>SUM(I888:I891)</f>
        <v>#REF!</v>
      </c>
      <c r="K887" s="77">
        <v>882</v>
      </c>
    </row>
    <row r="888" spans="1:11">
      <c r="A888" s="13">
        <v>1</v>
      </c>
      <c r="B888" s="5" t="s">
        <v>82</v>
      </c>
      <c r="C888" s="6" t="str">
        <f>Gia_Tbi!C4</f>
        <v>Cái</v>
      </c>
      <c r="D888" s="6">
        <f>Gia_Tbi!D4</f>
        <v>0.4</v>
      </c>
      <c r="E888" s="6">
        <f>Gia_Tbi!E4</f>
        <v>5</v>
      </c>
      <c r="F888" s="82">
        <f>Gia_Tbi!F4</f>
        <v>10000000</v>
      </c>
      <c r="G888" s="83">
        <f>Gia_Tbi!G4</f>
        <v>4000</v>
      </c>
      <c r="H888" s="302">
        <v>4</v>
      </c>
      <c r="I888" s="84">
        <f>G888*H888</f>
        <v>16000</v>
      </c>
      <c r="K888" s="77">
        <v>883</v>
      </c>
    </row>
    <row r="889" spans="1:11">
      <c r="A889" s="13">
        <v>2</v>
      </c>
      <c r="B889" s="5" t="s">
        <v>83</v>
      </c>
      <c r="C889" s="6" t="str">
        <f>Gia_Tbi!C5</f>
        <v>Cái</v>
      </c>
      <c r="D889" s="6">
        <f>Gia_Tbi!D5</f>
        <v>0.6</v>
      </c>
      <c r="E889" s="6">
        <f>Gia_Tbi!E5</f>
        <v>5</v>
      </c>
      <c r="F889" s="82">
        <f>Gia_Tbi!F5</f>
        <v>2500000</v>
      </c>
      <c r="G889" s="83">
        <f>Gia_Tbi!G5</f>
        <v>1000</v>
      </c>
      <c r="H889" s="302">
        <v>0.05</v>
      </c>
      <c r="I889" s="84">
        <f>G889*H889</f>
        <v>50</v>
      </c>
      <c r="K889" s="77">
        <v>884</v>
      </c>
    </row>
    <row r="890" spans="1:11">
      <c r="A890" s="13">
        <v>3</v>
      </c>
      <c r="B890" s="5" t="s">
        <v>25</v>
      </c>
      <c r="C890" s="6" t="str">
        <f>Gia_Tbi!C6</f>
        <v>Cái</v>
      </c>
      <c r="D890" s="6">
        <f>Gia_Tbi!D6</f>
        <v>2.2000000000000002</v>
      </c>
      <c r="E890" s="6">
        <f>Gia_Tbi!E6</f>
        <v>8</v>
      </c>
      <c r="F890" s="82">
        <f>Gia_Tbi!F6</f>
        <v>12000000</v>
      </c>
      <c r="G890" s="83">
        <f>Gia_Tbi!G6</f>
        <v>3000</v>
      </c>
      <c r="H890" s="302">
        <v>1.33</v>
      </c>
      <c r="I890" s="84">
        <f>G890*H890</f>
        <v>3990</v>
      </c>
      <c r="K890" s="77">
        <v>885</v>
      </c>
    </row>
    <row r="891" spans="1:11">
      <c r="A891" s="13">
        <v>4</v>
      </c>
      <c r="B891" s="5" t="s">
        <v>24</v>
      </c>
      <c r="C891" s="6" t="e">
        <f>Gia_Tbi!#REF!</f>
        <v>#REF!</v>
      </c>
      <c r="D891" s="6" t="e">
        <f>Gia_Tbi!#REF!</f>
        <v>#REF!</v>
      </c>
      <c r="E891" s="6" t="e">
        <f>Gia_Tbi!#REF!</f>
        <v>#REF!</v>
      </c>
      <c r="F891" s="82" t="e">
        <f>Gia_Tbi!#REF!</f>
        <v>#REF!</v>
      </c>
      <c r="G891" s="83" t="e">
        <f>Gia_Tbi!#REF!</f>
        <v>#REF!</v>
      </c>
      <c r="H891" s="302">
        <v>0.03</v>
      </c>
      <c r="I891" s="84" t="e">
        <f>G891*H891</f>
        <v>#REF!</v>
      </c>
      <c r="K891" s="77">
        <v>886</v>
      </c>
    </row>
    <row r="892" spans="1:11">
      <c r="A892" s="40">
        <v>5</v>
      </c>
      <c r="B892" s="41" t="s">
        <v>8</v>
      </c>
      <c r="C892" s="42" t="str">
        <f>Gia_Tbi!C9</f>
        <v>Cái</v>
      </c>
      <c r="D892" s="42">
        <f>Gia_Tbi!D9</f>
        <v>0.8</v>
      </c>
      <c r="E892" s="117">
        <f>Gia_Tbi!E9</f>
        <v>8</v>
      </c>
      <c r="F892" s="86">
        <f>Gia_Tbi!F9</f>
        <v>45200000</v>
      </c>
      <c r="G892" s="87">
        <f>Gia_Tbi!G9</f>
        <v>11300</v>
      </c>
      <c r="H892" s="296" t="e">
        <f>(H888*D888+H889*D889+H890*D890+H891*D891)*8</f>
        <v>#REF!</v>
      </c>
      <c r="I892" s="120" t="e">
        <f>G892*H892*E892</f>
        <v>#REF!</v>
      </c>
      <c r="K892" s="77">
        <v>887</v>
      </c>
    </row>
    <row r="893" spans="1:11" s="4" customFormat="1">
      <c r="A893" s="12" t="e">
        <f>#REF!</f>
        <v>#REF!</v>
      </c>
      <c r="B893" s="8" t="e">
        <f>#REF!</f>
        <v>#REF!</v>
      </c>
      <c r="C893" s="7"/>
      <c r="D893" s="7"/>
      <c r="E893" s="7"/>
      <c r="F893" s="93"/>
      <c r="G893" s="94"/>
      <c r="H893" s="298"/>
      <c r="I893" s="95"/>
      <c r="K893" s="77">
        <v>888</v>
      </c>
    </row>
    <row r="894" spans="1:11" s="81" customFormat="1">
      <c r="A894" s="31" t="e">
        <f>#REF!</f>
        <v>#REF!</v>
      </c>
      <c r="B894" s="32" t="e">
        <f>#REF!</f>
        <v>#REF!</v>
      </c>
      <c r="C894" s="15"/>
      <c r="D894" s="15"/>
      <c r="E894" s="15"/>
      <c r="F894" s="78"/>
      <c r="G894" s="79"/>
      <c r="H894" s="111"/>
      <c r="I894" s="80"/>
      <c r="K894" s="77">
        <v>889</v>
      </c>
    </row>
    <row r="895" spans="1:11" s="4" customFormat="1">
      <c r="A895" s="12" t="e">
        <f>#REF!</f>
        <v>#REF!</v>
      </c>
      <c r="B895" s="8" t="e">
        <f>#REF!</f>
        <v>#REF!</v>
      </c>
      <c r="C895" s="7"/>
      <c r="D895" s="7"/>
      <c r="E895" s="7"/>
      <c r="F895" s="93"/>
      <c r="G895" s="94"/>
      <c r="H895" s="298"/>
      <c r="I895" s="80" t="e">
        <f>SUM(I896:I899)</f>
        <v>#REF!</v>
      </c>
      <c r="K895" s="77">
        <v>890</v>
      </c>
    </row>
    <row r="896" spans="1:11">
      <c r="A896" s="13">
        <v>1</v>
      </c>
      <c r="B896" s="5" t="s">
        <v>82</v>
      </c>
      <c r="C896" s="6" t="str">
        <f>Gia_Tbi!C4</f>
        <v>Cái</v>
      </c>
      <c r="D896" s="6">
        <f>Gia_Tbi!D4</f>
        <v>0.4</v>
      </c>
      <c r="E896" s="6">
        <f>Gia_Tbi!E4</f>
        <v>5</v>
      </c>
      <c r="F896" s="82">
        <f>Gia_Tbi!F4</f>
        <v>10000000</v>
      </c>
      <c r="G896" s="83">
        <f>Gia_Tbi!G4</f>
        <v>4000</v>
      </c>
      <c r="H896" s="302">
        <v>30</v>
      </c>
      <c r="I896" s="84">
        <f>G896*H896</f>
        <v>120000</v>
      </c>
      <c r="K896" s="77">
        <v>891</v>
      </c>
    </row>
    <row r="897" spans="1:11">
      <c r="A897" s="13">
        <v>2</v>
      </c>
      <c r="B897" s="5" t="s">
        <v>83</v>
      </c>
      <c r="C897" s="6" t="str">
        <f>Gia_Tbi!C5</f>
        <v>Cái</v>
      </c>
      <c r="D897" s="6">
        <f>Gia_Tbi!D5</f>
        <v>0.6</v>
      </c>
      <c r="E897" s="6">
        <f>Gia_Tbi!E5</f>
        <v>5</v>
      </c>
      <c r="F897" s="82">
        <f>Gia_Tbi!F5</f>
        <v>2500000</v>
      </c>
      <c r="G897" s="83">
        <f>Gia_Tbi!G5</f>
        <v>1000</v>
      </c>
      <c r="H897" s="302">
        <v>0.8</v>
      </c>
      <c r="I897" s="84">
        <f>G897*H897</f>
        <v>800</v>
      </c>
      <c r="K897" s="77">
        <v>892</v>
      </c>
    </row>
    <row r="898" spans="1:11">
      <c r="A898" s="13">
        <v>3</v>
      </c>
      <c r="B898" s="5" t="s">
        <v>25</v>
      </c>
      <c r="C898" s="6" t="str">
        <f>Gia_Tbi!C6</f>
        <v>Cái</v>
      </c>
      <c r="D898" s="6">
        <f>Gia_Tbi!D6</f>
        <v>2.2000000000000002</v>
      </c>
      <c r="E898" s="6">
        <f>Gia_Tbi!E6</f>
        <v>8</v>
      </c>
      <c r="F898" s="82">
        <f>Gia_Tbi!F6</f>
        <v>12000000</v>
      </c>
      <c r="G898" s="83">
        <f>Gia_Tbi!G6</f>
        <v>3000</v>
      </c>
      <c r="H898" s="302">
        <v>10</v>
      </c>
      <c r="I898" s="84">
        <f>G898*H898</f>
        <v>30000</v>
      </c>
      <c r="K898" s="77">
        <v>893</v>
      </c>
    </row>
    <row r="899" spans="1:11">
      <c r="A899" s="13">
        <v>4</v>
      </c>
      <c r="B899" s="5" t="s">
        <v>24</v>
      </c>
      <c r="C899" s="6" t="e">
        <f>Gia_Tbi!#REF!</f>
        <v>#REF!</v>
      </c>
      <c r="D899" s="6" t="e">
        <f>Gia_Tbi!#REF!</f>
        <v>#REF!</v>
      </c>
      <c r="E899" s="6" t="e">
        <f>Gia_Tbi!#REF!</f>
        <v>#REF!</v>
      </c>
      <c r="F899" s="82" t="e">
        <f>Gia_Tbi!#REF!</f>
        <v>#REF!</v>
      </c>
      <c r="G899" s="83" t="e">
        <f>Gia_Tbi!#REF!</f>
        <v>#REF!</v>
      </c>
      <c r="H899" s="302">
        <v>0.5</v>
      </c>
      <c r="I899" s="84" t="e">
        <f>G899*H899</f>
        <v>#REF!</v>
      </c>
      <c r="K899" s="77">
        <v>894</v>
      </c>
    </row>
    <row r="900" spans="1:11">
      <c r="A900" s="40">
        <v>5</v>
      </c>
      <c r="B900" s="41" t="s">
        <v>8</v>
      </c>
      <c r="C900" s="42" t="str">
        <f>Gia_Tbi!C9</f>
        <v>Cái</v>
      </c>
      <c r="D900" s="42">
        <f>Gia_Tbi!D9</f>
        <v>0.8</v>
      </c>
      <c r="E900" s="117">
        <f>Gia_Tbi!E9</f>
        <v>8</v>
      </c>
      <c r="F900" s="86">
        <f>Gia_Tbi!F9</f>
        <v>45200000</v>
      </c>
      <c r="G900" s="87">
        <f>Gia_Tbi!G9</f>
        <v>11300</v>
      </c>
      <c r="H900" s="296" t="e">
        <f>(H896*D896+H897*D897+H898*D898+H899*D899)*8</f>
        <v>#REF!</v>
      </c>
      <c r="I900" s="120" t="e">
        <f>G900*H900*E900</f>
        <v>#REF!</v>
      </c>
      <c r="K900" s="77">
        <v>895</v>
      </c>
    </row>
    <row r="901" spans="1:11" s="4" customFormat="1">
      <c r="A901" s="12" t="e">
        <f>#REF!</f>
        <v>#REF!</v>
      </c>
      <c r="B901" s="8" t="e">
        <f>#REF!</f>
        <v>#REF!</v>
      </c>
      <c r="C901" s="7"/>
      <c r="D901" s="7"/>
      <c r="E901" s="7"/>
      <c r="F901" s="93"/>
      <c r="G901" s="94"/>
      <c r="H901" s="298"/>
      <c r="I901" s="95"/>
      <c r="K901" s="77">
        <v>896</v>
      </c>
    </row>
    <row r="902" spans="1:11" s="81" customFormat="1">
      <c r="A902" s="31" t="e">
        <f>#REF!</f>
        <v>#REF!</v>
      </c>
      <c r="B902" s="32" t="e">
        <f>#REF!</f>
        <v>#REF!</v>
      </c>
      <c r="C902" s="15"/>
      <c r="D902" s="15"/>
      <c r="E902" s="15"/>
      <c r="F902" s="78"/>
      <c r="G902" s="79"/>
      <c r="H902" s="111"/>
      <c r="I902" s="80" t="e">
        <f>SUM(I903:I906)</f>
        <v>#REF!</v>
      </c>
      <c r="K902" s="77">
        <v>897</v>
      </c>
    </row>
    <row r="903" spans="1:11">
      <c r="A903" s="13">
        <v>1</v>
      </c>
      <c r="B903" s="5" t="s">
        <v>82</v>
      </c>
      <c r="C903" s="6" t="str">
        <f>Gia_Tbi!C4</f>
        <v>Cái</v>
      </c>
      <c r="D903" s="6">
        <f>Gia_Tbi!D4</f>
        <v>0.4</v>
      </c>
      <c r="E903" s="6">
        <f>Gia_Tbi!E4</f>
        <v>5</v>
      </c>
      <c r="F903" s="82">
        <f>Gia_Tbi!F4</f>
        <v>10000000</v>
      </c>
      <c r="G903" s="83">
        <f>Gia_Tbi!G4</f>
        <v>4000</v>
      </c>
      <c r="H903" s="302">
        <v>50</v>
      </c>
      <c r="I903" s="84">
        <f>G903*H903</f>
        <v>200000</v>
      </c>
      <c r="K903" s="77">
        <v>898</v>
      </c>
    </row>
    <row r="904" spans="1:11">
      <c r="A904" s="13">
        <v>2</v>
      </c>
      <c r="B904" s="5" t="s">
        <v>83</v>
      </c>
      <c r="C904" s="6" t="str">
        <f>Gia_Tbi!C5</f>
        <v>Cái</v>
      </c>
      <c r="D904" s="6">
        <f>Gia_Tbi!D5</f>
        <v>0.6</v>
      </c>
      <c r="E904" s="6">
        <f>Gia_Tbi!E5</f>
        <v>5</v>
      </c>
      <c r="F904" s="82">
        <f>Gia_Tbi!F5</f>
        <v>2500000</v>
      </c>
      <c r="G904" s="83">
        <f>Gia_Tbi!G5</f>
        <v>1000</v>
      </c>
      <c r="H904" s="302">
        <v>0.9</v>
      </c>
      <c r="I904" s="84">
        <f>G904*H904</f>
        <v>900</v>
      </c>
      <c r="K904" s="77">
        <v>899</v>
      </c>
    </row>
    <row r="905" spans="1:11">
      <c r="A905" s="13">
        <v>3</v>
      </c>
      <c r="B905" s="5" t="s">
        <v>25</v>
      </c>
      <c r="C905" s="6" t="str">
        <f>Gia_Tbi!C6</f>
        <v>Cái</v>
      </c>
      <c r="D905" s="6">
        <f>Gia_Tbi!D6</f>
        <v>2.2000000000000002</v>
      </c>
      <c r="E905" s="6">
        <f>Gia_Tbi!E6</f>
        <v>8</v>
      </c>
      <c r="F905" s="82">
        <f>Gia_Tbi!F6</f>
        <v>12000000</v>
      </c>
      <c r="G905" s="83">
        <f>Gia_Tbi!G6</f>
        <v>3000</v>
      </c>
      <c r="H905" s="302">
        <v>16.670000000000002</v>
      </c>
      <c r="I905" s="84">
        <f>G905*H905</f>
        <v>50010.000000000007</v>
      </c>
      <c r="K905" s="77">
        <v>900</v>
      </c>
    </row>
    <row r="906" spans="1:11">
      <c r="A906" s="13">
        <v>4</v>
      </c>
      <c r="B906" s="5" t="s">
        <v>24</v>
      </c>
      <c r="C906" s="6" t="e">
        <f>Gia_Tbi!#REF!</f>
        <v>#REF!</v>
      </c>
      <c r="D906" s="6" t="e">
        <f>Gia_Tbi!#REF!</f>
        <v>#REF!</v>
      </c>
      <c r="E906" s="6" t="e">
        <f>Gia_Tbi!#REF!</f>
        <v>#REF!</v>
      </c>
      <c r="F906" s="82" t="e">
        <f>Gia_Tbi!#REF!</f>
        <v>#REF!</v>
      </c>
      <c r="G906" s="83" t="e">
        <f>Gia_Tbi!#REF!</f>
        <v>#REF!</v>
      </c>
      <c r="H906" s="302">
        <v>0.82</v>
      </c>
      <c r="I906" s="84" t="e">
        <f>G906*H906</f>
        <v>#REF!</v>
      </c>
      <c r="K906" s="77">
        <v>901</v>
      </c>
    </row>
    <row r="907" spans="1:11">
      <c r="A907" s="40">
        <v>5</v>
      </c>
      <c r="B907" s="41" t="s">
        <v>8</v>
      </c>
      <c r="C907" s="42" t="str">
        <f>Gia_Tbi!C9</f>
        <v>Cái</v>
      </c>
      <c r="D907" s="42">
        <f>Gia_Tbi!D9</f>
        <v>0.8</v>
      </c>
      <c r="E907" s="117">
        <f>Gia_Tbi!E9</f>
        <v>8</v>
      </c>
      <c r="F907" s="86">
        <f>Gia_Tbi!F9</f>
        <v>45200000</v>
      </c>
      <c r="G907" s="87">
        <f>Gia_Tbi!G9</f>
        <v>11300</v>
      </c>
      <c r="H907" s="296" t="e">
        <f>(H903*D903+H904*D904+H905*D905+H906*D906)*8</f>
        <v>#REF!</v>
      </c>
      <c r="I907" s="120" t="e">
        <f>G907*H907*E907</f>
        <v>#REF!</v>
      </c>
      <c r="K907" s="77">
        <v>902</v>
      </c>
    </row>
    <row r="908" spans="1:11" s="81" customFormat="1">
      <c r="A908" s="31" t="e">
        <f>#REF!</f>
        <v>#REF!</v>
      </c>
      <c r="B908" s="32" t="e">
        <f>#REF!</f>
        <v>#REF!</v>
      </c>
      <c r="C908" s="15"/>
      <c r="D908" s="15"/>
      <c r="E908" s="15"/>
      <c r="F908" s="78"/>
      <c r="G908" s="79"/>
      <c r="H908" s="111"/>
      <c r="I908" s="80" t="e">
        <f>SUM(I909:I912)</f>
        <v>#REF!</v>
      </c>
      <c r="K908" s="77">
        <v>903</v>
      </c>
    </row>
    <row r="909" spans="1:11">
      <c r="A909" s="13">
        <v>1</v>
      </c>
      <c r="B909" s="5" t="s">
        <v>82</v>
      </c>
      <c r="C909" s="6" t="str">
        <f>Gia_Tbi!C4</f>
        <v>Cái</v>
      </c>
      <c r="D909" s="6">
        <f>Gia_Tbi!D4</f>
        <v>0.4</v>
      </c>
      <c r="E909" s="6">
        <f>Gia_Tbi!E4</f>
        <v>5</v>
      </c>
      <c r="F909" s="82">
        <f>Gia_Tbi!F4</f>
        <v>10000000</v>
      </c>
      <c r="G909" s="83">
        <f>Gia_Tbi!G4</f>
        <v>4000</v>
      </c>
      <c r="H909" s="302">
        <v>3</v>
      </c>
      <c r="I909" s="84">
        <f>G909*H909</f>
        <v>12000</v>
      </c>
      <c r="K909" s="77">
        <v>904</v>
      </c>
    </row>
    <row r="910" spans="1:11">
      <c r="A910" s="13">
        <v>2</v>
      </c>
      <c r="B910" s="5" t="s">
        <v>83</v>
      </c>
      <c r="C910" s="6" t="str">
        <f>Gia_Tbi!C5</f>
        <v>Cái</v>
      </c>
      <c r="D910" s="6">
        <f>Gia_Tbi!D5</f>
        <v>0.6</v>
      </c>
      <c r="E910" s="6">
        <f>Gia_Tbi!E5</f>
        <v>5</v>
      </c>
      <c r="F910" s="82">
        <f>Gia_Tbi!F5</f>
        <v>2500000</v>
      </c>
      <c r="G910" s="83">
        <f>Gia_Tbi!G5</f>
        <v>1000</v>
      </c>
      <c r="H910" s="302">
        <v>0.12</v>
      </c>
      <c r="I910" s="84">
        <f>G910*H910</f>
        <v>120</v>
      </c>
      <c r="K910" s="77">
        <v>905</v>
      </c>
    </row>
    <row r="911" spans="1:11">
      <c r="A911" s="13">
        <v>3</v>
      </c>
      <c r="B911" s="5" t="s">
        <v>25</v>
      </c>
      <c r="C911" s="6" t="str">
        <f>Gia_Tbi!C6</f>
        <v>Cái</v>
      </c>
      <c r="D911" s="6">
        <f>Gia_Tbi!D6</f>
        <v>2.2000000000000002</v>
      </c>
      <c r="E911" s="6">
        <f>Gia_Tbi!E6</f>
        <v>8</v>
      </c>
      <c r="F911" s="82">
        <f>Gia_Tbi!F6</f>
        <v>12000000</v>
      </c>
      <c r="G911" s="83">
        <f>Gia_Tbi!G6</f>
        <v>3000</v>
      </c>
      <c r="H911" s="302">
        <v>1</v>
      </c>
      <c r="I911" s="84">
        <f>G911*H911</f>
        <v>3000</v>
      </c>
      <c r="K911" s="77">
        <v>906</v>
      </c>
    </row>
    <row r="912" spans="1:11">
      <c r="A912" s="13">
        <v>4</v>
      </c>
      <c r="B912" s="5" t="s">
        <v>24</v>
      </c>
      <c r="C912" s="6" t="e">
        <f>Gia_Tbi!#REF!</f>
        <v>#REF!</v>
      </c>
      <c r="D912" s="6" t="e">
        <f>Gia_Tbi!#REF!</f>
        <v>#REF!</v>
      </c>
      <c r="E912" s="6" t="e">
        <f>Gia_Tbi!#REF!</f>
        <v>#REF!</v>
      </c>
      <c r="F912" s="82" t="e">
        <f>Gia_Tbi!#REF!</f>
        <v>#REF!</v>
      </c>
      <c r="G912" s="83" t="e">
        <f>Gia_Tbi!#REF!</f>
        <v>#REF!</v>
      </c>
      <c r="H912" s="302">
        <v>0.03</v>
      </c>
      <c r="I912" s="84" t="e">
        <f>G912*H912</f>
        <v>#REF!</v>
      </c>
      <c r="K912" s="77">
        <v>907</v>
      </c>
    </row>
    <row r="913" spans="1:11">
      <c r="A913" s="40">
        <v>5</v>
      </c>
      <c r="B913" s="41" t="s">
        <v>8</v>
      </c>
      <c r="C913" s="42" t="str">
        <f>Gia_Tbi!C9</f>
        <v>Cái</v>
      </c>
      <c r="D913" s="42">
        <f>Gia_Tbi!D9</f>
        <v>0.8</v>
      </c>
      <c r="E913" s="117">
        <f>Gia_Tbi!E9</f>
        <v>8</v>
      </c>
      <c r="F913" s="86">
        <f>Gia_Tbi!F9</f>
        <v>45200000</v>
      </c>
      <c r="G913" s="87">
        <f>Gia_Tbi!G9</f>
        <v>11300</v>
      </c>
      <c r="H913" s="296" t="e">
        <f>(H909*D909+H910*D910+H911*D911+H912*D912)*8</f>
        <v>#REF!</v>
      </c>
      <c r="I913" s="120" t="e">
        <f>G913*H913*E913</f>
        <v>#REF!</v>
      </c>
      <c r="K913" s="77">
        <v>908</v>
      </c>
    </row>
    <row r="914" spans="1:11" s="81" customFormat="1">
      <c r="A914" s="31" t="e">
        <f>#REF!</f>
        <v>#REF!</v>
      </c>
      <c r="B914" s="32" t="e">
        <f>#REF!</f>
        <v>#REF!</v>
      </c>
      <c r="C914" s="15"/>
      <c r="D914" s="15"/>
      <c r="E914" s="15"/>
      <c r="F914" s="78"/>
      <c r="G914" s="79"/>
      <c r="H914" s="111"/>
      <c r="I914" s="80" t="e">
        <f>SUM(I915:I918)</f>
        <v>#REF!</v>
      </c>
      <c r="K914" s="77">
        <v>909</v>
      </c>
    </row>
    <row r="915" spans="1:11">
      <c r="A915" s="13">
        <v>1</v>
      </c>
      <c r="B915" s="5" t="s">
        <v>82</v>
      </c>
      <c r="C915" s="6" t="str">
        <f>Gia_Tbi!C4</f>
        <v>Cái</v>
      </c>
      <c r="D915" s="6">
        <f>Gia_Tbi!D4</f>
        <v>0.4</v>
      </c>
      <c r="E915" s="6">
        <f>Gia_Tbi!E4</f>
        <v>5</v>
      </c>
      <c r="F915" s="82">
        <f>Gia_Tbi!F4</f>
        <v>10000000</v>
      </c>
      <c r="G915" s="83">
        <f>Gia_Tbi!G4</f>
        <v>4000</v>
      </c>
      <c r="H915" s="302">
        <v>20</v>
      </c>
      <c r="I915" s="84">
        <f>G915*H915</f>
        <v>80000</v>
      </c>
      <c r="K915" s="77">
        <v>910</v>
      </c>
    </row>
    <row r="916" spans="1:11">
      <c r="A916" s="13">
        <v>2</v>
      </c>
      <c r="B916" s="5" t="s">
        <v>83</v>
      </c>
      <c r="C916" s="6" t="str">
        <f>Gia_Tbi!C5</f>
        <v>Cái</v>
      </c>
      <c r="D916" s="6">
        <f>Gia_Tbi!D5</f>
        <v>0.6</v>
      </c>
      <c r="E916" s="6">
        <f>Gia_Tbi!E5</f>
        <v>5</v>
      </c>
      <c r="F916" s="82">
        <f>Gia_Tbi!F5</f>
        <v>2500000</v>
      </c>
      <c r="G916" s="83">
        <f>Gia_Tbi!G5</f>
        <v>1000</v>
      </c>
      <c r="H916" s="302">
        <v>0.65</v>
      </c>
      <c r="I916" s="84">
        <f>G916*H916</f>
        <v>650</v>
      </c>
      <c r="K916" s="77">
        <v>911</v>
      </c>
    </row>
    <row r="917" spans="1:11">
      <c r="A917" s="13">
        <v>3</v>
      </c>
      <c r="B917" s="5" t="s">
        <v>25</v>
      </c>
      <c r="C917" s="6" t="str">
        <f>Gia_Tbi!C6</f>
        <v>Cái</v>
      </c>
      <c r="D917" s="6">
        <f>Gia_Tbi!D6</f>
        <v>2.2000000000000002</v>
      </c>
      <c r="E917" s="6">
        <f>Gia_Tbi!E6</f>
        <v>8</v>
      </c>
      <c r="F917" s="82">
        <f>Gia_Tbi!F6</f>
        <v>12000000</v>
      </c>
      <c r="G917" s="83">
        <f>Gia_Tbi!G6</f>
        <v>3000</v>
      </c>
      <c r="H917" s="302">
        <v>6.67</v>
      </c>
      <c r="I917" s="84">
        <f>G917*H917</f>
        <v>20010</v>
      </c>
      <c r="K917" s="77">
        <v>912</v>
      </c>
    </row>
    <row r="918" spans="1:11">
      <c r="A918" s="13">
        <v>4</v>
      </c>
      <c r="B918" s="5" t="s">
        <v>24</v>
      </c>
      <c r="C918" s="6" t="e">
        <f>Gia_Tbi!#REF!</f>
        <v>#REF!</v>
      </c>
      <c r="D918" s="6" t="e">
        <f>Gia_Tbi!#REF!</f>
        <v>#REF!</v>
      </c>
      <c r="E918" s="6" t="e">
        <f>Gia_Tbi!#REF!</f>
        <v>#REF!</v>
      </c>
      <c r="F918" s="82" t="e">
        <f>Gia_Tbi!#REF!</f>
        <v>#REF!</v>
      </c>
      <c r="G918" s="83" t="e">
        <f>Gia_Tbi!#REF!</f>
        <v>#REF!</v>
      </c>
      <c r="H918" s="302">
        <v>0.12</v>
      </c>
      <c r="I918" s="84" t="e">
        <f>G918*H918</f>
        <v>#REF!</v>
      </c>
      <c r="K918" s="77">
        <v>913</v>
      </c>
    </row>
    <row r="919" spans="1:11">
      <c r="A919" s="40">
        <v>5</v>
      </c>
      <c r="B919" s="41" t="s">
        <v>8</v>
      </c>
      <c r="C919" s="42" t="str">
        <f>Gia_Tbi!C9</f>
        <v>Cái</v>
      </c>
      <c r="D919" s="42">
        <f>Gia_Tbi!D9</f>
        <v>0.8</v>
      </c>
      <c r="E919" s="117">
        <f>Gia_Tbi!E9</f>
        <v>8</v>
      </c>
      <c r="F919" s="86">
        <f>Gia_Tbi!F9</f>
        <v>45200000</v>
      </c>
      <c r="G919" s="87">
        <f>Gia_Tbi!G9</f>
        <v>11300</v>
      </c>
      <c r="H919" s="296" t="e">
        <f>(H915*D915+H916*D916+H917*D917+H918*D918)*8</f>
        <v>#REF!</v>
      </c>
      <c r="I919" s="120" t="e">
        <f>G919*H919*E919</f>
        <v>#REF!</v>
      </c>
      <c r="K919" s="77">
        <v>914</v>
      </c>
    </row>
    <row r="920" spans="1:11" s="81" customFormat="1">
      <c r="A920" s="31" t="e">
        <f>#REF!</f>
        <v>#REF!</v>
      </c>
      <c r="B920" s="32" t="e">
        <f>#REF!</f>
        <v>#REF!</v>
      </c>
      <c r="C920" s="15"/>
      <c r="D920" s="15"/>
      <c r="E920" s="15"/>
      <c r="F920" s="78"/>
      <c r="G920" s="79"/>
      <c r="H920" s="111"/>
      <c r="I920" s="80" t="e">
        <f>SUM(I921:I924)</f>
        <v>#REF!</v>
      </c>
      <c r="K920" s="77">
        <v>915</v>
      </c>
    </row>
    <row r="921" spans="1:11">
      <c r="A921" s="13">
        <v>1</v>
      </c>
      <c r="B921" s="5" t="s">
        <v>82</v>
      </c>
      <c r="C921" s="6" t="str">
        <f>Gia_Tbi!C4</f>
        <v>Cái</v>
      </c>
      <c r="D921" s="6">
        <f>Gia_Tbi!D4</f>
        <v>0.4</v>
      </c>
      <c r="E921" s="6">
        <f>Gia_Tbi!E4</f>
        <v>5</v>
      </c>
      <c r="F921" s="82">
        <f>Gia_Tbi!F4</f>
        <v>10000000</v>
      </c>
      <c r="G921" s="83">
        <f>Gia_Tbi!G4</f>
        <v>4000</v>
      </c>
      <c r="H921" s="302">
        <v>20</v>
      </c>
      <c r="I921" s="84">
        <f>G921*H921</f>
        <v>80000</v>
      </c>
      <c r="K921" s="77">
        <v>916</v>
      </c>
    </row>
    <row r="922" spans="1:11">
      <c r="A922" s="13">
        <v>2</v>
      </c>
      <c r="B922" s="5" t="s">
        <v>83</v>
      </c>
      <c r="C922" s="6" t="str">
        <f>Gia_Tbi!C5</f>
        <v>Cái</v>
      </c>
      <c r="D922" s="6">
        <f>Gia_Tbi!D5</f>
        <v>0.6</v>
      </c>
      <c r="E922" s="6">
        <f>Gia_Tbi!E5</f>
        <v>5</v>
      </c>
      <c r="F922" s="82">
        <f>Gia_Tbi!F5</f>
        <v>2500000</v>
      </c>
      <c r="G922" s="83">
        <f>Gia_Tbi!G5</f>
        <v>1000</v>
      </c>
      <c r="H922" s="302">
        <v>0.65</v>
      </c>
      <c r="I922" s="84">
        <f>G922*H922</f>
        <v>650</v>
      </c>
      <c r="K922" s="77">
        <v>917</v>
      </c>
    </row>
    <row r="923" spans="1:11">
      <c r="A923" s="13">
        <v>3</v>
      </c>
      <c r="B923" s="5" t="s">
        <v>25</v>
      </c>
      <c r="C923" s="6" t="str">
        <f>Gia_Tbi!C6</f>
        <v>Cái</v>
      </c>
      <c r="D923" s="6">
        <f>Gia_Tbi!D6</f>
        <v>2.2000000000000002</v>
      </c>
      <c r="E923" s="6">
        <f>Gia_Tbi!E6</f>
        <v>8</v>
      </c>
      <c r="F923" s="82">
        <f>Gia_Tbi!F6</f>
        <v>12000000</v>
      </c>
      <c r="G923" s="83">
        <f>Gia_Tbi!G6</f>
        <v>3000</v>
      </c>
      <c r="H923" s="302">
        <v>6.67</v>
      </c>
      <c r="I923" s="84">
        <f>G923*H923</f>
        <v>20010</v>
      </c>
      <c r="K923" s="77">
        <v>918</v>
      </c>
    </row>
    <row r="924" spans="1:11">
      <c r="A924" s="13">
        <v>4</v>
      </c>
      <c r="B924" s="5" t="s">
        <v>24</v>
      </c>
      <c r="C924" s="6" t="e">
        <f>Gia_Tbi!#REF!</f>
        <v>#REF!</v>
      </c>
      <c r="D924" s="6" t="e">
        <f>Gia_Tbi!#REF!</f>
        <v>#REF!</v>
      </c>
      <c r="E924" s="6" t="e">
        <f>Gia_Tbi!#REF!</f>
        <v>#REF!</v>
      </c>
      <c r="F924" s="82" t="e">
        <f>Gia_Tbi!#REF!</f>
        <v>#REF!</v>
      </c>
      <c r="G924" s="83" t="e">
        <f>Gia_Tbi!#REF!</f>
        <v>#REF!</v>
      </c>
      <c r="H924" s="302">
        <v>0.12</v>
      </c>
      <c r="I924" s="84" t="e">
        <f>G924*H924</f>
        <v>#REF!</v>
      </c>
      <c r="K924" s="77">
        <v>919</v>
      </c>
    </row>
    <row r="925" spans="1:11">
      <c r="A925" s="40">
        <v>5</v>
      </c>
      <c r="B925" s="41" t="s">
        <v>8</v>
      </c>
      <c r="C925" s="42" t="str">
        <f>Gia_Tbi!C9</f>
        <v>Cái</v>
      </c>
      <c r="D925" s="42">
        <f>Gia_Tbi!D9</f>
        <v>0.8</v>
      </c>
      <c r="E925" s="117">
        <f>Gia_Tbi!E9</f>
        <v>8</v>
      </c>
      <c r="F925" s="86">
        <f>Gia_Tbi!F9</f>
        <v>45200000</v>
      </c>
      <c r="G925" s="87">
        <f>Gia_Tbi!G9</f>
        <v>11300</v>
      </c>
      <c r="H925" s="296" t="e">
        <f>(H921*D921+H922*D922+H923*D923+H924*D924)*8</f>
        <v>#REF!</v>
      </c>
      <c r="I925" s="120" t="e">
        <f>G925*H925*E925</f>
        <v>#REF!</v>
      </c>
      <c r="K925" s="77">
        <v>920</v>
      </c>
    </row>
    <row r="926" spans="1:11" s="81" customFormat="1">
      <c r="A926" s="31" t="e">
        <f>#REF!</f>
        <v>#REF!</v>
      </c>
      <c r="B926" s="32" t="e">
        <f>#REF!</f>
        <v>#REF!</v>
      </c>
      <c r="C926" s="15"/>
      <c r="D926" s="15"/>
      <c r="E926" s="15"/>
      <c r="F926" s="78"/>
      <c r="G926" s="79"/>
      <c r="H926" s="111"/>
      <c r="I926" s="80" t="e">
        <f>SUM(I927:I930)</f>
        <v>#REF!</v>
      </c>
      <c r="K926" s="77">
        <v>921</v>
      </c>
    </row>
    <row r="927" spans="1:11">
      <c r="A927" s="13">
        <v>1</v>
      </c>
      <c r="B927" s="5" t="s">
        <v>82</v>
      </c>
      <c r="C927" s="6" t="str">
        <f>Gia_Tbi!C4</f>
        <v>Cái</v>
      </c>
      <c r="D927" s="6">
        <f>Gia_Tbi!D4</f>
        <v>0.4</v>
      </c>
      <c r="E927" s="6">
        <f>Gia_Tbi!E4</f>
        <v>5</v>
      </c>
      <c r="F927" s="82">
        <f>Gia_Tbi!F4</f>
        <v>10000000</v>
      </c>
      <c r="G927" s="83">
        <f>Gia_Tbi!G4</f>
        <v>4000</v>
      </c>
      <c r="H927" s="302">
        <v>5</v>
      </c>
      <c r="I927" s="84">
        <f>G927*H927</f>
        <v>20000</v>
      </c>
      <c r="K927" s="77">
        <v>922</v>
      </c>
    </row>
    <row r="928" spans="1:11">
      <c r="A928" s="13">
        <v>2</v>
      </c>
      <c r="B928" s="5" t="s">
        <v>83</v>
      </c>
      <c r="C928" s="6" t="str">
        <f>Gia_Tbi!C5</f>
        <v>Cái</v>
      </c>
      <c r="D928" s="6">
        <f>Gia_Tbi!D5</f>
        <v>0.6</v>
      </c>
      <c r="E928" s="6">
        <f>Gia_Tbi!E5</f>
        <v>5</v>
      </c>
      <c r="F928" s="82">
        <f>Gia_Tbi!F5</f>
        <v>2500000</v>
      </c>
      <c r="G928" s="83">
        <f>Gia_Tbi!G5</f>
        <v>1000</v>
      </c>
      <c r="H928" s="302">
        <v>0.23</v>
      </c>
      <c r="I928" s="84">
        <f>G928*H928</f>
        <v>230</v>
      </c>
      <c r="K928" s="77">
        <v>923</v>
      </c>
    </row>
    <row r="929" spans="1:11">
      <c r="A929" s="13">
        <v>3</v>
      </c>
      <c r="B929" s="5" t="s">
        <v>25</v>
      </c>
      <c r="C929" s="6" t="str">
        <f>Gia_Tbi!C6</f>
        <v>Cái</v>
      </c>
      <c r="D929" s="6">
        <f>Gia_Tbi!D6</f>
        <v>2.2000000000000002</v>
      </c>
      <c r="E929" s="6">
        <f>Gia_Tbi!E6</f>
        <v>8</v>
      </c>
      <c r="F929" s="82">
        <f>Gia_Tbi!F6</f>
        <v>12000000</v>
      </c>
      <c r="G929" s="83">
        <f>Gia_Tbi!G6</f>
        <v>3000</v>
      </c>
      <c r="H929" s="302">
        <v>1.67</v>
      </c>
      <c r="I929" s="84">
        <f>G929*H929</f>
        <v>5010</v>
      </c>
      <c r="K929" s="77">
        <v>924</v>
      </c>
    </row>
    <row r="930" spans="1:11">
      <c r="A930" s="13">
        <v>4</v>
      </c>
      <c r="B930" s="5" t="s">
        <v>24</v>
      </c>
      <c r="C930" s="6" t="e">
        <f>Gia_Tbi!#REF!</f>
        <v>#REF!</v>
      </c>
      <c r="D930" s="6" t="e">
        <f>Gia_Tbi!#REF!</f>
        <v>#REF!</v>
      </c>
      <c r="E930" s="6" t="e">
        <f>Gia_Tbi!#REF!</f>
        <v>#REF!</v>
      </c>
      <c r="F930" s="82" t="e">
        <f>Gia_Tbi!#REF!</f>
        <v>#REF!</v>
      </c>
      <c r="G930" s="83" t="e">
        <f>Gia_Tbi!#REF!</f>
        <v>#REF!</v>
      </c>
      <c r="H930" s="302">
        <v>0.02</v>
      </c>
      <c r="I930" s="84" t="e">
        <f>G930*H930</f>
        <v>#REF!</v>
      </c>
      <c r="K930" s="77">
        <v>925</v>
      </c>
    </row>
    <row r="931" spans="1:11">
      <c r="A931" s="40">
        <v>5</v>
      </c>
      <c r="B931" s="41" t="s">
        <v>8</v>
      </c>
      <c r="C931" s="42" t="str">
        <f>Gia_Tbi!C9</f>
        <v>Cái</v>
      </c>
      <c r="D931" s="42">
        <f>Gia_Tbi!D9</f>
        <v>0.8</v>
      </c>
      <c r="E931" s="117">
        <f>Gia_Tbi!E9</f>
        <v>8</v>
      </c>
      <c r="F931" s="86">
        <f>Gia_Tbi!F9</f>
        <v>45200000</v>
      </c>
      <c r="G931" s="87">
        <f>Gia_Tbi!G9</f>
        <v>11300</v>
      </c>
      <c r="H931" s="296" t="e">
        <f>(H927*D927+H928*D928+H929*D929+H930*D930)*8</f>
        <v>#REF!</v>
      </c>
      <c r="I931" s="120" t="e">
        <f>G931*H931*E931</f>
        <v>#REF!</v>
      </c>
      <c r="K931" s="77">
        <v>926</v>
      </c>
    </row>
    <row r="932" spans="1:11" s="81" customFormat="1">
      <c r="A932" s="31" t="e">
        <f>#REF!</f>
        <v>#REF!</v>
      </c>
      <c r="B932" s="32" t="e">
        <f>#REF!</f>
        <v>#REF!</v>
      </c>
      <c r="C932" s="15"/>
      <c r="D932" s="15"/>
      <c r="E932" s="15"/>
      <c r="F932" s="78"/>
      <c r="G932" s="79"/>
      <c r="H932" s="111"/>
      <c r="I932" s="80" t="e">
        <f>SUM(I933:I936)</f>
        <v>#REF!</v>
      </c>
      <c r="K932" s="77">
        <v>927</v>
      </c>
    </row>
    <row r="933" spans="1:11">
      <c r="A933" s="13">
        <v>1</v>
      </c>
      <c r="B933" s="5" t="s">
        <v>82</v>
      </c>
      <c r="C933" s="6" t="str">
        <f>Gia_Tbi!C4</f>
        <v>Cái</v>
      </c>
      <c r="D933" s="6">
        <f>Gia_Tbi!D4</f>
        <v>0.4</v>
      </c>
      <c r="E933" s="6">
        <f>Gia_Tbi!E4</f>
        <v>5</v>
      </c>
      <c r="F933" s="82">
        <f>Gia_Tbi!F4</f>
        <v>10000000</v>
      </c>
      <c r="G933" s="83">
        <f>Gia_Tbi!G4</f>
        <v>4000</v>
      </c>
      <c r="H933" s="302">
        <v>5</v>
      </c>
      <c r="I933" s="84">
        <f>G933*H933</f>
        <v>20000</v>
      </c>
      <c r="K933" s="77">
        <v>928</v>
      </c>
    </row>
    <row r="934" spans="1:11">
      <c r="A934" s="13">
        <v>2</v>
      </c>
      <c r="B934" s="5" t="s">
        <v>83</v>
      </c>
      <c r="C934" s="6" t="str">
        <f>Gia_Tbi!C5</f>
        <v>Cái</v>
      </c>
      <c r="D934" s="6">
        <f>Gia_Tbi!D5</f>
        <v>0.6</v>
      </c>
      <c r="E934" s="6">
        <f>Gia_Tbi!E5</f>
        <v>5</v>
      </c>
      <c r="F934" s="82">
        <f>Gia_Tbi!F5</f>
        <v>2500000</v>
      </c>
      <c r="G934" s="83">
        <f>Gia_Tbi!G5</f>
        <v>1000</v>
      </c>
      <c r="H934" s="302">
        <v>0.23</v>
      </c>
      <c r="I934" s="84">
        <f>G934*H934</f>
        <v>230</v>
      </c>
      <c r="K934" s="77">
        <v>929</v>
      </c>
    </row>
    <row r="935" spans="1:11">
      <c r="A935" s="13">
        <v>3</v>
      </c>
      <c r="B935" s="5" t="s">
        <v>25</v>
      </c>
      <c r="C935" s="6" t="str">
        <f>Gia_Tbi!C6</f>
        <v>Cái</v>
      </c>
      <c r="D935" s="6">
        <f>Gia_Tbi!D6</f>
        <v>2.2000000000000002</v>
      </c>
      <c r="E935" s="6">
        <f>Gia_Tbi!E6</f>
        <v>8</v>
      </c>
      <c r="F935" s="82">
        <f>Gia_Tbi!F6</f>
        <v>12000000</v>
      </c>
      <c r="G935" s="83">
        <f>Gia_Tbi!G6</f>
        <v>3000</v>
      </c>
      <c r="H935" s="302">
        <v>1.67</v>
      </c>
      <c r="I935" s="84">
        <f>G935*H935</f>
        <v>5010</v>
      </c>
      <c r="K935" s="77">
        <v>930</v>
      </c>
    </row>
    <row r="936" spans="1:11">
      <c r="A936" s="13">
        <v>4</v>
      </c>
      <c r="B936" s="5" t="s">
        <v>24</v>
      </c>
      <c r="C936" s="6" t="e">
        <f>Gia_Tbi!#REF!</f>
        <v>#REF!</v>
      </c>
      <c r="D936" s="6" t="e">
        <f>Gia_Tbi!#REF!</f>
        <v>#REF!</v>
      </c>
      <c r="E936" s="6" t="e">
        <f>Gia_Tbi!#REF!</f>
        <v>#REF!</v>
      </c>
      <c r="F936" s="82" t="e">
        <f>Gia_Tbi!#REF!</f>
        <v>#REF!</v>
      </c>
      <c r="G936" s="83" t="e">
        <f>Gia_Tbi!#REF!</f>
        <v>#REF!</v>
      </c>
      <c r="H936" s="302">
        <v>0.02</v>
      </c>
      <c r="I936" s="84" t="e">
        <f>G936*H936</f>
        <v>#REF!</v>
      </c>
      <c r="K936" s="77">
        <v>931</v>
      </c>
    </row>
    <row r="937" spans="1:11">
      <c r="A937" s="40">
        <v>5</v>
      </c>
      <c r="B937" s="41" t="s">
        <v>8</v>
      </c>
      <c r="C937" s="42" t="str">
        <f>Gia_Tbi!C9</f>
        <v>Cái</v>
      </c>
      <c r="D937" s="42">
        <f>Gia_Tbi!D9</f>
        <v>0.8</v>
      </c>
      <c r="E937" s="117">
        <f>Gia_Tbi!E9</f>
        <v>8</v>
      </c>
      <c r="F937" s="86">
        <f>Gia_Tbi!F9</f>
        <v>45200000</v>
      </c>
      <c r="G937" s="87">
        <f>Gia_Tbi!G9</f>
        <v>11300</v>
      </c>
      <c r="H937" s="296" t="e">
        <f>(H933*D933+H934*D934+H935*D935+H936*D936)*8</f>
        <v>#REF!</v>
      </c>
      <c r="I937" s="120" t="e">
        <f>G937*H937*E937</f>
        <v>#REF!</v>
      </c>
      <c r="K937" s="77">
        <v>932</v>
      </c>
    </row>
    <row r="938" spans="1:11" s="81" customFormat="1">
      <c r="A938" s="31" t="e">
        <f>#REF!</f>
        <v>#REF!</v>
      </c>
      <c r="B938" s="32" t="e">
        <f>#REF!</f>
        <v>#REF!</v>
      </c>
      <c r="C938" s="15"/>
      <c r="D938" s="15"/>
      <c r="E938" s="15"/>
      <c r="F938" s="78"/>
      <c r="G938" s="79"/>
      <c r="H938" s="111"/>
      <c r="I938" s="80" t="e">
        <f>SUM(I939:I942)</f>
        <v>#REF!</v>
      </c>
      <c r="K938" s="77">
        <v>933</v>
      </c>
    </row>
    <row r="939" spans="1:11">
      <c r="A939" s="13">
        <v>1</v>
      </c>
      <c r="B939" s="5" t="s">
        <v>82</v>
      </c>
      <c r="C939" s="6" t="str">
        <f>Gia_Tbi!C4</f>
        <v>Cái</v>
      </c>
      <c r="D939" s="6">
        <f>Gia_Tbi!D4</f>
        <v>0.4</v>
      </c>
      <c r="E939" s="6">
        <f>Gia_Tbi!E4</f>
        <v>5</v>
      </c>
      <c r="F939" s="82">
        <f>Gia_Tbi!F4</f>
        <v>10000000</v>
      </c>
      <c r="G939" s="83">
        <f>Gia_Tbi!G4</f>
        <v>4000</v>
      </c>
      <c r="H939" s="302">
        <v>4</v>
      </c>
      <c r="I939" s="84">
        <f>G939*H939</f>
        <v>16000</v>
      </c>
      <c r="K939" s="77">
        <v>934</v>
      </c>
    </row>
    <row r="940" spans="1:11">
      <c r="A940" s="13">
        <v>2</v>
      </c>
      <c r="B940" s="5" t="s">
        <v>83</v>
      </c>
      <c r="C940" s="6" t="str">
        <f>Gia_Tbi!C5</f>
        <v>Cái</v>
      </c>
      <c r="D940" s="6">
        <f>Gia_Tbi!D5</f>
        <v>0.6</v>
      </c>
      <c r="E940" s="6">
        <f>Gia_Tbi!E5</f>
        <v>5</v>
      </c>
      <c r="F940" s="82">
        <f>Gia_Tbi!F5</f>
        <v>2500000</v>
      </c>
      <c r="G940" s="83">
        <f>Gia_Tbi!G5</f>
        <v>1000</v>
      </c>
      <c r="H940" s="302">
        <v>0.2</v>
      </c>
      <c r="I940" s="84">
        <f>G940*H940</f>
        <v>200</v>
      </c>
      <c r="K940" s="77">
        <v>935</v>
      </c>
    </row>
    <row r="941" spans="1:11">
      <c r="A941" s="13">
        <v>3</v>
      </c>
      <c r="B941" s="5" t="s">
        <v>25</v>
      </c>
      <c r="C941" s="6" t="str">
        <f>Gia_Tbi!C6</f>
        <v>Cái</v>
      </c>
      <c r="D941" s="6">
        <f>Gia_Tbi!D6</f>
        <v>2.2000000000000002</v>
      </c>
      <c r="E941" s="6">
        <f>Gia_Tbi!E6</f>
        <v>8</v>
      </c>
      <c r="F941" s="82">
        <f>Gia_Tbi!F6</f>
        <v>12000000</v>
      </c>
      <c r="G941" s="83">
        <f>Gia_Tbi!G6</f>
        <v>3000</v>
      </c>
      <c r="H941" s="302">
        <v>1.33</v>
      </c>
      <c r="I941" s="84">
        <f>G941*H941</f>
        <v>3990</v>
      </c>
      <c r="K941" s="77">
        <v>936</v>
      </c>
    </row>
    <row r="942" spans="1:11">
      <c r="A942" s="13">
        <v>4</v>
      </c>
      <c r="B942" s="5" t="s">
        <v>24</v>
      </c>
      <c r="C942" s="6" t="e">
        <f>Gia_Tbi!#REF!</f>
        <v>#REF!</v>
      </c>
      <c r="D942" s="6" t="e">
        <f>Gia_Tbi!#REF!</f>
        <v>#REF!</v>
      </c>
      <c r="E942" s="6" t="e">
        <f>Gia_Tbi!#REF!</f>
        <v>#REF!</v>
      </c>
      <c r="F942" s="82" t="e">
        <f>Gia_Tbi!#REF!</f>
        <v>#REF!</v>
      </c>
      <c r="G942" s="83" t="e">
        <f>Gia_Tbi!#REF!</f>
        <v>#REF!</v>
      </c>
      <c r="H942" s="302">
        <v>0.2</v>
      </c>
      <c r="I942" s="84" t="e">
        <f>G942*H942</f>
        <v>#REF!</v>
      </c>
      <c r="K942" s="77">
        <v>937</v>
      </c>
    </row>
    <row r="943" spans="1:11">
      <c r="A943" s="40">
        <v>5</v>
      </c>
      <c r="B943" s="41" t="s">
        <v>8</v>
      </c>
      <c r="C943" s="42" t="str">
        <f>Gia_Tbi!C9</f>
        <v>Cái</v>
      </c>
      <c r="D943" s="42">
        <f>Gia_Tbi!D9</f>
        <v>0.8</v>
      </c>
      <c r="E943" s="117">
        <f>Gia_Tbi!E9</f>
        <v>8</v>
      </c>
      <c r="F943" s="86">
        <f>Gia_Tbi!F9</f>
        <v>45200000</v>
      </c>
      <c r="G943" s="87">
        <f>Gia_Tbi!G9</f>
        <v>11300</v>
      </c>
      <c r="H943" s="296" t="e">
        <f>(H939*D939+H940*D940+H941*D941+H942*D942)*8</f>
        <v>#REF!</v>
      </c>
      <c r="I943" s="120" t="e">
        <f>G943*H943*E943</f>
        <v>#REF!</v>
      </c>
      <c r="K943" s="77">
        <v>938</v>
      </c>
    </row>
    <row r="944" spans="1:11" s="81" customFormat="1">
      <c r="A944" s="31" t="e">
        <f>#REF!</f>
        <v>#REF!</v>
      </c>
      <c r="B944" s="32" t="e">
        <f>#REF!</f>
        <v>#REF!</v>
      </c>
      <c r="C944" s="15"/>
      <c r="D944" s="15"/>
      <c r="E944" s="15"/>
      <c r="F944" s="78"/>
      <c r="G944" s="79"/>
      <c r="H944" s="111"/>
      <c r="I944" s="80" t="e">
        <f>SUM(I945:I948)</f>
        <v>#REF!</v>
      </c>
      <c r="K944" s="77">
        <v>939</v>
      </c>
    </row>
    <row r="945" spans="1:11">
      <c r="A945" s="13">
        <v>1</v>
      </c>
      <c r="B945" s="5" t="s">
        <v>82</v>
      </c>
      <c r="C945" s="6" t="str">
        <f>Gia_Tbi!C4</f>
        <v>Cái</v>
      </c>
      <c r="D945" s="6">
        <f>Gia_Tbi!D4</f>
        <v>0.4</v>
      </c>
      <c r="E945" s="6">
        <f>Gia_Tbi!E4</f>
        <v>5</v>
      </c>
      <c r="F945" s="82">
        <f>Gia_Tbi!F4</f>
        <v>10000000</v>
      </c>
      <c r="G945" s="83">
        <f>Gia_Tbi!G4</f>
        <v>4000</v>
      </c>
      <c r="H945" s="302">
        <v>4</v>
      </c>
      <c r="I945" s="84">
        <f>G945*H945</f>
        <v>16000</v>
      </c>
      <c r="K945" s="77">
        <v>940</v>
      </c>
    </row>
    <row r="946" spans="1:11">
      <c r="A946" s="13">
        <v>2</v>
      </c>
      <c r="B946" s="5" t="s">
        <v>83</v>
      </c>
      <c r="C946" s="6" t="str">
        <f>Gia_Tbi!C5</f>
        <v>Cái</v>
      </c>
      <c r="D946" s="6">
        <f>Gia_Tbi!D5</f>
        <v>0.6</v>
      </c>
      <c r="E946" s="6">
        <f>Gia_Tbi!E5</f>
        <v>5</v>
      </c>
      <c r="F946" s="82">
        <f>Gia_Tbi!F5</f>
        <v>2500000</v>
      </c>
      <c r="G946" s="83">
        <f>Gia_Tbi!G5</f>
        <v>1000</v>
      </c>
      <c r="H946" s="302">
        <v>0.2</v>
      </c>
      <c r="I946" s="84">
        <f>G946*H946</f>
        <v>200</v>
      </c>
      <c r="K946" s="77">
        <v>941</v>
      </c>
    </row>
    <row r="947" spans="1:11">
      <c r="A947" s="13">
        <v>3</v>
      </c>
      <c r="B947" s="5" t="s">
        <v>25</v>
      </c>
      <c r="C947" s="6" t="str">
        <f>Gia_Tbi!C6</f>
        <v>Cái</v>
      </c>
      <c r="D947" s="6">
        <f>Gia_Tbi!D6</f>
        <v>2.2000000000000002</v>
      </c>
      <c r="E947" s="6">
        <f>Gia_Tbi!E6</f>
        <v>8</v>
      </c>
      <c r="F947" s="82">
        <f>Gia_Tbi!F6</f>
        <v>12000000</v>
      </c>
      <c r="G947" s="83">
        <f>Gia_Tbi!G6</f>
        <v>3000</v>
      </c>
      <c r="H947" s="302">
        <v>1.33</v>
      </c>
      <c r="I947" s="84">
        <f>G947*H947</f>
        <v>3990</v>
      </c>
      <c r="K947" s="77">
        <v>942</v>
      </c>
    </row>
    <row r="948" spans="1:11">
      <c r="A948" s="13">
        <v>4</v>
      </c>
      <c r="B948" s="5" t="s">
        <v>24</v>
      </c>
      <c r="C948" s="6" t="e">
        <f>Gia_Tbi!#REF!</f>
        <v>#REF!</v>
      </c>
      <c r="D948" s="6" t="e">
        <f>Gia_Tbi!#REF!</f>
        <v>#REF!</v>
      </c>
      <c r="E948" s="6" t="e">
        <f>Gia_Tbi!#REF!</f>
        <v>#REF!</v>
      </c>
      <c r="F948" s="82" t="e">
        <f>Gia_Tbi!#REF!</f>
        <v>#REF!</v>
      </c>
      <c r="G948" s="83" t="e">
        <f>Gia_Tbi!#REF!</f>
        <v>#REF!</v>
      </c>
      <c r="H948" s="302">
        <v>0.2</v>
      </c>
      <c r="I948" s="84" t="e">
        <f>G948*H948</f>
        <v>#REF!</v>
      </c>
      <c r="K948" s="77">
        <v>943</v>
      </c>
    </row>
    <row r="949" spans="1:11">
      <c r="A949" s="40">
        <v>5</v>
      </c>
      <c r="B949" s="41" t="s">
        <v>8</v>
      </c>
      <c r="C949" s="42" t="str">
        <f>Gia_Tbi!C9</f>
        <v>Cái</v>
      </c>
      <c r="D949" s="42">
        <f>Gia_Tbi!D9</f>
        <v>0.8</v>
      </c>
      <c r="E949" s="117">
        <f>Gia_Tbi!E9</f>
        <v>8</v>
      </c>
      <c r="F949" s="86">
        <f>Gia_Tbi!F9</f>
        <v>45200000</v>
      </c>
      <c r="G949" s="87">
        <f>Gia_Tbi!G9</f>
        <v>11300</v>
      </c>
      <c r="H949" s="296" t="e">
        <f>(H945*D945+H946*D946+H947*D947+H948*D948)*8</f>
        <v>#REF!</v>
      </c>
      <c r="I949" s="120" t="e">
        <f>G949*H949*E949</f>
        <v>#REF!</v>
      </c>
      <c r="K949" s="77">
        <v>944</v>
      </c>
    </row>
    <row r="950" spans="1:11" s="4" customFormat="1">
      <c r="A950" s="12" t="e">
        <f>#REF!</f>
        <v>#REF!</v>
      </c>
      <c r="B950" s="8" t="e">
        <f>#REF!</f>
        <v>#REF!</v>
      </c>
      <c r="C950" s="7"/>
      <c r="D950" s="7"/>
      <c r="E950" s="7"/>
      <c r="F950" s="93"/>
      <c r="G950" s="94"/>
      <c r="H950" s="298"/>
      <c r="I950" s="95"/>
      <c r="K950" s="77">
        <v>945</v>
      </c>
    </row>
    <row r="951" spans="1:11" s="81" customFormat="1">
      <c r="A951" s="31" t="e">
        <f>#REF!</f>
        <v>#REF!</v>
      </c>
      <c r="B951" s="32" t="e">
        <f>#REF!</f>
        <v>#REF!</v>
      </c>
      <c r="C951" s="15"/>
      <c r="D951" s="15"/>
      <c r="E951" s="15"/>
      <c r="F951" s="78"/>
      <c r="G951" s="79"/>
      <c r="H951" s="111"/>
      <c r="I951" s="80" t="e">
        <f>SUM(I952:I955)</f>
        <v>#REF!</v>
      </c>
      <c r="K951" s="77">
        <v>946</v>
      </c>
    </row>
    <row r="952" spans="1:11">
      <c r="A952" s="13">
        <v>1</v>
      </c>
      <c r="B952" s="5" t="s">
        <v>82</v>
      </c>
      <c r="C952" s="6" t="str">
        <f>Gia_Tbi!C4</f>
        <v>Cái</v>
      </c>
      <c r="D952" s="6">
        <f>Gia_Tbi!D4</f>
        <v>0.4</v>
      </c>
      <c r="E952" s="6">
        <f>Gia_Tbi!E4</f>
        <v>5</v>
      </c>
      <c r="F952" s="82">
        <f>Gia_Tbi!F4</f>
        <v>10000000</v>
      </c>
      <c r="G952" s="83">
        <f>Gia_Tbi!G4</f>
        <v>4000</v>
      </c>
      <c r="H952" s="302">
        <v>3</v>
      </c>
      <c r="I952" s="84">
        <f>G952*H952</f>
        <v>12000</v>
      </c>
      <c r="K952" s="77">
        <v>947</v>
      </c>
    </row>
    <row r="953" spans="1:11">
      <c r="A953" s="13">
        <v>2</v>
      </c>
      <c r="B953" s="5" t="s">
        <v>83</v>
      </c>
      <c r="C953" s="6" t="str">
        <f>Gia_Tbi!C5</f>
        <v>Cái</v>
      </c>
      <c r="D953" s="6">
        <f>Gia_Tbi!D5</f>
        <v>0.6</v>
      </c>
      <c r="E953" s="6">
        <f>Gia_Tbi!E5</f>
        <v>5</v>
      </c>
      <c r="F953" s="82">
        <f>Gia_Tbi!F5</f>
        <v>2500000</v>
      </c>
      <c r="G953" s="83">
        <f>Gia_Tbi!G5</f>
        <v>1000</v>
      </c>
      <c r="H953" s="302">
        <v>0.12</v>
      </c>
      <c r="I953" s="84">
        <f>G953*H953</f>
        <v>120</v>
      </c>
      <c r="K953" s="77">
        <v>948</v>
      </c>
    </row>
    <row r="954" spans="1:11">
      <c r="A954" s="13">
        <v>3</v>
      </c>
      <c r="B954" s="5" t="s">
        <v>25</v>
      </c>
      <c r="C954" s="6" t="str">
        <f>Gia_Tbi!C6</f>
        <v>Cái</v>
      </c>
      <c r="D954" s="6">
        <f>Gia_Tbi!D6</f>
        <v>2.2000000000000002</v>
      </c>
      <c r="E954" s="6">
        <f>Gia_Tbi!E6</f>
        <v>8</v>
      </c>
      <c r="F954" s="82">
        <f>Gia_Tbi!F6</f>
        <v>12000000</v>
      </c>
      <c r="G954" s="83">
        <f>Gia_Tbi!G6</f>
        <v>3000</v>
      </c>
      <c r="H954" s="302">
        <v>1</v>
      </c>
      <c r="I954" s="84">
        <f>G954*H954</f>
        <v>3000</v>
      </c>
      <c r="K954" s="77">
        <v>949</v>
      </c>
    </row>
    <row r="955" spans="1:11">
      <c r="A955" s="13">
        <v>4</v>
      </c>
      <c r="B955" s="5" t="s">
        <v>24</v>
      </c>
      <c r="C955" s="6" t="e">
        <f>Gia_Tbi!#REF!</f>
        <v>#REF!</v>
      </c>
      <c r="D955" s="6" t="e">
        <f>Gia_Tbi!#REF!</f>
        <v>#REF!</v>
      </c>
      <c r="E955" s="6" t="e">
        <f>Gia_Tbi!#REF!</f>
        <v>#REF!</v>
      </c>
      <c r="F955" s="82" t="e">
        <f>Gia_Tbi!#REF!</f>
        <v>#REF!</v>
      </c>
      <c r="G955" s="83" t="e">
        <f>Gia_Tbi!#REF!</f>
        <v>#REF!</v>
      </c>
      <c r="H955" s="302">
        <v>0.03</v>
      </c>
      <c r="I955" s="84" t="e">
        <f>G955*H955</f>
        <v>#REF!</v>
      </c>
      <c r="K955" s="77">
        <v>950</v>
      </c>
    </row>
    <row r="956" spans="1:11">
      <c r="A956" s="40">
        <v>5</v>
      </c>
      <c r="B956" s="41" t="s">
        <v>8</v>
      </c>
      <c r="C956" s="42" t="str">
        <f>Gia_Tbi!C9</f>
        <v>Cái</v>
      </c>
      <c r="D956" s="42">
        <f>Gia_Tbi!D9</f>
        <v>0.8</v>
      </c>
      <c r="E956" s="117">
        <f>Gia_Tbi!E9</f>
        <v>8</v>
      </c>
      <c r="F956" s="86">
        <f>Gia_Tbi!F9</f>
        <v>45200000</v>
      </c>
      <c r="G956" s="87">
        <f>Gia_Tbi!G9</f>
        <v>11300</v>
      </c>
      <c r="H956" s="296" t="e">
        <f>(H952*D952+H953*D953+H954*D954+H955*D955)*8</f>
        <v>#REF!</v>
      </c>
      <c r="I956" s="120" t="e">
        <f>G956*H956*E956</f>
        <v>#REF!</v>
      </c>
      <c r="K956" s="77">
        <v>951</v>
      </c>
    </row>
    <row r="957" spans="1:11" s="81" customFormat="1">
      <c r="A957" s="31" t="e">
        <f>#REF!</f>
        <v>#REF!</v>
      </c>
      <c r="B957" s="32" t="e">
        <f>#REF!</f>
        <v>#REF!</v>
      </c>
      <c r="C957" s="15"/>
      <c r="D957" s="15"/>
      <c r="E957" s="15"/>
      <c r="F957" s="78"/>
      <c r="G957" s="79"/>
      <c r="H957" s="111"/>
      <c r="I957" s="80" t="e">
        <f>SUM(I958:I961)</f>
        <v>#REF!</v>
      </c>
      <c r="K957" s="77">
        <v>952</v>
      </c>
    </row>
    <row r="958" spans="1:11">
      <c r="A958" s="13">
        <v>1</v>
      </c>
      <c r="B958" s="5" t="s">
        <v>82</v>
      </c>
      <c r="C958" s="6" t="str">
        <f>Gia_Tbi!C4</f>
        <v>Cái</v>
      </c>
      <c r="D958" s="6">
        <f>Gia_Tbi!D4</f>
        <v>0.4</v>
      </c>
      <c r="E958" s="6">
        <f>Gia_Tbi!E4</f>
        <v>5</v>
      </c>
      <c r="F958" s="82">
        <f>Gia_Tbi!F4</f>
        <v>10000000</v>
      </c>
      <c r="G958" s="83">
        <f>Gia_Tbi!G4</f>
        <v>4000</v>
      </c>
      <c r="H958" s="302">
        <v>5</v>
      </c>
      <c r="I958" s="84">
        <f>G958*H958</f>
        <v>20000</v>
      </c>
      <c r="K958" s="77">
        <v>953</v>
      </c>
    </row>
    <row r="959" spans="1:11">
      <c r="A959" s="13">
        <v>2</v>
      </c>
      <c r="B959" s="5" t="s">
        <v>83</v>
      </c>
      <c r="C959" s="6" t="str">
        <f>Gia_Tbi!C5</f>
        <v>Cái</v>
      </c>
      <c r="D959" s="6">
        <f>Gia_Tbi!D5</f>
        <v>0.6</v>
      </c>
      <c r="E959" s="6">
        <f>Gia_Tbi!E5</f>
        <v>5</v>
      </c>
      <c r="F959" s="82">
        <f>Gia_Tbi!F5</f>
        <v>2500000</v>
      </c>
      <c r="G959" s="83">
        <f>Gia_Tbi!G5</f>
        <v>1000</v>
      </c>
      <c r="H959" s="302">
        <v>0.23</v>
      </c>
      <c r="I959" s="84">
        <f>G959*H959</f>
        <v>230</v>
      </c>
      <c r="K959" s="77">
        <v>954</v>
      </c>
    </row>
    <row r="960" spans="1:11">
      <c r="A960" s="13">
        <v>3</v>
      </c>
      <c r="B960" s="5" t="s">
        <v>25</v>
      </c>
      <c r="C960" s="6" t="str">
        <f>Gia_Tbi!C6</f>
        <v>Cái</v>
      </c>
      <c r="D960" s="6">
        <f>Gia_Tbi!D6</f>
        <v>2.2000000000000002</v>
      </c>
      <c r="E960" s="6">
        <f>Gia_Tbi!E6</f>
        <v>8</v>
      </c>
      <c r="F960" s="82">
        <f>Gia_Tbi!F6</f>
        <v>12000000</v>
      </c>
      <c r="G960" s="83">
        <f>Gia_Tbi!G6</f>
        <v>3000</v>
      </c>
      <c r="H960" s="302">
        <v>1.67</v>
      </c>
      <c r="I960" s="84">
        <f>G960*H960</f>
        <v>5010</v>
      </c>
      <c r="K960" s="77">
        <v>955</v>
      </c>
    </row>
    <row r="961" spans="1:11">
      <c r="A961" s="13">
        <v>4</v>
      </c>
      <c r="B961" s="5" t="s">
        <v>24</v>
      </c>
      <c r="C961" s="6" t="e">
        <f>Gia_Tbi!#REF!</f>
        <v>#REF!</v>
      </c>
      <c r="D961" s="6" t="e">
        <f>Gia_Tbi!#REF!</f>
        <v>#REF!</v>
      </c>
      <c r="E961" s="6" t="e">
        <f>Gia_Tbi!#REF!</f>
        <v>#REF!</v>
      </c>
      <c r="F961" s="82" t="e">
        <f>Gia_Tbi!#REF!</f>
        <v>#REF!</v>
      </c>
      <c r="G961" s="83" t="e">
        <f>Gia_Tbi!#REF!</f>
        <v>#REF!</v>
      </c>
      <c r="H961" s="302">
        <v>0.02</v>
      </c>
      <c r="I961" s="84" t="e">
        <f>G961*H961</f>
        <v>#REF!</v>
      </c>
      <c r="K961" s="77">
        <v>956</v>
      </c>
    </row>
    <row r="962" spans="1:11">
      <c r="A962" s="40">
        <v>5</v>
      </c>
      <c r="B962" s="41" t="s">
        <v>8</v>
      </c>
      <c r="C962" s="42" t="str">
        <f>Gia_Tbi!C9</f>
        <v>Cái</v>
      </c>
      <c r="D962" s="42">
        <f>Gia_Tbi!D9</f>
        <v>0.8</v>
      </c>
      <c r="E962" s="117">
        <f>Gia_Tbi!E9</f>
        <v>8</v>
      </c>
      <c r="F962" s="86">
        <f>Gia_Tbi!F9</f>
        <v>45200000</v>
      </c>
      <c r="G962" s="87">
        <f>Gia_Tbi!G9</f>
        <v>11300</v>
      </c>
      <c r="H962" s="296" t="e">
        <f>(H958*D958+H959*D959+H960*D960+H961*D961)*8</f>
        <v>#REF!</v>
      </c>
      <c r="I962" s="120" t="e">
        <f>G962*H962*E962</f>
        <v>#REF!</v>
      </c>
      <c r="K962" s="77">
        <v>957</v>
      </c>
    </row>
    <row r="963" spans="1:11" s="81" customFormat="1">
      <c r="A963" s="31" t="e">
        <f>#REF!</f>
        <v>#REF!</v>
      </c>
      <c r="B963" s="32" t="e">
        <f>#REF!</f>
        <v>#REF!</v>
      </c>
      <c r="C963" s="15"/>
      <c r="D963" s="15"/>
      <c r="E963" s="15"/>
      <c r="F963" s="78"/>
      <c r="G963" s="79"/>
      <c r="H963" s="111"/>
      <c r="I963" s="80" t="e">
        <f>SUM(I964:I967)</f>
        <v>#REF!</v>
      </c>
      <c r="K963" s="77">
        <v>958</v>
      </c>
    </row>
    <row r="964" spans="1:11">
      <c r="A964" s="13">
        <v>1</v>
      </c>
      <c r="B964" s="5" t="s">
        <v>82</v>
      </c>
      <c r="C964" s="6" t="str">
        <f>Gia_Tbi!C4</f>
        <v>Cái</v>
      </c>
      <c r="D964" s="6">
        <f>Gia_Tbi!D4</f>
        <v>0.4</v>
      </c>
      <c r="E964" s="6">
        <f>Gia_Tbi!E4</f>
        <v>5</v>
      </c>
      <c r="F964" s="82">
        <f>Gia_Tbi!F4</f>
        <v>10000000</v>
      </c>
      <c r="G964" s="83">
        <f>Gia_Tbi!G4</f>
        <v>4000</v>
      </c>
      <c r="H964" s="302">
        <v>5</v>
      </c>
      <c r="I964" s="84">
        <f>G964*H964</f>
        <v>20000</v>
      </c>
      <c r="K964" s="77">
        <v>959</v>
      </c>
    </row>
    <row r="965" spans="1:11">
      <c r="A965" s="13">
        <v>2</v>
      </c>
      <c r="B965" s="5" t="s">
        <v>83</v>
      </c>
      <c r="C965" s="6" t="str">
        <f>Gia_Tbi!C5</f>
        <v>Cái</v>
      </c>
      <c r="D965" s="6">
        <f>Gia_Tbi!D5</f>
        <v>0.6</v>
      </c>
      <c r="E965" s="6">
        <f>Gia_Tbi!E5</f>
        <v>5</v>
      </c>
      <c r="F965" s="82">
        <f>Gia_Tbi!F5</f>
        <v>2500000</v>
      </c>
      <c r="G965" s="83">
        <f>Gia_Tbi!G5</f>
        <v>1000</v>
      </c>
      <c r="H965" s="302">
        <v>0.23</v>
      </c>
      <c r="I965" s="84">
        <f>G965*H965</f>
        <v>230</v>
      </c>
      <c r="K965" s="77">
        <v>960</v>
      </c>
    </row>
    <row r="966" spans="1:11">
      <c r="A966" s="13">
        <v>3</v>
      </c>
      <c r="B966" s="5" t="s">
        <v>25</v>
      </c>
      <c r="C966" s="6" t="str">
        <f>Gia_Tbi!C6</f>
        <v>Cái</v>
      </c>
      <c r="D966" s="6">
        <f>Gia_Tbi!D6</f>
        <v>2.2000000000000002</v>
      </c>
      <c r="E966" s="6">
        <f>Gia_Tbi!E6</f>
        <v>8</v>
      </c>
      <c r="F966" s="82">
        <f>Gia_Tbi!F6</f>
        <v>12000000</v>
      </c>
      <c r="G966" s="83">
        <f>Gia_Tbi!G6</f>
        <v>3000</v>
      </c>
      <c r="H966" s="302">
        <v>1.67</v>
      </c>
      <c r="I966" s="84">
        <f>G966*H966</f>
        <v>5010</v>
      </c>
      <c r="K966" s="77">
        <v>961</v>
      </c>
    </row>
    <row r="967" spans="1:11">
      <c r="A967" s="13">
        <v>4</v>
      </c>
      <c r="B967" s="5" t="s">
        <v>24</v>
      </c>
      <c r="C967" s="6" t="e">
        <f>Gia_Tbi!#REF!</f>
        <v>#REF!</v>
      </c>
      <c r="D967" s="6" t="e">
        <f>Gia_Tbi!#REF!</f>
        <v>#REF!</v>
      </c>
      <c r="E967" s="6" t="e">
        <f>Gia_Tbi!#REF!</f>
        <v>#REF!</v>
      </c>
      <c r="F967" s="82" t="e">
        <f>Gia_Tbi!#REF!</f>
        <v>#REF!</v>
      </c>
      <c r="G967" s="83" t="e">
        <f>Gia_Tbi!#REF!</f>
        <v>#REF!</v>
      </c>
      <c r="H967" s="302">
        <v>0.02</v>
      </c>
      <c r="I967" s="84" t="e">
        <f>G967*H967</f>
        <v>#REF!</v>
      </c>
      <c r="K967" s="77">
        <v>962</v>
      </c>
    </row>
    <row r="968" spans="1:11">
      <c r="A968" s="40">
        <v>5</v>
      </c>
      <c r="B968" s="41" t="s">
        <v>8</v>
      </c>
      <c r="C968" s="42" t="str">
        <f>Gia_Tbi!C9</f>
        <v>Cái</v>
      </c>
      <c r="D968" s="42">
        <f>Gia_Tbi!D9</f>
        <v>0.8</v>
      </c>
      <c r="E968" s="117">
        <f>Gia_Tbi!E9</f>
        <v>8</v>
      </c>
      <c r="F968" s="86">
        <f>Gia_Tbi!F9</f>
        <v>45200000</v>
      </c>
      <c r="G968" s="87">
        <f>Gia_Tbi!G9</f>
        <v>11300</v>
      </c>
      <c r="H968" s="296" t="e">
        <f>(H964*D964+H965*D965+H966*D966+H967*D967)*8</f>
        <v>#REF!</v>
      </c>
      <c r="I968" s="120" t="e">
        <f>G968*H968*E968</f>
        <v>#REF!</v>
      </c>
      <c r="K968" s="77">
        <v>963</v>
      </c>
    </row>
    <row r="969" spans="1:11" s="81" customFormat="1">
      <c r="A969" s="31" t="e">
        <f>#REF!</f>
        <v>#REF!</v>
      </c>
      <c r="B969" s="32" t="e">
        <f>#REF!</f>
        <v>#REF!</v>
      </c>
      <c r="C969" s="15"/>
      <c r="D969" s="15"/>
      <c r="E969" s="15"/>
      <c r="F969" s="78"/>
      <c r="G969" s="79"/>
      <c r="H969" s="111"/>
      <c r="I969" s="80" t="e">
        <f>SUM(I970:I973)</f>
        <v>#REF!</v>
      </c>
      <c r="K969" s="77">
        <v>964</v>
      </c>
    </row>
    <row r="970" spans="1:11">
      <c r="A970" s="13">
        <v>1</v>
      </c>
      <c r="B970" s="5" t="s">
        <v>82</v>
      </c>
      <c r="C970" s="6" t="str">
        <f>Gia_Tbi!C4</f>
        <v>Cái</v>
      </c>
      <c r="D970" s="6">
        <f>Gia_Tbi!D4</f>
        <v>0.4</v>
      </c>
      <c r="E970" s="6">
        <f>Gia_Tbi!E4</f>
        <v>5</v>
      </c>
      <c r="F970" s="82">
        <f>Gia_Tbi!F4</f>
        <v>10000000</v>
      </c>
      <c r="G970" s="83">
        <f>Gia_Tbi!G4</f>
        <v>4000</v>
      </c>
      <c r="H970" s="302">
        <v>4</v>
      </c>
      <c r="I970" s="84">
        <f>G970*H970</f>
        <v>16000</v>
      </c>
      <c r="K970" s="77">
        <v>965</v>
      </c>
    </row>
    <row r="971" spans="1:11">
      <c r="A971" s="13">
        <v>2</v>
      </c>
      <c r="B971" s="5" t="s">
        <v>83</v>
      </c>
      <c r="C971" s="6" t="str">
        <f>Gia_Tbi!C5</f>
        <v>Cái</v>
      </c>
      <c r="D971" s="6">
        <f>Gia_Tbi!D5</f>
        <v>0.6</v>
      </c>
      <c r="E971" s="6">
        <f>Gia_Tbi!E5</f>
        <v>5</v>
      </c>
      <c r="F971" s="82">
        <f>Gia_Tbi!F5</f>
        <v>2500000</v>
      </c>
      <c r="G971" s="83">
        <f>Gia_Tbi!G5</f>
        <v>1000</v>
      </c>
      <c r="H971" s="302">
        <v>0.2</v>
      </c>
      <c r="I971" s="84">
        <f>G971*H971</f>
        <v>200</v>
      </c>
      <c r="K971" s="77">
        <v>966</v>
      </c>
    </row>
    <row r="972" spans="1:11">
      <c r="A972" s="13">
        <v>3</v>
      </c>
      <c r="B972" s="5" t="s">
        <v>25</v>
      </c>
      <c r="C972" s="6" t="str">
        <f>Gia_Tbi!C6</f>
        <v>Cái</v>
      </c>
      <c r="D972" s="6">
        <f>Gia_Tbi!D6</f>
        <v>2.2000000000000002</v>
      </c>
      <c r="E972" s="6">
        <f>Gia_Tbi!E6</f>
        <v>8</v>
      </c>
      <c r="F972" s="82">
        <f>Gia_Tbi!F6</f>
        <v>12000000</v>
      </c>
      <c r="G972" s="83">
        <f>Gia_Tbi!G6</f>
        <v>3000</v>
      </c>
      <c r="H972" s="302">
        <v>1.33</v>
      </c>
      <c r="I972" s="84">
        <f>G972*H972</f>
        <v>3990</v>
      </c>
      <c r="K972" s="77">
        <v>967</v>
      </c>
    </row>
    <row r="973" spans="1:11">
      <c r="A973" s="13">
        <v>4</v>
      </c>
      <c r="B973" s="5" t="s">
        <v>24</v>
      </c>
      <c r="C973" s="6" t="e">
        <f>Gia_Tbi!#REF!</f>
        <v>#REF!</v>
      </c>
      <c r="D973" s="6" t="e">
        <f>Gia_Tbi!#REF!</f>
        <v>#REF!</v>
      </c>
      <c r="E973" s="6" t="e">
        <f>Gia_Tbi!#REF!</f>
        <v>#REF!</v>
      </c>
      <c r="F973" s="82" t="e">
        <f>Gia_Tbi!#REF!</f>
        <v>#REF!</v>
      </c>
      <c r="G973" s="83" t="e">
        <f>Gia_Tbi!#REF!</f>
        <v>#REF!</v>
      </c>
      <c r="H973" s="302">
        <v>0.2</v>
      </c>
      <c r="I973" s="84" t="e">
        <f>G973*H973</f>
        <v>#REF!</v>
      </c>
      <c r="K973" s="77">
        <v>968</v>
      </c>
    </row>
    <row r="974" spans="1:11">
      <c r="A974" s="40">
        <v>5</v>
      </c>
      <c r="B974" s="41" t="s">
        <v>8</v>
      </c>
      <c r="C974" s="42" t="str">
        <f>Gia_Tbi!C9</f>
        <v>Cái</v>
      </c>
      <c r="D974" s="42">
        <f>Gia_Tbi!D9</f>
        <v>0.8</v>
      </c>
      <c r="E974" s="117">
        <f>Gia_Tbi!E9</f>
        <v>8</v>
      </c>
      <c r="F974" s="86">
        <f>Gia_Tbi!F9</f>
        <v>45200000</v>
      </c>
      <c r="G974" s="87">
        <f>Gia_Tbi!G9</f>
        <v>11300</v>
      </c>
      <c r="H974" s="296" t="e">
        <f>(H970*D970+H971*D971+H972*D972+H973*D973)*8</f>
        <v>#REF!</v>
      </c>
      <c r="I974" s="120" t="e">
        <f>G974*H974*E974</f>
        <v>#REF!</v>
      </c>
      <c r="K974" s="77">
        <v>969</v>
      </c>
    </row>
    <row r="975" spans="1:11" s="81" customFormat="1">
      <c r="A975" s="31" t="e">
        <f>#REF!</f>
        <v>#REF!</v>
      </c>
      <c r="B975" s="32" t="e">
        <f>#REF!</f>
        <v>#REF!</v>
      </c>
      <c r="C975" s="15"/>
      <c r="D975" s="15"/>
      <c r="E975" s="15"/>
      <c r="F975" s="78"/>
      <c r="G975" s="79"/>
      <c r="H975" s="111"/>
      <c r="I975" s="80" t="e">
        <f>SUM(I976:I979)</f>
        <v>#REF!</v>
      </c>
      <c r="K975" s="77">
        <v>970</v>
      </c>
    </row>
    <row r="976" spans="1:11">
      <c r="A976" s="13">
        <v>1</v>
      </c>
      <c r="B976" s="5" t="s">
        <v>82</v>
      </c>
      <c r="C976" s="6" t="str">
        <f>Gia_Tbi!C4</f>
        <v>Cái</v>
      </c>
      <c r="D976" s="6">
        <f>Gia_Tbi!D4</f>
        <v>0.4</v>
      </c>
      <c r="E976" s="6">
        <f>Gia_Tbi!E4</f>
        <v>5</v>
      </c>
      <c r="F976" s="82">
        <f>Gia_Tbi!F4</f>
        <v>10000000</v>
      </c>
      <c r="G976" s="83">
        <f>Gia_Tbi!G4</f>
        <v>4000</v>
      </c>
      <c r="H976" s="302">
        <v>4</v>
      </c>
      <c r="I976" s="84">
        <f>G976*H976</f>
        <v>16000</v>
      </c>
      <c r="K976" s="77">
        <v>971</v>
      </c>
    </row>
    <row r="977" spans="1:11">
      <c r="A977" s="13">
        <v>2</v>
      </c>
      <c r="B977" s="5" t="s">
        <v>83</v>
      </c>
      <c r="C977" s="6" t="str">
        <f>Gia_Tbi!C5</f>
        <v>Cái</v>
      </c>
      <c r="D977" s="6">
        <f>Gia_Tbi!D5</f>
        <v>0.6</v>
      </c>
      <c r="E977" s="6">
        <f>Gia_Tbi!E5</f>
        <v>5</v>
      </c>
      <c r="F977" s="82">
        <f>Gia_Tbi!F5</f>
        <v>2500000</v>
      </c>
      <c r="G977" s="83">
        <f>Gia_Tbi!G5</f>
        <v>1000</v>
      </c>
      <c r="H977" s="302">
        <v>0.2</v>
      </c>
      <c r="I977" s="84">
        <f>G977*H977</f>
        <v>200</v>
      </c>
      <c r="K977" s="77">
        <v>972</v>
      </c>
    </row>
    <row r="978" spans="1:11">
      <c r="A978" s="13">
        <v>3</v>
      </c>
      <c r="B978" s="5" t="s">
        <v>25</v>
      </c>
      <c r="C978" s="6" t="str">
        <f>Gia_Tbi!C6</f>
        <v>Cái</v>
      </c>
      <c r="D978" s="6">
        <f>Gia_Tbi!D6</f>
        <v>2.2000000000000002</v>
      </c>
      <c r="E978" s="6">
        <f>Gia_Tbi!E6</f>
        <v>8</v>
      </c>
      <c r="F978" s="82">
        <f>Gia_Tbi!F6</f>
        <v>12000000</v>
      </c>
      <c r="G978" s="83">
        <f>Gia_Tbi!G6</f>
        <v>3000</v>
      </c>
      <c r="H978" s="302">
        <v>1.33</v>
      </c>
      <c r="I978" s="84">
        <f>G978*H978</f>
        <v>3990</v>
      </c>
      <c r="K978" s="77">
        <v>973</v>
      </c>
    </row>
    <row r="979" spans="1:11">
      <c r="A979" s="13">
        <v>4</v>
      </c>
      <c r="B979" s="5" t="s">
        <v>24</v>
      </c>
      <c r="C979" s="6" t="e">
        <f>Gia_Tbi!#REF!</f>
        <v>#REF!</v>
      </c>
      <c r="D979" s="6" t="e">
        <f>Gia_Tbi!#REF!</f>
        <v>#REF!</v>
      </c>
      <c r="E979" s="6" t="e">
        <f>Gia_Tbi!#REF!</f>
        <v>#REF!</v>
      </c>
      <c r="F979" s="82" t="e">
        <f>Gia_Tbi!#REF!</f>
        <v>#REF!</v>
      </c>
      <c r="G979" s="83" t="e">
        <f>Gia_Tbi!#REF!</f>
        <v>#REF!</v>
      </c>
      <c r="H979" s="302">
        <v>0.2</v>
      </c>
      <c r="I979" s="84" t="e">
        <f>G979*H979</f>
        <v>#REF!</v>
      </c>
      <c r="K979" s="77">
        <v>974</v>
      </c>
    </row>
    <row r="980" spans="1:11">
      <c r="A980" s="40">
        <v>5</v>
      </c>
      <c r="B980" s="41" t="s">
        <v>8</v>
      </c>
      <c r="C980" s="42" t="str">
        <f>Gia_Tbi!C9</f>
        <v>Cái</v>
      </c>
      <c r="D980" s="42">
        <f>Gia_Tbi!D9</f>
        <v>0.8</v>
      </c>
      <c r="E980" s="117">
        <f>Gia_Tbi!E9</f>
        <v>8</v>
      </c>
      <c r="F980" s="86">
        <f>Gia_Tbi!F9</f>
        <v>45200000</v>
      </c>
      <c r="G980" s="87">
        <f>Gia_Tbi!G9</f>
        <v>11300</v>
      </c>
      <c r="H980" s="296" t="e">
        <f>(H976*D976+H977*D977+H978*D978+H979*D979)*8</f>
        <v>#REF!</v>
      </c>
      <c r="I980" s="120" t="e">
        <f>G980*H980*E980</f>
        <v>#REF!</v>
      </c>
      <c r="K980" s="77">
        <v>975</v>
      </c>
    </row>
    <row r="981" spans="1:11" s="4" customFormat="1">
      <c r="A981" s="12" t="e">
        <f>#REF!</f>
        <v>#REF!</v>
      </c>
      <c r="B981" s="8" t="e">
        <f>#REF!</f>
        <v>#REF!</v>
      </c>
      <c r="C981" s="7"/>
      <c r="D981" s="7"/>
      <c r="E981" s="7"/>
      <c r="F981" s="93"/>
      <c r="G981" s="94"/>
      <c r="H981" s="298"/>
      <c r="I981" s="95"/>
      <c r="K981" s="77">
        <v>976</v>
      </c>
    </row>
    <row r="982" spans="1:11" s="4" customFormat="1">
      <c r="A982" s="12" t="e">
        <f>#REF!</f>
        <v>#REF!</v>
      </c>
      <c r="B982" s="8" t="e">
        <f>#REF!</f>
        <v>#REF!</v>
      </c>
      <c r="C982" s="7"/>
      <c r="D982" s="7"/>
      <c r="E982" s="7"/>
      <c r="F982" s="93"/>
      <c r="G982" s="94"/>
      <c r="H982" s="298"/>
      <c r="I982" s="80" t="e">
        <f>SUM(I983:I986)</f>
        <v>#REF!</v>
      </c>
      <c r="K982" s="77">
        <v>977</v>
      </c>
    </row>
    <row r="983" spans="1:11">
      <c r="A983" s="13">
        <v>1</v>
      </c>
      <c r="B983" s="5" t="s">
        <v>82</v>
      </c>
      <c r="C983" s="6" t="str">
        <f>Gia_Tbi!C4</f>
        <v>Cái</v>
      </c>
      <c r="D983" s="6">
        <f>Gia_Tbi!D4</f>
        <v>0.4</v>
      </c>
      <c r="E983" s="6">
        <f>Gia_Tbi!E4</f>
        <v>5</v>
      </c>
      <c r="F983" s="118">
        <f>Gia_Tbi!F4</f>
        <v>10000000</v>
      </c>
      <c r="G983" s="6">
        <f>Gia_Tbi!G4</f>
        <v>4000</v>
      </c>
      <c r="H983" s="302">
        <v>45</v>
      </c>
      <c r="I983" s="84">
        <f>G983*H983</f>
        <v>180000</v>
      </c>
      <c r="K983" s="77">
        <v>978</v>
      </c>
    </row>
    <row r="984" spans="1:11">
      <c r="A984" s="13">
        <v>2</v>
      </c>
      <c r="B984" s="5" t="s">
        <v>83</v>
      </c>
      <c r="C984" s="6" t="str">
        <f>Gia_Tbi!C5</f>
        <v>Cái</v>
      </c>
      <c r="D984" s="6">
        <f>Gia_Tbi!D5</f>
        <v>0.6</v>
      </c>
      <c r="E984" s="6">
        <f>Gia_Tbi!E5</f>
        <v>5</v>
      </c>
      <c r="F984" s="118">
        <f>Gia_Tbi!F5</f>
        <v>2500000</v>
      </c>
      <c r="G984" s="6">
        <f>Gia_Tbi!G5</f>
        <v>1000</v>
      </c>
      <c r="H984" s="302">
        <v>1.2</v>
      </c>
      <c r="I984" s="84">
        <f>G984*H984</f>
        <v>1200</v>
      </c>
      <c r="K984" s="77">
        <v>979</v>
      </c>
    </row>
    <row r="985" spans="1:11">
      <c r="A985" s="13">
        <v>3</v>
      </c>
      <c r="B985" s="5" t="s">
        <v>25</v>
      </c>
      <c r="C985" s="6" t="str">
        <f>Gia_Tbi!C6</f>
        <v>Cái</v>
      </c>
      <c r="D985" s="6">
        <f>Gia_Tbi!D6</f>
        <v>2.2000000000000002</v>
      </c>
      <c r="E985" s="6">
        <f>Gia_Tbi!E6</f>
        <v>8</v>
      </c>
      <c r="F985" s="118">
        <f>Gia_Tbi!F6</f>
        <v>12000000</v>
      </c>
      <c r="G985" s="6">
        <f>Gia_Tbi!G6</f>
        <v>3000</v>
      </c>
      <c r="H985" s="302">
        <v>5</v>
      </c>
      <c r="I985" s="84">
        <f>G985*H985</f>
        <v>15000</v>
      </c>
      <c r="K985" s="77">
        <v>980</v>
      </c>
    </row>
    <row r="986" spans="1:11">
      <c r="A986" s="13">
        <v>4</v>
      </c>
      <c r="B986" s="5" t="s">
        <v>24</v>
      </c>
      <c r="C986" s="6" t="e">
        <f>Gia_Tbi!#REF!</f>
        <v>#REF!</v>
      </c>
      <c r="D986" s="6" t="e">
        <f>Gia_Tbi!#REF!</f>
        <v>#REF!</v>
      </c>
      <c r="E986" s="6" t="e">
        <f>Gia_Tbi!#REF!</f>
        <v>#REF!</v>
      </c>
      <c r="F986" s="118" t="e">
        <f>Gia_Tbi!#REF!</f>
        <v>#REF!</v>
      </c>
      <c r="G986" s="6" t="e">
        <f>Gia_Tbi!#REF!</f>
        <v>#REF!</v>
      </c>
      <c r="H986" s="302">
        <v>1.1000000000000001</v>
      </c>
      <c r="I986" s="84" t="e">
        <f>G986*H986</f>
        <v>#REF!</v>
      </c>
      <c r="K986" s="77">
        <v>981</v>
      </c>
    </row>
    <row r="987" spans="1:11">
      <c r="A987" s="40">
        <v>5</v>
      </c>
      <c r="B987" s="41" t="s">
        <v>8</v>
      </c>
      <c r="C987" s="42" t="str">
        <f>Gia_Tbi!C9</f>
        <v>Cái</v>
      </c>
      <c r="D987" s="42">
        <f>Gia_Tbi!D9</f>
        <v>0.8</v>
      </c>
      <c r="E987" s="117">
        <f>Gia_Tbi!E9</f>
        <v>8</v>
      </c>
      <c r="F987" s="119">
        <f>Gia_Tbi!F9</f>
        <v>45200000</v>
      </c>
      <c r="G987" s="42">
        <f>Gia_Tbi!G9</f>
        <v>11300</v>
      </c>
      <c r="H987" s="296" t="e">
        <f>(H983*D983+H984*D984+H985*D985+H986*D986)*8</f>
        <v>#REF!</v>
      </c>
      <c r="I987" s="120" t="e">
        <f>G987*H987*E987</f>
        <v>#REF!</v>
      </c>
      <c r="K987" s="77">
        <v>982</v>
      </c>
    </row>
    <row r="988" spans="1:11" s="4" customFormat="1">
      <c r="A988" s="12" t="e">
        <f>#REF!</f>
        <v>#REF!</v>
      </c>
      <c r="B988" s="8" t="e">
        <f>#REF!</f>
        <v>#REF!</v>
      </c>
      <c r="C988" s="7"/>
      <c r="D988" s="7"/>
      <c r="E988" s="7"/>
      <c r="F988" s="93"/>
      <c r="G988" s="94"/>
      <c r="H988" s="298"/>
      <c r="I988" s="80" t="e">
        <f>SUM(I989:I992)</f>
        <v>#REF!</v>
      </c>
      <c r="K988" s="77">
        <v>983</v>
      </c>
    </row>
    <row r="989" spans="1:11">
      <c r="A989" s="13">
        <v>1</v>
      </c>
      <c r="B989" s="5" t="s">
        <v>82</v>
      </c>
      <c r="C989" s="6" t="str">
        <f>Gia_Tbi!C4</f>
        <v>Cái</v>
      </c>
      <c r="D989" s="6">
        <f>Gia_Tbi!D4</f>
        <v>0.4</v>
      </c>
      <c r="E989" s="6">
        <f>Gia_Tbi!E4</f>
        <v>5</v>
      </c>
      <c r="F989" s="118">
        <f>Gia_Tbi!F4</f>
        <v>10000000</v>
      </c>
      <c r="G989" s="6">
        <f>Gia_Tbi!G4</f>
        <v>4000</v>
      </c>
      <c r="H989" s="302">
        <v>12</v>
      </c>
      <c r="I989" s="84">
        <f>G989*H989</f>
        <v>48000</v>
      </c>
      <c r="K989" s="77">
        <v>984</v>
      </c>
    </row>
    <row r="990" spans="1:11">
      <c r="A990" s="13">
        <v>2</v>
      </c>
      <c r="B990" s="5" t="s">
        <v>83</v>
      </c>
      <c r="C990" s="6" t="str">
        <f>Gia_Tbi!C5</f>
        <v>Cái</v>
      </c>
      <c r="D990" s="6">
        <f>Gia_Tbi!D5</f>
        <v>0.6</v>
      </c>
      <c r="E990" s="6">
        <f>Gia_Tbi!E5</f>
        <v>5</v>
      </c>
      <c r="F990" s="82">
        <f>Gia_Tbi!F5</f>
        <v>2500000</v>
      </c>
      <c r="G990" s="83">
        <f>Gia_Tbi!G5</f>
        <v>1000</v>
      </c>
      <c r="H990" s="302">
        <v>0.15</v>
      </c>
      <c r="I990" s="84">
        <f>G990*H990</f>
        <v>150</v>
      </c>
      <c r="K990" s="77">
        <v>985</v>
      </c>
    </row>
    <row r="991" spans="1:11">
      <c r="A991" s="13">
        <v>3</v>
      </c>
      <c r="B991" s="5" t="s">
        <v>25</v>
      </c>
      <c r="C991" s="6" t="str">
        <f>Gia_Tbi!C6</f>
        <v>Cái</v>
      </c>
      <c r="D991" s="6">
        <f>Gia_Tbi!D6</f>
        <v>2.2000000000000002</v>
      </c>
      <c r="E991" s="6">
        <f>Gia_Tbi!E6</f>
        <v>8</v>
      </c>
      <c r="F991" s="82">
        <f>Gia_Tbi!F6</f>
        <v>12000000</v>
      </c>
      <c r="G991" s="83">
        <f>Gia_Tbi!G6</f>
        <v>3000</v>
      </c>
      <c r="H991" s="302">
        <v>0.67</v>
      </c>
      <c r="I991" s="84">
        <f>G991*H991</f>
        <v>2010.0000000000002</v>
      </c>
      <c r="K991" s="77">
        <v>986</v>
      </c>
    </row>
    <row r="992" spans="1:11">
      <c r="A992" s="13">
        <v>4</v>
      </c>
      <c r="B992" s="5" t="s">
        <v>24</v>
      </c>
      <c r="C992" s="6" t="e">
        <f>Gia_Tbi!#REF!</f>
        <v>#REF!</v>
      </c>
      <c r="D992" s="6" t="e">
        <f>Gia_Tbi!#REF!</f>
        <v>#REF!</v>
      </c>
      <c r="E992" s="6" t="e">
        <f>Gia_Tbi!#REF!</f>
        <v>#REF!</v>
      </c>
      <c r="F992" s="82" t="e">
        <f>Gia_Tbi!#REF!</f>
        <v>#REF!</v>
      </c>
      <c r="G992" s="83" t="e">
        <f>Gia_Tbi!#REF!</f>
        <v>#REF!</v>
      </c>
      <c r="H992" s="302">
        <v>0.2</v>
      </c>
      <c r="I992" s="84" t="e">
        <f>G992*H992</f>
        <v>#REF!</v>
      </c>
      <c r="K992" s="77">
        <v>987</v>
      </c>
    </row>
    <row r="993" spans="1:11">
      <c r="A993" s="40">
        <v>5</v>
      </c>
      <c r="B993" s="41" t="s">
        <v>8</v>
      </c>
      <c r="C993" s="42" t="str">
        <f>Gia_Tbi!C9</f>
        <v>Cái</v>
      </c>
      <c r="D993" s="42">
        <f>Gia_Tbi!D9</f>
        <v>0.8</v>
      </c>
      <c r="E993" s="117">
        <f>Gia_Tbi!E9</f>
        <v>8</v>
      </c>
      <c r="F993" s="119">
        <f>Gia_Tbi!F9</f>
        <v>45200000</v>
      </c>
      <c r="G993" s="42">
        <f>Gia_Tbi!G9</f>
        <v>11300</v>
      </c>
      <c r="H993" s="296" t="e">
        <f>(H989*D989+H990*D990+H991*D991+H992*D992)*8</f>
        <v>#REF!</v>
      </c>
      <c r="I993" s="120" t="e">
        <f>G993*H993*E993</f>
        <v>#REF!</v>
      </c>
      <c r="K993" s="77">
        <v>988</v>
      </c>
    </row>
    <row r="994" spans="1:11" s="4" customFormat="1">
      <c r="A994" s="12" t="e">
        <f>#REF!</f>
        <v>#REF!</v>
      </c>
      <c r="B994" s="8" t="e">
        <f>#REF!</f>
        <v>#REF!</v>
      </c>
      <c r="C994" s="7"/>
      <c r="D994" s="7"/>
      <c r="E994" s="7"/>
      <c r="F994" s="93"/>
      <c r="G994" s="94"/>
      <c r="H994" s="298"/>
      <c r="I994" s="80" t="e">
        <f>SUM(I995:I998)</f>
        <v>#REF!</v>
      </c>
      <c r="K994" s="77">
        <v>989</v>
      </c>
    </row>
    <row r="995" spans="1:11">
      <c r="A995" s="13">
        <v>1</v>
      </c>
      <c r="B995" s="5" t="s">
        <v>82</v>
      </c>
      <c r="C995" s="6" t="str">
        <f>Gia_Tbi!C4</f>
        <v>Cái</v>
      </c>
      <c r="D995" s="6">
        <f>Gia_Tbi!D4</f>
        <v>0.4</v>
      </c>
      <c r="E995" s="6">
        <f>Gia_Tbi!E4</f>
        <v>5</v>
      </c>
      <c r="F995" s="118">
        <f>Gia_Tbi!F4</f>
        <v>10000000</v>
      </c>
      <c r="G995" s="6">
        <f>Gia_Tbi!G4</f>
        <v>4000</v>
      </c>
      <c r="H995" s="302">
        <v>10</v>
      </c>
      <c r="I995" s="84">
        <f>G995*H995</f>
        <v>40000</v>
      </c>
      <c r="K995" s="77">
        <v>990</v>
      </c>
    </row>
    <row r="996" spans="1:11">
      <c r="A996" s="13">
        <v>2</v>
      </c>
      <c r="B996" s="5" t="s">
        <v>83</v>
      </c>
      <c r="C996" s="6" t="str">
        <f>Gia_Tbi!C5</f>
        <v>Cái</v>
      </c>
      <c r="D996" s="6">
        <f>Gia_Tbi!D5</f>
        <v>0.6</v>
      </c>
      <c r="E996" s="6">
        <f>Gia_Tbi!E5</f>
        <v>5</v>
      </c>
      <c r="F996" s="82">
        <f>Gia_Tbi!F5</f>
        <v>2500000</v>
      </c>
      <c r="G996" s="83">
        <f>Gia_Tbi!G5</f>
        <v>1000</v>
      </c>
      <c r="H996" s="302">
        <v>0.14000000000000001</v>
      </c>
      <c r="I996" s="84">
        <f>G996*H996</f>
        <v>140</v>
      </c>
      <c r="K996" s="77">
        <v>991</v>
      </c>
    </row>
    <row r="997" spans="1:11">
      <c r="A997" s="13">
        <v>3</v>
      </c>
      <c r="B997" s="5" t="s">
        <v>25</v>
      </c>
      <c r="C997" s="6" t="str">
        <f>Gia_Tbi!C6</f>
        <v>Cái</v>
      </c>
      <c r="D997" s="6">
        <f>Gia_Tbi!D6</f>
        <v>2.2000000000000002</v>
      </c>
      <c r="E997" s="6">
        <f>Gia_Tbi!E6</f>
        <v>8</v>
      </c>
      <c r="F997" s="82">
        <f>Gia_Tbi!F6</f>
        <v>12000000</v>
      </c>
      <c r="G997" s="83">
        <f>Gia_Tbi!G6</f>
        <v>3000</v>
      </c>
      <c r="H997" s="302">
        <v>1.1100000000000001</v>
      </c>
      <c r="I997" s="84">
        <f>G997*H997</f>
        <v>3330.0000000000005</v>
      </c>
      <c r="K997" s="77">
        <v>992</v>
      </c>
    </row>
    <row r="998" spans="1:11">
      <c r="A998" s="13">
        <v>4</v>
      </c>
      <c r="B998" s="5" t="s">
        <v>24</v>
      </c>
      <c r="C998" s="6" t="e">
        <f>Gia_Tbi!#REF!</f>
        <v>#REF!</v>
      </c>
      <c r="D998" s="6" t="e">
        <f>Gia_Tbi!#REF!</f>
        <v>#REF!</v>
      </c>
      <c r="E998" s="6" t="e">
        <f>Gia_Tbi!#REF!</f>
        <v>#REF!</v>
      </c>
      <c r="F998" s="82" t="e">
        <f>Gia_Tbi!#REF!</f>
        <v>#REF!</v>
      </c>
      <c r="G998" s="83" t="e">
        <f>Gia_Tbi!#REF!</f>
        <v>#REF!</v>
      </c>
      <c r="H998" s="302">
        <v>0.2</v>
      </c>
      <c r="I998" s="84" t="e">
        <f>G998*H998</f>
        <v>#REF!</v>
      </c>
      <c r="K998" s="77">
        <v>993</v>
      </c>
    </row>
    <row r="999" spans="1:11">
      <c r="A999" s="13">
        <v>5</v>
      </c>
      <c r="B999" s="5" t="s">
        <v>8</v>
      </c>
      <c r="C999" s="6" t="str">
        <f>Gia_Tbi!C9</f>
        <v>Cái</v>
      </c>
      <c r="D999" s="6">
        <f>Gia_Tbi!D9</f>
        <v>0.8</v>
      </c>
      <c r="E999" s="6">
        <f>Gia_Tbi!E9</f>
        <v>8</v>
      </c>
      <c r="F999" s="82">
        <f>Gia_Tbi!F9</f>
        <v>45200000</v>
      </c>
      <c r="G999" s="83">
        <f>Gia_Tbi!G9</f>
        <v>11300</v>
      </c>
      <c r="H999" s="302" t="e">
        <f>(H995*D995+H996*D996+H997*D997+H998*D998)*8</f>
        <v>#REF!</v>
      </c>
      <c r="I999" s="84" t="e">
        <f>G999*H999*E999</f>
        <v>#REF!</v>
      </c>
      <c r="K999" s="77">
        <v>994</v>
      </c>
    </row>
    <row r="1000" spans="1:11" ht="16.5" thickBot="1">
      <c r="A1000" s="121"/>
      <c r="B1000" s="122"/>
      <c r="C1000" s="123"/>
      <c r="D1000" s="123"/>
      <c r="E1000" s="124"/>
      <c r="F1000" s="125"/>
      <c r="G1000" s="123"/>
      <c r="H1000" s="306"/>
      <c r="I1000" s="126"/>
      <c r="K1000" s="77"/>
    </row>
  </sheetData>
  <mergeCells count="24">
    <mergeCell ref="A626:A628"/>
    <mergeCell ref="B626:B628"/>
    <mergeCell ref="B848:I848"/>
    <mergeCell ref="A12:A14"/>
    <mergeCell ref="B12:B14"/>
    <mergeCell ref="A163:A165"/>
    <mergeCell ref="B163:B165"/>
    <mergeCell ref="A172:A174"/>
    <mergeCell ref="B172:B174"/>
    <mergeCell ref="A180:A182"/>
    <mergeCell ref="A602:A604"/>
    <mergeCell ref="B602:B604"/>
    <mergeCell ref="A634:A636"/>
    <mergeCell ref="B634:B636"/>
    <mergeCell ref="A610:A612"/>
    <mergeCell ref="B610:B612"/>
    <mergeCell ref="A1:I1"/>
    <mergeCell ref="B5:I5"/>
    <mergeCell ref="B156:I156"/>
    <mergeCell ref="A618:A620"/>
    <mergeCell ref="B618:B620"/>
    <mergeCell ref="B350:I350"/>
    <mergeCell ref="B594:I594"/>
    <mergeCell ref="B180:B182"/>
  </mergeCells>
  <phoneticPr fontId="4" type="noConversion"/>
  <printOptions horizontalCentered="1"/>
  <pageMargins left="0.5" right="0.25" top="0.5" bottom="0.5" header="0.5" footer="0.5"/>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H1692"/>
  <sheetViews>
    <sheetView topLeftCell="A25" workbookViewId="0">
      <selection activeCell="B114" sqref="B114"/>
    </sheetView>
  </sheetViews>
  <sheetFormatPr defaultColWidth="9" defaultRowHeight="15.75"/>
  <cols>
    <col min="1" max="1" width="8.125" style="1" customWidth="1"/>
    <col min="2" max="2" width="47.625" style="2" customWidth="1"/>
    <col min="3" max="3" width="6.375" style="1" customWidth="1"/>
    <col min="4" max="4" width="9.375" style="68" customWidth="1"/>
    <col min="5" max="5" width="9" style="49"/>
    <col min="6" max="6" width="14" style="20" customWidth="1"/>
    <col min="7" max="11" width="0" style="2" hidden="1" customWidth="1"/>
    <col min="12" max="14" width="9" style="2"/>
    <col min="15" max="15" width="31.625" style="2" customWidth="1"/>
    <col min="16" max="16384" width="9" style="2"/>
  </cols>
  <sheetData>
    <row r="1" spans="1:8">
      <c r="A1" s="1274" t="s">
        <v>95</v>
      </c>
      <c r="B1" s="1274"/>
      <c r="C1" s="1274"/>
      <c r="D1" s="1274"/>
      <c r="E1" s="1274"/>
      <c r="F1" s="1274"/>
    </row>
    <row r="2" spans="1:8" ht="16.5" thickBot="1">
      <c r="E2" s="43" t="s">
        <v>79</v>
      </c>
      <c r="F2" s="34" t="s">
        <v>84</v>
      </c>
    </row>
    <row r="3" spans="1:8" s="4" customFormat="1" ht="31.5">
      <c r="A3" s="1275" t="s">
        <v>14</v>
      </c>
      <c r="B3" s="1277" t="s">
        <v>3</v>
      </c>
      <c r="C3" s="1277" t="s">
        <v>21</v>
      </c>
      <c r="D3" s="69" t="s">
        <v>19</v>
      </c>
      <c r="E3" s="44" t="s">
        <v>18</v>
      </c>
      <c r="F3" s="23" t="s">
        <v>20</v>
      </c>
    </row>
    <row r="4" spans="1:8" s="4" customFormat="1">
      <c r="A4" s="1276"/>
      <c r="B4" s="1278"/>
      <c r="C4" s="1278"/>
      <c r="D4" s="314" t="s">
        <v>104</v>
      </c>
      <c r="E4" s="315" t="s">
        <v>108</v>
      </c>
      <c r="F4" s="316" t="s">
        <v>104</v>
      </c>
    </row>
    <row r="5" spans="1:8" s="9" customFormat="1">
      <c r="A5" s="24" t="e">
        <f>#REF!</f>
        <v>#REF!</v>
      </c>
      <c r="B5" s="113" t="e">
        <f>#REF!</f>
        <v>#REF!</v>
      </c>
      <c r="C5" s="114"/>
      <c r="D5" s="114"/>
      <c r="E5" s="114"/>
      <c r="F5" s="115"/>
      <c r="H5" s="10">
        <v>1</v>
      </c>
    </row>
    <row r="6" spans="1:8" s="33" customFormat="1">
      <c r="A6" s="31" t="e">
        <f>#REF!</f>
        <v>#REF!</v>
      </c>
      <c r="B6" s="32" t="e">
        <f>#REF!</f>
        <v>#REF!</v>
      </c>
      <c r="C6" s="15"/>
      <c r="D6" s="127">
        <f>Gia_VLieu!D$14</f>
        <v>1.08</v>
      </c>
      <c r="E6" s="45"/>
      <c r="F6" s="18" t="e">
        <f>SUM(F7:F17)*D6</f>
        <v>#REF!</v>
      </c>
      <c r="H6" s="10">
        <v>2</v>
      </c>
    </row>
    <row r="7" spans="1:8" s="3" customFormat="1">
      <c r="A7" s="13">
        <v>1</v>
      </c>
      <c r="B7" s="193" t="s">
        <v>85</v>
      </c>
      <c r="C7" s="6" t="str">
        <f>Gia_VLieu!C4</f>
        <v>Gram</v>
      </c>
      <c r="D7" s="66">
        <f>Gia_VLieu!D4</f>
        <v>45000</v>
      </c>
      <c r="E7" s="30">
        <v>4</v>
      </c>
      <c r="F7" s="16">
        <f t="shared" ref="F7:F17" si="0">D7*E7</f>
        <v>180000</v>
      </c>
      <c r="H7" s="10">
        <v>3</v>
      </c>
    </row>
    <row r="8" spans="1:8" s="3" customFormat="1">
      <c r="A8" s="13">
        <v>2</v>
      </c>
      <c r="B8" s="193" t="s">
        <v>86</v>
      </c>
      <c r="C8" s="6" t="str">
        <f>Gia_VLieu!C5</f>
        <v>Hộp</v>
      </c>
      <c r="D8" s="66">
        <f>Gia_VLieu!D5</f>
        <v>1450000</v>
      </c>
      <c r="E8" s="30">
        <v>0.3</v>
      </c>
      <c r="F8" s="16">
        <f t="shared" si="0"/>
        <v>435000</v>
      </c>
      <c r="H8" s="10">
        <v>4</v>
      </c>
    </row>
    <row r="9" spans="1:8" s="3" customFormat="1">
      <c r="A9" s="13">
        <v>3</v>
      </c>
      <c r="B9" s="193" t="s">
        <v>87</v>
      </c>
      <c r="C9" s="6" t="e">
        <f>Gia_VLieu!#REF!</f>
        <v>#REF!</v>
      </c>
      <c r="D9" s="66" t="e">
        <f>Gia_VLieu!#REF!</f>
        <v>#REF!</v>
      </c>
      <c r="E9" s="30">
        <v>0.2</v>
      </c>
      <c r="F9" s="16" t="e">
        <f t="shared" si="0"/>
        <v>#REF!</v>
      </c>
      <c r="H9" s="10">
        <v>5</v>
      </c>
    </row>
    <row r="10" spans="1:8" s="3" customFormat="1">
      <c r="A10" s="13">
        <v>4</v>
      </c>
      <c r="B10" s="193" t="s">
        <v>88</v>
      </c>
      <c r="C10" s="6" t="str">
        <f>Gia_VLieu!C6</f>
        <v>Quyển</v>
      </c>
      <c r="D10" s="66">
        <f>Gia_VLieu!D6</f>
        <v>10000</v>
      </c>
      <c r="E10" s="30">
        <v>12</v>
      </c>
      <c r="F10" s="16">
        <f t="shared" si="0"/>
        <v>120000</v>
      </c>
      <c r="H10" s="10">
        <v>6</v>
      </c>
    </row>
    <row r="11" spans="1:8" s="3" customFormat="1">
      <c r="A11" s="13">
        <v>5</v>
      </c>
      <c r="B11" s="193" t="s">
        <v>22</v>
      </c>
      <c r="C11" s="6" t="str">
        <f>Gia_VLieu!C7</f>
        <v>Cái</v>
      </c>
      <c r="D11" s="66">
        <f>Gia_VLieu!D7</f>
        <v>2000</v>
      </c>
      <c r="E11" s="30">
        <v>25</v>
      </c>
      <c r="F11" s="16">
        <f t="shared" si="0"/>
        <v>50000</v>
      </c>
      <c r="H11" s="10">
        <v>7</v>
      </c>
    </row>
    <row r="12" spans="1:8" s="3" customFormat="1">
      <c r="A12" s="13">
        <v>6</v>
      </c>
      <c r="B12" s="5" t="s">
        <v>89</v>
      </c>
      <c r="C12" s="6" t="str">
        <f>Gia_VLieu!C8</f>
        <v>Cái</v>
      </c>
      <c r="D12" s="66">
        <f>Gia_VLieu!D8</f>
        <v>8000</v>
      </c>
      <c r="E12" s="30">
        <v>20</v>
      </c>
      <c r="F12" s="16">
        <f t="shared" si="0"/>
        <v>160000</v>
      </c>
      <c r="H12" s="10">
        <v>8</v>
      </c>
    </row>
    <row r="13" spans="1:8" s="3" customFormat="1">
      <c r="A13" s="13">
        <v>7</v>
      </c>
      <c r="B13" s="5" t="s">
        <v>90</v>
      </c>
      <c r="C13" s="6" t="str">
        <f>Gia_VLieu!C9</f>
        <v>Cái</v>
      </c>
      <c r="D13" s="66">
        <f>Gia_VLieu!D9</f>
        <v>10000</v>
      </c>
      <c r="E13" s="30">
        <v>20</v>
      </c>
      <c r="F13" s="16">
        <f t="shared" si="0"/>
        <v>200000</v>
      </c>
      <c r="H13" s="10">
        <v>9</v>
      </c>
    </row>
    <row r="14" spans="1:8" s="3" customFormat="1">
      <c r="A14" s="13">
        <v>8</v>
      </c>
      <c r="B14" s="5" t="s">
        <v>91</v>
      </c>
      <c r="C14" s="6" t="str">
        <f>Gia_VLieu!C10</f>
        <v>Hộp</v>
      </c>
      <c r="D14" s="66">
        <f>Gia_VLieu!D10</f>
        <v>2500</v>
      </c>
      <c r="E14" s="30">
        <v>8</v>
      </c>
      <c r="F14" s="16">
        <f t="shared" si="0"/>
        <v>20000</v>
      </c>
      <c r="H14" s="10">
        <v>10</v>
      </c>
    </row>
    <row r="15" spans="1:8" s="3" customFormat="1">
      <c r="A15" s="13">
        <v>9</v>
      </c>
      <c r="B15" s="193" t="s">
        <v>92</v>
      </c>
      <c r="C15" s="6" t="str">
        <f>Gia_VLieu!C11</f>
        <v>Hộp</v>
      </c>
      <c r="D15" s="66">
        <f>Gia_VLieu!D11</f>
        <v>2000</v>
      </c>
      <c r="E15" s="30">
        <v>2</v>
      </c>
      <c r="F15" s="16">
        <f t="shared" si="0"/>
        <v>4000</v>
      </c>
      <c r="H15" s="10">
        <v>11</v>
      </c>
    </row>
    <row r="16" spans="1:8" s="3" customFormat="1">
      <c r="A16" s="13">
        <v>10</v>
      </c>
      <c r="B16" s="193" t="s">
        <v>93</v>
      </c>
      <c r="C16" s="6" t="str">
        <f>Gia_VLieu!C12</f>
        <v>Tập</v>
      </c>
      <c r="D16" s="66">
        <f>Gia_VLieu!D12</f>
        <v>8000</v>
      </c>
      <c r="E16" s="30">
        <v>5</v>
      </c>
      <c r="F16" s="16">
        <f t="shared" si="0"/>
        <v>40000</v>
      </c>
      <c r="H16" s="10">
        <v>12</v>
      </c>
    </row>
    <row r="17" spans="1:8" s="3" customFormat="1">
      <c r="A17" s="40">
        <v>11</v>
      </c>
      <c r="B17" s="209" t="s">
        <v>94</v>
      </c>
      <c r="C17" s="42" t="str">
        <f>Gia_VLieu!C13</f>
        <v>Cái</v>
      </c>
      <c r="D17" s="67">
        <f>Gia_VLieu!D13</f>
        <v>15000</v>
      </c>
      <c r="E17" s="46">
        <v>8</v>
      </c>
      <c r="F17" s="38">
        <f t="shared" si="0"/>
        <v>120000</v>
      </c>
      <c r="H17" s="10">
        <v>13</v>
      </c>
    </row>
    <row r="18" spans="1:8" s="33" customFormat="1">
      <c r="A18" s="31" t="e">
        <f>#REF!</f>
        <v>#REF!</v>
      </c>
      <c r="B18" s="32" t="e">
        <f>#REF!</f>
        <v>#REF!</v>
      </c>
      <c r="C18" s="15"/>
      <c r="D18" s="127">
        <f>Gia_VLieu!D$14</f>
        <v>1.08</v>
      </c>
      <c r="E18" s="45"/>
      <c r="F18" s="18" t="e">
        <f>SUM(F19:F29)*D18</f>
        <v>#REF!</v>
      </c>
      <c r="H18" s="10">
        <v>14</v>
      </c>
    </row>
    <row r="19" spans="1:8" s="3" customFormat="1">
      <c r="A19" s="13">
        <v>1</v>
      </c>
      <c r="B19" s="5" t="s">
        <v>85</v>
      </c>
      <c r="C19" s="6" t="str">
        <f>Gia_VLieu!C4</f>
        <v>Gram</v>
      </c>
      <c r="D19" s="66">
        <f>Gia_VLieu!D4</f>
        <v>45000</v>
      </c>
      <c r="E19" s="30">
        <v>5</v>
      </c>
      <c r="F19" s="16">
        <f t="shared" ref="F19:F29" si="1">D19*E19</f>
        <v>225000</v>
      </c>
      <c r="H19" s="10">
        <v>15</v>
      </c>
    </row>
    <row r="20" spans="1:8" s="3" customFormat="1">
      <c r="A20" s="13">
        <v>2</v>
      </c>
      <c r="B20" s="5" t="s">
        <v>86</v>
      </c>
      <c r="C20" s="6" t="str">
        <f>Gia_VLieu!C5</f>
        <v>Hộp</v>
      </c>
      <c r="D20" s="66">
        <f>Gia_VLieu!D5</f>
        <v>1450000</v>
      </c>
      <c r="E20" s="30">
        <v>0.2</v>
      </c>
      <c r="F20" s="16">
        <f t="shared" si="1"/>
        <v>290000</v>
      </c>
      <c r="H20" s="10">
        <v>16</v>
      </c>
    </row>
    <row r="21" spans="1:8" s="3" customFormat="1">
      <c r="A21" s="13">
        <v>3</v>
      </c>
      <c r="B21" s="5" t="s">
        <v>87</v>
      </c>
      <c r="C21" s="6" t="e">
        <f>Gia_VLieu!#REF!</f>
        <v>#REF!</v>
      </c>
      <c r="D21" s="66" t="e">
        <f>Gia_VLieu!#REF!</f>
        <v>#REF!</v>
      </c>
      <c r="E21" s="30">
        <v>0.3</v>
      </c>
      <c r="F21" s="16" t="e">
        <f t="shared" si="1"/>
        <v>#REF!</v>
      </c>
      <c r="H21" s="10">
        <v>17</v>
      </c>
    </row>
    <row r="22" spans="1:8" s="3" customFormat="1">
      <c r="A22" s="13">
        <v>4</v>
      </c>
      <c r="B22" s="5" t="s">
        <v>88</v>
      </c>
      <c r="C22" s="6" t="str">
        <f>Gia_VLieu!C6</f>
        <v>Quyển</v>
      </c>
      <c r="D22" s="66">
        <f>Gia_VLieu!D6</f>
        <v>10000</v>
      </c>
      <c r="E22" s="30">
        <v>4</v>
      </c>
      <c r="F22" s="16">
        <f t="shared" si="1"/>
        <v>40000</v>
      </c>
      <c r="H22" s="10">
        <v>18</v>
      </c>
    </row>
    <row r="23" spans="1:8" s="3" customFormat="1">
      <c r="A23" s="13">
        <v>5</v>
      </c>
      <c r="B23" s="5" t="s">
        <v>22</v>
      </c>
      <c r="C23" s="6" t="str">
        <f>Gia_VLieu!C7</f>
        <v>Cái</v>
      </c>
      <c r="D23" s="66">
        <f>Gia_VLieu!D7</f>
        <v>2000</v>
      </c>
      <c r="E23" s="30">
        <v>15</v>
      </c>
      <c r="F23" s="16">
        <f t="shared" si="1"/>
        <v>30000</v>
      </c>
      <c r="H23" s="10">
        <v>19</v>
      </c>
    </row>
    <row r="24" spans="1:8" s="3" customFormat="1">
      <c r="A24" s="13">
        <v>6</v>
      </c>
      <c r="B24" s="5" t="s">
        <v>89</v>
      </c>
      <c r="C24" s="6" t="str">
        <f>Gia_VLieu!C8</f>
        <v>Cái</v>
      </c>
      <c r="D24" s="66">
        <f>Gia_VLieu!D8</f>
        <v>8000</v>
      </c>
      <c r="E24" s="30">
        <v>25</v>
      </c>
      <c r="F24" s="16">
        <f t="shared" si="1"/>
        <v>200000</v>
      </c>
      <c r="H24" s="10">
        <v>20</v>
      </c>
    </row>
    <row r="25" spans="1:8" s="3" customFormat="1">
      <c r="A25" s="13">
        <v>7</v>
      </c>
      <c r="B25" s="5" t="s">
        <v>90</v>
      </c>
      <c r="C25" s="6" t="str">
        <f>Gia_VLieu!C9</f>
        <v>Cái</v>
      </c>
      <c r="D25" s="66">
        <f>Gia_VLieu!D9</f>
        <v>10000</v>
      </c>
      <c r="E25" s="30">
        <v>25</v>
      </c>
      <c r="F25" s="16">
        <f t="shared" si="1"/>
        <v>250000</v>
      </c>
      <c r="H25" s="10">
        <v>21</v>
      </c>
    </row>
    <row r="26" spans="1:8" s="3" customFormat="1">
      <c r="A26" s="13">
        <v>8</v>
      </c>
      <c r="B26" s="5" t="s">
        <v>91</v>
      </c>
      <c r="C26" s="6" t="str">
        <f>Gia_VLieu!C10</f>
        <v>Hộp</v>
      </c>
      <c r="D26" s="66">
        <f>Gia_VLieu!D10</f>
        <v>2500</v>
      </c>
      <c r="E26" s="30">
        <v>6</v>
      </c>
      <c r="F26" s="16">
        <f t="shared" si="1"/>
        <v>15000</v>
      </c>
      <c r="H26" s="10">
        <v>22</v>
      </c>
    </row>
    <row r="27" spans="1:8" s="3" customFormat="1">
      <c r="A27" s="13">
        <v>9</v>
      </c>
      <c r="B27" s="5" t="s">
        <v>92</v>
      </c>
      <c r="C27" s="6" t="str">
        <f>Gia_VLieu!C11</f>
        <v>Hộp</v>
      </c>
      <c r="D27" s="66">
        <f>Gia_VLieu!D11</f>
        <v>2000</v>
      </c>
      <c r="E27" s="30">
        <v>6</v>
      </c>
      <c r="F27" s="16">
        <f t="shared" si="1"/>
        <v>12000</v>
      </c>
      <c r="H27" s="10">
        <v>23</v>
      </c>
    </row>
    <row r="28" spans="1:8" s="3" customFormat="1">
      <c r="A28" s="13">
        <v>10</v>
      </c>
      <c r="B28" s="5" t="s">
        <v>93</v>
      </c>
      <c r="C28" s="6" t="str">
        <f>Gia_VLieu!C12</f>
        <v>Tập</v>
      </c>
      <c r="D28" s="66">
        <f>Gia_VLieu!D12</f>
        <v>8000</v>
      </c>
      <c r="E28" s="30">
        <v>4</v>
      </c>
      <c r="F28" s="16">
        <f t="shared" si="1"/>
        <v>32000</v>
      </c>
      <c r="H28" s="10">
        <v>24</v>
      </c>
    </row>
    <row r="29" spans="1:8" s="3" customFormat="1">
      <c r="A29" s="40">
        <v>11</v>
      </c>
      <c r="B29" s="41" t="s">
        <v>94</v>
      </c>
      <c r="C29" s="42" t="str">
        <f>Gia_VLieu!C13</f>
        <v>Cái</v>
      </c>
      <c r="D29" s="67">
        <f>Gia_VLieu!D13</f>
        <v>15000</v>
      </c>
      <c r="E29" s="46">
        <v>20</v>
      </c>
      <c r="F29" s="38">
        <f t="shared" si="1"/>
        <v>300000</v>
      </c>
      <c r="H29" s="10">
        <v>25</v>
      </c>
    </row>
    <row r="30" spans="1:8" s="14" customFormat="1">
      <c r="A30" s="12" t="e">
        <f>#REF!</f>
        <v>#REF!</v>
      </c>
      <c r="B30" s="8" t="e">
        <f>#REF!</f>
        <v>#REF!</v>
      </c>
      <c r="C30" s="7"/>
      <c r="D30" s="72"/>
      <c r="E30" s="48"/>
      <c r="F30" s="17"/>
      <c r="H30" s="10">
        <v>26</v>
      </c>
    </row>
    <row r="31" spans="1:8" s="33" customFormat="1">
      <c r="A31" s="31" t="e">
        <f>#REF!</f>
        <v>#REF!</v>
      </c>
      <c r="B31" s="32" t="e">
        <f>#REF!</f>
        <v>#REF!</v>
      </c>
      <c r="C31" s="15"/>
      <c r="D31" s="70"/>
      <c r="E31" s="45"/>
      <c r="F31" s="18"/>
      <c r="H31" s="10">
        <v>27</v>
      </c>
    </row>
    <row r="32" spans="1:8" s="3" customFormat="1">
      <c r="A32" s="13" t="e">
        <f>#REF!</f>
        <v>#REF!</v>
      </c>
      <c r="B32" s="5" t="e">
        <f>#REF!</f>
        <v>#REF!</v>
      </c>
      <c r="C32" s="6"/>
      <c r="D32" s="127">
        <f>Gia_VLieu!D$14</f>
        <v>1.08</v>
      </c>
      <c r="E32" s="45"/>
      <c r="F32" s="18" t="e">
        <f>SUM(F33:F43)*D32</f>
        <v>#REF!</v>
      </c>
      <c r="H32" s="10">
        <v>28</v>
      </c>
    </row>
    <row r="33" spans="1:8" s="3" customFormat="1">
      <c r="A33" s="13">
        <v>1</v>
      </c>
      <c r="B33" s="5" t="s">
        <v>85</v>
      </c>
      <c r="C33" s="6" t="str">
        <f>Gia_VLieu!C4</f>
        <v>Gram</v>
      </c>
      <c r="D33" s="66">
        <f>Gia_VLieu!D4</f>
        <v>45000</v>
      </c>
      <c r="E33" s="30">
        <v>1</v>
      </c>
      <c r="F33" s="16">
        <f t="shared" ref="F33:F43" si="2">D33*E33</f>
        <v>45000</v>
      </c>
      <c r="H33" s="10">
        <v>29</v>
      </c>
    </row>
    <row r="34" spans="1:8" s="3" customFormat="1">
      <c r="A34" s="13">
        <v>2</v>
      </c>
      <c r="B34" s="5" t="s">
        <v>86</v>
      </c>
      <c r="C34" s="6" t="str">
        <f>Gia_VLieu!C5</f>
        <v>Hộp</v>
      </c>
      <c r="D34" s="66">
        <f>Gia_VLieu!D5</f>
        <v>1450000</v>
      </c>
      <c r="E34" s="30">
        <v>0.1</v>
      </c>
      <c r="F34" s="16">
        <f t="shared" si="2"/>
        <v>145000</v>
      </c>
      <c r="H34" s="10">
        <v>30</v>
      </c>
    </row>
    <row r="35" spans="1:8" s="3" customFormat="1">
      <c r="A35" s="13">
        <v>3</v>
      </c>
      <c r="B35" s="5" t="s">
        <v>87</v>
      </c>
      <c r="C35" s="6" t="e">
        <f>Gia_VLieu!#REF!</f>
        <v>#REF!</v>
      </c>
      <c r="D35" s="66" t="e">
        <f>Gia_VLieu!#REF!</f>
        <v>#REF!</v>
      </c>
      <c r="E35" s="30">
        <v>0.05</v>
      </c>
      <c r="F35" s="16" t="e">
        <f t="shared" si="2"/>
        <v>#REF!</v>
      </c>
      <c r="H35" s="10">
        <v>31</v>
      </c>
    </row>
    <row r="36" spans="1:8" s="3" customFormat="1">
      <c r="A36" s="13">
        <v>4</v>
      </c>
      <c r="B36" s="5" t="s">
        <v>88</v>
      </c>
      <c r="C36" s="6" t="str">
        <f>Gia_VLieu!C6</f>
        <v>Quyển</v>
      </c>
      <c r="D36" s="66">
        <f>Gia_VLieu!D6</f>
        <v>10000</v>
      </c>
      <c r="E36" s="30">
        <v>8</v>
      </c>
      <c r="F36" s="16">
        <f t="shared" si="2"/>
        <v>80000</v>
      </c>
      <c r="H36" s="10">
        <v>32</v>
      </c>
    </row>
    <row r="37" spans="1:8" s="3" customFormat="1">
      <c r="A37" s="13">
        <v>5</v>
      </c>
      <c r="B37" s="5" t="s">
        <v>22</v>
      </c>
      <c r="C37" s="6" t="str">
        <f>Gia_VLieu!C7</f>
        <v>Cái</v>
      </c>
      <c r="D37" s="66">
        <f>Gia_VLieu!D7</f>
        <v>2000</v>
      </c>
      <c r="E37" s="30">
        <v>15</v>
      </c>
      <c r="F37" s="16">
        <f t="shared" si="2"/>
        <v>30000</v>
      </c>
      <c r="H37" s="10">
        <v>33</v>
      </c>
    </row>
    <row r="38" spans="1:8" s="3" customFormat="1" hidden="1">
      <c r="A38" s="13">
        <v>6</v>
      </c>
      <c r="B38" s="5" t="s">
        <v>89</v>
      </c>
      <c r="C38" s="6" t="str">
        <f>Gia_VLieu!C8</f>
        <v>Cái</v>
      </c>
      <c r="D38" s="66">
        <f>Gia_VLieu!D8</f>
        <v>8000</v>
      </c>
      <c r="E38" s="30"/>
      <c r="F38" s="16">
        <f t="shared" si="2"/>
        <v>0</v>
      </c>
      <c r="H38" s="10">
        <v>34</v>
      </c>
    </row>
    <row r="39" spans="1:8" s="3" customFormat="1" hidden="1">
      <c r="A39" s="13">
        <v>7</v>
      </c>
      <c r="B39" s="5" t="s">
        <v>90</v>
      </c>
      <c r="C39" s="6" t="str">
        <f>Gia_VLieu!C9</f>
        <v>Cái</v>
      </c>
      <c r="D39" s="66">
        <f>Gia_VLieu!D9</f>
        <v>10000</v>
      </c>
      <c r="E39" s="30"/>
      <c r="F39" s="16">
        <f t="shared" si="2"/>
        <v>0</v>
      </c>
      <c r="H39" s="10">
        <v>35</v>
      </c>
    </row>
    <row r="40" spans="1:8" s="3" customFormat="1" hidden="1">
      <c r="A40" s="13">
        <v>8</v>
      </c>
      <c r="B40" s="5" t="s">
        <v>91</v>
      </c>
      <c r="C40" s="6" t="str">
        <f>Gia_VLieu!C10</f>
        <v>Hộp</v>
      </c>
      <c r="D40" s="66">
        <f>Gia_VLieu!D10</f>
        <v>2500</v>
      </c>
      <c r="E40" s="30"/>
      <c r="F40" s="16">
        <f t="shared" si="2"/>
        <v>0</v>
      </c>
      <c r="H40" s="10">
        <v>36</v>
      </c>
    </row>
    <row r="41" spans="1:8" s="3" customFormat="1">
      <c r="A41" s="13">
        <v>6</v>
      </c>
      <c r="B41" s="5" t="s">
        <v>92</v>
      </c>
      <c r="C41" s="6" t="str">
        <f>Gia_VLieu!C11</f>
        <v>Hộp</v>
      </c>
      <c r="D41" s="66">
        <f>Gia_VLieu!D11</f>
        <v>2000</v>
      </c>
      <c r="E41" s="30">
        <v>2</v>
      </c>
      <c r="F41" s="16">
        <f t="shared" si="2"/>
        <v>4000</v>
      </c>
      <c r="H41" s="10">
        <v>37</v>
      </c>
    </row>
    <row r="42" spans="1:8" s="3" customFormat="1">
      <c r="A42" s="13">
        <v>7</v>
      </c>
      <c r="B42" s="5" t="s">
        <v>93</v>
      </c>
      <c r="C42" s="6" t="str">
        <f>Gia_VLieu!C12</f>
        <v>Tập</v>
      </c>
      <c r="D42" s="66">
        <f>Gia_VLieu!D12</f>
        <v>8000</v>
      </c>
      <c r="E42" s="30">
        <v>1</v>
      </c>
      <c r="F42" s="16">
        <f t="shared" si="2"/>
        <v>8000</v>
      </c>
      <c r="H42" s="10">
        <v>38</v>
      </c>
    </row>
    <row r="43" spans="1:8" s="3" customFormat="1">
      <c r="A43" s="40">
        <v>8</v>
      </c>
      <c r="B43" s="41" t="s">
        <v>94</v>
      </c>
      <c r="C43" s="42" t="str">
        <f>Gia_VLieu!C13</f>
        <v>Cái</v>
      </c>
      <c r="D43" s="67">
        <f>Gia_VLieu!D13</f>
        <v>15000</v>
      </c>
      <c r="E43" s="46">
        <v>4</v>
      </c>
      <c r="F43" s="38">
        <f t="shared" si="2"/>
        <v>60000</v>
      </c>
      <c r="H43" s="10">
        <v>39</v>
      </c>
    </row>
    <row r="44" spans="1:8" s="3" customFormat="1">
      <c r="A44" s="13" t="e">
        <f>#REF!</f>
        <v>#REF!</v>
      </c>
      <c r="B44" s="5" t="e">
        <f>#REF!</f>
        <v>#REF!</v>
      </c>
      <c r="C44" s="6"/>
      <c r="D44" s="127">
        <f>Gia_VLieu!D$14</f>
        <v>1.08</v>
      </c>
      <c r="E44" s="45"/>
      <c r="F44" s="18" t="e">
        <f>SUM(F45:F55)*D44</f>
        <v>#REF!</v>
      </c>
      <c r="H44" s="10">
        <v>40</v>
      </c>
    </row>
    <row r="45" spans="1:8" s="3" customFormat="1">
      <c r="A45" s="13">
        <v>1</v>
      </c>
      <c r="B45" s="5" t="s">
        <v>85</v>
      </c>
      <c r="C45" s="6" t="str">
        <f>Gia_VLieu!C4</f>
        <v>Gram</v>
      </c>
      <c r="D45" s="66">
        <f>Gia_VLieu!D4</f>
        <v>45000</v>
      </c>
      <c r="E45" s="30">
        <v>1</v>
      </c>
      <c r="F45" s="16">
        <f t="shared" ref="F45:F55" si="3">D45*E45</f>
        <v>45000</v>
      </c>
      <c r="H45" s="10">
        <v>41</v>
      </c>
    </row>
    <row r="46" spans="1:8" s="3" customFormat="1">
      <c r="A46" s="13">
        <v>2</v>
      </c>
      <c r="B46" s="5" t="s">
        <v>86</v>
      </c>
      <c r="C46" s="6" t="str">
        <f>Gia_VLieu!C5</f>
        <v>Hộp</v>
      </c>
      <c r="D46" s="66">
        <f>Gia_VLieu!D5</f>
        <v>1450000</v>
      </c>
      <c r="E46" s="30">
        <v>0.15</v>
      </c>
      <c r="F46" s="16">
        <f t="shared" si="3"/>
        <v>217500</v>
      </c>
      <c r="H46" s="10">
        <v>42</v>
      </c>
    </row>
    <row r="47" spans="1:8" s="3" customFormat="1">
      <c r="A47" s="13">
        <v>3</v>
      </c>
      <c r="B47" s="5" t="s">
        <v>87</v>
      </c>
      <c r="C47" s="6" t="e">
        <f>Gia_VLieu!#REF!</f>
        <v>#REF!</v>
      </c>
      <c r="D47" s="66" t="e">
        <f>Gia_VLieu!#REF!</f>
        <v>#REF!</v>
      </c>
      <c r="E47" s="30">
        <v>0.2</v>
      </c>
      <c r="F47" s="16" t="e">
        <f t="shared" si="3"/>
        <v>#REF!</v>
      </c>
      <c r="H47" s="10">
        <v>43</v>
      </c>
    </row>
    <row r="48" spans="1:8" s="3" customFormat="1">
      <c r="A48" s="13">
        <v>4</v>
      </c>
      <c r="B48" s="5" t="s">
        <v>88</v>
      </c>
      <c r="C48" s="6" t="str">
        <f>Gia_VLieu!C6</f>
        <v>Quyển</v>
      </c>
      <c r="D48" s="66">
        <f>Gia_VLieu!D6</f>
        <v>10000</v>
      </c>
      <c r="E48" s="30">
        <v>12</v>
      </c>
      <c r="F48" s="16">
        <f t="shared" si="3"/>
        <v>120000</v>
      </c>
      <c r="H48" s="10">
        <v>44</v>
      </c>
    </row>
    <row r="49" spans="1:8" s="3" customFormat="1">
      <c r="A49" s="13">
        <v>5</v>
      </c>
      <c r="B49" s="5" t="s">
        <v>22</v>
      </c>
      <c r="C49" s="6" t="str">
        <f>Gia_VLieu!C7</f>
        <v>Cái</v>
      </c>
      <c r="D49" s="66">
        <f>Gia_VLieu!D7</f>
        <v>2000</v>
      </c>
      <c r="E49" s="30">
        <v>20</v>
      </c>
      <c r="F49" s="16">
        <f t="shared" si="3"/>
        <v>40000</v>
      </c>
      <c r="H49" s="10">
        <v>45</v>
      </c>
    </row>
    <row r="50" spans="1:8" s="3" customFormat="1" hidden="1">
      <c r="A50" s="13">
        <v>6</v>
      </c>
      <c r="B50" s="5" t="s">
        <v>89</v>
      </c>
      <c r="C50" s="6" t="str">
        <f>Gia_VLieu!C8</f>
        <v>Cái</v>
      </c>
      <c r="D50" s="66">
        <f>Gia_VLieu!D8</f>
        <v>8000</v>
      </c>
      <c r="E50" s="30"/>
      <c r="F50" s="16">
        <f t="shared" si="3"/>
        <v>0</v>
      </c>
      <c r="H50" s="10">
        <v>46</v>
      </c>
    </row>
    <row r="51" spans="1:8" s="3" customFormat="1" hidden="1">
      <c r="A51" s="13">
        <v>7</v>
      </c>
      <c r="B51" s="5" t="s">
        <v>90</v>
      </c>
      <c r="C51" s="6" t="str">
        <f>Gia_VLieu!C9</f>
        <v>Cái</v>
      </c>
      <c r="D51" s="66">
        <f>Gia_VLieu!D9</f>
        <v>10000</v>
      </c>
      <c r="E51" s="30"/>
      <c r="F51" s="16">
        <f t="shared" si="3"/>
        <v>0</v>
      </c>
      <c r="H51" s="10">
        <v>47</v>
      </c>
    </row>
    <row r="52" spans="1:8" s="3" customFormat="1" hidden="1">
      <c r="A52" s="13">
        <v>8</v>
      </c>
      <c r="B52" s="5" t="s">
        <v>91</v>
      </c>
      <c r="C52" s="6" t="str">
        <f>Gia_VLieu!C10</f>
        <v>Hộp</v>
      </c>
      <c r="D52" s="66">
        <f>Gia_VLieu!D10</f>
        <v>2500</v>
      </c>
      <c r="E52" s="30"/>
      <c r="F52" s="16">
        <f t="shared" si="3"/>
        <v>0</v>
      </c>
      <c r="H52" s="10">
        <v>48</v>
      </c>
    </row>
    <row r="53" spans="1:8" s="3" customFormat="1">
      <c r="A53" s="13">
        <v>6</v>
      </c>
      <c r="B53" s="5" t="s">
        <v>92</v>
      </c>
      <c r="C53" s="6" t="str">
        <f>Gia_VLieu!C11</f>
        <v>Hộp</v>
      </c>
      <c r="D53" s="66">
        <f>Gia_VLieu!D11</f>
        <v>2000</v>
      </c>
      <c r="E53" s="30">
        <v>2</v>
      </c>
      <c r="F53" s="16">
        <f t="shared" si="3"/>
        <v>4000</v>
      </c>
      <c r="H53" s="10">
        <v>49</v>
      </c>
    </row>
    <row r="54" spans="1:8" s="3" customFormat="1">
      <c r="A54" s="13">
        <v>7</v>
      </c>
      <c r="B54" s="5" t="s">
        <v>93</v>
      </c>
      <c r="C54" s="6" t="str">
        <f>Gia_VLieu!C12</f>
        <v>Tập</v>
      </c>
      <c r="D54" s="66">
        <f>Gia_VLieu!D12</f>
        <v>8000</v>
      </c>
      <c r="E54" s="30">
        <v>2</v>
      </c>
      <c r="F54" s="16">
        <f t="shared" si="3"/>
        <v>16000</v>
      </c>
      <c r="H54" s="10">
        <v>50</v>
      </c>
    </row>
    <row r="55" spans="1:8" s="3" customFormat="1">
      <c r="A55" s="40">
        <v>8</v>
      </c>
      <c r="B55" s="41" t="s">
        <v>94</v>
      </c>
      <c r="C55" s="42" t="str">
        <f>Gia_VLieu!C13</f>
        <v>Cái</v>
      </c>
      <c r="D55" s="67">
        <f>Gia_VLieu!D13</f>
        <v>15000</v>
      </c>
      <c r="E55" s="46">
        <v>5</v>
      </c>
      <c r="F55" s="38">
        <f t="shared" si="3"/>
        <v>75000</v>
      </c>
      <c r="H55" s="10">
        <v>51</v>
      </c>
    </row>
    <row r="56" spans="1:8" s="33" customFormat="1">
      <c r="A56" s="31" t="e">
        <f>#REF!</f>
        <v>#REF!</v>
      </c>
      <c r="B56" s="32" t="e">
        <f>#REF!</f>
        <v>#REF!</v>
      </c>
      <c r="C56" s="15"/>
      <c r="D56" s="127">
        <f>Gia_VLieu!D$14</f>
        <v>1.08</v>
      </c>
      <c r="E56" s="45"/>
      <c r="F56" s="18" t="e">
        <f>SUM(F57:F67)*D56</f>
        <v>#REF!</v>
      </c>
      <c r="H56" s="10">
        <v>52</v>
      </c>
    </row>
    <row r="57" spans="1:8" s="3" customFormat="1">
      <c r="A57" s="13">
        <v>1</v>
      </c>
      <c r="B57" s="5" t="s">
        <v>85</v>
      </c>
      <c r="C57" s="6" t="str">
        <f>Gia_VLieu!C4</f>
        <v>Gram</v>
      </c>
      <c r="D57" s="66">
        <f>Gia_VLieu!D4</f>
        <v>45000</v>
      </c>
      <c r="E57" s="30">
        <v>0.5</v>
      </c>
      <c r="F57" s="16">
        <f t="shared" ref="F57:F67" si="4">D57*E57</f>
        <v>22500</v>
      </c>
      <c r="H57" s="10">
        <v>53</v>
      </c>
    </row>
    <row r="58" spans="1:8" s="3" customFormat="1">
      <c r="A58" s="13">
        <v>2</v>
      </c>
      <c r="B58" s="5" t="s">
        <v>86</v>
      </c>
      <c r="C58" s="6" t="str">
        <f>Gia_VLieu!C5</f>
        <v>Hộp</v>
      </c>
      <c r="D58" s="66">
        <f>Gia_VLieu!D5</f>
        <v>1450000</v>
      </c>
      <c r="E58" s="30">
        <v>0.05</v>
      </c>
      <c r="F58" s="16">
        <f t="shared" si="4"/>
        <v>72500</v>
      </c>
      <c r="H58" s="10">
        <v>54</v>
      </c>
    </row>
    <row r="59" spans="1:8" s="3" customFormat="1">
      <c r="A59" s="13">
        <v>3</v>
      </c>
      <c r="B59" s="5" t="s">
        <v>87</v>
      </c>
      <c r="C59" s="6" t="e">
        <f>Gia_VLieu!#REF!</f>
        <v>#REF!</v>
      </c>
      <c r="D59" s="66" t="e">
        <f>Gia_VLieu!#REF!</f>
        <v>#REF!</v>
      </c>
      <c r="E59" s="30">
        <v>0.05</v>
      </c>
      <c r="F59" s="16" t="e">
        <f t="shared" si="4"/>
        <v>#REF!</v>
      </c>
      <c r="H59" s="10">
        <v>55</v>
      </c>
    </row>
    <row r="60" spans="1:8" s="3" customFormat="1">
      <c r="A60" s="13">
        <v>4</v>
      </c>
      <c r="B60" s="5" t="s">
        <v>88</v>
      </c>
      <c r="C60" s="6" t="str">
        <f>Gia_VLieu!C6</f>
        <v>Quyển</v>
      </c>
      <c r="D60" s="66">
        <f>Gia_VLieu!D6</f>
        <v>10000</v>
      </c>
      <c r="E60" s="30">
        <v>10</v>
      </c>
      <c r="F60" s="16">
        <f t="shared" si="4"/>
        <v>100000</v>
      </c>
      <c r="H60" s="10">
        <v>56</v>
      </c>
    </row>
    <row r="61" spans="1:8" s="3" customFormat="1">
      <c r="A61" s="13">
        <v>5</v>
      </c>
      <c r="B61" s="5" t="s">
        <v>22</v>
      </c>
      <c r="C61" s="6" t="str">
        <f>Gia_VLieu!C7</f>
        <v>Cái</v>
      </c>
      <c r="D61" s="66">
        <f>Gia_VLieu!D7</f>
        <v>2000</v>
      </c>
      <c r="E61" s="30">
        <v>20</v>
      </c>
      <c r="F61" s="16">
        <f t="shared" si="4"/>
        <v>40000</v>
      </c>
      <c r="H61" s="10">
        <v>57</v>
      </c>
    </row>
    <row r="62" spans="1:8" s="3" customFormat="1" hidden="1">
      <c r="A62" s="13">
        <v>6</v>
      </c>
      <c r="B62" s="5" t="s">
        <v>89</v>
      </c>
      <c r="C62" s="6" t="str">
        <f>Gia_VLieu!C8</f>
        <v>Cái</v>
      </c>
      <c r="D62" s="66">
        <f>Gia_VLieu!D8</f>
        <v>8000</v>
      </c>
      <c r="E62" s="30"/>
      <c r="F62" s="16">
        <f t="shared" si="4"/>
        <v>0</v>
      </c>
      <c r="H62" s="10">
        <v>58</v>
      </c>
    </row>
    <row r="63" spans="1:8" s="3" customFormat="1" hidden="1">
      <c r="A63" s="13">
        <v>7</v>
      </c>
      <c r="B63" s="5" t="s">
        <v>90</v>
      </c>
      <c r="C63" s="6" t="str">
        <f>Gia_VLieu!C9</f>
        <v>Cái</v>
      </c>
      <c r="D63" s="66">
        <f>Gia_VLieu!D9</f>
        <v>10000</v>
      </c>
      <c r="E63" s="30"/>
      <c r="F63" s="16">
        <f t="shared" si="4"/>
        <v>0</v>
      </c>
      <c r="H63" s="10">
        <v>59</v>
      </c>
    </row>
    <row r="64" spans="1:8" s="3" customFormat="1" hidden="1">
      <c r="A64" s="13">
        <v>8</v>
      </c>
      <c r="B64" s="5" t="s">
        <v>91</v>
      </c>
      <c r="C64" s="6" t="str">
        <f>Gia_VLieu!C10</f>
        <v>Hộp</v>
      </c>
      <c r="D64" s="66">
        <f>Gia_VLieu!D10</f>
        <v>2500</v>
      </c>
      <c r="E64" s="30"/>
      <c r="F64" s="16">
        <f t="shared" si="4"/>
        <v>0</v>
      </c>
      <c r="H64" s="10">
        <v>60</v>
      </c>
    </row>
    <row r="65" spans="1:8" s="3" customFormat="1">
      <c r="A65" s="13">
        <v>6</v>
      </c>
      <c r="B65" s="5" t="s">
        <v>92</v>
      </c>
      <c r="C65" s="6" t="str">
        <f>Gia_VLieu!C11</f>
        <v>Hộp</v>
      </c>
      <c r="D65" s="66">
        <f>Gia_VLieu!D11</f>
        <v>2000</v>
      </c>
      <c r="E65" s="30">
        <v>5</v>
      </c>
      <c r="F65" s="16">
        <f t="shared" si="4"/>
        <v>10000</v>
      </c>
      <c r="H65" s="10">
        <v>61</v>
      </c>
    </row>
    <row r="66" spans="1:8" s="3" customFormat="1">
      <c r="A66" s="13">
        <v>7</v>
      </c>
      <c r="B66" s="5" t="s">
        <v>93</v>
      </c>
      <c r="C66" s="6" t="str">
        <f>Gia_VLieu!C12</f>
        <v>Tập</v>
      </c>
      <c r="D66" s="66">
        <f>Gia_VLieu!D12</f>
        <v>8000</v>
      </c>
      <c r="E66" s="30">
        <v>5</v>
      </c>
      <c r="F66" s="16">
        <f t="shared" si="4"/>
        <v>40000</v>
      </c>
      <c r="H66" s="10">
        <v>62</v>
      </c>
    </row>
    <row r="67" spans="1:8" s="3" customFormat="1">
      <c r="A67" s="40">
        <v>8</v>
      </c>
      <c r="B67" s="41" t="s">
        <v>94</v>
      </c>
      <c r="C67" s="42" t="str">
        <f>Gia_VLieu!C13</f>
        <v>Cái</v>
      </c>
      <c r="D67" s="67">
        <f>Gia_VLieu!D13</f>
        <v>15000</v>
      </c>
      <c r="E67" s="46">
        <v>10</v>
      </c>
      <c r="F67" s="38">
        <f t="shared" si="4"/>
        <v>150000</v>
      </c>
      <c r="H67" s="10">
        <v>63</v>
      </c>
    </row>
    <row r="68" spans="1:8" s="33" customFormat="1">
      <c r="A68" s="31" t="e">
        <f>#REF!</f>
        <v>#REF!</v>
      </c>
      <c r="B68" s="32" t="e">
        <f>#REF!</f>
        <v>#REF!</v>
      </c>
      <c r="C68" s="15"/>
      <c r="D68" s="127">
        <f>Gia_VLieu!D$14</f>
        <v>1.08</v>
      </c>
      <c r="E68" s="45"/>
      <c r="F68" s="18" t="e">
        <f>SUM(F69:F79)*D68</f>
        <v>#REF!</v>
      </c>
      <c r="H68" s="10">
        <v>64</v>
      </c>
    </row>
    <row r="69" spans="1:8" s="3" customFormat="1">
      <c r="A69" s="13">
        <v>1</v>
      </c>
      <c r="B69" s="5" t="s">
        <v>85</v>
      </c>
      <c r="C69" s="6" t="str">
        <f>Gia_VLieu!C4</f>
        <v>Gram</v>
      </c>
      <c r="D69" s="66">
        <f>Gia_VLieu!D4</f>
        <v>45000</v>
      </c>
      <c r="E69" s="30">
        <v>0.8</v>
      </c>
      <c r="F69" s="16">
        <f t="shared" ref="F69:F79" si="5">D69*E69</f>
        <v>36000</v>
      </c>
      <c r="H69" s="10">
        <v>65</v>
      </c>
    </row>
    <row r="70" spans="1:8" s="3" customFormat="1">
      <c r="A70" s="13">
        <v>2</v>
      </c>
      <c r="B70" s="5" t="s">
        <v>86</v>
      </c>
      <c r="C70" s="6" t="str">
        <f>Gia_VLieu!C5</f>
        <v>Hộp</v>
      </c>
      <c r="D70" s="66">
        <f>Gia_VLieu!D5</f>
        <v>1450000</v>
      </c>
      <c r="E70" s="30">
        <v>0.01</v>
      </c>
      <c r="F70" s="16">
        <f t="shared" si="5"/>
        <v>14500</v>
      </c>
      <c r="H70" s="10">
        <v>66</v>
      </c>
    </row>
    <row r="71" spans="1:8" s="3" customFormat="1">
      <c r="A71" s="13">
        <v>3</v>
      </c>
      <c r="B71" s="5" t="s">
        <v>87</v>
      </c>
      <c r="C71" s="6" t="e">
        <f>Gia_VLieu!#REF!</f>
        <v>#REF!</v>
      </c>
      <c r="D71" s="66" t="e">
        <f>Gia_VLieu!#REF!</f>
        <v>#REF!</v>
      </c>
      <c r="E71" s="30">
        <v>0.02</v>
      </c>
      <c r="F71" s="16" t="e">
        <f t="shared" si="5"/>
        <v>#REF!</v>
      </c>
      <c r="H71" s="10">
        <v>67</v>
      </c>
    </row>
    <row r="72" spans="1:8" s="3" customFormat="1">
      <c r="A72" s="13">
        <v>4</v>
      </c>
      <c r="B72" s="5" t="s">
        <v>88</v>
      </c>
      <c r="C72" s="6" t="str">
        <f>Gia_VLieu!C6</f>
        <v>Quyển</v>
      </c>
      <c r="D72" s="66">
        <f>Gia_VLieu!D6</f>
        <v>10000</v>
      </c>
      <c r="E72" s="30">
        <v>12</v>
      </c>
      <c r="F72" s="16">
        <f t="shared" si="5"/>
        <v>120000</v>
      </c>
      <c r="H72" s="10">
        <v>68</v>
      </c>
    </row>
    <row r="73" spans="1:8" s="3" customFormat="1">
      <c r="A73" s="13">
        <v>5</v>
      </c>
      <c r="B73" s="5" t="s">
        <v>22</v>
      </c>
      <c r="C73" s="6" t="str">
        <f>Gia_VLieu!C7</f>
        <v>Cái</v>
      </c>
      <c r="D73" s="66">
        <f>Gia_VLieu!D7</f>
        <v>2000</v>
      </c>
      <c r="E73" s="30">
        <v>18</v>
      </c>
      <c r="F73" s="16">
        <f t="shared" si="5"/>
        <v>36000</v>
      </c>
      <c r="H73" s="10">
        <v>69</v>
      </c>
    </row>
    <row r="74" spans="1:8" s="3" customFormat="1" hidden="1">
      <c r="A74" s="13">
        <v>6</v>
      </c>
      <c r="B74" s="5" t="s">
        <v>89</v>
      </c>
      <c r="C74" s="6" t="str">
        <f>Gia_VLieu!C8</f>
        <v>Cái</v>
      </c>
      <c r="D74" s="66">
        <f>Gia_VLieu!D8</f>
        <v>8000</v>
      </c>
      <c r="E74" s="30"/>
      <c r="F74" s="16">
        <f t="shared" si="5"/>
        <v>0</v>
      </c>
      <c r="H74" s="10">
        <v>70</v>
      </c>
    </row>
    <row r="75" spans="1:8" s="3" customFormat="1" hidden="1">
      <c r="A75" s="13">
        <v>7</v>
      </c>
      <c r="B75" s="5" t="s">
        <v>90</v>
      </c>
      <c r="C75" s="6" t="str">
        <f>Gia_VLieu!C9</f>
        <v>Cái</v>
      </c>
      <c r="D75" s="66">
        <f>Gia_VLieu!D9</f>
        <v>10000</v>
      </c>
      <c r="E75" s="30"/>
      <c r="F75" s="16">
        <f t="shared" si="5"/>
        <v>0</v>
      </c>
      <c r="H75" s="10">
        <v>71</v>
      </c>
    </row>
    <row r="76" spans="1:8" s="3" customFormat="1" hidden="1">
      <c r="A76" s="13">
        <v>8</v>
      </c>
      <c r="B76" s="5" t="s">
        <v>91</v>
      </c>
      <c r="C76" s="6" t="str">
        <f>Gia_VLieu!C10</f>
        <v>Hộp</v>
      </c>
      <c r="D76" s="66">
        <f>Gia_VLieu!D10</f>
        <v>2500</v>
      </c>
      <c r="E76" s="30"/>
      <c r="F76" s="16">
        <f t="shared" si="5"/>
        <v>0</v>
      </c>
      <c r="H76" s="10">
        <v>72</v>
      </c>
    </row>
    <row r="77" spans="1:8" s="3" customFormat="1">
      <c r="A77" s="13">
        <v>6</v>
      </c>
      <c r="B77" s="5" t="s">
        <v>92</v>
      </c>
      <c r="C77" s="6" t="str">
        <f>Gia_VLieu!C11</f>
        <v>Hộp</v>
      </c>
      <c r="D77" s="66">
        <f>Gia_VLieu!D11</f>
        <v>2000</v>
      </c>
      <c r="E77" s="30">
        <v>4</v>
      </c>
      <c r="F77" s="16">
        <f t="shared" si="5"/>
        <v>8000</v>
      </c>
      <c r="H77" s="10">
        <v>73</v>
      </c>
    </row>
    <row r="78" spans="1:8" s="3" customFormat="1">
      <c r="A78" s="13">
        <v>7</v>
      </c>
      <c r="B78" s="5" t="s">
        <v>93</v>
      </c>
      <c r="C78" s="6" t="str">
        <f>Gia_VLieu!C12</f>
        <v>Tập</v>
      </c>
      <c r="D78" s="66">
        <f>Gia_VLieu!D12</f>
        <v>8000</v>
      </c>
      <c r="E78" s="30">
        <v>4</v>
      </c>
      <c r="F78" s="16">
        <f t="shared" si="5"/>
        <v>32000</v>
      </c>
      <c r="H78" s="10">
        <v>74</v>
      </c>
    </row>
    <row r="79" spans="1:8" s="3" customFormat="1">
      <c r="A79" s="40">
        <v>8</v>
      </c>
      <c r="B79" s="41" t="s">
        <v>94</v>
      </c>
      <c r="C79" s="42" t="str">
        <f>Gia_VLieu!C13</f>
        <v>Cái</v>
      </c>
      <c r="D79" s="67">
        <f>Gia_VLieu!D13</f>
        <v>15000</v>
      </c>
      <c r="E79" s="46">
        <v>14</v>
      </c>
      <c r="F79" s="38">
        <f t="shared" si="5"/>
        <v>210000</v>
      </c>
      <c r="H79" s="10">
        <v>75</v>
      </c>
    </row>
    <row r="80" spans="1:8" s="14" customFormat="1">
      <c r="A80" s="12" t="e">
        <f>#REF!</f>
        <v>#REF!</v>
      </c>
      <c r="B80" s="8" t="e">
        <f>#REF!</f>
        <v>#REF!</v>
      </c>
      <c r="C80" s="7"/>
      <c r="D80" s="72"/>
      <c r="E80" s="48"/>
      <c r="F80" s="17"/>
      <c r="H80" s="10">
        <v>76</v>
      </c>
    </row>
    <row r="81" spans="1:8" s="33" customFormat="1">
      <c r="A81" s="31" t="e">
        <f>#REF!</f>
        <v>#REF!</v>
      </c>
      <c r="B81" s="32" t="e">
        <f>#REF!</f>
        <v>#REF!</v>
      </c>
      <c r="C81" s="15"/>
      <c r="D81" s="127">
        <f>Gia_VLieu!D$14</f>
        <v>1.08</v>
      </c>
      <c r="E81" s="45"/>
      <c r="F81" s="18" t="e">
        <f>SUM(F82:F92)*D81</f>
        <v>#REF!</v>
      </c>
      <c r="H81" s="10">
        <v>77</v>
      </c>
    </row>
    <row r="82" spans="1:8" s="3" customFormat="1">
      <c r="A82" s="13">
        <v>1</v>
      </c>
      <c r="B82" s="5" t="s">
        <v>85</v>
      </c>
      <c r="C82" s="6" t="str">
        <f>Gia_VLieu!C4</f>
        <v>Gram</v>
      </c>
      <c r="D82" s="66">
        <f>Gia_VLieu!D4</f>
        <v>45000</v>
      </c>
      <c r="E82" s="30">
        <v>10</v>
      </c>
      <c r="F82" s="16">
        <f t="shared" ref="F82:F92" si="6">D82*E82</f>
        <v>450000</v>
      </c>
      <c r="H82" s="10">
        <v>78</v>
      </c>
    </row>
    <row r="83" spans="1:8" s="3" customFormat="1">
      <c r="A83" s="13">
        <v>2</v>
      </c>
      <c r="B83" s="5" t="s">
        <v>86</v>
      </c>
      <c r="C83" s="6" t="str">
        <f>Gia_VLieu!C5</f>
        <v>Hộp</v>
      </c>
      <c r="D83" s="66">
        <f>Gia_VLieu!D5</f>
        <v>1450000</v>
      </c>
      <c r="E83" s="30">
        <v>1.5</v>
      </c>
      <c r="F83" s="16">
        <f t="shared" si="6"/>
        <v>2175000</v>
      </c>
      <c r="H83" s="10">
        <v>79</v>
      </c>
    </row>
    <row r="84" spans="1:8" s="3" customFormat="1">
      <c r="A84" s="13">
        <v>3</v>
      </c>
      <c r="B84" s="5" t="s">
        <v>87</v>
      </c>
      <c r="C84" s="6" t="e">
        <f>Gia_VLieu!#REF!</f>
        <v>#REF!</v>
      </c>
      <c r="D84" s="66" t="e">
        <f>Gia_VLieu!#REF!</f>
        <v>#REF!</v>
      </c>
      <c r="E84" s="30">
        <v>0.5</v>
      </c>
      <c r="F84" s="16" t="e">
        <f t="shared" si="6"/>
        <v>#REF!</v>
      </c>
      <c r="H84" s="10">
        <v>80</v>
      </c>
    </row>
    <row r="85" spans="1:8" s="3" customFormat="1">
      <c r="A85" s="13">
        <v>4</v>
      </c>
      <c r="B85" s="5" t="s">
        <v>88</v>
      </c>
      <c r="C85" s="6" t="str">
        <f>Gia_VLieu!C6</f>
        <v>Quyển</v>
      </c>
      <c r="D85" s="66">
        <f>Gia_VLieu!D6</f>
        <v>10000</v>
      </c>
      <c r="E85" s="30">
        <v>15</v>
      </c>
      <c r="F85" s="16">
        <f t="shared" si="6"/>
        <v>150000</v>
      </c>
      <c r="H85" s="10">
        <v>81</v>
      </c>
    </row>
    <row r="86" spans="1:8" s="3" customFormat="1">
      <c r="A86" s="13">
        <v>5</v>
      </c>
      <c r="B86" s="5" t="s">
        <v>22</v>
      </c>
      <c r="C86" s="6" t="str">
        <f>Gia_VLieu!C7</f>
        <v>Cái</v>
      </c>
      <c r="D86" s="66">
        <f>Gia_VLieu!D7</f>
        <v>2000</v>
      </c>
      <c r="E86" s="30">
        <v>25</v>
      </c>
      <c r="F86" s="16">
        <f t="shared" si="6"/>
        <v>50000</v>
      </c>
      <c r="H86" s="10">
        <v>82</v>
      </c>
    </row>
    <row r="87" spans="1:8" s="3" customFormat="1" hidden="1">
      <c r="A87" s="192">
        <v>6</v>
      </c>
      <c r="B87" s="193" t="s">
        <v>89</v>
      </c>
      <c r="C87" s="194" t="str">
        <f>Gia_VLieu!C8</f>
        <v>Cái</v>
      </c>
      <c r="D87" s="195">
        <f>Gia_VLieu!D8</f>
        <v>8000</v>
      </c>
      <c r="E87" s="219"/>
      <c r="F87" s="196">
        <f t="shared" si="6"/>
        <v>0</v>
      </c>
      <c r="H87" s="10">
        <v>83</v>
      </c>
    </row>
    <row r="88" spans="1:8" s="3" customFormat="1" hidden="1">
      <c r="A88" s="192">
        <v>7</v>
      </c>
      <c r="B88" s="193" t="s">
        <v>90</v>
      </c>
      <c r="C88" s="194" t="str">
        <f>Gia_VLieu!C9</f>
        <v>Cái</v>
      </c>
      <c r="D88" s="195">
        <f>Gia_VLieu!D9</f>
        <v>10000</v>
      </c>
      <c r="E88" s="219"/>
      <c r="F88" s="196">
        <f t="shared" si="6"/>
        <v>0</v>
      </c>
      <c r="H88" s="10">
        <v>84</v>
      </c>
    </row>
    <row r="89" spans="1:8" s="3" customFormat="1" hidden="1">
      <c r="A89" s="192">
        <v>8</v>
      </c>
      <c r="B89" s="193" t="s">
        <v>91</v>
      </c>
      <c r="C89" s="194" t="str">
        <f>Gia_VLieu!C10</f>
        <v>Hộp</v>
      </c>
      <c r="D89" s="195">
        <f>Gia_VLieu!D10</f>
        <v>2500</v>
      </c>
      <c r="E89" s="219"/>
      <c r="F89" s="196">
        <f t="shared" si="6"/>
        <v>0</v>
      </c>
      <c r="H89" s="10">
        <v>85</v>
      </c>
    </row>
    <row r="90" spans="1:8" s="3" customFormat="1">
      <c r="A90" s="13">
        <v>6</v>
      </c>
      <c r="B90" s="5" t="s">
        <v>92</v>
      </c>
      <c r="C90" s="6" t="str">
        <f>Gia_VLieu!C11</f>
        <v>Hộp</v>
      </c>
      <c r="D90" s="66">
        <f>Gia_VLieu!D11</f>
        <v>2000</v>
      </c>
      <c r="E90" s="30">
        <v>4</v>
      </c>
      <c r="F90" s="16">
        <f t="shared" si="6"/>
        <v>8000</v>
      </c>
      <c r="H90" s="10">
        <v>86</v>
      </c>
    </row>
    <row r="91" spans="1:8" s="3" customFormat="1">
      <c r="A91" s="13">
        <v>7</v>
      </c>
      <c r="B91" s="5" t="s">
        <v>93</v>
      </c>
      <c r="C91" s="6" t="str">
        <f>Gia_VLieu!C12</f>
        <v>Tập</v>
      </c>
      <c r="D91" s="66">
        <f>Gia_VLieu!D12</f>
        <v>8000</v>
      </c>
      <c r="E91" s="30">
        <v>10</v>
      </c>
      <c r="F91" s="16">
        <f t="shared" si="6"/>
        <v>80000</v>
      </c>
      <c r="H91" s="10">
        <v>87</v>
      </c>
    </row>
    <row r="92" spans="1:8" s="3" customFormat="1">
      <c r="A92" s="40">
        <v>8</v>
      </c>
      <c r="B92" s="41" t="s">
        <v>94</v>
      </c>
      <c r="C92" s="42" t="str">
        <f>Gia_VLieu!C13</f>
        <v>Cái</v>
      </c>
      <c r="D92" s="67">
        <f>Gia_VLieu!D13</f>
        <v>15000</v>
      </c>
      <c r="E92" s="46">
        <v>12</v>
      </c>
      <c r="F92" s="38">
        <f t="shared" si="6"/>
        <v>180000</v>
      </c>
      <c r="H92" s="10">
        <v>88</v>
      </c>
    </row>
    <row r="93" spans="1:8" s="33" customFormat="1" hidden="1">
      <c r="A93" s="31" t="e">
        <f>#REF!</f>
        <v>#REF!</v>
      </c>
      <c r="B93" s="32" t="e">
        <f>#REF!</f>
        <v>#REF!</v>
      </c>
      <c r="C93" s="15"/>
      <c r="D93" s="127"/>
      <c r="E93" s="45"/>
      <c r="F93" s="18"/>
      <c r="H93" s="10">
        <v>89</v>
      </c>
    </row>
    <row r="94" spans="1:8" s="3" customFormat="1" hidden="1">
      <c r="A94" s="192" t="e">
        <f>#REF!</f>
        <v>#REF!</v>
      </c>
      <c r="B94" s="193" t="e">
        <f>#REF!</f>
        <v>#REF!</v>
      </c>
      <c r="C94" s="194"/>
      <c r="D94" s="195"/>
      <c r="E94" s="219"/>
      <c r="F94" s="196"/>
      <c r="H94" s="10">
        <v>90</v>
      </c>
    </row>
    <row r="95" spans="1:8" s="3" customFormat="1" hidden="1">
      <c r="A95" s="192" t="e">
        <f>#REF!</f>
        <v>#REF!</v>
      </c>
      <c r="B95" s="193" t="e">
        <f>#REF!</f>
        <v>#REF!</v>
      </c>
      <c r="C95" s="194"/>
      <c r="D95" s="195"/>
      <c r="E95" s="219"/>
      <c r="F95" s="196"/>
      <c r="H95" s="10">
        <v>91</v>
      </c>
    </row>
    <row r="96" spans="1:8" s="3" customFormat="1" hidden="1">
      <c r="A96" s="192" t="e">
        <f>#REF!</f>
        <v>#REF!</v>
      </c>
      <c r="B96" s="193" t="e">
        <f>#REF!</f>
        <v>#REF!</v>
      </c>
      <c r="C96" s="194"/>
      <c r="D96" s="195"/>
      <c r="E96" s="219"/>
      <c r="F96" s="196"/>
      <c r="H96" s="10">
        <v>92</v>
      </c>
    </row>
    <row r="97" spans="1:8" s="3" customFormat="1" hidden="1">
      <c r="A97" s="192" t="e">
        <f>#REF!</f>
        <v>#REF!</v>
      </c>
      <c r="B97" s="193" t="e">
        <f>#REF!</f>
        <v>#REF!</v>
      </c>
      <c r="C97" s="194"/>
      <c r="D97" s="195"/>
      <c r="E97" s="219"/>
      <c r="F97" s="196"/>
      <c r="H97" s="10">
        <v>93</v>
      </c>
    </row>
    <row r="98" spans="1:8" s="3" customFormat="1" hidden="1">
      <c r="A98" s="192" t="e">
        <f>#REF!</f>
        <v>#REF!</v>
      </c>
      <c r="B98" s="193" t="e">
        <f>#REF!</f>
        <v>#REF!</v>
      </c>
      <c r="C98" s="194"/>
      <c r="D98" s="195"/>
      <c r="E98" s="219"/>
      <c r="F98" s="196"/>
      <c r="H98" s="10">
        <v>94</v>
      </c>
    </row>
    <row r="99" spans="1:8" s="3" customFormat="1" hidden="1">
      <c r="A99" s="192" t="e">
        <f>#REF!</f>
        <v>#REF!</v>
      </c>
      <c r="B99" s="193" t="e">
        <f>#REF!</f>
        <v>#REF!</v>
      </c>
      <c r="C99" s="194"/>
      <c r="D99" s="195"/>
      <c r="E99" s="219"/>
      <c r="F99" s="196"/>
      <c r="H99" s="10">
        <v>95</v>
      </c>
    </row>
    <row r="100" spans="1:8" s="3" customFormat="1" hidden="1">
      <c r="A100" s="192" t="e">
        <f>#REF!</f>
        <v>#REF!</v>
      </c>
      <c r="B100" s="193" t="e">
        <f>#REF!</f>
        <v>#REF!</v>
      </c>
      <c r="C100" s="194"/>
      <c r="D100" s="195"/>
      <c r="E100" s="219"/>
      <c r="F100" s="196"/>
      <c r="H100" s="10">
        <v>96</v>
      </c>
    </row>
    <row r="101" spans="1:8" s="3" customFormat="1" hidden="1">
      <c r="A101" s="192" t="e">
        <f>#REF!</f>
        <v>#REF!</v>
      </c>
      <c r="B101" s="193" t="e">
        <f>#REF!</f>
        <v>#REF!</v>
      </c>
      <c r="C101" s="194"/>
      <c r="D101" s="195"/>
      <c r="E101" s="219"/>
      <c r="F101" s="196"/>
      <c r="H101" s="10">
        <v>97</v>
      </c>
    </row>
    <row r="102" spans="1:8" s="3" customFormat="1" hidden="1">
      <c r="A102" s="192" t="e">
        <f>#REF!</f>
        <v>#REF!</v>
      </c>
      <c r="B102" s="193" t="e">
        <f>#REF!</f>
        <v>#REF!</v>
      </c>
      <c r="C102" s="194"/>
      <c r="D102" s="195"/>
      <c r="E102" s="219"/>
      <c r="F102" s="196"/>
      <c r="H102" s="10">
        <v>98</v>
      </c>
    </row>
    <row r="103" spans="1:8" s="3" customFormat="1" hidden="1">
      <c r="A103" s="192" t="e">
        <f>#REF!</f>
        <v>#REF!</v>
      </c>
      <c r="B103" s="193" t="e">
        <f>#REF!</f>
        <v>#REF!</v>
      </c>
      <c r="C103" s="194"/>
      <c r="D103" s="195"/>
      <c r="E103" s="219"/>
      <c r="F103" s="196"/>
      <c r="H103" s="10">
        <v>99</v>
      </c>
    </row>
    <row r="104" spans="1:8" s="3" customFormat="1" hidden="1">
      <c r="A104" s="208" t="e">
        <f>#REF!</f>
        <v>#REF!</v>
      </c>
      <c r="B104" s="209" t="e">
        <f>#REF!</f>
        <v>#REF!</v>
      </c>
      <c r="C104" s="202"/>
      <c r="D104" s="204"/>
      <c r="E104" s="220"/>
      <c r="F104" s="221"/>
      <c r="H104" s="10">
        <v>100</v>
      </c>
    </row>
    <row r="105" spans="1:8" s="3" customFormat="1" hidden="1">
      <c r="A105" s="192" t="e">
        <f>#REF!</f>
        <v>#REF!</v>
      </c>
      <c r="B105" s="193" t="e">
        <f>#REF!</f>
        <v>#REF!</v>
      </c>
      <c r="C105" s="194"/>
      <c r="D105" s="195"/>
      <c r="E105" s="219"/>
      <c r="F105" s="196"/>
      <c r="H105" s="10">
        <v>101</v>
      </c>
    </row>
    <row r="106" spans="1:8" s="3" customFormat="1" hidden="1">
      <c r="A106" s="192" t="e">
        <f>#REF!</f>
        <v>#REF!</v>
      </c>
      <c r="B106" s="193" t="e">
        <f>#REF!</f>
        <v>#REF!</v>
      </c>
      <c r="C106" s="194"/>
      <c r="D106" s="195"/>
      <c r="E106" s="219"/>
      <c r="F106" s="196"/>
      <c r="H106" s="10">
        <v>102</v>
      </c>
    </row>
    <row r="107" spans="1:8" s="3" customFormat="1" hidden="1">
      <c r="A107" s="192" t="e">
        <f>#REF!</f>
        <v>#REF!</v>
      </c>
      <c r="B107" s="193" t="e">
        <f>#REF!</f>
        <v>#REF!</v>
      </c>
      <c r="C107" s="194"/>
      <c r="D107" s="195"/>
      <c r="E107" s="219"/>
      <c r="F107" s="196"/>
      <c r="H107" s="10">
        <v>103</v>
      </c>
    </row>
    <row r="108" spans="1:8" s="3" customFormat="1" hidden="1">
      <c r="A108" s="192" t="e">
        <f>#REF!</f>
        <v>#REF!</v>
      </c>
      <c r="B108" s="193" t="e">
        <f>#REF!</f>
        <v>#REF!</v>
      </c>
      <c r="C108" s="194"/>
      <c r="D108" s="195"/>
      <c r="E108" s="219"/>
      <c r="F108" s="196"/>
      <c r="H108" s="10">
        <v>104</v>
      </c>
    </row>
    <row r="109" spans="1:8" s="3" customFormat="1" hidden="1">
      <c r="A109" s="192" t="e">
        <f>#REF!</f>
        <v>#REF!</v>
      </c>
      <c r="B109" s="193" t="e">
        <f>#REF!</f>
        <v>#REF!</v>
      </c>
      <c r="C109" s="194"/>
      <c r="D109" s="195"/>
      <c r="E109" s="219"/>
      <c r="F109" s="196"/>
      <c r="H109" s="10">
        <v>105</v>
      </c>
    </row>
    <row r="110" spans="1:8" s="3" customFormat="1" hidden="1">
      <c r="A110" s="192" t="e">
        <f>#REF!</f>
        <v>#REF!</v>
      </c>
      <c r="B110" s="193" t="e">
        <f>#REF!</f>
        <v>#REF!</v>
      </c>
      <c r="C110" s="194"/>
      <c r="D110" s="195"/>
      <c r="E110" s="219"/>
      <c r="F110" s="196"/>
      <c r="H110" s="10">
        <v>106</v>
      </c>
    </row>
    <row r="111" spans="1:8" s="3" customFormat="1" hidden="1">
      <c r="A111" s="192" t="e">
        <f>#REF!</f>
        <v>#REF!</v>
      </c>
      <c r="B111" s="193" t="e">
        <f>#REF!</f>
        <v>#REF!</v>
      </c>
      <c r="C111" s="194"/>
      <c r="D111" s="195"/>
      <c r="E111" s="219"/>
      <c r="F111" s="196"/>
      <c r="H111" s="10">
        <v>107</v>
      </c>
    </row>
    <row r="112" spans="1:8" s="3" customFormat="1" hidden="1">
      <c r="A112" s="192" t="e">
        <f>#REF!</f>
        <v>#REF!</v>
      </c>
      <c r="B112" s="193" t="e">
        <f>#REF!</f>
        <v>#REF!</v>
      </c>
      <c r="C112" s="194"/>
      <c r="D112" s="195"/>
      <c r="E112" s="219"/>
      <c r="F112" s="196"/>
      <c r="H112" s="10">
        <v>108</v>
      </c>
    </row>
    <row r="113" spans="1:8" s="3" customFormat="1" hidden="1">
      <c r="A113" s="192" t="e">
        <f>#REF!</f>
        <v>#REF!</v>
      </c>
      <c r="B113" s="193" t="e">
        <f>#REF!</f>
        <v>#REF!</v>
      </c>
      <c r="C113" s="194"/>
      <c r="D113" s="195"/>
      <c r="E113" s="219"/>
      <c r="F113" s="196"/>
      <c r="H113" s="10">
        <v>109</v>
      </c>
    </row>
    <row r="114" spans="1:8" s="14" customFormat="1">
      <c r="A114" s="12" t="e">
        <f>#REF!</f>
        <v>#REF!</v>
      </c>
      <c r="B114" s="8" t="e">
        <f>#REF!</f>
        <v>#REF!</v>
      </c>
      <c r="C114" s="7"/>
      <c r="D114" s="72"/>
      <c r="E114" s="48"/>
      <c r="F114" s="17"/>
      <c r="H114" s="10">
        <v>110</v>
      </c>
    </row>
    <row r="115" spans="1:8" s="33" customFormat="1">
      <c r="A115" s="31" t="e">
        <f>#REF!</f>
        <v>#REF!</v>
      </c>
      <c r="B115" s="32" t="e">
        <f>#REF!</f>
        <v>#REF!</v>
      </c>
      <c r="C115" s="15"/>
      <c r="D115" s="127">
        <f>Gia_VLieu!D$14</f>
        <v>1.08</v>
      </c>
      <c r="E115" s="45"/>
      <c r="F115" s="18" t="e">
        <f>SUM(F116:F126)*D115</f>
        <v>#REF!</v>
      </c>
      <c r="H115" s="10">
        <v>111</v>
      </c>
    </row>
    <row r="116" spans="1:8" s="3" customFormat="1">
      <c r="A116" s="13">
        <v>1</v>
      </c>
      <c r="B116" s="5" t="s">
        <v>85</v>
      </c>
      <c r="C116" s="6" t="str">
        <f>Gia_VLieu!C4</f>
        <v>Gram</v>
      </c>
      <c r="D116" s="66">
        <f>Gia_VLieu!D4</f>
        <v>45000</v>
      </c>
      <c r="E116" s="30">
        <v>4</v>
      </c>
      <c r="F116" s="16">
        <f t="shared" ref="F116:F126" si="7">D116*E116</f>
        <v>180000</v>
      </c>
      <c r="H116" s="10">
        <v>112</v>
      </c>
    </row>
    <row r="117" spans="1:8" s="3" customFormat="1">
      <c r="A117" s="13">
        <v>2</v>
      </c>
      <c r="B117" s="5" t="s">
        <v>86</v>
      </c>
      <c r="C117" s="6" t="str">
        <f>Gia_VLieu!C5</f>
        <v>Hộp</v>
      </c>
      <c r="D117" s="66">
        <f>Gia_VLieu!D5</f>
        <v>1450000</v>
      </c>
      <c r="E117" s="30">
        <v>0.3</v>
      </c>
      <c r="F117" s="16">
        <f t="shared" si="7"/>
        <v>435000</v>
      </c>
      <c r="H117" s="10">
        <v>113</v>
      </c>
    </row>
    <row r="118" spans="1:8" s="3" customFormat="1">
      <c r="A118" s="13">
        <v>3</v>
      </c>
      <c r="B118" s="5" t="s">
        <v>87</v>
      </c>
      <c r="C118" s="6" t="e">
        <f>Gia_VLieu!#REF!</f>
        <v>#REF!</v>
      </c>
      <c r="D118" s="66" t="e">
        <f>Gia_VLieu!#REF!</f>
        <v>#REF!</v>
      </c>
      <c r="E118" s="30">
        <v>0.2</v>
      </c>
      <c r="F118" s="16" t="e">
        <f t="shared" si="7"/>
        <v>#REF!</v>
      </c>
      <c r="H118" s="10">
        <v>114</v>
      </c>
    </row>
    <row r="119" spans="1:8" s="3" customFormat="1">
      <c r="A119" s="13">
        <v>4</v>
      </c>
      <c r="B119" s="5" t="s">
        <v>88</v>
      </c>
      <c r="C119" s="6" t="str">
        <f>Gia_VLieu!C6</f>
        <v>Quyển</v>
      </c>
      <c r="D119" s="66">
        <f>Gia_VLieu!D6</f>
        <v>10000</v>
      </c>
      <c r="E119" s="30">
        <v>15</v>
      </c>
      <c r="F119" s="16">
        <f t="shared" si="7"/>
        <v>150000</v>
      </c>
      <c r="H119" s="10">
        <v>115</v>
      </c>
    </row>
    <row r="120" spans="1:8" s="3" customFormat="1">
      <c r="A120" s="13">
        <v>5</v>
      </c>
      <c r="B120" s="5" t="s">
        <v>22</v>
      </c>
      <c r="C120" s="6" t="str">
        <f>Gia_VLieu!C7</f>
        <v>Cái</v>
      </c>
      <c r="D120" s="66">
        <f>Gia_VLieu!D7</f>
        <v>2000</v>
      </c>
      <c r="E120" s="30">
        <v>30</v>
      </c>
      <c r="F120" s="16">
        <f t="shared" si="7"/>
        <v>60000</v>
      </c>
      <c r="H120" s="10">
        <v>116</v>
      </c>
    </row>
    <row r="121" spans="1:8" s="3" customFormat="1">
      <c r="A121" s="13">
        <v>6</v>
      </c>
      <c r="B121" s="5" t="s">
        <v>89</v>
      </c>
      <c r="C121" s="6" t="str">
        <f>Gia_VLieu!C8</f>
        <v>Cái</v>
      </c>
      <c r="D121" s="66">
        <f>Gia_VLieu!D8</f>
        <v>8000</v>
      </c>
      <c r="E121" s="30">
        <v>10</v>
      </c>
      <c r="F121" s="16">
        <f t="shared" si="7"/>
        <v>80000</v>
      </c>
      <c r="H121" s="10">
        <v>117</v>
      </c>
    </row>
    <row r="122" spans="1:8" s="3" customFormat="1">
      <c r="A122" s="13">
        <v>7</v>
      </c>
      <c r="B122" s="5" t="s">
        <v>90</v>
      </c>
      <c r="C122" s="6" t="str">
        <f>Gia_VLieu!C9</f>
        <v>Cái</v>
      </c>
      <c r="D122" s="66">
        <f>Gia_VLieu!D9</f>
        <v>10000</v>
      </c>
      <c r="E122" s="30">
        <v>10</v>
      </c>
      <c r="F122" s="16">
        <f t="shared" si="7"/>
        <v>100000</v>
      </c>
      <c r="H122" s="10">
        <v>118</v>
      </c>
    </row>
    <row r="123" spans="1:8" s="3" customFormat="1">
      <c r="A123" s="13">
        <v>8</v>
      </c>
      <c r="B123" s="5" t="s">
        <v>91</v>
      </c>
      <c r="C123" s="6" t="str">
        <f>Gia_VLieu!C10</f>
        <v>Hộp</v>
      </c>
      <c r="D123" s="66">
        <f>Gia_VLieu!D10</f>
        <v>2500</v>
      </c>
      <c r="E123" s="30">
        <v>5</v>
      </c>
      <c r="F123" s="16">
        <f t="shared" si="7"/>
        <v>12500</v>
      </c>
      <c r="H123" s="10">
        <v>119</v>
      </c>
    </row>
    <row r="124" spans="1:8" s="3" customFormat="1">
      <c r="A124" s="13">
        <v>9</v>
      </c>
      <c r="B124" s="5" t="s">
        <v>92</v>
      </c>
      <c r="C124" s="6" t="str">
        <f>Gia_VLieu!C11</f>
        <v>Hộp</v>
      </c>
      <c r="D124" s="66">
        <f>Gia_VLieu!D11</f>
        <v>2000</v>
      </c>
      <c r="E124" s="30">
        <v>4</v>
      </c>
      <c r="F124" s="16">
        <f t="shared" si="7"/>
        <v>8000</v>
      </c>
      <c r="H124" s="10">
        <v>120</v>
      </c>
    </row>
    <row r="125" spans="1:8" s="3" customFormat="1">
      <c r="A125" s="13">
        <v>10</v>
      </c>
      <c r="B125" s="5" t="s">
        <v>93</v>
      </c>
      <c r="C125" s="6" t="str">
        <f>Gia_VLieu!C12</f>
        <v>Tập</v>
      </c>
      <c r="D125" s="66">
        <f>Gia_VLieu!D12</f>
        <v>8000</v>
      </c>
      <c r="E125" s="30">
        <v>6</v>
      </c>
      <c r="F125" s="16">
        <f t="shared" si="7"/>
        <v>48000</v>
      </c>
      <c r="H125" s="10">
        <v>121</v>
      </c>
    </row>
    <row r="126" spans="1:8" s="3" customFormat="1">
      <c r="A126" s="40">
        <v>11</v>
      </c>
      <c r="B126" s="41" t="s">
        <v>94</v>
      </c>
      <c r="C126" s="42" t="str">
        <f>Gia_VLieu!C13</f>
        <v>Cái</v>
      </c>
      <c r="D126" s="67">
        <f>Gia_VLieu!D13</f>
        <v>15000</v>
      </c>
      <c r="E126" s="46">
        <v>14</v>
      </c>
      <c r="F126" s="38">
        <f t="shared" si="7"/>
        <v>210000</v>
      </c>
      <c r="H126" s="10">
        <v>122</v>
      </c>
    </row>
    <row r="127" spans="1:8" s="33" customFormat="1">
      <c r="A127" s="31" t="e">
        <f>#REF!</f>
        <v>#REF!</v>
      </c>
      <c r="B127" s="32" t="e">
        <f>#REF!</f>
        <v>#REF!</v>
      </c>
      <c r="C127" s="15"/>
      <c r="D127" s="127">
        <f>Gia_VLieu!D$14</f>
        <v>1.08</v>
      </c>
      <c r="E127" s="45"/>
      <c r="F127" s="18" t="e">
        <f>SUM(F128:F138)*D127</f>
        <v>#REF!</v>
      </c>
      <c r="H127" s="10">
        <v>123</v>
      </c>
    </row>
    <row r="128" spans="1:8" s="3" customFormat="1">
      <c r="A128" s="13">
        <v>1</v>
      </c>
      <c r="B128" s="5" t="s">
        <v>85</v>
      </c>
      <c r="C128" s="6" t="str">
        <f>Gia_VLieu!C4</f>
        <v>Gram</v>
      </c>
      <c r="D128" s="66">
        <f>Gia_VLieu!D4</f>
        <v>45000</v>
      </c>
      <c r="E128" s="30">
        <v>5</v>
      </c>
      <c r="F128" s="16">
        <f t="shared" ref="F128:F138" si="8">D128*E128</f>
        <v>225000</v>
      </c>
      <c r="H128" s="10">
        <v>124</v>
      </c>
    </row>
    <row r="129" spans="1:8" s="3" customFormat="1">
      <c r="A129" s="13">
        <v>2</v>
      </c>
      <c r="B129" s="5" t="s">
        <v>86</v>
      </c>
      <c r="C129" s="6" t="str">
        <f>Gia_VLieu!C5</f>
        <v>Hộp</v>
      </c>
      <c r="D129" s="66">
        <f>Gia_VLieu!D5</f>
        <v>1450000</v>
      </c>
      <c r="E129" s="30">
        <v>0.4</v>
      </c>
      <c r="F129" s="16">
        <f t="shared" si="8"/>
        <v>580000</v>
      </c>
      <c r="H129" s="10">
        <v>125</v>
      </c>
    </row>
    <row r="130" spans="1:8" s="3" customFormat="1">
      <c r="A130" s="13">
        <v>3</v>
      </c>
      <c r="B130" s="5" t="s">
        <v>87</v>
      </c>
      <c r="C130" s="6" t="e">
        <f>Gia_VLieu!#REF!</f>
        <v>#REF!</v>
      </c>
      <c r="D130" s="66" t="e">
        <f>Gia_VLieu!#REF!</f>
        <v>#REF!</v>
      </c>
      <c r="E130" s="30">
        <v>0.3</v>
      </c>
      <c r="F130" s="16" t="e">
        <f t="shared" si="8"/>
        <v>#REF!</v>
      </c>
      <c r="H130" s="10">
        <v>126</v>
      </c>
    </row>
    <row r="131" spans="1:8" s="3" customFormat="1">
      <c r="A131" s="13">
        <v>4</v>
      </c>
      <c r="B131" s="5" t="s">
        <v>88</v>
      </c>
      <c r="C131" s="6" t="str">
        <f>Gia_VLieu!C6</f>
        <v>Quyển</v>
      </c>
      <c r="D131" s="66">
        <f>Gia_VLieu!D6</f>
        <v>10000</v>
      </c>
      <c r="E131" s="30">
        <v>15</v>
      </c>
      <c r="F131" s="16">
        <f t="shared" si="8"/>
        <v>150000</v>
      </c>
      <c r="H131" s="10">
        <v>127</v>
      </c>
    </row>
    <row r="132" spans="1:8" s="3" customFormat="1">
      <c r="A132" s="13">
        <v>5</v>
      </c>
      <c r="B132" s="5" t="s">
        <v>22</v>
      </c>
      <c r="C132" s="6" t="str">
        <f>Gia_VLieu!C7</f>
        <v>Cái</v>
      </c>
      <c r="D132" s="66">
        <f>Gia_VLieu!D7</f>
        <v>2000</v>
      </c>
      <c r="E132" s="30">
        <v>30</v>
      </c>
      <c r="F132" s="16">
        <f t="shared" si="8"/>
        <v>60000</v>
      </c>
      <c r="H132" s="10">
        <v>128</v>
      </c>
    </row>
    <row r="133" spans="1:8" s="3" customFormat="1">
      <c r="A133" s="13">
        <v>6</v>
      </c>
      <c r="B133" s="5" t="s">
        <v>89</v>
      </c>
      <c r="C133" s="6" t="str">
        <f>Gia_VLieu!C8</f>
        <v>Cái</v>
      </c>
      <c r="D133" s="66">
        <f>Gia_VLieu!D8</f>
        <v>8000</v>
      </c>
      <c r="E133" s="30">
        <v>9</v>
      </c>
      <c r="F133" s="16">
        <f t="shared" si="8"/>
        <v>72000</v>
      </c>
      <c r="H133" s="10">
        <v>129</v>
      </c>
    </row>
    <row r="134" spans="1:8" s="3" customFormat="1">
      <c r="A134" s="13">
        <v>7</v>
      </c>
      <c r="B134" s="5" t="s">
        <v>90</v>
      </c>
      <c r="C134" s="6" t="str">
        <f>Gia_VLieu!C9</f>
        <v>Cái</v>
      </c>
      <c r="D134" s="66">
        <f>Gia_VLieu!D9</f>
        <v>10000</v>
      </c>
      <c r="E134" s="30">
        <v>9</v>
      </c>
      <c r="F134" s="16">
        <f t="shared" si="8"/>
        <v>90000</v>
      </c>
      <c r="H134" s="10">
        <v>130</v>
      </c>
    </row>
    <row r="135" spans="1:8" s="3" customFormat="1">
      <c r="A135" s="13">
        <v>8</v>
      </c>
      <c r="B135" s="5" t="s">
        <v>91</v>
      </c>
      <c r="C135" s="6" t="str">
        <f>Gia_VLieu!C10</f>
        <v>Hộp</v>
      </c>
      <c r="D135" s="66">
        <f>Gia_VLieu!D10</f>
        <v>2500</v>
      </c>
      <c r="E135" s="30">
        <v>6</v>
      </c>
      <c r="F135" s="16">
        <f t="shared" si="8"/>
        <v>15000</v>
      </c>
      <c r="H135" s="10">
        <v>131</v>
      </c>
    </row>
    <row r="136" spans="1:8" s="3" customFormat="1">
      <c r="A136" s="13">
        <v>9</v>
      </c>
      <c r="B136" s="5" t="s">
        <v>92</v>
      </c>
      <c r="C136" s="6" t="str">
        <f>Gia_VLieu!C11</f>
        <v>Hộp</v>
      </c>
      <c r="D136" s="66">
        <f>Gia_VLieu!D11</f>
        <v>2000</v>
      </c>
      <c r="E136" s="30">
        <v>3</v>
      </c>
      <c r="F136" s="16">
        <f t="shared" si="8"/>
        <v>6000</v>
      </c>
      <c r="H136" s="10">
        <v>132</v>
      </c>
    </row>
    <row r="137" spans="1:8" s="3" customFormat="1">
      <c r="A137" s="13">
        <v>10</v>
      </c>
      <c r="B137" s="5" t="s">
        <v>93</v>
      </c>
      <c r="C137" s="6" t="str">
        <f>Gia_VLieu!C12</f>
        <v>Tập</v>
      </c>
      <c r="D137" s="66">
        <f>Gia_VLieu!D12</f>
        <v>8000</v>
      </c>
      <c r="E137" s="30">
        <v>5</v>
      </c>
      <c r="F137" s="16">
        <f t="shared" si="8"/>
        <v>40000</v>
      </c>
      <c r="H137" s="10">
        <v>133</v>
      </c>
    </row>
    <row r="138" spans="1:8" s="3" customFormat="1">
      <c r="A138" s="40">
        <v>11</v>
      </c>
      <c r="B138" s="41" t="s">
        <v>94</v>
      </c>
      <c r="C138" s="42" t="str">
        <f>Gia_VLieu!C13</f>
        <v>Cái</v>
      </c>
      <c r="D138" s="67">
        <f>Gia_VLieu!D13</f>
        <v>15000</v>
      </c>
      <c r="E138" s="46">
        <v>15</v>
      </c>
      <c r="F138" s="38">
        <f t="shared" si="8"/>
        <v>225000</v>
      </c>
      <c r="H138" s="10">
        <v>134</v>
      </c>
    </row>
    <row r="139" spans="1:8" s="14" customFormat="1">
      <c r="A139" s="12" t="e">
        <f>#REF!</f>
        <v>#REF!</v>
      </c>
      <c r="B139" s="8" t="e">
        <f>#REF!</f>
        <v>#REF!</v>
      </c>
      <c r="C139" s="7"/>
      <c r="D139" s="72"/>
      <c r="E139" s="48"/>
      <c r="F139" s="17"/>
      <c r="H139" s="10">
        <v>135</v>
      </c>
    </row>
    <row r="140" spans="1:8" s="33" customFormat="1">
      <c r="A140" s="31" t="e">
        <f>#REF!</f>
        <v>#REF!</v>
      </c>
      <c r="B140" s="32" t="e">
        <f>#REF!</f>
        <v>#REF!</v>
      </c>
      <c r="C140" s="15"/>
      <c r="D140" s="127">
        <f>Gia_VLieu!D$14</f>
        <v>1.08</v>
      </c>
      <c r="E140" s="45"/>
      <c r="F140" s="18" t="e">
        <f>SUM(F141:F151)*D140</f>
        <v>#REF!</v>
      </c>
      <c r="H140" s="10">
        <v>136</v>
      </c>
    </row>
    <row r="141" spans="1:8" s="3" customFormat="1">
      <c r="A141" s="13">
        <v>1</v>
      </c>
      <c r="B141" s="5" t="s">
        <v>85</v>
      </c>
      <c r="C141" s="6" t="str">
        <f>Gia_VLieu!C4</f>
        <v>Gram</v>
      </c>
      <c r="D141" s="66">
        <f>Gia_VLieu!D4</f>
        <v>45000</v>
      </c>
      <c r="E141" s="29">
        <v>1E-3</v>
      </c>
      <c r="F141" s="16">
        <f t="shared" ref="F141:F151" si="9">D141*E141</f>
        <v>45</v>
      </c>
      <c r="H141" s="10">
        <v>137</v>
      </c>
    </row>
    <row r="142" spans="1:8" s="3" customFormat="1">
      <c r="A142" s="13">
        <v>2</v>
      </c>
      <c r="B142" s="5" t="s">
        <v>86</v>
      </c>
      <c r="C142" s="6" t="str">
        <f>Gia_VLieu!C5</f>
        <v>Hộp</v>
      </c>
      <c r="D142" s="66">
        <f>Gia_VLieu!D5</f>
        <v>1450000</v>
      </c>
      <c r="E142" s="29">
        <v>1E-3</v>
      </c>
      <c r="F142" s="16">
        <f t="shared" si="9"/>
        <v>1450</v>
      </c>
      <c r="H142" s="10">
        <v>138</v>
      </c>
    </row>
    <row r="143" spans="1:8" s="3" customFormat="1">
      <c r="A143" s="13">
        <v>3</v>
      </c>
      <c r="B143" s="5" t="s">
        <v>87</v>
      </c>
      <c r="C143" s="6" t="e">
        <f>Gia_VLieu!#REF!</f>
        <v>#REF!</v>
      </c>
      <c r="D143" s="66" t="e">
        <f>Gia_VLieu!#REF!</f>
        <v>#REF!</v>
      </c>
      <c r="E143" s="29">
        <v>1E-3</v>
      </c>
      <c r="F143" s="16" t="e">
        <f t="shared" si="9"/>
        <v>#REF!</v>
      </c>
      <c r="H143" s="10">
        <v>139</v>
      </c>
    </row>
    <row r="144" spans="1:8" s="3" customFormat="1">
      <c r="A144" s="13">
        <v>4</v>
      </c>
      <c r="B144" s="5" t="s">
        <v>88</v>
      </c>
      <c r="C144" s="6" t="str">
        <f>Gia_VLieu!C6</f>
        <v>Quyển</v>
      </c>
      <c r="D144" s="66">
        <f>Gia_VLieu!D6</f>
        <v>10000</v>
      </c>
      <c r="E144" s="29">
        <v>2E-3</v>
      </c>
      <c r="F144" s="16">
        <f t="shared" si="9"/>
        <v>20</v>
      </c>
      <c r="H144" s="10">
        <v>140</v>
      </c>
    </row>
    <row r="145" spans="1:8" s="3" customFormat="1">
      <c r="A145" s="13">
        <v>5</v>
      </c>
      <c r="B145" s="5" t="s">
        <v>22</v>
      </c>
      <c r="C145" s="6" t="str">
        <f>Gia_VLieu!C7</f>
        <v>Cái</v>
      </c>
      <c r="D145" s="66">
        <f>Gia_VLieu!D7</f>
        <v>2000</v>
      </c>
      <c r="E145" s="29">
        <v>0.01</v>
      </c>
      <c r="F145" s="16">
        <f t="shared" si="9"/>
        <v>20</v>
      </c>
      <c r="H145" s="10">
        <v>141</v>
      </c>
    </row>
    <row r="146" spans="1:8" s="3" customFormat="1">
      <c r="A146" s="13">
        <v>6</v>
      </c>
      <c r="B146" s="5" t="s">
        <v>89</v>
      </c>
      <c r="C146" s="6" t="str">
        <f>Gia_VLieu!C8</f>
        <v>Cái</v>
      </c>
      <c r="D146" s="66">
        <f>Gia_VLieu!D8</f>
        <v>8000</v>
      </c>
      <c r="E146" s="29">
        <v>1E-3</v>
      </c>
      <c r="F146" s="16">
        <f t="shared" si="9"/>
        <v>8</v>
      </c>
      <c r="H146" s="10">
        <v>142</v>
      </c>
    </row>
    <row r="147" spans="1:8" s="3" customFormat="1">
      <c r="A147" s="13">
        <v>7</v>
      </c>
      <c r="B147" s="5" t="s">
        <v>90</v>
      </c>
      <c r="C147" s="6" t="str">
        <f>Gia_VLieu!C9</f>
        <v>Cái</v>
      </c>
      <c r="D147" s="66">
        <f>Gia_VLieu!D9</f>
        <v>10000</v>
      </c>
      <c r="E147" s="29">
        <v>1E-3</v>
      </c>
      <c r="F147" s="16">
        <f t="shared" si="9"/>
        <v>10</v>
      </c>
      <c r="H147" s="10">
        <v>143</v>
      </c>
    </row>
    <row r="148" spans="1:8" s="3" customFormat="1">
      <c r="A148" s="13">
        <v>8</v>
      </c>
      <c r="B148" s="5" t="s">
        <v>91</v>
      </c>
      <c r="C148" s="6" t="str">
        <f>Gia_VLieu!C10</f>
        <v>Hộp</v>
      </c>
      <c r="D148" s="66">
        <f>Gia_VLieu!D10</f>
        <v>2500</v>
      </c>
      <c r="E148" s="29">
        <v>1E-3</v>
      </c>
      <c r="F148" s="16">
        <f t="shared" si="9"/>
        <v>2.5</v>
      </c>
      <c r="H148" s="10">
        <v>144</v>
      </c>
    </row>
    <row r="149" spans="1:8" s="3" customFormat="1">
      <c r="A149" s="13">
        <v>9</v>
      </c>
      <c r="B149" s="5" t="s">
        <v>92</v>
      </c>
      <c r="C149" s="6" t="str">
        <f>Gia_VLieu!C11</f>
        <v>Hộp</v>
      </c>
      <c r="D149" s="66">
        <f>Gia_VLieu!D11</f>
        <v>2000</v>
      </c>
      <c r="E149" s="29">
        <v>1E-3</v>
      </c>
      <c r="F149" s="16">
        <f t="shared" si="9"/>
        <v>2</v>
      </c>
      <c r="H149" s="10">
        <v>145</v>
      </c>
    </row>
    <row r="150" spans="1:8" s="3" customFormat="1">
      <c r="A150" s="13">
        <v>10</v>
      </c>
      <c r="B150" s="5" t="s">
        <v>93</v>
      </c>
      <c r="C150" s="6" t="str">
        <f>Gia_VLieu!C12</f>
        <v>Tập</v>
      </c>
      <c r="D150" s="66">
        <f>Gia_VLieu!D12</f>
        <v>8000</v>
      </c>
      <c r="E150" s="29">
        <v>3.0000000000000001E-3</v>
      </c>
      <c r="F150" s="16">
        <f t="shared" si="9"/>
        <v>24</v>
      </c>
      <c r="H150" s="10">
        <v>146</v>
      </c>
    </row>
    <row r="151" spans="1:8" s="3" customFormat="1">
      <c r="A151" s="40">
        <v>11</v>
      </c>
      <c r="B151" s="41" t="s">
        <v>94</v>
      </c>
      <c r="C151" s="42" t="str">
        <f>Gia_VLieu!C13</f>
        <v>Cái</v>
      </c>
      <c r="D151" s="67">
        <f>Gia_VLieu!D13</f>
        <v>15000</v>
      </c>
      <c r="E151" s="50">
        <v>1E-3</v>
      </c>
      <c r="F151" s="38">
        <f t="shared" si="9"/>
        <v>15</v>
      </c>
      <c r="H151" s="10">
        <v>147</v>
      </c>
    </row>
    <row r="152" spans="1:8" s="3" customFormat="1">
      <c r="A152" s="13" t="e">
        <f>#REF!</f>
        <v>#REF!</v>
      </c>
      <c r="B152" s="5" t="e">
        <f>#REF!</f>
        <v>#REF!</v>
      </c>
      <c r="C152" s="6"/>
      <c r="D152" s="66"/>
      <c r="E152" s="30"/>
      <c r="F152" s="16"/>
      <c r="H152" s="10">
        <v>148</v>
      </c>
    </row>
    <row r="153" spans="1:8" s="3" customFormat="1">
      <c r="A153" s="13" t="e">
        <f>#REF!</f>
        <v>#REF!</v>
      </c>
      <c r="B153" s="5" t="e">
        <f>#REF!</f>
        <v>#REF!</v>
      </c>
      <c r="C153" s="6"/>
      <c r="D153" s="66"/>
      <c r="E153" s="30"/>
      <c r="F153" s="16"/>
      <c r="H153" s="10">
        <v>149</v>
      </c>
    </row>
    <row r="154" spans="1:8" s="33" customFormat="1">
      <c r="A154" s="31" t="e">
        <f>#REF!</f>
        <v>#REF!</v>
      </c>
      <c r="B154" s="32" t="e">
        <f>#REF!</f>
        <v>#REF!</v>
      </c>
      <c r="C154" s="15"/>
      <c r="D154" s="127">
        <f>Gia_VLieu!D$14</f>
        <v>1.08</v>
      </c>
      <c r="E154" s="45"/>
      <c r="F154" s="18" t="e">
        <f>SUM(F155:F165)*D154</f>
        <v>#REF!</v>
      </c>
      <c r="H154" s="10">
        <v>150</v>
      </c>
    </row>
    <row r="155" spans="1:8" s="3" customFormat="1">
      <c r="A155" s="13">
        <v>1</v>
      </c>
      <c r="B155" s="5" t="s">
        <v>85</v>
      </c>
      <c r="C155" s="6" t="str">
        <f>Gia_VLieu!C4</f>
        <v>Gram</v>
      </c>
      <c r="D155" s="66">
        <f>Gia_VLieu!D4</f>
        <v>45000</v>
      </c>
      <c r="E155" s="29">
        <v>1E-3</v>
      </c>
      <c r="F155" s="16">
        <f t="shared" ref="F155:F165" si="10">D155*E155</f>
        <v>45</v>
      </c>
      <c r="H155" s="10">
        <v>151</v>
      </c>
    </row>
    <row r="156" spans="1:8" s="3" customFormat="1">
      <c r="A156" s="13">
        <v>2</v>
      </c>
      <c r="B156" s="5" t="s">
        <v>86</v>
      </c>
      <c r="C156" s="6" t="str">
        <f>Gia_VLieu!C5</f>
        <v>Hộp</v>
      </c>
      <c r="D156" s="66">
        <f>Gia_VLieu!D5</f>
        <v>1450000</v>
      </c>
      <c r="E156" s="29">
        <v>1E-3</v>
      </c>
      <c r="F156" s="16">
        <f t="shared" si="10"/>
        <v>1450</v>
      </c>
      <c r="H156" s="10">
        <v>152</v>
      </c>
    </row>
    <row r="157" spans="1:8" s="3" customFormat="1">
      <c r="A157" s="13">
        <v>3</v>
      </c>
      <c r="B157" s="5" t="s">
        <v>87</v>
      </c>
      <c r="C157" s="6" t="e">
        <f>Gia_VLieu!#REF!</f>
        <v>#REF!</v>
      </c>
      <c r="D157" s="66" t="e">
        <f>Gia_VLieu!#REF!</f>
        <v>#REF!</v>
      </c>
      <c r="E157" s="29">
        <v>1E-3</v>
      </c>
      <c r="F157" s="16" t="e">
        <f t="shared" si="10"/>
        <v>#REF!</v>
      </c>
      <c r="H157" s="10">
        <v>153</v>
      </c>
    </row>
    <row r="158" spans="1:8" s="3" customFormat="1">
      <c r="A158" s="13">
        <v>4</v>
      </c>
      <c r="B158" s="5" t="s">
        <v>88</v>
      </c>
      <c r="C158" s="6" t="str">
        <f>Gia_VLieu!C6</f>
        <v>Quyển</v>
      </c>
      <c r="D158" s="66">
        <f>Gia_VLieu!D6</f>
        <v>10000</v>
      </c>
      <c r="E158" s="29">
        <v>1E-3</v>
      </c>
      <c r="F158" s="16">
        <f t="shared" si="10"/>
        <v>10</v>
      </c>
      <c r="H158" s="10">
        <v>154</v>
      </c>
    </row>
    <row r="159" spans="1:8" s="3" customFormat="1">
      <c r="A159" s="13">
        <v>5</v>
      </c>
      <c r="B159" s="5" t="s">
        <v>22</v>
      </c>
      <c r="C159" s="6" t="str">
        <f>Gia_VLieu!C7</f>
        <v>Cái</v>
      </c>
      <c r="D159" s="66">
        <f>Gia_VLieu!D7</f>
        <v>2000</v>
      </c>
      <c r="E159" s="29">
        <v>5.0000000000000001E-3</v>
      </c>
      <c r="F159" s="16">
        <f t="shared" si="10"/>
        <v>10</v>
      </c>
      <c r="H159" s="10">
        <v>155</v>
      </c>
    </row>
    <row r="160" spans="1:8" s="3" customFormat="1">
      <c r="A160" s="13">
        <v>6</v>
      </c>
      <c r="B160" s="5" t="s">
        <v>89</v>
      </c>
      <c r="C160" s="6" t="str">
        <f>Gia_VLieu!C8</f>
        <v>Cái</v>
      </c>
      <c r="D160" s="66">
        <f>Gia_VLieu!D8</f>
        <v>8000</v>
      </c>
      <c r="E160" s="29">
        <v>1E-3</v>
      </c>
      <c r="F160" s="16">
        <f t="shared" si="10"/>
        <v>8</v>
      </c>
      <c r="H160" s="10">
        <v>156</v>
      </c>
    </row>
    <row r="161" spans="1:8" s="3" customFormat="1">
      <c r="A161" s="13">
        <v>7</v>
      </c>
      <c r="B161" s="5" t="s">
        <v>90</v>
      </c>
      <c r="C161" s="6" t="str">
        <f>Gia_VLieu!C9</f>
        <v>Cái</v>
      </c>
      <c r="D161" s="66">
        <f>Gia_VLieu!D9</f>
        <v>10000</v>
      </c>
      <c r="E161" s="29">
        <v>1E-3</v>
      </c>
      <c r="F161" s="16">
        <f t="shared" si="10"/>
        <v>10</v>
      </c>
      <c r="H161" s="10">
        <v>157</v>
      </c>
    </row>
    <row r="162" spans="1:8" s="3" customFormat="1">
      <c r="A162" s="13">
        <v>8</v>
      </c>
      <c r="B162" s="5" t="s">
        <v>91</v>
      </c>
      <c r="C162" s="6" t="str">
        <f>Gia_VLieu!C10</f>
        <v>Hộp</v>
      </c>
      <c r="D162" s="66">
        <f>Gia_VLieu!D10</f>
        <v>2500</v>
      </c>
      <c r="E162" s="29">
        <v>1E-3</v>
      </c>
      <c r="F162" s="16">
        <f t="shared" si="10"/>
        <v>2.5</v>
      </c>
      <c r="H162" s="10">
        <v>158</v>
      </c>
    </row>
    <row r="163" spans="1:8" s="3" customFormat="1">
      <c r="A163" s="13">
        <v>9</v>
      </c>
      <c r="B163" s="5" t="s">
        <v>92</v>
      </c>
      <c r="C163" s="6" t="str">
        <f>Gia_VLieu!C11</f>
        <v>Hộp</v>
      </c>
      <c r="D163" s="66">
        <f>Gia_VLieu!D11</f>
        <v>2000</v>
      </c>
      <c r="E163" s="29">
        <v>1E-3</v>
      </c>
      <c r="F163" s="16">
        <f t="shared" si="10"/>
        <v>2</v>
      </c>
      <c r="H163" s="10">
        <v>159</v>
      </c>
    </row>
    <row r="164" spans="1:8" s="3" customFormat="1">
      <c r="A164" s="13">
        <v>10</v>
      </c>
      <c r="B164" s="5" t="s">
        <v>93</v>
      </c>
      <c r="C164" s="6" t="str">
        <f>Gia_VLieu!C12</f>
        <v>Tập</v>
      </c>
      <c r="D164" s="66">
        <f>Gia_VLieu!D12</f>
        <v>8000</v>
      </c>
      <c r="E164" s="29">
        <v>2E-3</v>
      </c>
      <c r="F164" s="16">
        <f t="shared" si="10"/>
        <v>16</v>
      </c>
      <c r="H164" s="10">
        <v>160</v>
      </c>
    </row>
    <row r="165" spans="1:8" s="3" customFormat="1">
      <c r="A165" s="40">
        <v>11</v>
      </c>
      <c r="B165" s="41" t="s">
        <v>94</v>
      </c>
      <c r="C165" s="42" t="str">
        <f>Gia_VLieu!C13</f>
        <v>Cái</v>
      </c>
      <c r="D165" s="67">
        <f>Gia_VLieu!D13</f>
        <v>15000</v>
      </c>
      <c r="E165" s="50">
        <v>1E-3</v>
      </c>
      <c r="F165" s="38">
        <f t="shared" si="10"/>
        <v>15</v>
      </c>
      <c r="H165" s="10">
        <v>161</v>
      </c>
    </row>
    <row r="166" spans="1:8" s="33" customFormat="1">
      <c r="A166" s="31" t="e">
        <f>#REF!</f>
        <v>#REF!</v>
      </c>
      <c r="B166" s="32" t="e">
        <f>#REF!</f>
        <v>#REF!</v>
      </c>
      <c r="C166" s="15"/>
      <c r="D166" s="70"/>
      <c r="E166" s="45"/>
      <c r="F166" s="18"/>
      <c r="H166" s="10">
        <v>162</v>
      </c>
    </row>
    <row r="167" spans="1:8" s="3" customFormat="1">
      <c r="A167" s="13" t="e">
        <f>#REF!</f>
        <v>#REF!</v>
      </c>
      <c r="B167" s="5" t="e">
        <f>#REF!</f>
        <v>#REF!</v>
      </c>
      <c r="C167" s="6"/>
      <c r="D167" s="66"/>
      <c r="E167" s="30"/>
      <c r="F167" s="16"/>
      <c r="H167" s="10">
        <v>163</v>
      </c>
    </row>
    <row r="168" spans="1:8" s="14" customFormat="1">
      <c r="A168" s="12" t="e">
        <f>#REF!</f>
        <v>#REF!</v>
      </c>
      <c r="B168" s="8" t="e">
        <f>#REF!</f>
        <v>#REF!</v>
      </c>
      <c r="C168" s="7"/>
      <c r="D168" s="72"/>
      <c r="E168" s="48"/>
      <c r="F168" s="17"/>
      <c r="H168" s="10">
        <v>164</v>
      </c>
    </row>
    <row r="169" spans="1:8" s="33" customFormat="1">
      <c r="A169" s="31" t="e">
        <f>#REF!</f>
        <v>#REF!</v>
      </c>
      <c r="B169" s="32" t="e">
        <f>#REF!</f>
        <v>#REF!</v>
      </c>
      <c r="C169" s="15"/>
      <c r="D169" s="127">
        <f>Gia_VLieu!D$14</f>
        <v>1.08</v>
      </c>
      <c r="E169" s="45"/>
      <c r="F169" s="18" t="e">
        <f>SUM(F170:F180)*D169</f>
        <v>#REF!</v>
      </c>
      <c r="H169" s="10">
        <v>165</v>
      </c>
    </row>
    <row r="170" spans="1:8" s="3" customFormat="1">
      <c r="A170" s="13">
        <v>1</v>
      </c>
      <c r="B170" s="5" t="s">
        <v>85</v>
      </c>
      <c r="C170" s="6" t="str">
        <f>Gia_VLieu!C4</f>
        <v>Gram</v>
      </c>
      <c r="D170" s="66">
        <f>Gia_VLieu!D4</f>
        <v>45000</v>
      </c>
      <c r="E170" s="29">
        <v>10</v>
      </c>
      <c r="F170" s="16">
        <f t="shared" ref="F170:F180" si="11">D170*E170</f>
        <v>450000</v>
      </c>
      <c r="H170" s="10">
        <v>166</v>
      </c>
    </row>
    <row r="171" spans="1:8" s="3" customFormat="1">
      <c r="A171" s="13">
        <v>2</v>
      </c>
      <c r="B171" s="5" t="s">
        <v>86</v>
      </c>
      <c r="C171" s="6" t="str">
        <f>Gia_VLieu!C5</f>
        <v>Hộp</v>
      </c>
      <c r="D171" s="66">
        <f>Gia_VLieu!D5</f>
        <v>1450000</v>
      </c>
      <c r="E171" s="29">
        <v>0.5</v>
      </c>
      <c r="F171" s="16">
        <f t="shared" si="11"/>
        <v>725000</v>
      </c>
      <c r="H171" s="10">
        <v>167</v>
      </c>
    </row>
    <row r="172" spans="1:8" s="3" customFormat="1">
      <c r="A172" s="13">
        <v>3</v>
      </c>
      <c r="B172" s="5" t="s">
        <v>87</v>
      </c>
      <c r="C172" s="6" t="e">
        <f>Gia_VLieu!#REF!</f>
        <v>#REF!</v>
      </c>
      <c r="D172" s="66" t="e">
        <f>Gia_VLieu!#REF!</f>
        <v>#REF!</v>
      </c>
      <c r="E172" s="29">
        <v>0.4</v>
      </c>
      <c r="F172" s="16" t="e">
        <f t="shared" si="11"/>
        <v>#REF!</v>
      </c>
      <c r="H172" s="10">
        <v>168</v>
      </c>
    </row>
    <row r="173" spans="1:8" s="3" customFormat="1">
      <c r="A173" s="13">
        <v>4</v>
      </c>
      <c r="B173" s="5" t="s">
        <v>88</v>
      </c>
      <c r="C173" s="6" t="str">
        <f>Gia_VLieu!C6</f>
        <v>Quyển</v>
      </c>
      <c r="D173" s="66">
        <f>Gia_VLieu!D6</f>
        <v>10000</v>
      </c>
      <c r="E173" s="29">
        <v>30</v>
      </c>
      <c r="F173" s="16">
        <f t="shared" si="11"/>
        <v>300000</v>
      </c>
      <c r="H173" s="10">
        <v>169</v>
      </c>
    </row>
    <row r="174" spans="1:8" s="3" customFormat="1">
      <c r="A174" s="13">
        <v>5</v>
      </c>
      <c r="B174" s="5" t="s">
        <v>22</v>
      </c>
      <c r="C174" s="6" t="str">
        <f>Gia_VLieu!C7</f>
        <v>Cái</v>
      </c>
      <c r="D174" s="66">
        <f>Gia_VLieu!D7</f>
        <v>2000</v>
      </c>
      <c r="E174" s="29">
        <v>32</v>
      </c>
      <c r="F174" s="16">
        <f t="shared" si="11"/>
        <v>64000</v>
      </c>
      <c r="H174" s="10">
        <v>170</v>
      </c>
    </row>
    <row r="175" spans="1:8" s="3" customFormat="1">
      <c r="A175" s="13">
        <v>6</v>
      </c>
      <c r="B175" s="5" t="s">
        <v>89</v>
      </c>
      <c r="C175" s="6" t="str">
        <f>Gia_VLieu!C8</f>
        <v>Cái</v>
      </c>
      <c r="D175" s="66">
        <f>Gia_VLieu!D8</f>
        <v>8000</v>
      </c>
      <c r="E175" s="29">
        <v>15</v>
      </c>
      <c r="F175" s="16">
        <f t="shared" si="11"/>
        <v>120000</v>
      </c>
      <c r="H175" s="10">
        <v>171</v>
      </c>
    </row>
    <row r="176" spans="1:8" s="3" customFormat="1">
      <c r="A176" s="13">
        <v>7</v>
      </c>
      <c r="B176" s="5" t="s">
        <v>90</v>
      </c>
      <c r="C176" s="6" t="str">
        <f>Gia_VLieu!C9</f>
        <v>Cái</v>
      </c>
      <c r="D176" s="66">
        <f>Gia_VLieu!D9</f>
        <v>10000</v>
      </c>
      <c r="E176" s="29">
        <v>15</v>
      </c>
      <c r="F176" s="16">
        <f t="shared" si="11"/>
        <v>150000</v>
      </c>
      <c r="H176" s="10">
        <v>172</v>
      </c>
    </row>
    <row r="177" spans="1:8" s="3" customFormat="1">
      <c r="A177" s="13">
        <v>8</v>
      </c>
      <c r="B177" s="5" t="s">
        <v>91</v>
      </c>
      <c r="C177" s="6" t="str">
        <f>Gia_VLieu!C10</f>
        <v>Hộp</v>
      </c>
      <c r="D177" s="66">
        <f>Gia_VLieu!D10</f>
        <v>2500</v>
      </c>
      <c r="E177" s="29">
        <v>10</v>
      </c>
      <c r="F177" s="16">
        <f t="shared" si="11"/>
        <v>25000</v>
      </c>
      <c r="H177" s="10">
        <v>173</v>
      </c>
    </row>
    <row r="178" spans="1:8" s="3" customFormat="1">
      <c r="A178" s="13">
        <v>9</v>
      </c>
      <c r="B178" s="5" t="s">
        <v>92</v>
      </c>
      <c r="C178" s="6" t="str">
        <f>Gia_VLieu!C11</f>
        <v>Hộp</v>
      </c>
      <c r="D178" s="66">
        <f>Gia_VLieu!D11</f>
        <v>2000</v>
      </c>
      <c r="E178" s="29">
        <v>8</v>
      </c>
      <c r="F178" s="16">
        <f t="shared" si="11"/>
        <v>16000</v>
      </c>
      <c r="H178" s="10">
        <v>174</v>
      </c>
    </row>
    <row r="179" spans="1:8" s="3" customFormat="1">
      <c r="A179" s="13">
        <v>10</v>
      </c>
      <c r="B179" s="5" t="s">
        <v>93</v>
      </c>
      <c r="C179" s="6" t="str">
        <f>Gia_VLieu!C12</f>
        <v>Tập</v>
      </c>
      <c r="D179" s="66">
        <f>Gia_VLieu!D12</f>
        <v>8000</v>
      </c>
      <c r="E179" s="29">
        <v>10</v>
      </c>
      <c r="F179" s="16">
        <f t="shared" si="11"/>
        <v>80000</v>
      </c>
      <c r="H179" s="10">
        <v>175</v>
      </c>
    </row>
    <row r="180" spans="1:8" s="3" customFormat="1">
      <c r="A180" s="40">
        <v>11</v>
      </c>
      <c r="B180" s="41" t="s">
        <v>94</v>
      </c>
      <c r="C180" s="42" t="str">
        <f>Gia_VLieu!C13</f>
        <v>Cái</v>
      </c>
      <c r="D180" s="67">
        <f>Gia_VLieu!D13</f>
        <v>15000</v>
      </c>
      <c r="E180" s="50">
        <v>20</v>
      </c>
      <c r="F180" s="38">
        <f t="shared" si="11"/>
        <v>300000</v>
      </c>
      <c r="H180" s="10">
        <v>176</v>
      </c>
    </row>
    <row r="181" spans="1:8" s="33" customFormat="1">
      <c r="A181" s="31" t="e">
        <f>#REF!</f>
        <v>#REF!</v>
      </c>
      <c r="B181" s="32" t="e">
        <f>#REF!</f>
        <v>#REF!</v>
      </c>
      <c r="C181" s="15"/>
      <c r="D181" s="127">
        <f>Gia_VLieu!D$14</f>
        <v>1.08</v>
      </c>
      <c r="E181" s="45"/>
      <c r="F181" s="18" t="e">
        <f>SUM(F182:F192)*D181</f>
        <v>#REF!</v>
      </c>
      <c r="H181" s="10">
        <v>177</v>
      </c>
    </row>
    <row r="182" spans="1:8" s="3" customFormat="1">
      <c r="A182" s="13">
        <v>1</v>
      </c>
      <c r="B182" s="5" t="s">
        <v>85</v>
      </c>
      <c r="C182" s="6" t="str">
        <f>Gia_VLieu!C4</f>
        <v>Gram</v>
      </c>
      <c r="D182" s="66">
        <f>Gia_VLieu!D4</f>
        <v>45000</v>
      </c>
      <c r="E182" s="29">
        <v>2</v>
      </c>
      <c r="F182" s="16">
        <f t="shared" ref="F182:F192" si="12">D182*E182</f>
        <v>90000</v>
      </c>
      <c r="H182" s="10">
        <v>178</v>
      </c>
    </row>
    <row r="183" spans="1:8" s="3" customFormat="1">
      <c r="A183" s="13">
        <v>2</v>
      </c>
      <c r="B183" s="5" t="s">
        <v>86</v>
      </c>
      <c r="C183" s="6" t="str">
        <f>Gia_VLieu!C5</f>
        <v>Hộp</v>
      </c>
      <c r="D183" s="66">
        <f>Gia_VLieu!D5</f>
        <v>1450000</v>
      </c>
      <c r="E183" s="29">
        <v>0.1</v>
      </c>
      <c r="F183" s="16">
        <f t="shared" si="12"/>
        <v>145000</v>
      </c>
      <c r="H183" s="10">
        <v>179</v>
      </c>
    </row>
    <row r="184" spans="1:8" s="3" customFormat="1">
      <c r="A184" s="13">
        <v>3</v>
      </c>
      <c r="B184" s="5" t="s">
        <v>87</v>
      </c>
      <c r="C184" s="6" t="e">
        <f>Gia_VLieu!#REF!</f>
        <v>#REF!</v>
      </c>
      <c r="D184" s="66" t="e">
        <f>Gia_VLieu!#REF!</f>
        <v>#REF!</v>
      </c>
      <c r="E184" s="29">
        <v>0.05</v>
      </c>
      <c r="F184" s="16" t="e">
        <f t="shared" si="12"/>
        <v>#REF!</v>
      </c>
      <c r="H184" s="10">
        <v>180</v>
      </c>
    </row>
    <row r="185" spans="1:8" s="3" customFormat="1">
      <c r="A185" s="13">
        <v>4</v>
      </c>
      <c r="B185" s="5" t="s">
        <v>88</v>
      </c>
      <c r="C185" s="6" t="str">
        <f>Gia_VLieu!C6</f>
        <v>Quyển</v>
      </c>
      <c r="D185" s="66">
        <f>Gia_VLieu!D6</f>
        <v>10000</v>
      </c>
      <c r="E185" s="29">
        <v>25</v>
      </c>
      <c r="F185" s="16">
        <f t="shared" si="12"/>
        <v>250000</v>
      </c>
      <c r="H185" s="10">
        <v>181</v>
      </c>
    </row>
    <row r="186" spans="1:8" s="3" customFormat="1">
      <c r="A186" s="13">
        <v>5</v>
      </c>
      <c r="B186" s="5" t="s">
        <v>22</v>
      </c>
      <c r="C186" s="6" t="str">
        <f>Gia_VLieu!C7</f>
        <v>Cái</v>
      </c>
      <c r="D186" s="66">
        <f>Gia_VLieu!D7</f>
        <v>2000</v>
      </c>
      <c r="E186" s="29">
        <v>30</v>
      </c>
      <c r="F186" s="16">
        <f t="shared" si="12"/>
        <v>60000</v>
      </c>
      <c r="H186" s="10">
        <v>182</v>
      </c>
    </row>
    <row r="187" spans="1:8" s="3" customFormat="1">
      <c r="A187" s="13">
        <v>6</v>
      </c>
      <c r="B187" s="5" t="s">
        <v>89</v>
      </c>
      <c r="C187" s="6" t="str">
        <f>Gia_VLieu!C8</f>
        <v>Cái</v>
      </c>
      <c r="D187" s="66">
        <f>Gia_VLieu!D8</f>
        <v>8000</v>
      </c>
      <c r="E187" s="29">
        <v>14</v>
      </c>
      <c r="F187" s="16">
        <f t="shared" si="12"/>
        <v>112000</v>
      </c>
      <c r="H187" s="10">
        <v>183</v>
      </c>
    </row>
    <row r="188" spans="1:8" s="3" customFormat="1">
      <c r="A188" s="13">
        <v>7</v>
      </c>
      <c r="B188" s="5" t="s">
        <v>90</v>
      </c>
      <c r="C188" s="6" t="str">
        <f>Gia_VLieu!C9</f>
        <v>Cái</v>
      </c>
      <c r="D188" s="66">
        <f>Gia_VLieu!D9</f>
        <v>10000</v>
      </c>
      <c r="E188" s="29">
        <v>14</v>
      </c>
      <c r="F188" s="16">
        <f t="shared" si="12"/>
        <v>140000</v>
      </c>
      <c r="H188" s="10">
        <v>184</v>
      </c>
    </row>
    <row r="189" spans="1:8" s="3" customFormat="1">
      <c r="A189" s="13">
        <v>8</v>
      </c>
      <c r="B189" s="5" t="s">
        <v>91</v>
      </c>
      <c r="C189" s="6" t="str">
        <f>Gia_VLieu!C10</f>
        <v>Hộp</v>
      </c>
      <c r="D189" s="66">
        <f>Gia_VLieu!D10</f>
        <v>2500</v>
      </c>
      <c r="E189" s="29">
        <v>8</v>
      </c>
      <c r="F189" s="16">
        <f t="shared" si="12"/>
        <v>20000</v>
      </c>
      <c r="H189" s="10">
        <v>185</v>
      </c>
    </row>
    <row r="190" spans="1:8" s="3" customFormat="1">
      <c r="A190" s="13">
        <v>9</v>
      </c>
      <c r="B190" s="5" t="s">
        <v>92</v>
      </c>
      <c r="C190" s="6" t="str">
        <f>Gia_VLieu!C11</f>
        <v>Hộp</v>
      </c>
      <c r="D190" s="66">
        <f>Gia_VLieu!D11</f>
        <v>2000</v>
      </c>
      <c r="E190" s="29">
        <v>6</v>
      </c>
      <c r="F190" s="16">
        <f t="shared" si="12"/>
        <v>12000</v>
      </c>
      <c r="H190" s="10">
        <v>186</v>
      </c>
    </row>
    <row r="191" spans="1:8" s="3" customFormat="1">
      <c r="A191" s="13">
        <v>10</v>
      </c>
      <c r="B191" s="5" t="s">
        <v>93</v>
      </c>
      <c r="C191" s="6" t="str">
        <f>Gia_VLieu!C12</f>
        <v>Tập</v>
      </c>
      <c r="D191" s="66">
        <f>Gia_VLieu!D12</f>
        <v>8000</v>
      </c>
      <c r="E191" s="29">
        <v>6</v>
      </c>
      <c r="F191" s="16">
        <f t="shared" si="12"/>
        <v>48000</v>
      </c>
      <c r="H191" s="10">
        <v>187</v>
      </c>
    </row>
    <row r="192" spans="1:8" s="3" customFormat="1">
      <c r="A192" s="40">
        <v>11</v>
      </c>
      <c r="B192" s="41" t="s">
        <v>94</v>
      </c>
      <c r="C192" s="42" t="str">
        <f>Gia_VLieu!C13</f>
        <v>Cái</v>
      </c>
      <c r="D192" s="67">
        <f>Gia_VLieu!D13</f>
        <v>15000</v>
      </c>
      <c r="E192" s="50">
        <v>15</v>
      </c>
      <c r="F192" s="38">
        <f t="shared" si="12"/>
        <v>225000</v>
      </c>
      <c r="H192" s="10">
        <v>188</v>
      </c>
    </row>
    <row r="193" spans="1:8" s="33" customFormat="1">
      <c r="A193" s="31" t="e">
        <f>#REF!</f>
        <v>#REF!</v>
      </c>
      <c r="B193" s="32" t="e">
        <f>#REF!</f>
        <v>#REF!</v>
      </c>
      <c r="C193" s="15"/>
      <c r="D193" s="127">
        <f>Gia_VLieu!D$14</f>
        <v>1.08</v>
      </c>
      <c r="E193" s="45"/>
      <c r="F193" s="18" t="e">
        <f>SUM(F194:F204)*D193</f>
        <v>#REF!</v>
      </c>
      <c r="H193" s="10">
        <v>189</v>
      </c>
    </row>
    <row r="194" spans="1:8" s="3" customFormat="1">
      <c r="A194" s="13">
        <v>1</v>
      </c>
      <c r="B194" s="5" t="s">
        <v>85</v>
      </c>
      <c r="C194" s="6" t="str">
        <f>Gia_VLieu!C4</f>
        <v>Gram</v>
      </c>
      <c r="D194" s="66">
        <f>Gia_VLieu!D4</f>
        <v>45000</v>
      </c>
      <c r="E194" s="29">
        <v>40</v>
      </c>
      <c r="F194" s="16">
        <f t="shared" ref="F194:F204" si="13">D194*E194</f>
        <v>1800000</v>
      </c>
      <c r="H194" s="10">
        <v>190</v>
      </c>
    </row>
    <row r="195" spans="1:8" s="3" customFormat="1">
      <c r="A195" s="13">
        <v>2</v>
      </c>
      <c r="B195" s="5" t="s">
        <v>86</v>
      </c>
      <c r="C195" s="6" t="str">
        <f>Gia_VLieu!C5</f>
        <v>Hộp</v>
      </c>
      <c r="D195" s="66">
        <f>Gia_VLieu!D5</f>
        <v>1450000</v>
      </c>
      <c r="E195" s="29">
        <v>3.5</v>
      </c>
      <c r="F195" s="16">
        <f t="shared" si="13"/>
        <v>5075000</v>
      </c>
      <c r="H195" s="10">
        <v>191</v>
      </c>
    </row>
    <row r="196" spans="1:8" s="3" customFormat="1">
      <c r="A196" s="13">
        <v>3</v>
      </c>
      <c r="B196" s="5" t="s">
        <v>87</v>
      </c>
      <c r="C196" s="6" t="e">
        <f>Gia_VLieu!#REF!</f>
        <v>#REF!</v>
      </c>
      <c r="D196" s="66" t="e">
        <f>Gia_VLieu!#REF!</f>
        <v>#REF!</v>
      </c>
      <c r="E196" s="29">
        <v>1.2</v>
      </c>
      <c r="F196" s="16" t="e">
        <f t="shared" si="13"/>
        <v>#REF!</v>
      </c>
      <c r="H196" s="10">
        <v>192</v>
      </c>
    </row>
    <row r="197" spans="1:8" s="3" customFormat="1">
      <c r="A197" s="13">
        <v>4</v>
      </c>
      <c r="B197" s="5" t="s">
        <v>88</v>
      </c>
      <c r="C197" s="6" t="str">
        <f>Gia_VLieu!C6</f>
        <v>Quyển</v>
      </c>
      <c r="D197" s="66">
        <f>Gia_VLieu!D6</f>
        <v>10000</v>
      </c>
      <c r="E197" s="29">
        <v>35</v>
      </c>
      <c r="F197" s="16">
        <f t="shared" si="13"/>
        <v>350000</v>
      </c>
      <c r="H197" s="10">
        <v>193</v>
      </c>
    </row>
    <row r="198" spans="1:8" s="3" customFormat="1">
      <c r="A198" s="13">
        <v>5</v>
      </c>
      <c r="B198" s="5" t="s">
        <v>22</v>
      </c>
      <c r="C198" s="6" t="str">
        <f>Gia_VLieu!C7</f>
        <v>Cái</v>
      </c>
      <c r="D198" s="66">
        <f>Gia_VLieu!D7</f>
        <v>2000</v>
      </c>
      <c r="E198" s="29">
        <v>50</v>
      </c>
      <c r="F198" s="16">
        <f t="shared" si="13"/>
        <v>100000</v>
      </c>
      <c r="H198" s="10">
        <v>194</v>
      </c>
    </row>
    <row r="199" spans="1:8" s="3" customFormat="1">
      <c r="A199" s="13">
        <v>6</v>
      </c>
      <c r="B199" s="5" t="s">
        <v>89</v>
      </c>
      <c r="C199" s="6" t="str">
        <f>Gia_VLieu!C8</f>
        <v>Cái</v>
      </c>
      <c r="D199" s="66">
        <f>Gia_VLieu!D8</f>
        <v>8000</v>
      </c>
      <c r="E199" s="29">
        <v>40</v>
      </c>
      <c r="F199" s="16">
        <f t="shared" si="13"/>
        <v>320000</v>
      </c>
      <c r="H199" s="10">
        <v>195</v>
      </c>
    </row>
    <row r="200" spans="1:8" s="3" customFormat="1">
      <c r="A200" s="13">
        <v>7</v>
      </c>
      <c r="B200" s="5" t="s">
        <v>90</v>
      </c>
      <c r="C200" s="6" t="str">
        <f>Gia_VLieu!C9</f>
        <v>Cái</v>
      </c>
      <c r="D200" s="66">
        <f>Gia_VLieu!D9</f>
        <v>10000</v>
      </c>
      <c r="E200" s="29">
        <v>40</v>
      </c>
      <c r="F200" s="16">
        <f t="shared" si="13"/>
        <v>400000</v>
      </c>
      <c r="H200" s="10">
        <v>196</v>
      </c>
    </row>
    <row r="201" spans="1:8" s="3" customFormat="1">
      <c r="A201" s="13">
        <v>8</v>
      </c>
      <c r="B201" s="5" t="s">
        <v>91</v>
      </c>
      <c r="C201" s="6" t="str">
        <f>Gia_VLieu!C10</f>
        <v>Hộp</v>
      </c>
      <c r="D201" s="66">
        <f>Gia_VLieu!D10</f>
        <v>2500</v>
      </c>
      <c r="E201" s="29">
        <v>35</v>
      </c>
      <c r="F201" s="16">
        <f t="shared" si="13"/>
        <v>87500</v>
      </c>
      <c r="H201" s="10">
        <v>197</v>
      </c>
    </row>
    <row r="202" spans="1:8" s="3" customFormat="1">
      <c r="A202" s="13">
        <v>9</v>
      </c>
      <c r="B202" s="5" t="s">
        <v>92</v>
      </c>
      <c r="C202" s="6" t="str">
        <f>Gia_VLieu!C11</f>
        <v>Hộp</v>
      </c>
      <c r="D202" s="66">
        <f>Gia_VLieu!D11</f>
        <v>2000</v>
      </c>
      <c r="E202" s="29">
        <v>21</v>
      </c>
      <c r="F202" s="16">
        <f t="shared" si="13"/>
        <v>42000</v>
      </c>
      <c r="H202" s="10">
        <v>198</v>
      </c>
    </row>
    <row r="203" spans="1:8" s="3" customFormat="1">
      <c r="A203" s="13">
        <v>10</v>
      </c>
      <c r="B203" s="5" t="s">
        <v>93</v>
      </c>
      <c r="C203" s="6" t="str">
        <f>Gia_VLieu!C12</f>
        <v>Tập</v>
      </c>
      <c r="D203" s="66">
        <f>Gia_VLieu!D12</f>
        <v>8000</v>
      </c>
      <c r="E203" s="29">
        <v>25</v>
      </c>
      <c r="F203" s="16">
        <f t="shared" si="13"/>
        <v>200000</v>
      </c>
      <c r="H203" s="10">
        <v>199</v>
      </c>
    </row>
    <row r="204" spans="1:8" s="3" customFormat="1">
      <c r="A204" s="40">
        <v>11</v>
      </c>
      <c r="B204" s="41" t="s">
        <v>94</v>
      </c>
      <c r="C204" s="42" t="str">
        <f>Gia_VLieu!C13</f>
        <v>Cái</v>
      </c>
      <c r="D204" s="67">
        <f>Gia_VLieu!D13</f>
        <v>15000</v>
      </c>
      <c r="E204" s="50">
        <v>32</v>
      </c>
      <c r="F204" s="38">
        <f t="shared" si="13"/>
        <v>480000</v>
      </c>
      <c r="H204" s="10">
        <v>200</v>
      </c>
    </row>
    <row r="205" spans="1:8" s="14" customFormat="1">
      <c r="A205" s="12" t="e">
        <f>#REF!</f>
        <v>#REF!</v>
      </c>
      <c r="B205" s="8" t="e">
        <f>#REF!</f>
        <v>#REF!</v>
      </c>
      <c r="C205" s="7"/>
      <c r="D205" s="72"/>
      <c r="E205" s="48"/>
      <c r="F205" s="17"/>
      <c r="H205" s="10">
        <v>201</v>
      </c>
    </row>
    <row r="206" spans="1:8" s="33" customFormat="1">
      <c r="A206" s="31" t="e">
        <f>#REF!</f>
        <v>#REF!</v>
      </c>
      <c r="B206" s="32" t="e">
        <f>#REF!</f>
        <v>#REF!</v>
      </c>
      <c r="C206" s="15"/>
      <c r="D206" s="70"/>
      <c r="E206" s="45"/>
      <c r="F206" s="18"/>
      <c r="H206" s="10">
        <v>202</v>
      </c>
    </row>
    <row r="207" spans="1:8" s="33" customFormat="1">
      <c r="A207" s="31" t="e">
        <f>#REF!</f>
        <v>#REF!</v>
      </c>
      <c r="B207" s="32" t="e">
        <f>#REF!</f>
        <v>#REF!</v>
      </c>
      <c r="C207" s="15"/>
      <c r="D207" s="70"/>
      <c r="E207" s="45"/>
      <c r="F207" s="18" t="e">
        <f>SUM(F210:F220)</f>
        <v>#REF!</v>
      </c>
      <c r="H207" s="10">
        <v>203</v>
      </c>
    </row>
    <row r="208" spans="1:8" s="14" customFormat="1">
      <c r="A208" s="12" t="e">
        <f>#REF!</f>
        <v>#REF!</v>
      </c>
      <c r="B208" s="8" t="e">
        <f>#REF!</f>
        <v>#REF!</v>
      </c>
      <c r="C208" s="7"/>
      <c r="D208" s="72"/>
      <c r="E208" s="48"/>
      <c r="F208" s="17"/>
      <c r="H208" s="10">
        <v>204</v>
      </c>
    </row>
    <row r="209" spans="1:8" s="33" customFormat="1">
      <c r="A209" s="31" t="e">
        <f>#REF!</f>
        <v>#REF!</v>
      </c>
      <c r="B209" s="32" t="e">
        <f>#REF!</f>
        <v>#REF!</v>
      </c>
      <c r="C209" s="15"/>
      <c r="D209" s="127">
        <f>Gia_VLieu!D$14</f>
        <v>1.08</v>
      </c>
      <c r="E209" s="45"/>
      <c r="F209" s="18" t="e">
        <f>SUM(F210:F220)*D209</f>
        <v>#REF!</v>
      </c>
      <c r="H209" s="10">
        <v>205</v>
      </c>
    </row>
    <row r="210" spans="1:8" s="3" customFormat="1">
      <c r="A210" s="13">
        <v>1</v>
      </c>
      <c r="B210" s="5" t="s">
        <v>85</v>
      </c>
      <c r="C210" s="6" t="str">
        <f>Gia_VLieu!C4</f>
        <v>Gram</v>
      </c>
      <c r="D210" s="66">
        <f>Gia_VLieu!D4</f>
        <v>45000</v>
      </c>
      <c r="E210" s="29">
        <v>5</v>
      </c>
      <c r="F210" s="16">
        <f t="shared" ref="F210:F220" si="14">D210*E210</f>
        <v>225000</v>
      </c>
      <c r="H210" s="10">
        <v>206</v>
      </c>
    </row>
    <row r="211" spans="1:8" s="3" customFormat="1">
      <c r="A211" s="13">
        <v>2</v>
      </c>
      <c r="B211" s="5" t="s">
        <v>86</v>
      </c>
      <c r="C211" s="6" t="str">
        <f>Gia_VLieu!C5</f>
        <v>Hộp</v>
      </c>
      <c r="D211" s="66">
        <f>Gia_VLieu!D5</f>
        <v>1450000</v>
      </c>
      <c r="E211" s="29">
        <v>0.02</v>
      </c>
      <c r="F211" s="16">
        <f t="shared" si="14"/>
        <v>29000</v>
      </c>
      <c r="H211" s="10">
        <v>207</v>
      </c>
    </row>
    <row r="212" spans="1:8" s="3" customFormat="1">
      <c r="A212" s="13">
        <v>3</v>
      </c>
      <c r="B212" s="5" t="s">
        <v>87</v>
      </c>
      <c r="C212" s="6" t="e">
        <f>Gia_VLieu!#REF!</f>
        <v>#REF!</v>
      </c>
      <c r="D212" s="66" t="e">
        <f>Gia_VLieu!#REF!</f>
        <v>#REF!</v>
      </c>
      <c r="E212" s="29">
        <v>0.01</v>
      </c>
      <c r="F212" s="16" t="e">
        <f t="shared" si="14"/>
        <v>#REF!</v>
      </c>
      <c r="H212" s="10">
        <v>208</v>
      </c>
    </row>
    <row r="213" spans="1:8" s="3" customFormat="1">
      <c r="A213" s="13">
        <v>4</v>
      </c>
      <c r="B213" s="5" t="s">
        <v>88</v>
      </c>
      <c r="C213" s="6" t="str">
        <f>Gia_VLieu!C6</f>
        <v>Quyển</v>
      </c>
      <c r="D213" s="66">
        <f>Gia_VLieu!D6</f>
        <v>10000</v>
      </c>
      <c r="E213" s="29">
        <v>5</v>
      </c>
      <c r="F213" s="16">
        <f t="shared" si="14"/>
        <v>50000</v>
      </c>
      <c r="H213" s="10">
        <v>209</v>
      </c>
    </row>
    <row r="214" spans="1:8" s="3" customFormat="1">
      <c r="A214" s="13">
        <v>5</v>
      </c>
      <c r="B214" s="5" t="s">
        <v>22</v>
      </c>
      <c r="C214" s="6" t="str">
        <f>Gia_VLieu!C7</f>
        <v>Cái</v>
      </c>
      <c r="D214" s="66">
        <f>Gia_VLieu!D7</f>
        <v>2000</v>
      </c>
      <c r="E214" s="29">
        <v>11</v>
      </c>
      <c r="F214" s="16">
        <f t="shared" si="14"/>
        <v>22000</v>
      </c>
      <c r="H214" s="10">
        <v>210</v>
      </c>
    </row>
    <row r="215" spans="1:8" s="3" customFormat="1">
      <c r="A215" s="13">
        <v>6</v>
      </c>
      <c r="B215" s="5" t="s">
        <v>89</v>
      </c>
      <c r="C215" s="6" t="str">
        <f>Gia_VLieu!C8</f>
        <v>Cái</v>
      </c>
      <c r="D215" s="66">
        <f>Gia_VLieu!D8</f>
        <v>8000</v>
      </c>
      <c r="E215" s="29">
        <v>40</v>
      </c>
      <c r="F215" s="16">
        <f t="shared" si="14"/>
        <v>320000</v>
      </c>
      <c r="H215" s="10">
        <v>211</v>
      </c>
    </row>
    <row r="216" spans="1:8" s="3" customFormat="1">
      <c r="A216" s="13">
        <v>7</v>
      </c>
      <c r="B216" s="5" t="s">
        <v>90</v>
      </c>
      <c r="C216" s="6" t="str">
        <f>Gia_VLieu!C9</f>
        <v>Cái</v>
      </c>
      <c r="D216" s="66">
        <f>Gia_VLieu!D9</f>
        <v>10000</v>
      </c>
      <c r="E216" s="29">
        <v>40</v>
      </c>
      <c r="F216" s="16">
        <f t="shared" si="14"/>
        <v>400000</v>
      </c>
      <c r="H216" s="10">
        <v>212</v>
      </c>
    </row>
    <row r="217" spans="1:8" s="3" customFormat="1">
      <c r="A217" s="13">
        <v>8</v>
      </c>
      <c r="B217" s="5" t="s">
        <v>91</v>
      </c>
      <c r="C217" s="6" t="str">
        <f>Gia_VLieu!C10</f>
        <v>Hộp</v>
      </c>
      <c r="D217" s="66">
        <f>Gia_VLieu!D10</f>
        <v>2500</v>
      </c>
      <c r="E217" s="29">
        <v>8</v>
      </c>
      <c r="F217" s="16">
        <f t="shared" si="14"/>
        <v>20000</v>
      </c>
      <c r="H217" s="10">
        <v>213</v>
      </c>
    </row>
    <row r="218" spans="1:8" s="3" customFormat="1">
      <c r="A218" s="13">
        <v>9</v>
      </c>
      <c r="B218" s="5" t="s">
        <v>92</v>
      </c>
      <c r="C218" s="6" t="str">
        <f>Gia_VLieu!C11</f>
        <v>Hộp</v>
      </c>
      <c r="D218" s="66">
        <f>Gia_VLieu!D11</f>
        <v>2000</v>
      </c>
      <c r="E218" s="29">
        <v>4</v>
      </c>
      <c r="F218" s="16">
        <f t="shared" si="14"/>
        <v>8000</v>
      </c>
      <c r="H218" s="10">
        <v>214</v>
      </c>
    </row>
    <row r="219" spans="1:8" s="3" customFormat="1">
      <c r="A219" s="13">
        <v>10</v>
      </c>
      <c r="B219" s="5" t="s">
        <v>93</v>
      </c>
      <c r="C219" s="6" t="str">
        <f>Gia_VLieu!C12</f>
        <v>Tập</v>
      </c>
      <c r="D219" s="66">
        <f>Gia_VLieu!D12</f>
        <v>8000</v>
      </c>
      <c r="E219" s="29">
        <v>5</v>
      </c>
      <c r="F219" s="16">
        <f t="shared" si="14"/>
        <v>40000</v>
      </c>
      <c r="H219" s="10">
        <v>215</v>
      </c>
    </row>
    <row r="220" spans="1:8" s="3" customFormat="1">
      <c r="A220" s="40">
        <v>11</v>
      </c>
      <c r="B220" s="41" t="s">
        <v>94</v>
      </c>
      <c r="C220" s="42" t="str">
        <f>Gia_VLieu!C13</f>
        <v>Cái</v>
      </c>
      <c r="D220" s="67">
        <f>Gia_VLieu!D13</f>
        <v>15000</v>
      </c>
      <c r="E220" s="50">
        <v>3.78</v>
      </c>
      <c r="F220" s="38">
        <f t="shared" si="14"/>
        <v>56700</v>
      </c>
      <c r="H220" s="10">
        <v>216</v>
      </c>
    </row>
    <row r="221" spans="1:8" s="33" customFormat="1">
      <c r="A221" s="31" t="e">
        <f>#REF!</f>
        <v>#REF!</v>
      </c>
      <c r="B221" s="32" t="e">
        <f>#REF!</f>
        <v>#REF!</v>
      </c>
      <c r="C221" s="15"/>
      <c r="D221" s="127">
        <f>Gia_VLieu!D$14</f>
        <v>1.08</v>
      </c>
      <c r="E221" s="45"/>
      <c r="F221" s="18" t="e">
        <f>SUM(F222:F232)*D221</f>
        <v>#REF!</v>
      </c>
      <c r="H221" s="10">
        <v>217</v>
      </c>
    </row>
    <row r="222" spans="1:8" s="3" customFormat="1">
      <c r="A222" s="13">
        <v>1</v>
      </c>
      <c r="B222" s="5" t="s">
        <v>85</v>
      </c>
      <c r="C222" s="6" t="str">
        <f>Gia_VLieu!C4</f>
        <v>Gram</v>
      </c>
      <c r="D222" s="66">
        <f>Gia_VLieu!D4</f>
        <v>45000</v>
      </c>
      <c r="E222" s="29">
        <v>1</v>
      </c>
      <c r="F222" s="16">
        <f t="shared" ref="F222:F232" si="15">D222*E222</f>
        <v>45000</v>
      </c>
      <c r="H222" s="10">
        <v>218</v>
      </c>
    </row>
    <row r="223" spans="1:8" s="3" customFormat="1">
      <c r="A223" s="13">
        <v>2</v>
      </c>
      <c r="B223" s="5" t="s">
        <v>86</v>
      </c>
      <c r="C223" s="6" t="str">
        <f>Gia_VLieu!C5</f>
        <v>Hộp</v>
      </c>
      <c r="D223" s="66">
        <f>Gia_VLieu!D5</f>
        <v>1450000</v>
      </c>
      <c r="E223" s="29">
        <v>0.01</v>
      </c>
      <c r="F223" s="16">
        <f t="shared" si="15"/>
        <v>14500</v>
      </c>
      <c r="H223" s="10">
        <v>219</v>
      </c>
    </row>
    <row r="224" spans="1:8" s="3" customFormat="1">
      <c r="A224" s="13">
        <v>3</v>
      </c>
      <c r="B224" s="5" t="s">
        <v>87</v>
      </c>
      <c r="C224" s="6" t="e">
        <f>Gia_VLieu!#REF!</f>
        <v>#REF!</v>
      </c>
      <c r="D224" s="66" t="e">
        <f>Gia_VLieu!#REF!</f>
        <v>#REF!</v>
      </c>
      <c r="E224" s="29">
        <v>0.01</v>
      </c>
      <c r="F224" s="16" t="e">
        <f t="shared" si="15"/>
        <v>#REF!</v>
      </c>
      <c r="H224" s="10">
        <v>220</v>
      </c>
    </row>
    <row r="225" spans="1:8" s="3" customFormat="1">
      <c r="A225" s="13">
        <v>4</v>
      </c>
      <c r="B225" s="5" t="s">
        <v>88</v>
      </c>
      <c r="C225" s="6" t="str">
        <f>Gia_VLieu!C6</f>
        <v>Quyển</v>
      </c>
      <c r="D225" s="66">
        <f>Gia_VLieu!D6</f>
        <v>10000</v>
      </c>
      <c r="E225" s="29">
        <v>4</v>
      </c>
      <c r="F225" s="16">
        <f t="shared" si="15"/>
        <v>40000</v>
      </c>
      <c r="H225" s="10">
        <v>221</v>
      </c>
    </row>
    <row r="226" spans="1:8" s="3" customFormat="1">
      <c r="A226" s="13">
        <v>5</v>
      </c>
      <c r="B226" s="5" t="s">
        <v>22</v>
      </c>
      <c r="C226" s="6" t="str">
        <f>Gia_VLieu!C7</f>
        <v>Cái</v>
      </c>
      <c r="D226" s="66">
        <f>Gia_VLieu!D7</f>
        <v>2000</v>
      </c>
      <c r="E226" s="29">
        <v>6</v>
      </c>
      <c r="F226" s="16">
        <f t="shared" si="15"/>
        <v>12000</v>
      </c>
      <c r="H226" s="10">
        <v>222</v>
      </c>
    </row>
    <row r="227" spans="1:8" s="3" customFormat="1">
      <c r="A227" s="13">
        <v>6</v>
      </c>
      <c r="B227" s="5" t="s">
        <v>89</v>
      </c>
      <c r="C227" s="6" t="str">
        <f>Gia_VLieu!C8</f>
        <v>Cái</v>
      </c>
      <c r="D227" s="66">
        <f>Gia_VLieu!D8</f>
        <v>8000</v>
      </c>
      <c r="E227" s="29">
        <v>40</v>
      </c>
      <c r="F227" s="16">
        <f t="shared" si="15"/>
        <v>320000</v>
      </c>
      <c r="H227" s="10">
        <v>223</v>
      </c>
    </row>
    <row r="228" spans="1:8" s="3" customFormat="1">
      <c r="A228" s="13">
        <v>7</v>
      </c>
      <c r="B228" s="5" t="s">
        <v>90</v>
      </c>
      <c r="C228" s="6" t="str">
        <f>Gia_VLieu!C9</f>
        <v>Cái</v>
      </c>
      <c r="D228" s="66">
        <f>Gia_VLieu!D9</f>
        <v>10000</v>
      </c>
      <c r="E228" s="29">
        <v>40</v>
      </c>
      <c r="F228" s="16">
        <f t="shared" si="15"/>
        <v>400000</v>
      </c>
      <c r="H228" s="10">
        <v>224</v>
      </c>
    </row>
    <row r="229" spans="1:8" s="3" customFormat="1">
      <c r="A229" s="13">
        <v>8</v>
      </c>
      <c r="B229" s="5" t="s">
        <v>91</v>
      </c>
      <c r="C229" s="6" t="str">
        <f>Gia_VLieu!C10</f>
        <v>Hộp</v>
      </c>
      <c r="D229" s="66">
        <f>Gia_VLieu!D10</f>
        <v>2500</v>
      </c>
      <c r="E229" s="29">
        <v>6</v>
      </c>
      <c r="F229" s="16">
        <f t="shared" si="15"/>
        <v>15000</v>
      </c>
      <c r="H229" s="10">
        <v>225</v>
      </c>
    </row>
    <row r="230" spans="1:8" s="3" customFormat="1">
      <c r="A230" s="13">
        <v>9</v>
      </c>
      <c r="B230" s="5" t="s">
        <v>92</v>
      </c>
      <c r="C230" s="6" t="str">
        <f>Gia_VLieu!C11</f>
        <v>Hộp</v>
      </c>
      <c r="D230" s="66">
        <f>Gia_VLieu!D11</f>
        <v>2000</v>
      </c>
      <c r="E230" s="29">
        <v>3</v>
      </c>
      <c r="F230" s="16">
        <f t="shared" si="15"/>
        <v>6000</v>
      </c>
      <c r="H230" s="10">
        <v>226</v>
      </c>
    </row>
    <row r="231" spans="1:8" s="3" customFormat="1">
      <c r="A231" s="13">
        <v>10</v>
      </c>
      <c r="B231" s="5" t="s">
        <v>93</v>
      </c>
      <c r="C231" s="6" t="str">
        <f>Gia_VLieu!C12</f>
        <v>Tập</v>
      </c>
      <c r="D231" s="66">
        <f>Gia_VLieu!D12</f>
        <v>8000</v>
      </c>
      <c r="E231" s="29">
        <v>4</v>
      </c>
      <c r="F231" s="16">
        <f t="shared" si="15"/>
        <v>32000</v>
      </c>
      <c r="H231" s="10">
        <v>227</v>
      </c>
    </row>
    <row r="232" spans="1:8" s="3" customFormat="1">
      <c r="A232" s="40">
        <v>11</v>
      </c>
      <c r="B232" s="41" t="s">
        <v>94</v>
      </c>
      <c r="C232" s="42" t="str">
        <f>Gia_VLieu!C13</f>
        <v>Cái</v>
      </c>
      <c r="D232" s="67">
        <f>Gia_VLieu!D13</f>
        <v>15000</v>
      </c>
      <c r="E232" s="50">
        <v>20</v>
      </c>
      <c r="F232" s="38">
        <f t="shared" si="15"/>
        <v>300000</v>
      </c>
      <c r="H232" s="10">
        <v>228</v>
      </c>
    </row>
    <row r="233" spans="1:8" s="33" customFormat="1">
      <c r="A233" s="31" t="e">
        <f>#REF!</f>
        <v>#REF!</v>
      </c>
      <c r="B233" s="32" t="e">
        <f>#REF!</f>
        <v>#REF!</v>
      </c>
      <c r="C233" s="15"/>
      <c r="D233" s="70"/>
      <c r="E233" s="45"/>
      <c r="F233" s="18"/>
      <c r="H233" s="10">
        <v>229</v>
      </c>
    </row>
    <row r="234" spans="1:8" s="3" customFormat="1">
      <c r="A234" s="13" t="e">
        <f>#REF!</f>
        <v>#REF!</v>
      </c>
      <c r="B234" s="5" t="e">
        <f>#REF!</f>
        <v>#REF!</v>
      </c>
      <c r="C234" s="6"/>
      <c r="D234" s="127">
        <f>Gia_VLieu!D$14</f>
        <v>1.08</v>
      </c>
      <c r="E234" s="45"/>
      <c r="F234" s="18" t="e">
        <f>SUM(F235:F245)*D234</f>
        <v>#REF!</v>
      </c>
      <c r="H234" s="10">
        <v>230</v>
      </c>
    </row>
    <row r="235" spans="1:8" s="3" customFormat="1">
      <c r="A235" s="13">
        <v>1</v>
      </c>
      <c r="B235" s="5" t="s">
        <v>85</v>
      </c>
      <c r="C235" s="6" t="str">
        <f>Gia_VLieu!C4</f>
        <v>Gram</v>
      </c>
      <c r="D235" s="66">
        <f>Gia_VLieu!D4</f>
        <v>45000</v>
      </c>
      <c r="E235" s="29">
        <v>0.5</v>
      </c>
      <c r="F235" s="16">
        <f t="shared" ref="F235:F245" si="16">D235*E235</f>
        <v>22500</v>
      </c>
      <c r="H235" s="10">
        <v>231</v>
      </c>
    </row>
    <row r="236" spans="1:8" s="3" customFormat="1">
      <c r="A236" s="13">
        <v>2</v>
      </c>
      <c r="B236" s="5" t="s">
        <v>86</v>
      </c>
      <c r="C236" s="6" t="str">
        <f>Gia_VLieu!C5</f>
        <v>Hộp</v>
      </c>
      <c r="D236" s="66">
        <f>Gia_VLieu!D5</f>
        <v>1450000</v>
      </c>
      <c r="E236" s="29">
        <v>0.01</v>
      </c>
      <c r="F236" s="16">
        <f t="shared" si="16"/>
        <v>14500</v>
      </c>
      <c r="H236" s="10">
        <v>232</v>
      </c>
    </row>
    <row r="237" spans="1:8" s="3" customFormat="1">
      <c r="A237" s="13">
        <v>3</v>
      </c>
      <c r="B237" s="5" t="s">
        <v>87</v>
      </c>
      <c r="C237" s="6" t="e">
        <f>Gia_VLieu!#REF!</f>
        <v>#REF!</v>
      </c>
      <c r="D237" s="66" t="e">
        <f>Gia_VLieu!#REF!</f>
        <v>#REF!</v>
      </c>
      <c r="E237" s="29">
        <v>0.01</v>
      </c>
      <c r="F237" s="16" t="e">
        <f t="shared" si="16"/>
        <v>#REF!</v>
      </c>
      <c r="H237" s="10">
        <v>233</v>
      </c>
    </row>
    <row r="238" spans="1:8" s="3" customFormat="1">
      <c r="A238" s="13">
        <v>4</v>
      </c>
      <c r="B238" s="5" t="s">
        <v>88</v>
      </c>
      <c r="C238" s="6" t="str">
        <f>Gia_VLieu!C6</f>
        <v>Quyển</v>
      </c>
      <c r="D238" s="66">
        <f>Gia_VLieu!D6</f>
        <v>10000</v>
      </c>
      <c r="E238" s="29">
        <v>2</v>
      </c>
      <c r="F238" s="16">
        <f t="shared" si="16"/>
        <v>20000</v>
      </c>
      <c r="H238" s="10">
        <v>234</v>
      </c>
    </row>
    <row r="239" spans="1:8" s="3" customFormat="1">
      <c r="A239" s="13">
        <v>5</v>
      </c>
      <c r="B239" s="5" t="s">
        <v>22</v>
      </c>
      <c r="C239" s="6" t="str">
        <f>Gia_VLieu!C7</f>
        <v>Cái</v>
      </c>
      <c r="D239" s="66">
        <f>Gia_VLieu!D7</f>
        <v>2000</v>
      </c>
      <c r="E239" s="29">
        <v>3</v>
      </c>
      <c r="F239" s="16">
        <f t="shared" si="16"/>
        <v>6000</v>
      </c>
      <c r="H239" s="10">
        <v>235</v>
      </c>
    </row>
    <row r="240" spans="1:8" s="3" customFormat="1">
      <c r="A240" s="13">
        <v>6</v>
      </c>
      <c r="B240" s="5" t="s">
        <v>89</v>
      </c>
      <c r="C240" s="6" t="str">
        <f>Gia_VLieu!C8</f>
        <v>Cái</v>
      </c>
      <c r="D240" s="66">
        <f>Gia_VLieu!D8</f>
        <v>8000</v>
      </c>
      <c r="E240" s="29">
        <v>20</v>
      </c>
      <c r="F240" s="16">
        <f t="shared" si="16"/>
        <v>160000</v>
      </c>
      <c r="H240" s="10">
        <v>236</v>
      </c>
    </row>
    <row r="241" spans="1:8" s="3" customFormat="1">
      <c r="A241" s="13">
        <v>7</v>
      </c>
      <c r="B241" s="5" t="s">
        <v>90</v>
      </c>
      <c r="C241" s="6" t="str">
        <f>Gia_VLieu!C9</f>
        <v>Cái</v>
      </c>
      <c r="D241" s="66">
        <f>Gia_VLieu!D9</f>
        <v>10000</v>
      </c>
      <c r="E241" s="29">
        <v>20</v>
      </c>
      <c r="F241" s="16">
        <f t="shared" si="16"/>
        <v>200000</v>
      </c>
      <c r="H241" s="10">
        <v>237</v>
      </c>
    </row>
    <row r="242" spans="1:8" s="3" customFormat="1">
      <c r="A242" s="13">
        <v>8</v>
      </c>
      <c r="B242" s="5" t="s">
        <v>91</v>
      </c>
      <c r="C242" s="6" t="str">
        <f>Gia_VLieu!C10</f>
        <v>Hộp</v>
      </c>
      <c r="D242" s="66">
        <f>Gia_VLieu!D10</f>
        <v>2500</v>
      </c>
      <c r="E242" s="29">
        <v>3</v>
      </c>
      <c r="F242" s="16">
        <f t="shared" si="16"/>
        <v>7500</v>
      </c>
      <c r="H242" s="10">
        <v>238</v>
      </c>
    </row>
    <row r="243" spans="1:8" s="3" customFormat="1">
      <c r="A243" s="13">
        <v>9</v>
      </c>
      <c r="B243" s="5" t="s">
        <v>92</v>
      </c>
      <c r="C243" s="6" t="str">
        <f>Gia_VLieu!C11</f>
        <v>Hộp</v>
      </c>
      <c r="D243" s="66">
        <f>Gia_VLieu!D11</f>
        <v>2000</v>
      </c>
      <c r="E243" s="29">
        <v>1.5</v>
      </c>
      <c r="F243" s="16">
        <f t="shared" si="16"/>
        <v>3000</v>
      </c>
      <c r="H243" s="10">
        <v>239</v>
      </c>
    </row>
    <row r="244" spans="1:8" s="3" customFormat="1">
      <c r="A244" s="13">
        <v>10</v>
      </c>
      <c r="B244" s="5" t="s">
        <v>93</v>
      </c>
      <c r="C244" s="6" t="str">
        <f>Gia_VLieu!C12</f>
        <v>Tập</v>
      </c>
      <c r="D244" s="66">
        <f>Gia_VLieu!D12</f>
        <v>8000</v>
      </c>
      <c r="E244" s="29">
        <v>2</v>
      </c>
      <c r="F244" s="16">
        <f t="shared" si="16"/>
        <v>16000</v>
      </c>
      <c r="H244" s="10">
        <v>240</v>
      </c>
    </row>
    <row r="245" spans="1:8" s="3" customFormat="1">
      <c r="A245" s="40">
        <v>11</v>
      </c>
      <c r="B245" s="41" t="s">
        <v>94</v>
      </c>
      <c r="C245" s="42" t="str">
        <f>Gia_VLieu!C13</f>
        <v>Cái</v>
      </c>
      <c r="D245" s="67">
        <f>Gia_VLieu!D13</f>
        <v>15000</v>
      </c>
      <c r="E245" s="50">
        <v>10</v>
      </c>
      <c r="F245" s="38">
        <f t="shared" si="16"/>
        <v>150000</v>
      </c>
      <c r="H245" s="10">
        <v>241</v>
      </c>
    </row>
    <row r="246" spans="1:8" s="3" customFormat="1">
      <c r="A246" s="13" t="e">
        <f>#REF!</f>
        <v>#REF!</v>
      </c>
      <c r="B246" s="5" t="e">
        <f>#REF!</f>
        <v>#REF!</v>
      </c>
      <c r="C246" s="6"/>
      <c r="D246" s="127">
        <f>Gia_VLieu!D$14</f>
        <v>1.08</v>
      </c>
      <c r="E246" s="45"/>
      <c r="F246" s="18" t="e">
        <f>SUM(F247:F257)*D246</f>
        <v>#REF!</v>
      </c>
      <c r="H246" s="10">
        <v>242</v>
      </c>
    </row>
    <row r="247" spans="1:8" s="3" customFormat="1">
      <c r="A247" s="13">
        <v>1</v>
      </c>
      <c r="B247" s="5" t="s">
        <v>85</v>
      </c>
      <c r="C247" s="6" t="str">
        <f>Gia_VLieu!C4</f>
        <v>Gram</v>
      </c>
      <c r="D247" s="66">
        <f>Gia_VLieu!D4</f>
        <v>45000</v>
      </c>
      <c r="E247" s="29">
        <v>2</v>
      </c>
      <c r="F247" s="16">
        <f t="shared" ref="F247:F257" si="17">D247*E247</f>
        <v>90000</v>
      </c>
      <c r="H247" s="10">
        <v>243</v>
      </c>
    </row>
    <row r="248" spans="1:8" s="3" customFormat="1">
      <c r="A248" s="13">
        <v>2</v>
      </c>
      <c r="B248" s="5" t="s">
        <v>86</v>
      </c>
      <c r="C248" s="6" t="str">
        <f>Gia_VLieu!C5</f>
        <v>Hộp</v>
      </c>
      <c r="D248" s="66">
        <f>Gia_VLieu!D5</f>
        <v>1450000</v>
      </c>
      <c r="E248" s="29">
        <v>0.02</v>
      </c>
      <c r="F248" s="16">
        <f t="shared" si="17"/>
        <v>29000</v>
      </c>
      <c r="H248" s="10">
        <v>244</v>
      </c>
    </row>
    <row r="249" spans="1:8" s="3" customFormat="1">
      <c r="A249" s="13">
        <v>3</v>
      </c>
      <c r="B249" s="5" t="s">
        <v>87</v>
      </c>
      <c r="C249" s="6" t="e">
        <f>Gia_VLieu!#REF!</f>
        <v>#REF!</v>
      </c>
      <c r="D249" s="66" t="e">
        <f>Gia_VLieu!#REF!</f>
        <v>#REF!</v>
      </c>
      <c r="E249" s="29">
        <v>0.02</v>
      </c>
      <c r="F249" s="16" t="e">
        <f t="shared" si="17"/>
        <v>#REF!</v>
      </c>
      <c r="H249" s="10">
        <v>245</v>
      </c>
    </row>
    <row r="250" spans="1:8" s="3" customFormat="1">
      <c r="A250" s="13">
        <v>4</v>
      </c>
      <c r="B250" s="5" t="s">
        <v>88</v>
      </c>
      <c r="C250" s="6" t="str">
        <f>Gia_VLieu!C6</f>
        <v>Quyển</v>
      </c>
      <c r="D250" s="66">
        <f>Gia_VLieu!D6</f>
        <v>10000</v>
      </c>
      <c r="E250" s="29">
        <v>5</v>
      </c>
      <c r="F250" s="16">
        <f t="shared" si="17"/>
        <v>50000</v>
      </c>
      <c r="H250" s="10">
        <v>246</v>
      </c>
    </row>
    <row r="251" spans="1:8" s="3" customFormat="1">
      <c r="A251" s="13">
        <v>5</v>
      </c>
      <c r="B251" s="5" t="s">
        <v>22</v>
      </c>
      <c r="C251" s="6" t="str">
        <f>Gia_VLieu!C7</f>
        <v>Cái</v>
      </c>
      <c r="D251" s="66">
        <f>Gia_VLieu!D7</f>
        <v>2000</v>
      </c>
      <c r="E251" s="29">
        <v>6</v>
      </c>
      <c r="F251" s="16">
        <f t="shared" si="17"/>
        <v>12000</v>
      </c>
      <c r="H251" s="10">
        <v>247</v>
      </c>
    </row>
    <row r="252" spans="1:8" s="3" customFormat="1">
      <c r="A252" s="13">
        <v>6</v>
      </c>
      <c r="B252" s="5" t="s">
        <v>89</v>
      </c>
      <c r="C252" s="6" t="str">
        <f>Gia_VLieu!C8</f>
        <v>Cái</v>
      </c>
      <c r="D252" s="66">
        <f>Gia_VLieu!D8</f>
        <v>8000</v>
      </c>
      <c r="E252" s="29">
        <v>12</v>
      </c>
      <c r="F252" s="16">
        <f t="shared" si="17"/>
        <v>96000</v>
      </c>
      <c r="H252" s="10">
        <v>248</v>
      </c>
    </row>
    <row r="253" spans="1:8" s="3" customFormat="1">
      <c r="A253" s="13">
        <v>7</v>
      </c>
      <c r="B253" s="5" t="s">
        <v>90</v>
      </c>
      <c r="C253" s="6" t="str">
        <f>Gia_VLieu!C9</f>
        <v>Cái</v>
      </c>
      <c r="D253" s="66">
        <f>Gia_VLieu!D9</f>
        <v>10000</v>
      </c>
      <c r="E253" s="29">
        <v>14</v>
      </c>
      <c r="F253" s="16">
        <f t="shared" si="17"/>
        <v>140000</v>
      </c>
      <c r="H253" s="10">
        <v>249</v>
      </c>
    </row>
    <row r="254" spans="1:8" s="3" customFormat="1">
      <c r="A254" s="13">
        <v>8</v>
      </c>
      <c r="B254" s="5" t="s">
        <v>91</v>
      </c>
      <c r="C254" s="6" t="str">
        <f>Gia_VLieu!C10</f>
        <v>Hộp</v>
      </c>
      <c r="D254" s="66">
        <f>Gia_VLieu!D10</f>
        <v>2500</v>
      </c>
      <c r="E254" s="29">
        <v>4</v>
      </c>
      <c r="F254" s="16">
        <f t="shared" si="17"/>
        <v>10000</v>
      </c>
      <c r="H254" s="10">
        <v>250</v>
      </c>
    </row>
    <row r="255" spans="1:8" s="3" customFormat="1">
      <c r="A255" s="13">
        <v>9</v>
      </c>
      <c r="B255" s="5" t="s">
        <v>92</v>
      </c>
      <c r="C255" s="6" t="str">
        <f>Gia_VLieu!C11</f>
        <v>Hộp</v>
      </c>
      <c r="D255" s="66">
        <f>Gia_VLieu!D11</f>
        <v>2000</v>
      </c>
      <c r="E255" s="29">
        <v>2</v>
      </c>
      <c r="F255" s="16">
        <f t="shared" si="17"/>
        <v>4000</v>
      </c>
      <c r="H255" s="10">
        <v>251</v>
      </c>
    </row>
    <row r="256" spans="1:8" s="3" customFormat="1">
      <c r="A256" s="13">
        <v>10</v>
      </c>
      <c r="B256" s="5" t="s">
        <v>93</v>
      </c>
      <c r="C256" s="6" t="str">
        <f>Gia_VLieu!C12</f>
        <v>Tập</v>
      </c>
      <c r="D256" s="66">
        <f>Gia_VLieu!D12</f>
        <v>8000</v>
      </c>
      <c r="E256" s="29">
        <v>3</v>
      </c>
      <c r="F256" s="16">
        <f t="shared" si="17"/>
        <v>24000</v>
      </c>
      <c r="H256" s="10">
        <v>252</v>
      </c>
    </row>
    <row r="257" spans="1:8" s="3" customFormat="1">
      <c r="A257" s="40">
        <v>11</v>
      </c>
      <c r="B257" s="41" t="s">
        <v>94</v>
      </c>
      <c r="C257" s="42" t="str">
        <f>Gia_VLieu!C13</f>
        <v>Cái</v>
      </c>
      <c r="D257" s="67">
        <f>Gia_VLieu!D13</f>
        <v>15000</v>
      </c>
      <c r="E257" s="50">
        <v>8</v>
      </c>
      <c r="F257" s="38">
        <f t="shared" si="17"/>
        <v>120000</v>
      </c>
      <c r="H257" s="10">
        <v>253</v>
      </c>
    </row>
    <row r="258" spans="1:8" s="3" customFormat="1">
      <c r="A258" s="13" t="e">
        <f>#REF!</f>
        <v>#REF!</v>
      </c>
      <c r="B258" s="5" t="e">
        <f>#REF!</f>
        <v>#REF!</v>
      </c>
      <c r="C258" s="6"/>
      <c r="D258" s="66"/>
      <c r="E258" s="30"/>
      <c r="F258" s="16"/>
      <c r="H258" s="10">
        <v>254</v>
      </c>
    </row>
    <row r="259" spans="1:8" s="3" customFormat="1">
      <c r="A259" s="13" t="e">
        <f>#REF!</f>
        <v>#REF!</v>
      </c>
      <c r="B259" s="5" t="e">
        <f>#REF!</f>
        <v>#REF!</v>
      </c>
      <c r="C259" s="6"/>
      <c r="D259" s="66"/>
      <c r="E259" s="30"/>
      <c r="F259" s="16"/>
      <c r="H259" s="10">
        <v>255</v>
      </c>
    </row>
    <row r="260" spans="1:8" s="9" customFormat="1">
      <c r="A260" s="24" t="e">
        <f>#REF!</f>
        <v>#REF!</v>
      </c>
      <c r="B260" s="113" t="e">
        <f>#REF!</f>
        <v>#REF!</v>
      </c>
      <c r="C260" s="114"/>
      <c r="D260" s="114"/>
      <c r="E260" s="114"/>
      <c r="F260" s="115"/>
      <c r="H260" s="10">
        <v>256</v>
      </c>
    </row>
    <row r="261" spans="1:8" s="33" customFormat="1">
      <c r="A261" s="31" t="e">
        <f>#REF!</f>
        <v>#REF!</v>
      </c>
      <c r="B261" s="32" t="e">
        <f>#REF!</f>
        <v>#REF!</v>
      </c>
      <c r="C261" s="15"/>
      <c r="D261" s="127">
        <f>Gia_VLieu!D$14</f>
        <v>1.08</v>
      </c>
      <c r="E261" s="45"/>
      <c r="F261" s="18" t="e">
        <f>SUM(F262:F272)*D261</f>
        <v>#REF!</v>
      </c>
      <c r="H261" s="10">
        <v>257</v>
      </c>
    </row>
    <row r="262" spans="1:8" s="3" customFormat="1">
      <c r="A262" s="13">
        <v>1</v>
      </c>
      <c r="B262" s="5" t="s">
        <v>85</v>
      </c>
      <c r="C262" s="6" t="str">
        <f>Gia_VLieu!C4</f>
        <v>Gram</v>
      </c>
      <c r="D262" s="66">
        <f>Gia_VLieu!D4</f>
        <v>45000</v>
      </c>
      <c r="E262" s="29">
        <v>4</v>
      </c>
      <c r="F262" s="16">
        <f t="shared" ref="F262:F272" si="18">D262*E262</f>
        <v>180000</v>
      </c>
      <c r="H262" s="10">
        <v>258</v>
      </c>
    </row>
    <row r="263" spans="1:8" s="3" customFormat="1">
      <c r="A263" s="13">
        <v>2</v>
      </c>
      <c r="B263" s="5" t="s">
        <v>86</v>
      </c>
      <c r="C263" s="6" t="str">
        <f>Gia_VLieu!C5</f>
        <v>Hộp</v>
      </c>
      <c r="D263" s="66">
        <f>Gia_VLieu!D5</f>
        <v>1450000</v>
      </c>
      <c r="E263" s="29">
        <v>0.3</v>
      </c>
      <c r="F263" s="16">
        <f t="shared" si="18"/>
        <v>435000</v>
      </c>
      <c r="H263" s="10">
        <v>259</v>
      </c>
    </row>
    <row r="264" spans="1:8" s="3" customFormat="1">
      <c r="A264" s="13">
        <v>3</v>
      </c>
      <c r="B264" s="5" t="s">
        <v>87</v>
      </c>
      <c r="C264" s="6" t="e">
        <f>Gia_VLieu!#REF!</f>
        <v>#REF!</v>
      </c>
      <c r="D264" s="66" t="e">
        <f>Gia_VLieu!#REF!</f>
        <v>#REF!</v>
      </c>
      <c r="E264" s="29">
        <v>0.2</v>
      </c>
      <c r="F264" s="16" t="e">
        <f t="shared" si="18"/>
        <v>#REF!</v>
      </c>
      <c r="H264" s="10">
        <v>260</v>
      </c>
    </row>
    <row r="265" spans="1:8" s="3" customFormat="1">
      <c r="A265" s="13">
        <v>4</v>
      </c>
      <c r="B265" s="5" t="s">
        <v>88</v>
      </c>
      <c r="C265" s="6" t="str">
        <f>Gia_VLieu!C6</f>
        <v>Quyển</v>
      </c>
      <c r="D265" s="66">
        <f>Gia_VLieu!D6</f>
        <v>10000</v>
      </c>
      <c r="E265" s="29">
        <v>12</v>
      </c>
      <c r="F265" s="16">
        <f t="shared" si="18"/>
        <v>120000</v>
      </c>
      <c r="H265" s="10">
        <v>261</v>
      </c>
    </row>
    <row r="266" spans="1:8" s="3" customFormat="1">
      <c r="A266" s="13">
        <v>5</v>
      </c>
      <c r="B266" s="5" t="s">
        <v>22</v>
      </c>
      <c r="C266" s="6" t="str">
        <f>Gia_VLieu!C7</f>
        <v>Cái</v>
      </c>
      <c r="D266" s="66">
        <f>Gia_VLieu!D7</f>
        <v>2000</v>
      </c>
      <c r="E266" s="29">
        <v>25</v>
      </c>
      <c r="F266" s="16">
        <f t="shared" si="18"/>
        <v>50000</v>
      </c>
      <c r="H266" s="10">
        <v>262</v>
      </c>
    </row>
    <row r="267" spans="1:8" s="3" customFormat="1">
      <c r="A267" s="13">
        <v>6</v>
      </c>
      <c r="B267" s="5" t="s">
        <v>89</v>
      </c>
      <c r="C267" s="6" t="str">
        <f>Gia_VLieu!C8</f>
        <v>Cái</v>
      </c>
      <c r="D267" s="66">
        <f>Gia_VLieu!D8</f>
        <v>8000</v>
      </c>
      <c r="E267" s="29">
        <v>20</v>
      </c>
      <c r="F267" s="16">
        <f t="shared" si="18"/>
        <v>160000</v>
      </c>
      <c r="H267" s="10">
        <v>263</v>
      </c>
    </row>
    <row r="268" spans="1:8" s="3" customFormat="1">
      <c r="A268" s="13">
        <v>7</v>
      </c>
      <c r="B268" s="5" t="s">
        <v>90</v>
      </c>
      <c r="C268" s="6" t="str">
        <f>Gia_VLieu!C9</f>
        <v>Cái</v>
      </c>
      <c r="D268" s="66">
        <f>Gia_VLieu!D9</f>
        <v>10000</v>
      </c>
      <c r="E268" s="29">
        <v>20</v>
      </c>
      <c r="F268" s="16">
        <f t="shared" si="18"/>
        <v>200000</v>
      </c>
      <c r="H268" s="10">
        <v>264</v>
      </c>
    </row>
    <row r="269" spans="1:8" s="3" customFormat="1">
      <c r="A269" s="13">
        <v>8</v>
      </c>
      <c r="B269" s="5" t="s">
        <v>91</v>
      </c>
      <c r="C269" s="6" t="str">
        <f>Gia_VLieu!C10</f>
        <v>Hộp</v>
      </c>
      <c r="D269" s="66">
        <f>Gia_VLieu!D10</f>
        <v>2500</v>
      </c>
      <c r="E269" s="29">
        <v>8</v>
      </c>
      <c r="F269" s="16">
        <f t="shared" si="18"/>
        <v>20000</v>
      </c>
      <c r="H269" s="10">
        <v>265</v>
      </c>
    </row>
    <row r="270" spans="1:8" s="3" customFormat="1">
      <c r="A270" s="13">
        <v>9</v>
      </c>
      <c r="B270" s="5" t="s">
        <v>92</v>
      </c>
      <c r="C270" s="6" t="str">
        <f>Gia_VLieu!C11</f>
        <v>Hộp</v>
      </c>
      <c r="D270" s="66">
        <f>Gia_VLieu!D11</f>
        <v>2000</v>
      </c>
      <c r="E270" s="29">
        <v>2</v>
      </c>
      <c r="F270" s="16">
        <f t="shared" si="18"/>
        <v>4000</v>
      </c>
      <c r="H270" s="10">
        <v>266</v>
      </c>
    </row>
    <row r="271" spans="1:8" s="3" customFormat="1">
      <c r="A271" s="13">
        <v>10</v>
      </c>
      <c r="B271" s="5" t="s">
        <v>93</v>
      </c>
      <c r="C271" s="6" t="str">
        <f>Gia_VLieu!C12</f>
        <v>Tập</v>
      </c>
      <c r="D271" s="66">
        <f>Gia_VLieu!D12</f>
        <v>8000</v>
      </c>
      <c r="E271" s="29">
        <v>5</v>
      </c>
      <c r="F271" s="16">
        <f t="shared" si="18"/>
        <v>40000</v>
      </c>
      <c r="H271" s="10">
        <v>267</v>
      </c>
    </row>
    <row r="272" spans="1:8" s="3" customFormat="1">
      <c r="A272" s="40">
        <v>11</v>
      </c>
      <c r="B272" s="41" t="s">
        <v>94</v>
      </c>
      <c r="C272" s="42" t="str">
        <f>Gia_VLieu!C13</f>
        <v>Cái</v>
      </c>
      <c r="D272" s="67">
        <f>Gia_VLieu!D13</f>
        <v>15000</v>
      </c>
      <c r="E272" s="50">
        <v>8</v>
      </c>
      <c r="F272" s="38">
        <f t="shared" si="18"/>
        <v>120000</v>
      </c>
      <c r="H272" s="10">
        <v>268</v>
      </c>
    </row>
    <row r="273" spans="1:8" s="33" customFormat="1">
      <c r="A273" s="1268" t="e">
        <f>#REF!</f>
        <v>#REF!</v>
      </c>
      <c r="B273" s="116" t="e">
        <f>#REF!</f>
        <v>#REF!</v>
      </c>
      <c r="C273" s="15"/>
      <c r="D273" s="109"/>
      <c r="E273" s="45">
        <v>0.8</v>
      </c>
      <c r="F273" s="18" t="e">
        <f>E273*F274</f>
        <v>#REF!</v>
      </c>
      <c r="H273" s="10">
        <v>269</v>
      </c>
    </row>
    <row r="274" spans="1:8" s="33" customFormat="1">
      <c r="A274" s="1269"/>
      <c r="B274" s="52"/>
      <c r="C274" s="15"/>
      <c r="D274" s="127">
        <f>Gia_VLieu!D$14</f>
        <v>1.08</v>
      </c>
      <c r="E274" s="45">
        <v>1</v>
      </c>
      <c r="F274" s="18" t="e">
        <f>SUM(F276:F286)*D274</f>
        <v>#REF!</v>
      </c>
      <c r="H274" s="10">
        <v>270</v>
      </c>
    </row>
    <row r="275" spans="1:8" s="33" customFormat="1">
      <c r="A275" s="1270"/>
      <c r="B275" s="112"/>
      <c r="C275" s="15"/>
      <c r="D275" s="109"/>
      <c r="E275" s="45">
        <v>1.2</v>
      </c>
      <c r="F275" s="18" t="e">
        <f>E275*F274</f>
        <v>#REF!</v>
      </c>
      <c r="H275" s="10">
        <v>271</v>
      </c>
    </row>
    <row r="276" spans="1:8" s="3" customFormat="1">
      <c r="A276" s="13">
        <v>1</v>
      </c>
      <c r="B276" s="5" t="s">
        <v>85</v>
      </c>
      <c r="C276" s="6" t="str">
        <f>Gia_VLieu!C4</f>
        <v>Gram</v>
      </c>
      <c r="D276" s="66">
        <f>Gia_VLieu!D4</f>
        <v>45000</v>
      </c>
      <c r="E276" s="29">
        <v>5</v>
      </c>
      <c r="F276" s="16">
        <f t="shared" ref="F276:F286" si="19">D276*E276</f>
        <v>225000</v>
      </c>
      <c r="H276" s="10">
        <v>272</v>
      </c>
    </row>
    <row r="277" spans="1:8" s="3" customFormat="1">
      <c r="A277" s="13">
        <v>2</v>
      </c>
      <c r="B277" s="5" t="s">
        <v>86</v>
      </c>
      <c r="C277" s="6" t="str">
        <f>Gia_VLieu!C5</f>
        <v>Hộp</v>
      </c>
      <c r="D277" s="66">
        <f>Gia_VLieu!D5</f>
        <v>1450000</v>
      </c>
      <c r="E277" s="29">
        <v>0.2</v>
      </c>
      <c r="F277" s="16">
        <f t="shared" si="19"/>
        <v>290000</v>
      </c>
      <c r="H277" s="10">
        <v>273</v>
      </c>
    </row>
    <row r="278" spans="1:8" s="3" customFormat="1">
      <c r="A278" s="13">
        <v>3</v>
      </c>
      <c r="B278" s="5" t="s">
        <v>87</v>
      </c>
      <c r="C278" s="6" t="e">
        <f>Gia_VLieu!#REF!</f>
        <v>#REF!</v>
      </c>
      <c r="D278" s="66" t="e">
        <f>Gia_VLieu!#REF!</f>
        <v>#REF!</v>
      </c>
      <c r="E278" s="29">
        <v>0.3</v>
      </c>
      <c r="F278" s="16" t="e">
        <f t="shared" si="19"/>
        <v>#REF!</v>
      </c>
      <c r="H278" s="10">
        <v>274</v>
      </c>
    </row>
    <row r="279" spans="1:8" s="3" customFormat="1">
      <c r="A279" s="13">
        <v>4</v>
      </c>
      <c r="B279" s="5" t="s">
        <v>88</v>
      </c>
      <c r="C279" s="6" t="str">
        <f>Gia_VLieu!C6</f>
        <v>Quyển</v>
      </c>
      <c r="D279" s="66">
        <f>Gia_VLieu!D6</f>
        <v>10000</v>
      </c>
      <c r="E279" s="29">
        <v>8</v>
      </c>
      <c r="F279" s="16">
        <f t="shared" si="19"/>
        <v>80000</v>
      </c>
      <c r="H279" s="10">
        <v>275</v>
      </c>
    </row>
    <row r="280" spans="1:8" s="3" customFormat="1">
      <c r="A280" s="13">
        <v>5</v>
      </c>
      <c r="B280" s="5" t="s">
        <v>22</v>
      </c>
      <c r="C280" s="6" t="str">
        <f>Gia_VLieu!C7</f>
        <v>Cái</v>
      </c>
      <c r="D280" s="66">
        <f>Gia_VLieu!D7</f>
        <v>2000</v>
      </c>
      <c r="E280" s="29">
        <v>20</v>
      </c>
      <c r="F280" s="16">
        <f t="shared" si="19"/>
        <v>40000</v>
      </c>
      <c r="H280" s="10">
        <v>276</v>
      </c>
    </row>
    <row r="281" spans="1:8" s="3" customFormat="1">
      <c r="A281" s="13">
        <v>6</v>
      </c>
      <c r="B281" s="5" t="s">
        <v>89</v>
      </c>
      <c r="C281" s="6" t="str">
        <f>Gia_VLieu!C8</f>
        <v>Cái</v>
      </c>
      <c r="D281" s="66">
        <f>Gia_VLieu!D8</f>
        <v>8000</v>
      </c>
      <c r="E281" s="29">
        <v>25</v>
      </c>
      <c r="F281" s="16">
        <f t="shared" si="19"/>
        <v>200000</v>
      </c>
      <c r="H281" s="10">
        <v>277</v>
      </c>
    </row>
    <row r="282" spans="1:8" s="3" customFormat="1">
      <c r="A282" s="13">
        <v>7</v>
      </c>
      <c r="B282" s="5" t="s">
        <v>90</v>
      </c>
      <c r="C282" s="6" t="str">
        <f>Gia_VLieu!C9</f>
        <v>Cái</v>
      </c>
      <c r="D282" s="66">
        <f>Gia_VLieu!D9</f>
        <v>10000</v>
      </c>
      <c r="E282" s="29">
        <v>25</v>
      </c>
      <c r="F282" s="16">
        <f t="shared" si="19"/>
        <v>250000</v>
      </c>
      <c r="H282" s="10">
        <v>278</v>
      </c>
    </row>
    <row r="283" spans="1:8" s="3" customFormat="1">
      <c r="A283" s="13">
        <v>8</v>
      </c>
      <c r="B283" s="5" t="s">
        <v>91</v>
      </c>
      <c r="C283" s="6" t="str">
        <f>Gia_VLieu!C10</f>
        <v>Hộp</v>
      </c>
      <c r="D283" s="66">
        <f>Gia_VLieu!D10</f>
        <v>2500</v>
      </c>
      <c r="E283" s="29">
        <v>6</v>
      </c>
      <c r="F283" s="16">
        <f t="shared" si="19"/>
        <v>15000</v>
      </c>
      <c r="H283" s="10">
        <v>279</v>
      </c>
    </row>
    <row r="284" spans="1:8" s="3" customFormat="1">
      <c r="A284" s="13">
        <v>9</v>
      </c>
      <c r="B284" s="5" t="s">
        <v>92</v>
      </c>
      <c r="C284" s="6" t="str">
        <f>Gia_VLieu!C11</f>
        <v>Hộp</v>
      </c>
      <c r="D284" s="66">
        <f>Gia_VLieu!D11</f>
        <v>2000</v>
      </c>
      <c r="E284" s="29">
        <v>6</v>
      </c>
      <c r="F284" s="16">
        <f t="shared" si="19"/>
        <v>12000</v>
      </c>
      <c r="H284" s="10">
        <v>280</v>
      </c>
    </row>
    <row r="285" spans="1:8" s="3" customFormat="1">
      <c r="A285" s="13">
        <v>10</v>
      </c>
      <c r="B285" s="5" t="s">
        <v>93</v>
      </c>
      <c r="C285" s="6" t="str">
        <f>Gia_VLieu!C12</f>
        <v>Tập</v>
      </c>
      <c r="D285" s="66">
        <f>Gia_VLieu!D12</f>
        <v>8000</v>
      </c>
      <c r="E285" s="29">
        <v>4</v>
      </c>
      <c r="F285" s="16">
        <f t="shared" si="19"/>
        <v>32000</v>
      </c>
      <c r="H285" s="10">
        <v>281</v>
      </c>
    </row>
    <row r="286" spans="1:8" s="3" customFormat="1">
      <c r="A286" s="40">
        <v>11</v>
      </c>
      <c r="B286" s="41" t="s">
        <v>94</v>
      </c>
      <c r="C286" s="42" t="str">
        <f>Gia_VLieu!C13</f>
        <v>Cái</v>
      </c>
      <c r="D286" s="67">
        <f>Gia_VLieu!D13</f>
        <v>15000</v>
      </c>
      <c r="E286" s="50">
        <v>20</v>
      </c>
      <c r="F286" s="38">
        <f t="shared" si="19"/>
        <v>300000</v>
      </c>
      <c r="H286" s="10">
        <v>282</v>
      </c>
    </row>
    <row r="287" spans="1:8" s="33" customFormat="1">
      <c r="A287" s="31" t="e">
        <f>#REF!</f>
        <v>#REF!</v>
      </c>
      <c r="B287" s="32" t="e">
        <f>#REF!</f>
        <v>#REF!</v>
      </c>
      <c r="C287" s="15"/>
      <c r="D287" s="70"/>
      <c r="E287" s="45"/>
      <c r="F287" s="18"/>
      <c r="H287" s="10">
        <v>283</v>
      </c>
    </row>
    <row r="288" spans="1:8" s="33" customFormat="1">
      <c r="A288" s="1268" t="e">
        <f>#REF!</f>
        <v>#REF!</v>
      </c>
      <c r="B288" s="116" t="e">
        <f>#REF!</f>
        <v>#REF!</v>
      </c>
      <c r="C288" s="15"/>
      <c r="D288" s="109"/>
      <c r="E288" s="45">
        <v>0.8</v>
      </c>
      <c r="F288" s="18" t="e">
        <f>E288*F289</f>
        <v>#REF!</v>
      </c>
      <c r="H288" s="10">
        <v>284</v>
      </c>
    </row>
    <row r="289" spans="1:8" s="33" customFormat="1">
      <c r="A289" s="1269" t="e">
        <f>#REF!</f>
        <v>#REF!</v>
      </c>
      <c r="B289" s="52" t="e">
        <f>#REF!</f>
        <v>#REF!</v>
      </c>
      <c r="C289" s="15"/>
      <c r="D289" s="127">
        <f>Gia_VLieu!D$14</f>
        <v>1.08</v>
      </c>
      <c r="E289" s="45">
        <v>1</v>
      </c>
      <c r="F289" s="18" t="e">
        <f>SUM(F291:F301)*D289</f>
        <v>#REF!</v>
      </c>
      <c r="H289" s="10">
        <v>285</v>
      </c>
    </row>
    <row r="290" spans="1:8" s="33" customFormat="1">
      <c r="A290" s="1270" t="e">
        <f>#REF!</f>
        <v>#REF!</v>
      </c>
      <c r="B290" s="112" t="e">
        <f>#REF!</f>
        <v>#REF!</v>
      </c>
      <c r="C290" s="15"/>
      <c r="D290" s="109"/>
      <c r="E290" s="45">
        <v>1.2</v>
      </c>
      <c r="F290" s="18" t="e">
        <f>E290*F289</f>
        <v>#REF!</v>
      </c>
      <c r="H290" s="10">
        <v>286</v>
      </c>
    </row>
    <row r="291" spans="1:8" s="3" customFormat="1">
      <c r="A291" s="13">
        <v>1</v>
      </c>
      <c r="B291" s="5" t="s">
        <v>85</v>
      </c>
      <c r="C291" s="6" t="str">
        <f>Gia_VLieu!C4</f>
        <v>Gram</v>
      </c>
      <c r="D291" s="66">
        <f>Gia_VLieu!D4</f>
        <v>45000</v>
      </c>
      <c r="E291" s="29">
        <v>2</v>
      </c>
      <c r="F291" s="16">
        <f t="shared" ref="F291:F301" si="20">D291*E291</f>
        <v>90000</v>
      </c>
      <c r="H291" s="10">
        <v>287</v>
      </c>
    </row>
    <row r="292" spans="1:8" s="3" customFormat="1">
      <c r="A292" s="13">
        <v>2</v>
      </c>
      <c r="B292" s="5" t="s">
        <v>86</v>
      </c>
      <c r="C292" s="6" t="str">
        <f>Gia_VLieu!C5</f>
        <v>Hộp</v>
      </c>
      <c r="D292" s="66">
        <f>Gia_VLieu!D5</f>
        <v>1450000</v>
      </c>
      <c r="E292" s="29">
        <v>0.1</v>
      </c>
      <c r="F292" s="16">
        <f t="shared" si="20"/>
        <v>145000</v>
      </c>
      <c r="H292" s="10">
        <v>288</v>
      </c>
    </row>
    <row r="293" spans="1:8" s="3" customFormat="1">
      <c r="A293" s="13">
        <v>3</v>
      </c>
      <c r="B293" s="5" t="s">
        <v>87</v>
      </c>
      <c r="C293" s="6" t="e">
        <f>Gia_VLieu!#REF!</f>
        <v>#REF!</v>
      </c>
      <c r="D293" s="66" t="e">
        <f>Gia_VLieu!#REF!</f>
        <v>#REF!</v>
      </c>
      <c r="E293" s="29">
        <v>0.2</v>
      </c>
      <c r="F293" s="16" t="e">
        <f t="shared" si="20"/>
        <v>#REF!</v>
      </c>
      <c r="H293" s="10">
        <v>289</v>
      </c>
    </row>
    <row r="294" spans="1:8" s="3" customFormat="1">
      <c r="A294" s="13">
        <v>4</v>
      </c>
      <c r="B294" s="5" t="s">
        <v>88</v>
      </c>
      <c r="C294" s="6" t="str">
        <f>Gia_VLieu!C6</f>
        <v>Quyển</v>
      </c>
      <c r="D294" s="66">
        <f>Gia_VLieu!D6</f>
        <v>10000</v>
      </c>
      <c r="E294" s="29">
        <v>6</v>
      </c>
      <c r="F294" s="16">
        <f t="shared" si="20"/>
        <v>60000</v>
      </c>
      <c r="H294" s="10">
        <v>290</v>
      </c>
    </row>
    <row r="295" spans="1:8" s="3" customFormat="1">
      <c r="A295" s="13">
        <v>5</v>
      </c>
      <c r="B295" s="5" t="s">
        <v>22</v>
      </c>
      <c r="C295" s="6" t="str">
        <f>Gia_VLieu!C7</f>
        <v>Cái</v>
      </c>
      <c r="D295" s="66">
        <f>Gia_VLieu!D7</f>
        <v>2000</v>
      </c>
      <c r="E295" s="29">
        <v>15</v>
      </c>
      <c r="F295" s="16">
        <f t="shared" si="20"/>
        <v>30000</v>
      </c>
      <c r="H295" s="10">
        <v>291</v>
      </c>
    </row>
    <row r="296" spans="1:8" s="3" customFormat="1">
      <c r="A296" s="13">
        <v>6</v>
      </c>
      <c r="B296" s="5" t="s">
        <v>89</v>
      </c>
      <c r="C296" s="6" t="str">
        <f>Gia_VLieu!C8</f>
        <v>Cái</v>
      </c>
      <c r="D296" s="66">
        <f>Gia_VLieu!D8</f>
        <v>8000</v>
      </c>
      <c r="E296" s="29">
        <v>24</v>
      </c>
      <c r="F296" s="16">
        <f t="shared" si="20"/>
        <v>192000</v>
      </c>
      <c r="H296" s="10">
        <v>292</v>
      </c>
    </row>
    <row r="297" spans="1:8" s="3" customFormat="1">
      <c r="A297" s="13">
        <v>7</v>
      </c>
      <c r="B297" s="5" t="s">
        <v>90</v>
      </c>
      <c r="C297" s="6" t="str">
        <f>Gia_VLieu!C9</f>
        <v>Cái</v>
      </c>
      <c r="D297" s="66">
        <f>Gia_VLieu!D9</f>
        <v>10000</v>
      </c>
      <c r="E297" s="29">
        <v>24</v>
      </c>
      <c r="F297" s="16">
        <f t="shared" si="20"/>
        <v>240000</v>
      </c>
      <c r="H297" s="10">
        <v>293</v>
      </c>
    </row>
    <row r="298" spans="1:8" s="3" customFormat="1">
      <c r="A298" s="13">
        <v>8</v>
      </c>
      <c r="B298" s="5" t="s">
        <v>91</v>
      </c>
      <c r="C298" s="6" t="str">
        <f>Gia_VLieu!C10</f>
        <v>Hộp</v>
      </c>
      <c r="D298" s="66">
        <f>Gia_VLieu!D10</f>
        <v>2500</v>
      </c>
      <c r="E298" s="29">
        <v>5</v>
      </c>
      <c r="F298" s="16">
        <f t="shared" si="20"/>
        <v>12500</v>
      </c>
      <c r="H298" s="10">
        <v>294</v>
      </c>
    </row>
    <row r="299" spans="1:8" s="3" customFormat="1">
      <c r="A299" s="13">
        <v>9</v>
      </c>
      <c r="B299" s="5" t="s">
        <v>92</v>
      </c>
      <c r="C299" s="6" t="str">
        <f>Gia_VLieu!C11</f>
        <v>Hộp</v>
      </c>
      <c r="D299" s="66">
        <f>Gia_VLieu!D11</f>
        <v>2000</v>
      </c>
      <c r="E299" s="29">
        <v>4</v>
      </c>
      <c r="F299" s="16">
        <f t="shared" si="20"/>
        <v>8000</v>
      </c>
      <c r="H299" s="10">
        <v>295</v>
      </c>
    </row>
    <row r="300" spans="1:8" s="3" customFormat="1">
      <c r="A300" s="13">
        <v>10</v>
      </c>
      <c r="B300" s="5" t="s">
        <v>93</v>
      </c>
      <c r="C300" s="6" t="str">
        <f>Gia_VLieu!C12</f>
        <v>Tập</v>
      </c>
      <c r="D300" s="66">
        <f>Gia_VLieu!D12</f>
        <v>8000</v>
      </c>
      <c r="E300" s="29">
        <v>4</v>
      </c>
      <c r="F300" s="16">
        <f t="shared" si="20"/>
        <v>32000</v>
      </c>
      <c r="H300" s="10">
        <v>296</v>
      </c>
    </row>
    <row r="301" spans="1:8" s="3" customFormat="1">
      <c r="A301" s="40">
        <v>11</v>
      </c>
      <c r="B301" s="41" t="s">
        <v>94</v>
      </c>
      <c r="C301" s="42" t="str">
        <f>Gia_VLieu!C13</f>
        <v>Cái</v>
      </c>
      <c r="D301" s="67">
        <f>Gia_VLieu!D13</f>
        <v>15000</v>
      </c>
      <c r="E301" s="50">
        <v>20</v>
      </c>
      <c r="F301" s="38">
        <f t="shared" si="20"/>
        <v>300000</v>
      </c>
      <c r="H301" s="10">
        <v>297</v>
      </c>
    </row>
    <row r="302" spans="1:8" s="33" customFormat="1">
      <c r="A302" s="1268" t="e">
        <f>#REF!</f>
        <v>#REF!</v>
      </c>
      <c r="B302" s="116" t="e">
        <f>#REF!</f>
        <v>#REF!</v>
      </c>
      <c r="C302" s="15"/>
      <c r="D302" s="109"/>
      <c r="E302" s="45">
        <v>0.8</v>
      </c>
      <c r="F302" s="18" t="e">
        <f>E302*F303</f>
        <v>#REF!</v>
      </c>
      <c r="H302" s="10">
        <v>298</v>
      </c>
    </row>
    <row r="303" spans="1:8" s="33" customFormat="1">
      <c r="A303" s="1269" t="e">
        <f>#REF!</f>
        <v>#REF!</v>
      </c>
      <c r="B303" s="52" t="e">
        <f>#REF!</f>
        <v>#REF!</v>
      </c>
      <c r="C303" s="15"/>
      <c r="D303" s="127">
        <f>Gia_VLieu!D$14</f>
        <v>1.08</v>
      </c>
      <c r="E303" s="45">
        <v>1</v>
      </c>
      <c r="F303" s="18" t="e">
        <f>SUM(F305:F315)*D303</f>
        <v>#REF!</v>
      </c>
      <c r="H303" s="10">
        <v>299</v>
      </c>
    </row>
    <row r="304" spans="1:8" s="33" customFormat="1">
      <c r="A304" s="1270" t="e">
        <f>#REF!</f>
        <v>#REF!</v>
      </c>
      <c r="B304" s="112" t="e">
        <f>#REF!</f>
        <v>#REF!</v>
      </c>
      <c r="C304" s="15"/>
      <c r="D304" s="109"/>
      <c r="E304" s="45">
        <v>1.2</v>
      </c>
      <c r="F304" s="18" t="e">
        <f>E304*F303</f>
        <v>#REF!</v>
      </c>
      <c r="H304" s="10">
        <v>300</v>
      </c>
    </row>
    <row r="305" spans="1:8" s="3" customFormat="1">
      <c r="A305" s="13">
        <v>1</v>
      </c>
      <c r="B305" s="5" t="s">
        <v>85</v>
      </c>
      <c r="C305" s="6" t="str">
        <f>Gia_VLieu!C4</f>
        <v>Gram</v>
      </c>
      <c r="D305" s="66">
        <f>Gia_VLieu!D4</f>
        <v>45000</v>
      </c>
      <c r="E305" s="29">
        <v>2</v>
      </c>
      <c r="F305" s="16">
        <f t="shared" ref="F305:F315" si="21">D305*E305</f>
        <v>90000</v>
      </c>
      <c r="H305" s="10">
        <v>301</v>
      </c>
    </row>
    <row r="306" spans="1:8" s="3" customFormat="1">
      <c r="A306" s="13">
        <v>2</v>
      </c>
      <c r="B306" s="5" t="s">
        <v>86</v>
      </c>
      <c r="C306" s="6" t="str">
        <f>Gia_VLieu!C5</f>
        <v>Hộp</v>
      </c>
      <c r="D306" s="66">
        <f>Gia_VLieu!D5</f>
        <v>1450000</v>
      </c>
      <c r="E306" s="29">
        <v>0.15</v>
      </c>
      <c r="F306" s="16">
        <f t="shared" si="21"/>
        <v>217500</v>
      </c>
      <c r="H306" s="10">
        <v>302</v>
      </c>
    </row>
    <row r="307" spans="1:8" s="3" customFormat="1">
      <c r="A307" s="13">
        <v>3</v>
      </c>
      <c r="B307" s="5" t="s">
        <v>87</v>
      </c>
      <c r="C307" s="6" t="e">
        <f>Gia_VLieu!#REF!</f>
        <v>#REF!</v>
      </c>
      <c r="D307" s="66" t="e">
        <f>Gia_VLieu!#REF!</f>
        <v>#REF!</v>
      </c>
      <c r="E307" s="29">
        <v>0.1</v>
      </c>
      <c r="F307" s="16" t="e">
        <f t="shared" si="21"/>
        <v>#REF!</v>
      </c>
      <c r="H307" s="10">
        <v>303</v>
      </c>
    </row>
    <row r="308" spans="1:8" s="3" customFormat="1">
      <c r="A308" s="13">
        <v>4</v>
      </c>
      <c r="B308" s="5" t="s">
        <v>88</v>
      </c>
      <c r="C308" s="6" t="str">
        <f>Gia_VLieu!C6</f>
        <v>Quyển</v>
      </c>
      <c r="D308" s="66">
        <f>Gia_VLieu!D6</f>
        <v>10000</v>
      </c>
      <c r="E308" s="29">
        <v>8</v>
      </c>
      <c r="F308" s="16">
        <f t="shared" si="21"/>
        <v>80000</v>
      </c>
      <c r="H308" s="10">
        <v>304</v>
      </c>
    </row>
    <row r="309" spans="1:8" s="3" customFormat="1">
      <c r="A309" s="13">
        <v>5</v>
      </c>
      <c r="B309" s="5" t="s">
        <v>22</v>
      </c>
      <c r="C309" s="6" t="str">
        <f>Gia_VLieu!C7</f>
        <v>Cái</v>
      </c>
      <c r="D309" s="66">
        <f>Gia_VLieu!D7</f>
        <v>2000</v>
      </c>
      <c r="E309" s="29">
        <v>12</v>
      </c>
      <c r="F309" s="16">
        <f t="shared" si="21"/>
        <v>24000</v>
      </c>
      <c r="H309" s="10">
        <v>305</v>
      </c>
    </row>
    <row r="310" spans="1:8" s="3" customFormat="1">
      <c r="A310" s="13">
        <v>6</v>
      </c>
      <c r="B310" s="5" t="s">
        <v>89</v>
      </c>
      <c r="C310" s="6" t="str">
        <f>Gia_VLieu!C8</f>
        <v>Cái</v>
      </c>
      <c r="D310" s="66">
        <f>Gia_VLieu!D8</f>
        <v>8000</v>
      </c>
      <c r="E310" s="29">
        <v>12</v>
      </c>
      <c r="F310" s="16">
        <f t="shared" si="21"/>
        <v>96000</v>
      </c>
      <c r="H310" s="10">
        <v>306</v>
      </c>
    </row>
    <row r="311" spans="1:8" s="3" customFormat="1">
      <c r="A311" s="13">
        <v>7</v>
      </c>
      <c r="B311" s="5" t="s">
        <v>90</v>
      </c>
      <c r="C311" s="6" t="str">
        <f>Gia_VLieu!C9</f>
        <v>Cái</v>
      </c>
      <c r="D311" s="66">
        <f>Gia_VLieu!D9</f>
        <v>10000</v>
      </c>
      <c r="E311" s="29">
        <v>12</v>
      </c>
      <c r="F311" s="16">
        <f t="shared" si="21"/>
        <v>120000</v>
      </c>
      <c r="H311" s="10">
        <v>307</v>
      </c>
    </row>
    <row r="312" spans="1:8" s="3" customFormat="1">
      <c r="A312" s="13">
        <v>8</v>
      </c>
      <c r="B312" s="5" t="s">
        <v>91</v>
      </c>
      <c r="C312" s="6" t="str">
        <f>Gia_VLieu!C10</f>
        <v>Hộp</v>
      </c>
      <c r="D312" s="66">
        <f>Gia_VLieu!D10</f>
        <v>2500</v>
      </c>
      <c r="E312" s="29">
        <v>4</v>
      </c>
      <c r="F312" s="16">
        <f t="shared" si="21"/>
        <v>10000</v>
      </c>
      <c r="H312" s="10">
        <v>308</v>
      </c>
    </row>
    <row r="313" spans="1:8" s="3" customFormat="1">
      <c r="A313" s="13">
        <v>9</v>
      </c>
      <c r="B313" s="5" t="s">
        <v>92</v>
      </c>
      <c r="C313" s="6" t="str">
        <f>Gia_VLieu!C11</f>
        <v>Hộp</v>
      </c>
      <c r="D313" s="66">
        <f>Gia_VLieu!D11</f>
        <v>2000</v>
      </c>
      <c r="E313" s="29">
        <v>3</v>
      </c>
      <c r="F313" s="16">
        <f t="shared" si="21"/>
        <v>6000</v>
      </c>
      <c r="H313" s="10">
        <v>309</v>
      </c>
    </row>
    <row r="314" spans="1:8" s="3" customFormat="1">
      <c r="A314" s="13">
        <v>10</v>
      </c>
      <c r="B314" s="5" t="s">
        <v>93</v>
      </c>
      <c r="C314" s="6" t="str">
        <f>Gia_VLieu!C12</f>
        <v>Tập</v>
      </c>
      <c r="D314" s="66">
        <f>Gia_VLieu!D12</f>
        <v>8000</v>
      </c>
      <c r="E314" s="29">
        <v>3</v>
      </c>
      <c r="F314" s="16">
        <f t="shared" si="21"/>
        <v>24000</v>
      </c>
      <c r="H314" s="10">
        <v>310</v>
      </c>
    </row>
    <row r="315" spans="1:8" s="3" customFormat="1">
      <c r="A315" s="40">
        <v>11</v>
      </c>
      <c r="B315" s="41" t="s">
        <v>94</v>
      </c>
      <c r="C315" s="42" t="str">
        <f>Gia_VLieu!C13</f>
        <v>Cái</v>
      </c>
      <c r="D315" s="67">
        <f>Gia_VLieu!D13</f>
        <v>15000</v>
      </c>
      <c r="E315" s="50">
        <v>15</v>
      </c>
      <c r="F315" s="38">
        <f t="shared" si="21"/>
        <v>225000</v>
      </c>
      <c r="H315" s="10">
        <v>311</v>
      </c>
    </row>
    <row r="316" spans="1:8" s="14" customFormat="1">
      <c r="A316" s="12" t="e">
        <f>#REF!</f>
        <v>#REF!</v>
      </c>
      <c r="B316" s="8" t="e">
        <f>#REF!</f>
        <v>#REF!</v>
      </c>
      <c r="C316" s="7"/>
      <c r="D316" s="72"/>
      <c r="E316" s="48"/>
      <c r="F316" s="17"/>
      <c r="H316" s="10">
        <v>312</v>
      </c>
    </row>
    <row r="317" spans="1:8" s="33" customFormat="1">
      <c r="A317" s="31" t="e">
        <f>#REF!</f>
        <v>#REF!</v>
      </c>
      <c r="B317" s="32" t="e">
        <f>#REF!</f>
        <v>#REF!</v>
      </c>
      <c r="C317" s="15"/>
      <c r="D317" s="127">
        <f>Gia_VLieu!D$14</f>
        <v>1.08</v>
      </c>
      <c r="E317" s="45"/>
      <c r="F317" s="18" t="e">
        <f>SUM(F318:F328)*D317</f>
        <v>#REF!</v>
      </c>
      <c r="H317" s="10">
        <v>313</v>
      </c>
    </row>
    <row r="318" spans="1:8" s="3" customFormat="1">
      <c r="A318" s="13">
        <v>1</v>
      </c>
      <c r="B318" s="5" t="s">
        <v>85</v>
      </c>
      <c r="C318" s="6" t="str">
        <f>Gia_VLieu!C4</f>
        <v>Gram</v>
      </c>
      <c r="D318" s="66">
        <f>Gia_VLieu!D4</f>
        <v>45000</v>
      </c>
      <c r="E318" s="29">
        <v>3</v>
      </c>
      <c r="F318" s="16">
        <f t="shared" ref="F318:F328" si="22">D318*E318</f>
        <v>135000</v>
      </c>
      <c r="H318" s="10">
        <v>314</v>
      </c>
    </row>
    <row r="319" spans="1:8" s="3" customFormat="1">
      <c r="A319" s="13">
        <v>2</v>
      </c>
      <c r="B319" s="5" t="s">
        <v>86</v>
      </c>
      <c r="C319" s="6" t="str">
        <f>Gia_VLieu!C5</f>
        <v>Hộp</v>
      </c>
      <c r="D319" s="66">
        <f>Gia_VLieu!D5</f>
        <v>1450000</v>
      </c>
      <c r="E319" s="29">
        <v>0.2</v>
      </c>
      <c r="F319" s="16">
        <f t="shared" si="22"/>
        <v>290000</v>
      </c>
      <c r="H319" s="10">
        <v>315</v>
      </c>
    </row>
    <row r="320" spans="1:8" s="3" customFormat="1">
      <c r="A320" s="13">
        <v>3</v>
      </c>
      <c r="B320" s="5" t="s">
        <v>87</v>
      </c>
      <c r="C320" s="6" t="e">
        <f>Gia_VLieu!#REF!</f>
        <v>#REF!</v>
      </c>
      <c r="D320" s="66" t="e">
        <f>Gia_VLieu!#REF!</f>
        <v>#REF!</v>
      </c>
      <c r="E320" s="29">
        <v>0.15</v>
      </c>
      <c r="F320" s="16" t="e">
        <f t="shared" si="22"/>
        <v>#REF!</v>
      </c>
      <c r="H320" s="10">
        <v>316</v>
      </c>
    </row>
    <row r="321" spans="1:8" s="3" customFormat="1">
      <c r="A321" s="13">
        <v>4</v>
      </c>
      <c r="B321" s="5" t="s">
        <v>88</v>
      </c>
      <c r="C321" s="6" t="str">
        <f>Gia_VLieu!C6</f>
        <v>Quyển</v>
      </c>
      <c r="D321" s="66">
        <f>Gia_VLieu!D6</f>
        <v>10000</v>
      </c>
      <c r="E321" s="29">
        <v>12</v>
      </c>
      <c r="F321" s="16">
        <f t="shared" si="22"/>
        <v>120000</v>
      </c>
      <c r="H321" s="10">
        <v>317</v>
      </c>
    </row>
    <row r="322" spans="1:8" s="3" customFormat="1">
      <c r="A322" s="13">
        <v>5</v>
      </c>
      <c r="B322" s="5" t="s">
        <v>22</v>
      </c>
      <c r="C322" s="6" t="str">
        <f>Gia_VLieu!C7</f>
        <v>Cái</v>
      </c>
      <c r="D322" s="66">
        <f>Gia_VLieu!D7</f>
        <v>2000</v>
      </c>
      <c r="E322" s="29">
        <v>25</v>
      </c>
      <c r="F322" s="16">
        <f t="shared" si="22"/>
        <v>50000</v>
      </c>
      <c r="H322" s="10">
        <v>318</v>
      </c>
    </row>
    <row r="323" spans="1:8" s="3" customFormat="1">
      <c r="A323" s="13">
        <v>6</v>
      </c>
      <c r="B323" s="5" t="s">
        <v>89</v>
      </c>
      <c r="C323" s="6" t="str">
        <f>Gia_VLieu!C8</f>
        <v>Cái</v>
      </c>
      <c r="D323" s="66">
        <f>Gia_VLieu!D8</f>
        <v>8000</v>
      </c>
      <c r="E323" s="29">
        <v>10</v>
      </c>
      <c r="F323" s="16">
        <f t="shared" si="22"/>
        <v>80000</v>
      </c>
      <c r="H323" s="10">
        <v>319</v>
      </c>
    </row>
    <row r="324" spans="1:8" s="3" customFormat="1">
      <c r="A324" s="13">
        <v>7</v>
      </c>
      <c r="B324" s="5" t="s">
        <v>90</v>
      </c>
      <c r="C324" s="6" t="str">
        <f>Gia_VLieu!C9</f>
        <v>Cái</v>
      </c>
      <c r="D324" s="66">
        <f>Gia_VLieu!D9</f>
        <v>10000</v>
      </c>
      <c r="E324" s="29">
        <v>10</v>
      </c>
      <c r="F324" s="16">
        <f t="shared" si="22"/>
        <v>100000</v>
      </c>
      <c r="H324" s="10">
        <v>320</v>
      </c>
    </row>
    <row r="325" spans="1:8" s="3" customFormat="1">
      <c r="A325" s="13">
        <v>8</v>
      </c>
      <c r="B325" s="5" t="s">
        <v>91</v>
      </c>
      <c r="C325" s="6" t="str">
        <f>Gia_VLieu!C10</f>
        <v>Hộp</v>
      </c>
      <c r="D325" s="66">
        <f>Gia_VLieu!D10</f>
        <v>2500</v>
      </c>
      <c r="E325" s="29">
        <v>12</v>
      </c>
      <c r="F325" s="16">
        <f t="shared" si="22"/>
        <v>30000</v>
      </c>
      <c r="H325" s="10">
        <v>321</v>
      </c>
    </row>
    <row r="326" spans="1:8" s="3" customFormat="1">
      <c r="A326" s="13">
        <v>9</v>
      </c>
      <c r="B326" s="5" t="s">
        <v>92</v>
      </c>
      <c r="C326" s="6" t="str">
        <f>Gia_VLieu!C11</f>
        <v>Hộp</v>
      </c>
      <c r="D326" s="66">
        <f>Gia_VLieu!D11</f>
        <v>2000</v>
      </c>
      <c r="E326" s="29">
        <v>8</v>
      </c>
      <c r="F326" s="16">
        <f t="shared" si="22"/>
        <v>16000</v>
      </c>
      <c r="H326" s="10">
        <v>322</v>
      </c>
    </row>
    <row r="327" spans="1:8" s="3" customFormat="1">
      <c r="A327" s="13">
        <v>10</v>
      </c>
      <c r="B327" s="5" t="s">
        <v>93</v>
      </c>
      <c r="C327" s="6" t="str">
        <f>Gia_VLieu!C12</f>
        <v>Tập</v>
      </c>
      <c r="D327" s="66">
        <f>Gia_VLieu!D12</f>
        <v>8000</v>
      </c>
      <c r="E327" s="29">
        <v>11</v>
      </c>
      <c r="F327" s="16">
        <f t="shared" si="22"/>
        <v>88000</v>
      </c>
      <c r="H327" s="10">
        <v>323</v>
      </c>
    </row>
    <row r="328" spans="1:8" s="3" customFormat="1">
      <c r="A328" s="40">
        <v>11</v>
      </c>
      <c r="B328" s="41" t="s">
        <v>94</v>
      </c>
      <c r="C328" s="42" t="str">
        <f>Gia_VLieu!C13</f>
        <v>Cái</v>
      </c>
      <c r="D328" s="67">
        <f>Gia_VLieu!D13</f>
        <v>15000</v>
      </c>
      <c r="E328" s="50">
        <v>10</v>
      </c>
      <c r="F328" s="38">
        <f t="shared" si="22"/>
        <v>150000</v>
      </c>
      <c r="H328" s="10">
        <v>324</v>
      </c>
    </row>
    <row r="329" spans="1:8" s="33" customFormat="1">
      <c r="A329" s="31" t="e">
        <f>#REF!</f>
        <v>#REF!</v>
      </c>
      <c r="B329" s="32" t="e">
        <f>#REF!</f>
        <v>#REF!</v>
      </c>
      <c r="C329" s="15"/>
      <c r="D329" s="70"/>
      <c r="E329" s="45"/>
      <c r="F329" s="18"/>
      <c r="H329" s="10">
        <v>325</v>
      </c>
    </row>
    <row r="330" spans="1:8" s="3" customFormat="1">
      <c r="A330" s="13" t="e">
        <f>#REF!</f>
        <v>#REF!</v>
      </c>
      <c r="B330" s="5" t="e">
        <f>#REF!</f>
        <v>#REF!</v>
      </c>
      <c r="C330" s="6"/>
      <c r="D330" s="66"/>
      <c r="E330" s="30"/>
      <c r="F330" s="16"/>
      <c r="H330" s="10">
        <v>326</v>
      </c>
    </row>
    <row r="331" spans="1:8" s="3" customFormat="1">
      <c r="A331" s="13" t="e">
        <f>#REF!</f>
        <v>#REF!</v>
      </c>
      <c r="B331" s="5" t="e">
        <f>#REF!</f>
        <v>#REF!</v>
      </c>
      <c r="C331" s="6"/>
      <c r="D331" s="127">
        <f>Gia_VLieu!D$14</f>
        <v>1.08</v>
      </c>
      <c r="E331" s="45"/>
      <c r="F331" s="18" t="e">
        <f>SUM(F332:F342)*D331</f>
        <v>#REF!</v>
      </c>
      <c r="H331" s="10">
        <v>327</v>
      </c>
    </row>
    <row r="332" spans="1:8" s="3" customFormat="1">
      <c r="A332" s="13">
        <v>1</v>
      </c>
      <c r="B332" s="5" t="s">
        <v>85</v>
      </c>
      <c r="C332" s="6" t="str">
        <f>Gia_VLieu!C4</f>
        <v>Gram</v>
      </c>
      <c r="D332" s="66">
        <f>Gia_VLieu!D4</f>
        <v>45000</v>
      </c>
      <c r="E332" s="29">
        <v>4</v>
      </c>
      <c r="F332" s="16">
        <f t="shared" ref="F332:F342" si="23">D332*E332</f>
        <v>180000</v>
      </c>
      <c r="H332" s="10">
        <v>328</v>
      </c>
    </row>
    <row r="333" spans="1:8" s="3" customFormat="1">
      <c r="A333" s="13">
        <v>2</v>
      </c>
      <c r="B333" s="5" t="s">
        <v>86</v>
      </c>
      <c r="C333" s="6" t="str">
        <f>Gia_VLieu!C5</f>
        <v>Hộp</v>
      </c>
      <c r="D333" s="66">
        <f>Gia_VLieu!D5</f>
        <v>1450000</v>
      </c>
      <c r="E333" s="29">
        <v>0.3</v>
      </c>
      <c r="F333" s="16">
        <f t="shared" si="23"/>
        <v>435000</v>
      </c>
      <c r="H333" s="10">
        <v>329</v>
      </c>
    </row>
    <row r="334" spans="1:8" s="3" customFormat="1">
      <c r="A334" s="13">
        <v>3</v>
      </c>
      <c r="B334" s="5" t="s">
        <v>87</v>
      </c>
      <c r="C334" s="6" t="e">
        <f>Gia_VLieu!#REF!</f>
        <v>#REF!</v>
      </c>
      <c r="D334" s="66" t="e">
        <f>Gia_VLieu!#REF!</f>
        <v>#REF!</v>
      </c>
      <c r="E334" s="29">
        <v>0.2</v>
      </c>
      <c r="F334" s="16" t="e">
        <f t="shared" si="23"/>
        <v>#REF!</v>
      </c>
      <c r="H334" s="10">
        <v>330</v>
      </c>
    </row>
    <row r="335" spans="1:8" s="3" customFormat="1">
      <c r="A335" s="13">
        <v>4</v>
      </c>
      <c r="B335" s="5" t="s">
        <v>88</v>
      </c>
      <c r="C335" s="6" t="str">
        <f>Gia_VLieu!C6</f>
        <v>Quyển</v>
      </c>
      <c r="D335" s="66">
        <f>Gia_VLieu!D6</f>
        <v>10000</v>
      </c>
      <c r="E335" s="29">
        <v>12</v>
      </c>
      <c r="F335" s="16">
        <f t="shared" si="23"/>
        <v>120000</v>
      </c>
      <c r="H335" s="10">
        <v>331</v>
      </c>
    </row>
    <row r="336" spans="1:8" s="3" customFormat="1">
      <c r="A336" s="13">
        <v>5</v>
      </c>
      <c r="B336" s="5" t="s">
        <v>22</v>
      </c>
      <c r="C336" s="6" t="str">
        <f>Gia_VLieu!C7</f>
        <v>Cái</v>
      </c>
      <c r="D336" s="66">
        <f>Gia_VLieu!D7</f>
        <v>2000</v>
      </c>
      <c r="E336" s="29">
        <v>20</v>
      </c>
      <c r="F336" s="16">
        <f t="shared" si="23"/>
        <v>40000</v>
      </c>
      <c r="H336" s="10">
        <v>332</v>
      </c>
    </row>
    <row r="337" spans="1:8" s="3" customFormat="1">
      <c r="A337" s="13">
        <v>6</v>
      </c>
      <c r="B337" s="5" t="s">
        <v>89</v>
      </c>
      <c r="C337" s="6" t="str">
        <f>Gia_VLieu!C8</f>
        <v>Cái</v>
      </c>
      <c r="D337" s="66">
        <f>Gia_VLieu!D8</f>
        <v>8000</v>
      </c>
      <c r="E337" s="29">
        <v>8</v>
      </c>
      <c r="F337" s="16">
        <f t="shared" si="23"/>
        <v>64000</v>
      </c>
      <c r="H337" s="10">
        <v>333</v>
      </c>
    </row>
    <row r="338" spans="1:8" s="3" customFormat="1">
      <c r="A338" s="13">
        <v>7</v>
      </c>
      <c r="B338" s="5" t="s">
        <v>90</v>
      </c>
      <c r="C338" s="6" t="str">
        <f>Gia_VLieu!C9</f>
        <v>Cái</v>
      </c>
      <c r="D338" s="66">
        <f>Gia_VLieu!D9</f>
        <v>10000</v>
      </c>
      <c r="E338" s="29">
        <v>8</v>
      </c>
      <c r="F338" s="16">
        <f t="shared" si="23"/>
        <v>80000</v>
      </c>
      <c r="H338" s="10">
        <v>334</v>
      </c>
    </row>
    <row r="339" spans="1:8" s="3" customFormat="1">
      <c r="A339" s="13">
        <v>8</v>
      </c>
      <c r="B339" s="5" t="s">
        <v>91</v>
      </c>
      <c r="C339" s="6" t="str">
        <f>Gia_VLieu!C10</f>
        <v>Hộp</v>
      </c>
      <c r="D339" s="66">
        <f>Gia_VLieu!D10</f>
        <v>2500</v>
      </c>
      <c r="E339" s="29">
        <v>6</v>
      </c>
      <c r="F339" s="16">
        <f t="shared" si="23"/>
        <v>15000</v>
      </c>
      <c r="H339" s="10">
        <v>335</v>
      </c>
    </row>
    <row r="340" spans="1:8" s="3" customFormat="1">
      <c r="A340" s="13">
        <v>9</v>
      </c>
      <c r="B340" s="5" t="s">
        <v>92</v>
      </c>
      <c r="C340" s="6" t="str">
        <f>Gia_VLieu!C11</f>
        <v>Hộp</v>
      </c>
      <c r="D340" s="66">
        <f>Gia_VLieu!D11</f>
        <v>2000</v>
      </c>
      <c r="E340" s="29">
        <v>7</v>
      </c>
      <c r="F340" s="16">
        <f t="shared" si="23"/>
        <v>14000</v>
      </c>
      <c r="H340" s="10">
        <v>336</v>
      </c>
    </row>
    <row r="341" spans="1:8" s="3" customFormat="1">
      <c r="A341" s="13">
        <v>10</v>
      </c>
      <c r="B341" s="5" t="s">
        <v>93</v>
      </c>
      <c r="C341" s="6" t="str">
        <f>Gia_VLieu!C12</f>
        <v>Tập</v>
      </c>
      <c r="D341" s="66">
        <f>Gia_VLieu!D12</f>
        <v>8000</v>
      </c>
      <c r="E341" s="29">
        <v>12</v>
      </c>
      <c r="F341" s="16">
        <f t="shared" si="23"/>
        <v>96000</v>
      </c>
      <c r="H341" s="10">
        <v>337</v>
      </c>
    </row>
    <row r="342" spans="1:8" s="3" customFormat="1">
      <c r="A342" s="40">
        <v>11</v>
      </c>
      <c r="B342" s="41" t="s">
        <v>94</v>
      </c>
      <c r="C342" s="42" t="str">
        <f>Gia_VLieu!C13</f>
        <v>Cái</v>
      </c>
      <c r="D342" s="67">
        <f>Gia_VLieu!D13</f>
        <v>15000</v>
      </c>
      <c r="E342" s="50">
        <v>8</v>
      </c>
      <c r="F342" s="38">
        <f t="shared" si="23"/>
        <v>120000</v>
      </c>
      <c r="H342" s="10">
        <v>338</v>
      </c>
    </row>
    <row r="343" spans="1:8" s="3" customFormat="1">
      <c r="A343" s="13" t="e">
        <f>#REF!</f>
        <v>#REF!</v>
      </c>
      <c r="B343" s="5" t="e">
        <f>#REF!</f>
        <v>#REF!</v>
      </c>
      <c r="C343" s="6"/>
      <c r="D343" s="66"/>
      <c r="E343" s="30"/>
      <c r="F343" s="16"/>
      <c r="H343" s="10">
        <v>339</v>
      </c>
    </row>
    <row r="344" spans="1:8" s="3" customFormat="1">
      <c r="A344" s="13" t="e">
        <f>#REF!</f>
        <v>#REF!</v>
      </c>
      <c r="B344" s="5" t="e">
        <f>#REF!</f>
        <v>#REF!</v>
      </c>
      <c r="C344" s="6"/>
      <c r="D344" s="127">
        <f>Gia_VLieu!D$14</f>
        <v>1.08</v>
      </c>
      <c r="E344" s="45"/>
      <c r="F344" s="18" t="e">
        <f>SUM(F345:F355)*D344</f>
        <v>#REF!</v>
      </c>
      <c r="H344" s="10">
        <v>340</v>
      </c>
    </row>
    <row r="345" spans="1:8" s="3" customFormat="1">
      <c r="A345" s="13">
        <v>1</v>
      </c>
      <c r="B345" s="5" t="s">
        <v>85</v>
      </c>
      <c r="C345" s="6" t="str">
        <f>Gia_VLieu!C4</f>
        <v>Gram</v>
      </c>
      <c r="D345" s="66">
        <f>Gia_VLieu!D4</f>
        <v>45000</v>
      </c>
      <c r="E345" s="53">
        <v>1E-3</v>
      </c>
      <c r="F345" s="16">
        <f t="shared" ref="F345:F355" si="24">D345*E345</f>
        <v>45</v>
      </c>
      <c r="H345" s="10">
        <v>341</v>
      </c>
    </row>
    <row r="346" spans="1:8" s="3" customFormat="1">
      <c r="A346" s="13">
        <v>2</v>
      </c>
      <c r="B346" s="5" t="s">
        <v>86</v>
      </c>
      <c r="C346" s="6" t="str">
        <f>Gia_VLieu!C5</f>
        <v>Hộp</v>
      </c>
      <c r="D346" s="66">
        <f>Gia_VLieu!D5</f>
        <v>1450000</v>
      </c>
      <c r="E346" s="53">
        <v>1E-4</v>
      </c>
      <c r="F346" s="16">
        <f t="shared" si="24"/>
        <v>145</v>
      </c>
      <c r="H346" s="10">
        <v>342</v>
      </c>
    </row>
    <row r="347" spans="1:8" s="3" customFormat="1">
      <c r="A347" s="13">
        <v>3</v>
      </c>
      <c r="B347" s="5" t="s">
        <v>87</v>
      </c>
      <c r="C347" s="6" t="e">
        <f>Gia_VLieu!#REF!</f>
        <v>#REF!</v>
      </c>
      <c r="D347" s="66" t="e">
        <f>Gia_VLieu!#REF!</f>
        <v>#REF!</v>
      </c>
      <c r="E347" s="53">
        <v>2.0000000000000001E-4</v>
      </c>
      <c r="F347" s="16" t="e">
        <f t="shared" si="24"/>
        <v>#REF!</v>
      </c>
      <c r="H347" s="10">
        <v>343</v>
      </c>
    </row>
    <row r="348" spans="1:8" s="3" customFormat="1">
      <c r="A348" s="13">
        <v>4</v>
      </c>
      <c r="B348" s="5" t="s">
        <v>88</v>
      </c>
      <c r="C348" s="6" t="str">
        <f>Gia_VLieu!C6</f>
        <v>Quyển</v>
      </c>
      <c r="D348" s="66">
        <f>Gia_VLieu!D6</f>
        <v>10000</v>
      </c>
      <c r="E348" s="53">
        <v>0.01</v>
      </c>
      <c r="F348" s="16">
        <f t="shared" si="24"/>
        <v>100</v>
      </c>
      <c r="H348" s="10">
        <v>344</v>
      </c>
    </row>
    <row r="349" spans="1:8" s="3" customFormat="1">
      <c r="A349" s="13">
        <v>5</v>
      </c>
      <c r="B349" s="5" t="s">
        <v>22</v>
      </c>
      <c r="C349" s="6" t="str">
        <f>Gia_VLieu!C7</f>
        <v>Cái</v>
      </c>
      <c r="D349" s="66">
        <f>Gia_VLieu!D7</f>
        <v>2000</v>
      </c>
      <c r="E349" s="53">
        <v>8.0000000000000002E-3</v>
      </c>
      <c r="F349" s="16">
        <f t="shared" si="24"/>
        <v>16</v>
      </c>
      <c r="H349" s="10">
        <v>345</v>
      </c>
    </row>
    <row r="350" spans="1:8" s="3" customFormat="1">
      <c r="A350" s="13">
        <v>6</v>
      </c>
      <c r="B350" s="5" t="s">
        <v>89</v>
      </c>
      <c r="C350" s="6" t="str">
        <f>Gia_VLieu!C8</f>
        <v>Cái</v>
      </c>
      <c r="D350" s="66">
        <f>Gia_VLieu!D8</f>
        <v>8000</v>
      </c>
      <c r="E350" s="53">
        <v>2E-3</v>
      </c>
      <c r="F350" s="16">
        <f t="shared" si="24"/>
        <v>16</v>
      </c>
      <c r="H350" s="10">
        <v>346</v>
      </c>
    </row>
    <row r="351" spans="1:8" s="3" customFormat="1">
      <c r="A351" s="13">
        <v>7</v>
      </c>
      <c r="B351" s="5" t="s">
        <v>90</v>
      </c>
      <c r="C351" s="6" t="str">
        <f>Gia_VLieu!C9</f>
        <v>Cái</v>
      </c>
      <c r="D351" s="66">
        <f>Gia_VLieu!D9</f>
        <v>10000</v>
      </c>
      <c r="E351" s="53">
        <v>2E-3</v>
      </c>
      <c r="F351" s="16">
        <f t="shared" si="24"/>
        <v>20</v>
      </c>
      <c r="H351" s="10">
        <v>347</v>
      </c>
    </row>
    <row r="352" spans="1:8" s="3" customFormat="1">
      <c r="A352" s="13">
        <v>8</v>
      </c>
      <c r="B352" s="5" t="s">
        <v>91</v>
      </c>
      <c r="C352" s="6" t="str">
        <f>Gia_VLieu!C10</f>
        <v>Hộp</v>
      </c>
      <c r="D352" s="66">
        <f>Gia_VLieu!D10</f>
        <v>2500</v>
      </c>
      <c r="E352" s="53">
        <v>6.0000000000000001E-3</v>
      </c>
      <c r="F352" s="16">
        <f t="shared" si="24"/>
        <v>15</v>
      </c>
      <c r="H352" s="10">
        <v>348</v>
      </c>
    </row>
    <row r="353" spans="1:8" s="3" customFormat="1">
      <c r="A353" s="13">
        <v>9</v>
      </c>
      <c r="B353" s="5" t="s">
        <v>92</v>
      </c>
      <c r="C353" s="6" t="str">
        <f>Gia_VLieu!C11</f>
        <v>Hộp</v>
      </c>
      <c r="D353" s="66">
        <f>Gia_VLieu!D11</f>
        <v>2000</v>
      </c>
      <c r="E353" s="53">
        <v>2E-3</v>
      </c>
      <c r="F353" s="16">
        <f t="shared" si="24"/>
        <v>4</v>
      </c>
      <c r="H353" s="10">
        <v>349</v>
      </c>
    </row>
    <row r="354" spans="1:8" s="3" customFormat="1">
      <c r="A354" s="13">
        <v>10</v>
      </c>
      <c r="B354" s="5" t="s">
        <v>93</v>
      </c>
      <c r="C354" s="6" t="str">
        <f>Gia_VLieu!C12</f>
        <v>Tập</v>
      </c>
      <c r="D354" s="66">
        <f>Gia_VLieu!D12</f>
        <v>8000</v>
      </c>
      <c r="E354" s="53">
        <v>5.0000000000000001E-3</v>
      </c>
      <c r="F354" s="16">
        <f t="shared" si="24"/>
        <v>40</v>
      </c>
      <c r="H354" s="10">
        <v>350</v>
      </c>
    </row>
    <row r="355" spans="1:8" s="3" customFormat="1">
      <c r="A355" s="40">
        <v>11</v>
      </c>
      <c r="B355" s="41" t="s">
        <v>94</v>
      </c>
      <c r="C355" s="42" t="str">
        <f>Gia_VLieu!C13</f>
        <v>Cái</v>
      </c>
      <c r="D355" s="67">
        <f>Gia_VLieu!D13</f>
        <v>15000</v>
      </c>
      <c r="E355" s="54">
        <v>2E-3</v>
      </c>
      <c r="F355" s="38">
        <f t="shared" si="24"/>
        <v>30</v>
      </c>
      <c r="H355" s="10">
        <v>351</v>
      </c>
    </row>
    <row r="356" spans="1:8" s="3" customFormat="1">
      <c r="A356" s="13" t="e">
        <f>#REF!</f>
        <v>#REF!</v>
      </c>
      <c r="B356" s="5" t="e">
        <f>#REF!</f>
        <v>#REF!</v>
      </c>
      <c r="C356" s="6"/>
      <c r="D356" s="127">
        <f>Gia_VLieu!D$14</f>
        <v>1.08</v>
      </c>
      <c r="E356" s="45"/>
      <c r="F356" s="18" t="e">
        <f>SUM(F357:F367)*D356</f>
        <v>#REF!</v>
      </c>
      <c r="H356" s="10">
        <v>352</v>
      </c>
    </row>
    <row r="357" spans="1:8" s="3" customFormat="1">
      <c r="A357" s="13">
        <v>1</v>
      </c>
      <c r="B357" s="5" t="s">
        <v>85</v>
      </c>
      <c r="C357" s="6" t="str">
        <f>Gia_VLieu!C4</f>
        <v>Gram</v>
      </c>
      <c r="D357" s="66">
        <f>Gia_VLieu!D4</f>
        <v>45000</v>
      </c>
      <c r="E357" s="53">
        <v>2E-3</v>
      </c>
      <c r="F357" s="16">
        <f t="shared" ref="F357:F367" si="25">D357*E357</f>
        <v>90</v>
      </c>
      <c r="H357" s="10">
        <v>353</v>
      </c>
    </row>
    <row r="358" spans="1:8" s="3" customFormat="1">
      <c r="A358" s="13">
        <v>2</v>
      </c>
      <c r="B358" s="5" t="s">
        <v>86</v>
      </c>
      <c r="C358" s="6" t="str">
        <f>Gia_VLieu!C5</f>
        <v>Hộp</v>
      </c>
      <c r="D358" s="66">
        <f>Gia_VLieu!D5</f>
        <v>1450000</v>
      </c>
      <c r="E358" s="53">
        <v>2E-3</v>
      </c>
      <c r="F358" s="16">
        <f t="shared" si="25"/>
        <v>2900</v>
      </c>
      <c r="H358" s="10">
        <v>354</v>
      </c>
    </row>
    <row r="359" spans="1:8" s="3" customFormat="1">
      <c r="A359" s="13">
        <v>3</v>
      </c>
      <c r="B359" s="5" t="s">
        <v>87</v>
      </c>
      <c r="C359" s="6" t="e">
        <f>Gia_VLieu!#REF!</f>
        <v>#REF!</v>
      </c>
      <c r="D359" s="66" t="e">
        <f>Gia_VLieu!#REF!</f>
        <v>#REF!</v>
      </c>
      <c r="E359" s="53">
        <v>5.9999999999999995E-4</v>
      </c>
      <c r="F359" s="16" t="e">
        <f t="shared" si="25"/>
        <v>#REF!</v>
      </c>
      <c r="H359" s="10">
        <v>355</v>
      </c>
    </row>
    <row r="360" spans="1:8" s="3" customFormat="1">
      <c r="A360" s="13">
        <v>4</v>
      </c>
      <c r="B360" s="5" t="s">
        <v>88</v>
      </c>
      <c r="C360" s="6" t="str">
        <f>Gia_VLieu!C6</f>
        <v>Quyển</v>
      </c>
      <c r="D360" s="66">
        <f>Gia_VLieu!D6</f>
        <v>10000</v>
      </c>
      <c r="E360" s="53">
        <v>0.01</v>
      </c>
      <c r="F360" s="16">
        <f t="shared" si="25"/>
        <v>100</v>
      </c>
      <c r="H360" s="10">
        <v>356</v>
      </c>
    </row>
    <row r="361" spans="1:8" s="3" customFormat="1">
      <c r="A361" s="13">
        <v>5</v>
      </c>
      <c r="B361" s="5" t="s">
        <v>22</v>
      </c>
      <c r="C361" s="6" t="str">
        <f>Gia_VLieu!C7</f>
        <v>Cái</v>
      </c>
      <c r="D361" s="66">
        <f>Gia_VLieu!D7</f>
        <v>2000</v>
      </c>
      <c r="E361" s="53">
        <v>8.9999999999999993E-3</v>
      </c>
      <c r="F361" s="16">
        <f t="shared" si="25"/>
        <v>18</v>
      </c>
      <c r="H361" s="10">
        <v>357</v>
      </c>
    </row>
    <row r="362" spans="1:8" s="3" customFormat="1">
      <c r="A362" s="13">
        <v>6</v>
      </c>
      <c r="B362" s="5" t="s">
        <v>89</v>
      </c>
      <c r="C362" s="6" t="str">
        <f>Gia_VLieu!C8</f>
        <v>Cái</v>
      </c>
      <c r="D362" s="66">
        <f>Gia_VLieu!D8</f>
        <v>8000</v>
      </c>
      <c r="E362" s="53">
        <v>3.0000000000000001E-3</v>
      </c>
      <c r="F362" s="16">
        <f t="shared" si="25"/>
        <v>24</v>
      </c>
      <c r="H362" s="10">
        <v>358</v>
      </c>
    </row>
    <row r="363" spans="1:8" s="3" customFormat="1">
      <c r="A363" s="13">
        <v>7</v>
      </c>
      <c r="B363" s="5" t="s">
        <v>90</v>
      </c>
      <c r="C363" s="6" t="str">
        <f>Gia_VLieu!C9</f>
        <v>Cái</v>
      </c>
      <c r="D363" s="66">
        <f>Gia_VLieu!D9</f>
        <v>10000</v>
      </c>
      <c r="E363" s="53">
        <v>3.0000000000000001E-3</v>
      </c>
      <c r="F363" s="16">
        <f t="shared" si="25"/>
        <v>30</v>
      </c>
      <c r="H363" s="10">
        <v>359</v>
      </c>
    </row>
    <row r="364" spans="1:8" s="3" customFormat="1">
      <c r="A364" s="13">
        <v>8</v>
      </c>
      <c r="B364" s="5" t="s">
        <v>91</v>
      </c>
      <c r="C364" s="6" t="str">
        <f>Gia_VLieu!C10</f>
        <v>Hộp</v>
      </c>
      <c r="D364" s="66">
        <f>Gia_VLieu!D10</f>
        <v>2500</v>
      </c>
      <c r="E364" s="53">
        <v>8.0000000000000002E-3</v>
      </c>
      <c r="F364" s="16">
        <f t="shared" si="25"/>
        <v>20</v>
      </c>
      <c r="H364" s="10">
        <v>360</v>
      </c>
    </row>
    <row r="365" spans="1:8" s="3" customFormat="1">
      <c r="A365" s="13">
        <v>9</v>
      </c>
      <c r="B365" s="5" t="s">
        <v>92</v>
      </c>
      <c r="C365" s="6" t="str">
        <f>Gia_VLieu!C11</f>
        <v>Hộp</v>
      </c>
      <c r="D365" s="66">
        <f>Gia_VLieu!D11</f>
        <v>2000</v>
      </c>
      <c r="E365" s="53">
        <v>5.0000000000000001E-3</v>
      </c>
      <c r="F365" s="16">
        <f t="shared" si="25"/>
        <v>10</v>
      </c>
      <c r="H365" s="10">
        <v>361</v>
      </c>
    </row>
    <row r="366" spans="1:8" s="3" customFormat="1">
      <c r="A366" s="13">
        <v>10</v>
      </c>
      <c r="B366" s="5" t="s">
        <v>93</v>
      </c>
      <c r="C366" s="6" t="str">
        <f>Gia_VLieu!C12</f>
        <v>Tập</v>
      </c>
      <c r="D366" s="66">
        <f>Gia_VLieu!D12</f>
        <v>8000</v>
      </c>
      <c r="E366" s="53">
        <v>8.9999999999999993E-3</v>
      </c>
      <c r="F366" s="16">
        <f t="shared" si="25"/>
        <v>72</v>
      </c>
      <c r="H366" s="10">
        <v>362</v>
      </c>
    </row>
    <row r="367" spans="1:8" s="3" customFormat="1">
      <c r="A367" s="40">
        <v>11</v>
      </c>
      <c r="B367" s="41" t="s">
        <v>94</v>
      </c>
      <c r="C367" s="42" t="str">
        <f>Gia_VLieu!C13</f>
        <v>Cái</v>
      </c>
      <c r="D367" s="67">
        <f>Gia_VLieu!D13</f>
        <v>15000</v>
      </c>
      <c r="E367" s="54">
        <v>8.0000000000000002E-3</v>
      </c>
      <c r="F367" s="38">
        <f t="shared" si="25"/>
        <v>120</v>
      </c>
      <c r="H367" s="10">
        <v>363</v>
      </c>
    </row>
    <row r="368" spans="1:8" s="14" customFormat="1">
      <c r="A368" s="12" t="e">
        <f>#REF!</f>
        <v>#REF!</v>
      </c>
      <c r="B368" s="8" t="e">
        <f>#REF!</f>
        <v>#REF!</v>
      </c>
      <c r="C368" s="7"/>
      <c r="D368" s="72"/>
      <c r="E368" s="48"/>
      <c r="F368" s="17"/>
      <c r="H368" s="10">
        <v>364</v>
      </c>
    </row>
    <row r="369" spans="1:8" s="33" customFormat="1">
      <c r="A369" s="31" t="e">
        <f>#REF!</f>
        <v>#REF!</v>
      </c>
      <c r="B369" s="32" t="e">
        <f>#REF!</f>
        <v>#REF!</v>
      </c>
      <c r="C369" s="15"/>
      <c r="D369" s="70"/>
      <c r="E369" s="45"/>
      <c r="F369" s="18"/>
      <c r="H369" s="10">
        <v>365</v>
      </c>
    </row>
    <row r="370" spans="1:8" s="3" customFormat="1">
      <c r="A370" s="13" t="e">
        <f>#REF!</f>
        <v>#REF!</v>
      </c>
      <c r="B370" s="5" t="e">
        <f>#REF!</f>
        <v>#REF!</v>
      </c>
      <c r="C370" s="6"/>
      <c r="D370" s="127">
        <f>Gia_VLieu!D$14</f>
        <v>1.08</v>
      </c>
      <c r="E370" s="45"/>
      <c r="F370" s="18" t="e">
        <f>SUM(F371:F381)*D370</f>
        <v>#REF!</v>
      </c>
      <c r="H370" s="10">
        <v>366</v>
      </c>
    </row>
    <row r="371" spans="1:8" s="3" customFormat="1">
      <c r="A371" s="13">
        <v>1</v>
      </c>
      <c r="B371" s="5" t="s">
        <v>85</v>
      </c>
      <c r="C371" s="6" t="str">
        <f>Gia_VLieu!C4</f>
        <v>Gram</v>
      </c>
      <c r="D371" s="66">
        <f>Gia_VLieu!D4</f>
        <v>45000</v>
      </c>
      <c r="E371" s="53">
        <v>1</v>
      </c>
      <c r="F371" s="16">
        <f t="shared" ref="F371:F381" si="26">D371*E371</f>
        <v>45000</v>
      </c>
      <c r="H371" s="10">
        <v>367</v>
      </c>
    </row>
    <row r="372" spans="1:8" s="3" customFormat="1">
      <c r="A372" s="13">
        <v>2</v>
      </c>
      <c r="B372" s="5" t="s">
        <v>86</v>
      </c>
      <c r="C372" s="6" t="str">
        <f>Gia_VLieu!C5</f>
        <v>Hộp</v>
      </c>
      <c r="D372" s="66">
        <f>Gia_VLieu!D5</f>
        <v>1450000</v>
      </c>
      <c r="E372" s="53">
        <v>0.1</v>
      </c>
      <c r="F372" s="16">
        <f t="shared" si="26"/>
        <v>145000</v>
      </c>
      <c r="H372" s="10">
        <v>368</v>
      </c>
    </row>
    <row r="373" spans="1:8" s="3" customFormat="1">
      <c r="A373" s="13">
        <v>3</v>
      </c>
      <c r="B373" s="5" t="s">
        <v>87</v>
      </c>
      <c r="C373" s="6" t="e">
        <f>Gia_VLieu!#REF!</f>
        <v>#REF!</v>
      </c>
      <c r="D373" s="66" t="e">
        <f>Gia_VLieu!#REF!</f>
        <v>#REF!</v>
      </c>
      <c r="E373" s="53">
        <v>0.05</v>
      </c>
      <c r="F373" s="16" t="e">
        <f t="shared" si="26"/>
        <v>#REF!</v>
      </c>
      <c r="H373" s="10">
        <v>369</v>
      </c>
    </row>
    <row r="374" spans="1:8" s="3" customFormat="1">
      <c r="A374" s="13">
        <v>4</v>
      </c>
      <c r="B374" s="5" t="s">
        <v>88</v>
      </c>
      <c r="C374" s="6" t="str">
        <f>Gia_VLieu!C6</f>
        <v>Quyển</v>
      </c>
      <c r="D374" s="66">
        <f>Gia_VLieu!D6</f>
        <v>10000</v>
      </c>
      <c r="E374" s="53">
        <v>8</v>
      </c>
      <c r="F374" s="16">
        <f t="shared" si="26"/>
        <v>80000</v>
      </c>
      <c r="H374" s="10">
        <v>370</v>
      </c>
    </row>
    <row r="375" spans="1:8" s="3" customFormat="1">
      <c r="A375" s="13">
        <v>5</v>
      </c>
      <c r="B375" s="5" t="s">
        <v>22</v>
      </c>
      <c r="C375" s="6" t="str">
        <f>Gia_VLieu!C7</f>
        <v>Cái</v>
      </c>
      <c r="D375" s="66">
        <f>Gia_VLieu!D7</f>
        <v>2000</v>
      </c>
      <c r="E375" s="53">
        <v>15</v>
      </c>
      <c r="F375" s="16">
        <f t="shared" si="26"/>
        <v>30000</v>
      </c>
      <c r="H375" s="10">
        <v>371</v>
      </c>
    </row>
    <row r="376" spans="1:8" s="3" customFormat="1">
      <c r="A376" s="13">
        <v>6</v>
      </c>
      <c r="B376" s="5" t="s">
        <v>89</v>
      </c>
      <c r="C376" s="6" t="str">
        <f>Gia_VLieu!C8</f>
        <v>Cái</v>
      </c>
      <c r="D376" s="66">
        <f>Gia_VLieu!D8</f>
        <v>8000</v>
      </c>
      <c r="E376" s="53">
        <v>6</v>
      </c>
      <c r="F376" s="16">
        <f t="shared" si="26"/>
        <v>48000</v>
      </c>
      <c r="H376" s="10">
        <v>372</v>
      </c>
    </row>
    <row r="377" spans="1:8" s="3" customFormat="1">
      <c r="A377" s="13">
        <v>7</v>
      </c>
      <c r="B377" s="5" t="s">
        <v>90</v>
      </c>
      <c r="C377" s="6" t="str">
        <f>Gia_VLieu!C9</f>
        <v>Cái</v>
      </c>
      <c r="D377" s="66">
        <f>Gia_VLieu!D9</f>
        <v>10000</v>
      </c>
      <c r="E377" s="53">
        <v>6</v>
      </c>
      <c r="F377" s="16">
        <f t="shared" si="26"/>
        <v>60000</v>
      </c>
      <c r="H377" s="10">
        <v>373</v>
      </c>
    </row>
    <row r="378" spans="1:8" s="3" customFormat="1">
      <c r="A378" s="13">
        <v>8</v>
      </c>
      <c r="B378" s="5" t="s">
        <v>91</v>
      </c>
      <c r="C378" s="6" t="str">
        <f>Gia_VLieu!C10</f>
        <v>Hộp</v>
      </c>
      <c r="D378" s="66">
        <f>Gia_VLieu!D10</f>
        <v>2500</v>
      </c>
      <c r="E378" s="53">
        <v>2</v>
      </c>
      <c r="F378" s="16">
        <f t="shared" si="26"/>
        <v>5000</v>
      </c>
      <c r="H378" s="10">
        <v>374</v>
      </c>
    </row>
    <row r="379" spans="1:8" s="3" customFormat="1">
      <c r="A379" s="13">
        <v>9</v>
      </c>
      <c r="B379" s="5" t="s">
        <v>92</v>
      </c>
      <c r="C379" s="6" t="str">
        <f>Gia_VLieu!C11</f>
        <v>Hộp</v>
      </c>
      <c r="D379" s="66">
        <f>Gia_VLieu!D11</f>
        <v>2000</v>
      </c>
      <c r="E379" s="53">
        <v>2</v>
      </c>
      <c r="F379" s="16">
        <f t="shared" si="26"/>
        <v>4000</v>
      </c>
      <c r="H379" s="10">
        <v>375</v>
      </c>
    </row>
    <row r="380" spans="1:8" s="3" customFormat="1">
      <c r="A380" s="13">
        <v>10</v>
      </c>
      <c r="B380" s="5" t="s">
        <v>93</v>
      </c>
      <c r="C380" s="6" t="str">
        <f>Gia_VLieu!C12</f>
        <v>Tập</v>
      </c>
      <c r="D380" s="66">
        <f>Gia_VLieu!D12</f>
        <v>8000</v>
      </c>
      <c r="E380" s="53">
        <v>1</v>
      </c>
      <c r="F380" s="16">
        <f t="shared" si="26"/>
        <v>8000</v>
      </c>
      <c r="H380" s="10">
        <v>376</v>
      </c>
    </row>
    <row r="381" spans="1:8" s="3" customFormat="1">
      <c r="A381" s="40">
        <v>11</v>
      </c>
      <c r="B381" s="41" t="s">
        <v>94</v>
      </c>
      <c r="C381" s="42" t="str">
        <f>Gia_VLieu!C13</f>
        <v>Cái</v>
      </c>
      <c r="D381" s="67">
        <f>Gia_VLieu!D13</f>
        <v>15000</v>
      </c>
      <c r="E381" s="54">
        <v>4</v>
      </c>
      <c r="F381" s="38">
        <f t="shared" si="26"/>
        <v>60000</v>
      </c>
      <c r="H381" s="10">
        <v>377</v>
      </c>
    </row>
    <row r="382" spans="1:8" s="3" customFormat="1">
      <c r="A382" s="13" t="e">
        <f>#REF!</f>
        <v>#REF!</v>
      </c>
      <c r="B382" s="5" t="e">
        <f>#REF!</f>
        <v>#REF!</v>
      </c>
      <c r="C382" s="6"/>
      <c r="D382" s="127">
        <f>Gia_VLieu!D$14</f>
        <v>1.08</v>
      </c>
      <c r="E382" s="45"/>
      <c r="F382" s="18" t="e">
        <f>SUM(F383:F393)*D382</f>
        <v>#REF!</v>
      </c>
      <c r="H382" s="10">
        <v>378</v>
      </c>
    </row>
    <row r="383" spans="1:8" s="3" customFormat="1">
      <c r="A383" s="13">
        <v>1</v>
      </c>
      <c r="B383" s="5" t="s">
        <v>85</v>
      </c>
      <c r="C383" s="6" t="str">
        <f>Gia_VLieu!C4</f>
        <v>Gram</v>
      </c>
      <c r="D383" s="66">
        <f>Gia_VLieu!D4</f>
        <v>45000</v>
      </c>
      <c r="E383" s="53">
        <v>1</v>
      </c>
      <c r="F383" s="16">
        <f t="shared" ref="F383:F393" si="27">D383*E383</f>
        <v>45000</v>
      </c>
      <c r="H383" s="10">
        <v>379</v>
      </c>
    </row>
    <row r="384" spans="1:8" s="3" customFormat="1">
      <c r="A384" s="13">
        <v>2</v>
      </c>
      <c r="B384" s="5" t="s">
        <v>86</v>
      </c>
      <c r="C384" s="6" t="str">
        <f>Gia_VLieu!C5</f>
        <v>Hộp</v>
      </c>
      <c r="D384" s="66">
        <f>Gia_VLieu!D5</f>
        <v>1450000</v>
      </c>
      <c r="E384" s="53">
        <v>0.15</v>
      </c>
      <c r="F384" s="16">
        <f t="shared" si="27"/>
        <v>217500</v>
      </c>
      <c r="H384" s="10">
        <v>380</v>
      </c>
    </row>
    <row r="385" spans="1:8" s="3" customFormat="1">
      <c r="A385" s="13">
        <v>3</v>
      </c>
      <c r="B385" s="5" t="s">
        <v>87</v>
      </c>
      <c r="C385" s="6" t="e">
        <f>Gia_VLieu!#REF!</f>
        <v>#REF!</v>
      </c>
      <c r="D385" s="66" t="e">
        <f>Gia_VLieu!#REF!</f>
        <v>#REF!</v>
      </c>
      <c r="E385" s="53">
        <v>0.2</v>
      </c>
      <c r="F385" s="16" t="e">
        <f t="shared" si="27"/>
        <v>#REF!</v>
      </c>
      <c r="H385" s="10">
        <v>381</v>
      </c>
    </row>
    <row r="386" spans="1:8" s="3" customFormat="1">
      <c r="A386" s="13">
        <v>4</v>
      </c>
      <c r="B386" s="5" t="s">
        <v>88</v>
      </c>
      <c r="C386" s="6" t="str">
        <f>Gia_VLieu!C6</f>
        <v>Quyển</v>
      </c>
      <c r="D386" s="66">
        <f>Gia_VLieu!D6</f>
        <v>10000</v>
      </c>
      <c r="E386" s="53">
        <v>12</v>
      </c>
      <c r="F386" s="16">
        <f t="shared" si="27"/>
        <v>120000</v>
      </c>
      <c r="H386" s="10">
        <v>382</v>
      </c>
    </row>
    <row r="387" spans="1:8" s="3" customFormat="1">
      <c r="A387" s="13">
        <v>5</v>
      </c>
      <c r="B387" s="5" t="s">
        <v>22</v>
      </c>
      <c r="C387" s="6" t="str">
        <f>Gia_VLieu!C7</f>
        <v>Cái</v>
      </c>
      <c r="D387" s="66">
        <f>Gia_VLieu!D7</f>
        <v>2000</v>
      </c>
      <c r="E387" s="53">
        <v>20</v>
      </c>
      <c r="F387" s="16">
        <f t="shared" si="27"/>
        <v>40000</v>
      </c>
      <c r="H387" s="10">
        <v>383</v>
      </c>
    </row>
    <row r="388" spans="1:8" s="3" customFormat="1">
      <c r="A388" s="13">
        <v>6</v>
      </c>
      <c r="B388" s="5" t="s">
        <v>89</v>
      </c>
      <c r="C388" s="6" t="str">
        <f>Gia_VLieu!C8</f>
        <v>Cái</v>
      </c>
      <c r="D388" s="66">
        <f>Gia_VLieu!D8</f>
        <v>8000</v>
      </c>
      <c r="E388" s="53">
        <v>8</v>
      </c>
      <c r="F388" s="16">
        <f t="shared" si="27"/>
        <v>64000</v>
      </c>
      <c r="H388" s="10">
        <v>384</v>
      </c>
    </row>
    <row r="389" spans="1:8" s="3" customFormat="1">
      <c r="A389" s="13">
        <v>7</v>
      </c>
      <c r="B389" s="5" t="s">
        <v>90</v>
      </c>
      <c r="C389" s="6" t="str">
        <f>Gia_VLieu!C9</f>
        <v>Cái</v>
      </c>
      <c r="D389" s="66">
        <f>Gia_VLieu!D9</f>
        <v>10000</v>
      </c>
      <c r="E389" s="53">
        <v>8</v>
      </c>
      <c r="F389" s="16">
        <f t="shared" si="27"/>
        <v>80000</v>
      </c>
      <c r="H389" s="10">
        <v>385</v>
      </c>
    </row>
    <row r="390" spans="1:8" s="3" customFormat="1">
      <c r="A390" s="13">
        <v>8</v>
      </c>
      <c r="B390" s="5" t="s">
        <v>91</v>
      </c>
      <c r="C390" s="6" t="str">
        <f>Gia_VLieu!C10</f>
        <v>Hộp</v>
      </c>
      <c r="D390" s="66">
        <f>Gia_VLieu!D10</f>
        <v>2500</v>
      </c>
      <c r="E390" s="53">
        <v>2</v>
      </c>
      <c r="F390" s="16">
        <f t="shared" si="27"/>
        <v>5000</v>
      </c>
      <c r="H390" s="10">
        <v>386</v>
      </c>
    </row>
    <row r="391" spans="1:8" s="3" customFormat="1">
      <c r="A391" s="13">
        <v>9</v>
      </c>
      <c r="B391" s="5" t="s">
        <v>92</v>
      </c>
      <c r="C391" s="6" t="str">
        <f>Gia_VLieu!C11</f>
        <v>Hộp</v>
      </c>
      <c r="D391" s="66">
        <f>Gia_VLieu!D11</f>
        <v>2000</v>
      </c>
      <c r="E391" s="53">
        <v>2</v>
      </c>
      <c r="F391" s="16">
        <f t="shared" si="27"/>
        <v>4000</v>
      </c>
      <c r="H391" s="10">
        <v>387</v>
      </c>
    </row>
    <row r="392" spans="1:8" s="3" customFormat="1">
      <c r="A392" s="13">
        <v>10</v>
      </c>
      <c r="B392" s="5" t="s">
        <v>93</v>
      </c>
      <c r="C392" s="6" t="str">
        <f>Gia_VLieu!C12</f>
        <v>Tập</v>
      </c>
      <c r="D392" s="66">
        <f>Gia_VLieu!D12</f>
        <v>8000</v>
      </c>
      <c r="E392" s="53">
        <v>2</v>
      </c>
      <c r="F392" s="16">
        <f t="shared" si="27"/>
        <v>16000</v>
      </c>
      <c r="H392" s="10">
        <v>388</v>
      </c>
    </row>
    <row r="393" spans="1:8" s="3" customFormat="1">
      <c r="A393" s="40">
        <v>11</v>
      </c>
      <c r="B393" s="41" t="s">
        <v>94</v>
      </c>
      <c r="C393" s="42" t="str">
        <f>Gia_VLieu!C13</f>
        <v>Cái</v>
      </c>
      <c r="D393" s="67">
        <f>Gia_VLieu!D13</f>
        <v>15000</v>
      </c>
      <c r="E393" s="54">
        <v>5</v>
      </c>
      <c r="F393" s="38">
        <f t="shared" si="27"/>
        <v>75000</v>
      </c>
      <c r="H393" s="10">
        <v>389</v>
      </c>
    </row>
    <row r="394" spans="1:8" s="33" customFormat="1">
      <c r="A394" s="31" t="e">
        <f>#REF!</f>
        <v>#REF!</v>
      </c>
      <c r="B394" s="32" t="e">
        <f>#REF!</f>
        <v>#REF!</v>
      </c>
      <c r="C394" s="15"/>
      <c r="D394" s="127">
        <f>Gia_VLieu!D$14</f>
        <v>1.08</v>
      </c>
      <c r="E394" s="45"/>
      <c r="F394" s="18" t="e">
        <f>SUM(F395:F405)*D394</f>
        <v>#REF!</v>
      </c>
      <c r="H394" s="10">
        <v>390</v>
      </c>
    </row>
    <row r="395" spans="1:8" s="3" customFormat="1">
      <c r="A395" s="13">
        <v>1</v>
      </c>
      <c r="B395" s="5" t="s">
        <v>85</v>
      </c>
      <c r="C395" s="6" t="str">
        <f>Gia_VLieu!C4</f>
        <v>Gram</v>
      </c>
      <c r="D395" s="66">
        <f>Gia_VLieu!D4</f>
        <v>45000</v>
      </c>
      <c r="E395" s="53">
        <v>0.5</v>
      </c>
      <c r="F395" s="16">
        <f t="shared" ref="F395:F405" si="28">D395*E395</f>
        <v>22500</v>
      </c>
      <c r="H395" s="10">
        <v>391</v>
      </c>
    </row>
    <row r="396" spans="1:8" s="3" customFormat="1">
      <c r="A396" s="13">
        <v>2</v>
      </c>
      <c r="B396" s="5" t="s">
        <v>86</v>
      </c>
      <c r="C396" s="6" t="str">
        <f>Gia_VLieu!C5</f>
        <v>Hộp</v>
      </c>
      <c r="D396" s="66">
        <f>Gia_VLieu!D5</f>
        <v>1450000</v>
      </c>
      <c r="E396" s="53">
        <v>0.05</v>
      </c>
      <c r="F396" s="16">
        <f t="shared" si="28"/>
        <v>72500</v>
      </c>
      <c r="H396" s="10">
        <v>392</v>
      </c>
    </row>
    <row r="397" spans="1:8" s="3" customFormat="1">
      <c r="A397" s="13">
        <v>3</v>
      </c>
      <c r="B397" s="5" t="s">
        <v>87</v>
      </c>
      <c r="C397" s="6" t="e">
        <f>Gia_VLieu!#REF!</f>
        <v>#REF!</v>
      </c>
      <c r="D397" s="66" t="e">
        <f>Gia_VLieu!#REF!</f>
        <v>#REF!</v>
      </c>
      <c r="E397" s="53">
        <v>0.05</v>
      </c>
      <c r="F397" s="16" t="e">
        <f t="shared" si="28"/>
        <v>#REF!</v>
      </c>
      <c r="H397" s="10">
        <v>393</v>
      </c>
    </row>
    <row r="398" spans="1:8" s="3" customFormat="1">
      <c r="A398" s="13">
        <v>4</v>
      </c>
      <c r="B398" s="5" t="s">
        <v>88</v>
      </c>
      <c r="C398" s="6" t="str">
        <f>Gia_VLieu!C6</f>
        <v>Quyển</v>
      </c>
      <c r="D398" s="66">
        <f>Gia_VLieu!D6</f>
        <v>10000</v>
      </c>
      <c r="E398" s="53">
        <v>10</v>
      </c>
      <c r="F398" s="16">
        <f t="shared" si="28"/>
        <v>100000</v>
      </c>
      <c r="H398" s="10">
        <v>394</v>
      </c>
    </row>
    <row r="399" spans="1:8" s="3" customFormat="1">
      <c r="A399" s="13">
        <v>5</v>
      </c>
      <c r="B399" s="5" t="s">
        <v>22</v>
      </c>
      <c r="C399" s="6" t="str">
        <f>Gia_VLieu!C7</f>
        <v>Cái</v>
      </c>
      <c r="D399" s="66">
        <f>Gia_VLieu!D7</f>
        <v>2000</v>
      </c>
      <c r="E399" s="53">
        <v>20</v>
      </c>
      <c r="F399" s="16">
        <f t="shared" si="28"/>
        <v>40000</v>
      </c>
      <c r="H399" s="10">
        <v>395</v>
      </c>
    </row>
    <row r="400" spans="1:8" s="3" customFormat="1">
      <c r="A400" s="13">
        <v>6</v>
      </c>
      <c r="B400" s="5" t="s">
        <v>89</v>
      </c>
      <c r="C400" s="6" t="str">
        <f>Gia_VLieu!C8</f>
        <v>Cái</v>
      </c>
      <c r="D400" s="66">
        <f>Gia_VLieu!D8</f>
        <v>8000</v>
      </c>
      <c r="E400" s="53">
        <v>8</v>
      </c>
      <c r="F400" s="16">
        <f t="shared" si="28"/>
        <v>64000</v>
      </c>
      <c r="H400" s="10">
        <v>396</v>
      </c>
    </row>
    <row r="401" spans="1:8" s="3" customFormat="1">
      <c r="A401" s="13">
        <v>7</v>
      </c>
      <c r="B401" s="5" t="s">
        <v>90</v>
      </c>
      <c r="C401" s="6" t="str">
        <f>Gia_VLieu!C9</f>
        <v>Cái</v>
      </c>
      <c r="D401" s="66">
        <f>Gia_VLieu!D9</f>
        <v>10000</v>
      </c>
      <c r="E401" s="53">
        <v>8</v>
      </c>
      <c r="F401" s="16">
        <f t="shared" si="28"/>
        <v>80000</v>
      </c>
      <c r="H401" s="10">
        <v>397</v>
      </c>
    </row>
    <row r="402" spans="1:8" s="3" customFormat="1">
      <c r="A402" s="13">
        <v>8</v>
      </c>
      <c r="B402" s="5" t="s">
        <v>91</v>
      </c>
      <c r="C402" s="6" t="str">
        <f>Gia_VLieu!C10</f>
        <v>Hộp</v>
      </c>
      <c r="D402" s="66">
        <f>Gia_VLieu!D10</f>
        <v>2500</v>
      </c>
      <c r="E402" s="53">
        <v>5</v>
      </c>
      <c r="F402" s="16">
        <f t="shared" si="28"/>
        <v>12500</v>
      </c>
      <c r="H402" s="10">
        <v>398</v>
      </c>
    </row>
    <row r="403" spans="1:8" s="3" customFormat="1">
      <c r="A403" s="13">
        <v>9</v>
      </c>
      <c r="B403" s="5" t="s">
        <v>92</v>
      </c>
      <c r="C403" s="6" t="str">
        <f>Gia_VLieu!C11</f>
        <v>Hộp</v>
      </c>
      <c r="D403" s="66">
        <f>Gia_VLieu!D11</f>
        <v>2000</v>
      </c>
      <c r="E403" s="53">
        <v>5</v>
      </c>
      <c r="F403" s="16">
        <f t="shared" si="28"/>
        <v>10000</v>
      </c>
      <c r="H403" s="10">
        <v>399</v>
      </c>
    </row>
    <row r="404" spans="1:8" s="3" customFormat="1">
      <c r="A404" s="13">
        <v>10</v>
      </c>
      <c r="B404" s="5" t="s">
        <v>93</v>
      </c>
      <c r="C404" s="6" t="str">
        <f>Gia_VLieu!C12</f>
        <v>Tập</v>
      </c>
      <c r="D404" s="66">
        <f>Gia_VLieu!D12</f>
        <v>8000</v>
      </c>
      <c r="E404" s="53">
        <v>5</v>
      </c>
      <c r="F404" s="16">
        <f t="shared" si="28"/>
        <v>40000</v>
      </c>
      <c r="H404" s="10">
        <v>400</v>
      </c>
    </row>
    <row r="405" spans="1:8" s="3" customFormat="1">
      <c r="A405" s="40">
        <v>11</v>
      </c>
      <c r="B405" s="41" t="s">
        <v>94</v>
      </c>
      <c r="C405" s="42" t="str">
        <f>Gia_VLieu!C13</f>
        <v>Cái</v>
      </c>
      <c r="D405" s="67">
        <f>Gia_VLieu!D13</f>
        <v>15000</v>
      </c>
      <c r="E405" s="54">
        <v>10</v>
      </c>
      <c r="F405" s="38">
        <f t="shared" si="28"/>
        <v>150000</v>
      </c>
      <c r="H405" s="10">
        <v>401</v>
      </c>
    </row>
    <row r="406" spans="1:8" s="14" customFormat="1">
      <c r="A406" s="12" t="e">
        <f>#REF!</f>
        <v>#REF!</v>
      </c>
      <c r="B406" s="8" t="e">
        <f>#REF!</f>
        <v>#REF!</v>
      </c>
      <c r="C406" s="7"/>
      <c r="D406" s="72"/>
      <c r="E406" s="48"/>
      <c r="F406" s="17"/>
      <c r="H406" s="10">
        <v>402</v>
      </c>
    </row>
    <row r="407" spans="1:8" s="14" customFormat="1">
      <c r="A407" s="197" t="e">
        <f>#REF!</f>
        <v>#REF!</v>
      </c>
      <c r="B407" s="198" t="e">
        <f>#REF!</f>
        <v>#REF!</v>
      </c>
      <c r="C407" s="199"/>
      <c r="D407" s="200"/>
      <c r="E407" s="222"/>
      <c r="F407" s="201"/>
      <c r="H407" s="10">
        <v>403</v>
      </c>
    </row>
    <row r="408" spans="1:8" s="33" customFormat="1">
      <c r="A408" s="187" t="e">
        <f>#REF!</f>
        <v>#REF!</v>
      </c>
      <c r="B408" s="188" t="e">
        <f>#REF!</f>
        <v>#REF!</v>
      </c>
      <c r="C408" s="189"/>
      <c r="D408" s="190"/>
      <c r="E408" s="223"/>
      <c r="F408" s="191"/>
      <c r="H408" s="10">
        <v>404</v>
      </c>
    </row>
    <row r="409" spans="1:8" s="33" customFormat="1">
      <c r="A409" s="187" t="e">
        <f>#REF!</f>
        <v>#REF!</v>
      </c>
      <c r="B409" s="188" t="e">
        <f>#REF!</f>
        <v>#REF!</v>
      </c>
      <c r="C409" s="189"/>
      <c r="D409" s="190"/>
      <c r="E409" s="223"/>
      <c r="F409" s="191"/>
      <c r="H409" s="10">
        <v>405</v>
      </c>
    </row>
    <row r="410" spans="1:8" s="33" customFormat="1">
      <c r="A410" s="187" t="e">
        <f>#REF!</f>
        <v>#REF!</v>
      </c>
      <c r="B410" s="188" t="e">
        <f>#REF!</f>
        <v>#REF!</v>
      </c>
      <c r="C410" s="189"/>
      <c r="D410" s="224"/>
      <c r="E410" s="223"/>
      <c r="F410" s="191"/>
      <c r="H410" s="10">
        <v>406</v>
      </c>
    </row>
    <row r="411" spans="1:8" s="3" customFormat="1">
      <c r="A411" s="192" t="e">
        <f>#REF!</f>
        <v>#REF!</v>
      </c>
      <c r="B411" s="193" t="e">
        <f>#REF!</f>
        <v>#REF!</v>
      </c>
      <c r="C411" s="194"/>
      <c r="D411" s="195"/>
      <c r="E411" s="225"/>
      <c r="F411" s="196"/>
      <c r="H411" s="10">
        <v>407</v>
      </c>
    </row>
    <row r="412" spans="1:8" s="3" customFormat="1">
      <c r="A412" s="192" t="e">
        <f>#REF!</f>
        <v>#REF!</v>
      </c>
      <c r="B412" s="193" t="e">
        <f>#REF!</f>
        <v>#REF!</v>
      </c>
      <c r="C412" s="194"/>
      <c r="D412" s="195"/>
      <c r="E412" s="225"/>
      <c r="F412" s="196"/>
      <c r="H412" s="10">
        <v>408</v>
      </c>
    </row>
    <row r="413" spans="1:8" s="3" customFormat="1">
      <c r="A413" s="192" t="e">
        <f>#REF!</f>
        <v>#REF!</v>
      </c>
      <c r="B413" s="193" t="e">
        <f>#REF!</f>
        <v>#REF!</v>
      </c>
      <c r="C413" s="194"/>
      <c r="D413" s="195"/>
      <c r="E413" s="225"/>
      <c r="F413" s="196"/>
      <c r="H413" s="10">
        <v>409</v>
      </c>
    </row>
    <row r="414" spans="1:8" s="3" customFormat="1">
      <c r="A414" s="192" t="e">
        <f>#REF!</f>
        <v>#REF!</v>
      </c>
      <c r="B414" s="193" t="e">
        <f>#REF!</f>
        <v>#REF!</v>
      </c>
      <c r="C414" s="194"/>
      <c r="D414" s="195"/>
      <c r="E414" s="225"/>
      <c r="F414" s="196"/>
      <c r="H414" s="10">
        <v>410</v>
      </c>
    </row>
    <row r="415" spans="1:8" s="3" customFormat="1">
      <c r="A415" s="192" t="e">
        <f>#REF!</f>
        <v>#REF!</v>
      </c>
      <c r="B415" s="193" t="e">
        <f>#REF!</f>
        <v>#REF!</v>
      </c>
      <c r="C415" s="194"/>
      <c r="D415" s="195"/>
      <c r="E415" s="225"/>
      <c r="F415" s="196"/>
      <c r="H415" s="10">
        <v>411</v>
      </c>
    </row>
    <row r="416" spans="1:8" s="3" customFormat="1">
      <c r="A416" s="192" t="e">
        <f>#REF!</f>
        <v>#REF!</v>
      </c>
      <c r="B416" s="193" t="e">
        <f>#REF!</f>
        <v>#REF!</v>
      </c>
      <c r="C416" s="194"/>
      <c r="D416" s="195"/>
      <c r="E416" s="225"/>
      <c r="F416" s="196"/>
      <c r="H416" s="10">
        <v>412</v>
      </c>
    </row>
    <row r="417" spans="1:8" s="3" customFormat="1">
      <c r="A417" s="192" t="e">
        <f>#REF!</f>
        <v>#REF!</v>
      </c>
      <c r="B417" s="193" t="e">
        <f>#REF!</f>
        <v>#REF!</v>
      </c>
      <c r="C417" s="194"/>
      <c r="D417" s="195"/>
      <c r="E417" s="225"/>
      <c r="F417" s="196"/>
      <c r="H417" s="10">
        <v>413</v>
      </c>
    </row>
    <row r="418" spans="1:8" s="3" customFormat="1">
      <c r="A418" s="192" t="e">
        <f>#REF!</f>
        <v>#REF!</v>
      </c>
      <c r="B418" s="193" t="e">
        <f>#REF!</f>
        <v>#REF!</v>
      </c>
      <c r="C418" s="194"/>
      <c r="D418" s="195"/>
      <c r="E418" s="225"/>
      <c r="F418" s="196"/>
      <c r="H418" s="10">
        <v>414</v>
      </c>
    </row>
    <row r="419" spans="1:8" s="3" customFormat="1">
      <c r="A419" s="192" t="e">
        <f>#REF!</f>
        <v>#REF!</v>
      </c>
      <c r="B419" s="193" t="e">
        <f>#REF!</f>
        <v>#REF!</v>
      </c>
      <c r="C419" s="194"/>
      <c r="D419" s="195"/>
      <c r="E419" s="225"/>
      <c r="F419" s="196"/>
      <c r="H419" s="10">
        <v>415</v>
      </c>
    </row>
    <row r="420" spans="1:8" s="3" customFormat="1">
      <c r="A420" s="192" t="e">
        <f>#REF!</f>
        <v>#REF!</v>
      </c>
      <c r="B420" s="193" t="e">
        <f>#REF!</f>
        <v>#REF!</v>
      </c>
      <c r="C420" s="194"/>
      <c r="D420" s="195"/>
      <c r="E420" s="225"/>
      <c r="F420" s="196"/>
      <c r="H420" s="10">
        <v>416</v>
      </c>
    </row>
    <row r="421" spans="1:8" s="3" customFormat="1">
      <c r="A421" s="208" t="e">
        <f>#REF!</f>
        <v>#REF!</v>
      </c>
      <c r="B421" s="209" t="e">
        <f>#REF!</f>
        <v>#REF!</v>
      </c>
      <c r="C421" s="202"/>
      <c r="D421" s="204"/>
      <c r="E421" s="226"/>
      <c r="F421" s="221"/>
      <c r="H421" s="10">
        <v>417</v>
      </c>
    </row>
    <row r="422" spans="1:8" s="33" customFormat="1">
      <c r="A422" s="187" t="e">
        <f>#REF!</f>
        <v>#REF!</v>
      </c>
      <c r="B422" s="188" t="e">
        <f>#REF!</f>
        <v>#REF!</v>
      </c>
      <c r="C422" s="189"/>
      <c r="D422" s="224"/>
      <c r="E422" s="223"/>
      <c r="F422" s="191"/>
      <c r="H422" s="10">
        <v>418</v>
      </c>
    </row>
    <row r="423" spans="1:8" s="3" customFormat="1">
      <c r="A423" s="192" t="e">
        <f>#REF!</f>
        <v>#REF!</v>
      </c>
      <c r="B423" s="193" t="e">
        <f>#REF!</f>
        <v>#REF!</v>
      </c>
      <c r="C423" s="194"/>
      <c r="D423" s="195"/>
      <c r="E423" s="225"/>
      <c r="F423" s="196"/>
      <c r="H423" s="10">
        <v>419</v>
      </c>
    </row>
    <row r="424" spans="1:8" s="3" customFormat="1">
      <c r="A424" s="192" t="e">
        <f>#REF!</f>
        <v>#REF!</v>
      </c>
      <c r="B424" s="193" t="e">
        <f>#REF!</f>
        <v>#REF!</v>
      </c>
      <c r="C424" s="194"/>
      <c r="D424" s="195"/>
      <c r="E424" s="225"/>
      <c r="F424" s="196"/>
      <c r="H424" s="10">
        <v>420</v>
      </c>
    </row>
    <row r="425" spans="1:8" s="3" customFormat="1">
      <c r="A425" s="192" t="e">
        <f>#REF!</f>
        <v>#REF!</v>
      </c>
      <c r="B425" s="193" t="e">
        <f>#REF!</f>
        <v>#REF!</v>
      </c>
      <c r="C425" s="194"/>
      <c r="D425" s="195"/>
      <c r="E425" s="225"/>
      <c r="F425" s="196"/>
      <c r="H425" s="10">
        <v>421</v>
      </c>
    </row>
    <row r="426" spans="1:8" s="3" customFormat="1">
      <c r="A426" s="192" t="e">
        <f>#REF!</f>
        <v>#REF!</v>
      </c>
      <c r="B426" s="193" t="e">
        <f>#REF!</f>
        <v>#REF!</v>
      </c>
      <c r="C426" s="194"/>
      <c r="D426" s="195"/>
      <c r="E426" s="225"/>
      <c r="F426" s="196"/>
      <c r="H426" s="10">
        <v>422</v>
      </c>
    </row>
    <row r="427" spans="1:8" s="3" customFormat="1">
      <c r="A427" s="192" t="e">
        <f>#REF!</f>
        <v>#REF!</v>
      </c>
      <c r="B427" s="193" t="e">
        <f>#REF!</f>
        <v>#REF!</v>
      </c>
      <c r="C427" s="194"/>
      <c r="D427" s="195"/>
      <c r="E427" s="225"/>
      <c r="F427" s="196"/>
      <c r="H427" s="10">
        <v>423</v>
      </c>
    </row>
    <row r="428" spans="1:8" s="3" customFormat="1">
      <c r="A428" s="192" t="e">
        <f>#REF!</f>
        <v>#REF!</v>
      </c>
      <c r="B428" s="193" t="e">
        <f>#REF!</f>
        <v>#REF!</v>
      </c>
      <c r="C428" s="194"/>
      <c r="D428" s="195"/>
      <c r="E428" s="225"/>
      <c r="F428" s="196"/>
      <c r="H428" s="10">
        <v>424</v>
      </c>
    </row>
    <row r="429" spans="1:8" s="3" customFormat="1">
      <c r="A429" s="192" t="e">
        <f>#REF!</f>
        <v>#REF!</v>
      </c>
      <c r="B429" s="193" t="e">
        <f>#REF!</f>
        <v>#REF!</v>
      </c>
      <c r="C429" s="194"/>
      <c r="D429" s="195"/>
      <c r="E429" s="225"/>
      <c r="F429" s="196"/>
      <c r="H429" s="10">
        <v>425</v>
      </c>
    </row>
    <row r="430" spans="1:8" s="3" customFormat="1">
      <c r="A430" s="192" t="e">
        <f>#REF!</f>
        <v>#REF!</v>
      </c>
      <c r="B430" s="193" t="e">
        <f>#REF!</f>
        <v>#REF!</v>
      </c>
      <c r="C430" s="194"/>
      <c r="D430" s="195"/>
      <c r="E430" s="225"/>
      <c r="F430" s="196"/>
      <c r="H430" s="10">
        <v>426</v>
      </c>
    </row>
    <row r="431" spans="1:8" s="3" customFormat="1">
      <c r="A431" s="192" t="e">
        <f>#REF!</f>
        <v>#REF!</v>
      </c>
      <c r="B431" s="193" t="e">
        <f>#REF!</f>
        <v>#REF!</v>
      </c>
      <c r="C431" s="194"/>
      <c r="D431" s="195"/>
      <c r="E431" s="225"/>
      <c r="F431" s="196"/>
      <c r="H431" s="10">
        <v>427</v>
      </c>
    </row>
    <row r="432" spans="1:8" s="3" customFormat="1">
      <c r="A432" s="192" t="e">
        <f>#REF!</f>
        <v>#REF!</v>
      </c>
      <c r="B432" s="193" t="e">
        <f>#REF!</f>
        <v>#REF!</v>
      </c>
      <c r="C432" s="194"/>
      <c r="D432" s="195"/>
      <c r="E432" s="225"/>
      <c r="F432" s="196"/>
      <c r="H432" s="10">
        <v>428</v>
      </c>
    </row>
    <row r="433" spans="1:8" s="3" customFormat="1">
      <c r="A433" s="208" t="e">
        <f>#REF!</f>
        <v>#REF!</v>
      </c>
      <c r="B433" s="209" t="e">
        <f>#REF!</f>
        <v>#REF!</v>
      </c>
      <c r="C433" s="202"/>
      <c r="D433" s="204"/>
      <c r="E433" s="226"/>
      <c r="F433" s="221"/>
      <c r="H433" s="10">
        <v>429</v>
      </c>
    </row>
    <row r="434" spans="1:8" s="33" customFormat="1">
      <c r="A434" s="187" t="e">
        <f>#REF!</f>
        <v>#REF!</v>
      </c>
      <c r="B434" s="188" t="e">
        <f>#REF!</f>
        <v>#REF!</v>
      </c>
      <c r="C434" s="189"/>
      <c r="D434" s="190"/>
      <c r="E434" s="223"/>
      <c r="F434" s="191"/>
      <c r="H434" s="10">
        <v>430</v>
      </c>
    </row>
    <row r="435" spans="1:8" s="33" customFormat="1">
      <c r="A435" s="187" t="e">
        <f>#REF!</f>
        <v>#REF!</v>
      </c>
      <c r="B435" s="188" t="e">
        <f>#REF!</f>
        <v>#REF!</v>
      </c>
      <c r="C435" s="189"/>
      <c r="D435" s="224"/>
      <c r="E435" s="223"/>
      <c r="F435" s="191"/>
      <c r="H435" s="10">
        <v>431</v>
      </c>
    </row>
    <row r="436" spans="1:8" s="3" customFormat="1">
      <c r="A436" s="192" t="e">
        <f>#REF!</f>
        <v>#REF!</v>
      </c>
      <c r="B436" s="193" t="e">
        <f>#REF!</f>
        <v>#REF!</v>
      </c>
      <c r="C436" s="194"/>
      <c r="D436" s="195"/>
      <c r="E436" s="225"/>
      <c r="F436" s="196"/>
      <c r="H436" s="10">
        <v>432</v>
      </c>
    </row>
    <row r="437" spans="1:8" s="3" customFormat="1">
      <c r="A437" s="192" t="e">
        <f>#REF!</f>
        <v>#REF!</v>
      </c>
      <c r="B437" s="193" t="e">
        <f>#REF!</f>
        <v>#REF!</v>
      </c>
      <c r="C437" s="194"/>
      <c r="D437" s="195"/>
      <c r="E437" s="225"/>
      <c r="F437" s="196"/>
      <c r="H437" s="10">
        <v>433</v>
      </c>
    </row>
    <row r="438" spans="1:8" s="14" customFormat="1">
      <c r="A438" s="35" t="e">
        <f>#REF!</f>
        <v>#REF!</v>
      </c>
      <c r="B438" s="36" t="e">
        <f>#REF!</f>
        <v>#REF!</v>
      </c>
      <c r="C438" s="37"/>
      <c r="D438" s="71"/>
      <c r="E438" s="47"/>
      <c r="F438" s="28"/>
      <c r="H438" s="10">
        <v>434</v>
      </c>
    </row>
    <row r="439" spans="1:8" s="33" customFormat="1">
      <c r="A439" s="31" t="e">
        <f>#REF!</f>
        <v>#REF!</v>
      </c>
      <c r="B439" s="32" t="e">
        <f>#REF!</f>
        <v>#REF!</v>
      </c>
      <c r="C439" s="15"/>
      <c r="D439" s="127">
        <f>Gia_VLieu!D$14</f>
        <v>1.08</v>
      </c>
      <c r="E439" s="45"/>
      <c r="F439" s="18" t="e">
        <f>SUM(F440:F450)*D439</f>
        <v>#REF!</v>
      </c>
      <c r="H439" s="10">
        <v>435</v>
      </c>
    </row>
    <row r="440" spans="1:8" s="3" customFormat="1">
      <c r="A440" s="13">
        <v>1</v>
      </c>
      <c r="B440" s="5" t="s">
        <v>85</v>
      </c>
      <c r="C440" s="6" t="str">
        <f>Gia_VLieu!C4</f>
        <v>Gram</v>
      </c>
      <c r="D440" s="66">
        <f>Gia_VLieu!D4</f>
        <v>45000</v>
      </c>
      <c r="E440" s="53">
        <v>4</v>
      </c>
      <c r="F440" s="16">
        <f t="shared" ref="F440:F450" si="29">D440*E440</f>
        <v>180000</v>
      </c>
      <c r="H440" s="10">
        <v>436</v>
      </c>
    </row>
    <row r="441" spans="1:8" s="3" customFormat="1">
      <c r="A441" s="13">
        <v>2</v>
      </c>
      <c r="B441" s="5" t="s">
        <v>86</v>
      </c>
      <c r="C441" s="6" t="str">
        <f>Gia_VLieu!C5</f>
        <v>Hộp</v>
      </c>
      <c r="D441" s="66">
        <f>Gia_VLieu!D5</f>
        <v>1450000</v>
      </c>
      <c r="E441" s="53">
        <v>0.3</v>
      </c>
      <c r="F441" s="16">
        <f t="shared" si="29"/>
        <v>435000</v>
      </c>
      <c r="H441" s="10">
        <v>437</v>
      </c>
    </row>
    <row r="442" spans="1:8" s="3" customFormat="1">
      <c r="A442" s="13">
        <v>3</v>
      </c>
      <c r="B442" s="5" t="s">
        <v>87</v>
      </c>
      <c r="C442" s="6" t="e">
        <f>Gia_VLieu!#REF!</f>
        <v>#REF!</v>
      </c>
      <c r="D442" s="66" t="e">
        <f>Gia_VLieu!#REF!</f>
        <v>#REF!</v>
      </c>
      <c r="E442" s="53">
        <v>0.2</v>
      </c>
      <c r="F442" s="16" t="e">
        <f t="shared" si="29"/>
        <v>#REF!</v>
      </c>
      <c r="H442" s="10">
        <v>438</v>
      </c>
    </row>
    <row r="443" spans="1:8" s="3" customFormat="1">
      <c r="A443" s="13">
        <v>4</v>
      </c>
      <c r="B443" s="5" t="s">
        <v>88</v>
      </c>
      <c r="C443" s="6" t="str">
        <f>Gia_VLieu!C6</f>
        <v>Quyển</v>
      </c>
      <c r="D443" s="66">
        <f>Gia_VLieu!D6</f>
        <v>10000</v>
      </c>
      <c r="E443" s="53">
        <v>15</v>
      </c>
      <c r="F443" s="16">
        <f t="shared" si="29"/>
        <v>150000</v>
      </c>
      <c r="H443" s="10">
        <v>439</v>
      </c>
    </row>
    <row r="444" spans="1:8" s="3" customFormat="1">
      <c r="A444" s="13">
        <v>5</v>
      </c>
      <c r="B444" s="5" t="s">
        <v>22</v>
      </c>
      <c r="C444" s="6" t="str">
        <f>Gia_VLieu!C7</f>
        <v>Cái</v>
      </c>
      <c r="D444" s="66">
        <f>Gia_VLieu!D7</f>
        <v>2000</v>
      </c>
      <c r="E444" s="53">
        <v>30</v>
      </c>
      <c r="F444" s="16">
        <f t="shared" si="29"/>
        <v>60000</v>
      </c>
      <c r="H444" s="10">
        <v>440</v>
      </c>
    </row>
    <row r="445" spans="1:8" s="3" customFormat="1">
      <c r="A445" s="13">
        <v>6</v>
      </c>
      <c r="B445" s="5" t="s">
        <v>89</v>
      </c>
      <c r="C445" s="6" t="str">
        <f>Gia_VLieu!C8</f>
        <v>Cái</v>
      </c>
      <c r="D445" s="66">
        <f>Gia_VLieu!D8</f>
        <v>8000</v>
      </c>
      <c r="E445" s="53">
        <v>10</v>
      </c>
      <c r="F445" s="16">
        <f t="shared" si="29"/>
        <v>80000</v>
      </c>
      <c r="H445" s="10">
        <v>441</v>
      </c>
    </row>
    <row r="446" spans="1:8" s="3" customFormat="1">
      <c r="A446" s="13">
        <v>7</v>
      </c>
      <c r="B446" s="5" t="s">
        <v>90</v>
      </c>
      <c r="C446" s="6" t="str">
        <f>Gia_VLieu!C9</f>
        <v>Cái</v>
      </c>
      <c r="D446" s="66">
        <f>Gia_VLieu!D9</f>
        <v>10000</v>
      </c>
      <c r="E446" s="53">
        <v>10</v>
      </c>
      <c r="F446" s="16">
        <f t="shared" si="29"/>
        <v>100000</v>
      </c>
      <c r="H446" s="10">
        <v>442</v>
      </c>
    </row>
    <row r="447" spans="1:8" s="3" customFormat="1">
      <c r="A447" s="13">
        <v>8</v>
      </c>
      <c r="B447" s="5" t="s">
        <v>91</v>
      </c>
      <c r="C447" s="6" t="str">
        <f>Gia_VLieu!C10</f>
        <v>Hộp</v>
      </c>
      <c r="D447" s="66">
        <f>Gia_VLieu!D10</f>
        <v>2500</v>
      </c>
      <c r="E447" s="53">
        <v>5</v>
      </c>
      <c r="F447" s="16">
        <f t="shared" si="29"/>
        <v>12500</v>
      </c>
      <c r="H447" s="10">
        <v>443</v>
      </c>
    </row>
    <row r="448" spans="1:8" s="3" customFormat="1">
      <c r="A448" s="13">
        <v>9</v>
      </c>
      <c r="B448" s="5" t="s">
        <v>92</v>
      </c>
      <c r="C448" s="6" t="str">
        <f>Gia_VLieu!C11</f>
        <v>Hộp</v>
      </c>
      <c r="D448" s="66">
        <f>Gia_VLieu!D11</f>
        <v>2000</v>
      </c>
      <c r="E448" s="53">
        <v>4</v>
      </c>
      <c r="F448" s="16">
        <f t="shared" si="29"/>
        <v>8000</v>
      </c>
      <c r="H448" s="10">
        <v>444</v>
      </c>
    </row>
    <row r="449" spans="1:8" s="3" customFormat="1">
      <c r="A449" s="13">
        <v>10</v>
      </c>
      <c r="B449" s="5" t="s">
        <v>93</v>
      </c>
      <c r="C449" s="6" t="str">
        <f>Gia_VLieu!C12</f>
        <v>Tập</v>
      </c>
      <c r="D449" s="66">
        <f>Gia_VLieu!D12</f>
        <v>8000</v>
      </c>
      <c r="E449" s="53">
        <v>6</v>
      </c>
      <c r="F449" s="16">
        <f t="shared" si="29"/>
        <v>48000</v>
      </c>
      <c r="H449" s="10">
        <v>445</v>
      </c>
    </row>
    <row r="450" spans="1:8" s="3" customFormat="1">
      <c r="A450" s="40">
        <v>11</v>
      </c>
      <c r="B450" s="41" t="s">
        <v>94</v>
      </c>
      <c r="C450" s="42" t="str">
        <f>Gia_VLieu!C13</f>
        <v>Cái</v>
      </c>
      <c r="D450" s="67">
        <f>Gia_VLieu!D13</f>
        <v>15000</v>
      </c>
      <c r="E450" s="54">
        <v>14</v>
      </c>
      <c r="F450" s="38">
        <f t="shared" si="29"/>
        <v>210000</v>
      </c>
      <c r="H450" s="10">
        <v>446</v>
      </c>
    </row>
    <row r="451" spans="1:8" s="33" customFormat="1">
      <c r="A451" s="31" t="e">
        <f>#REF!</f>
        <v>#REF!</v>
      </c>
      <c r="B451" s="32" t="e">
        <f>#REF!</f>
        <v>#REF!</v>
      </c>
      <c r="C451" s="15"/>
      <c r="D451" s="127">
        <f>Gia_VLieu!D$14</f>
        <v>1.08</v>
      </c>
      <c r="E451" s="45"/>
      <c r="F451" s="18" t="e">
        <f>SUM(F452:F462)*D451</f>
        <v>#REF!</v>
      </c>
      <c r="H451" s="10">
        <v>447</v>
      </c>
    </row>
    <row r="452" spans="1:8" s="3" customFormat="1">
      <c r="A452" s="13">
        <v>1</v>
      </c>
      <c r="B452" s="5" t="s">
        <v>85</v>
      </c>
      <c r="C452" s="6" t="str">
        <f>Gia_VLieu!C4</f>
        <v>Gram</v>
      </c>
      <c r="D452" s="66">
        <f>Gia_VLieu!D4</f>
        <v>45000</v>
      </c>
      <c r="E452" s="53">
        <v>5</v>
      </c>
      <c r="F452" s="16">
        <f t="shared" ref="F452:F462" si="30">D452*E452</f>
        <v>225000</v>
      </c>
      <c r="H452" s="10">
        <v>448</v>
      </c>
    </row>
    <row r="453" spans="1:8" s="3" customFormat="1">
      <c r="A453" s="13">
        <v>2</v>
      </c>
      <c r="B453" s="5" t="s">
        <v>86</v>
      </c>
      <c r="C453" s="6" t="str">
        <f>Gia_VLieu!C5</f>
        <v>Hộp</v>
      </c>
      <c r="D453" s="66">
        <f>Gia_VLieu!D5</f>
        <v>1450000</v>
      </c>
      <c r="E453" s="53">
        <v>0.4</v>
      </c>
      <c r="F453" s="16">
        <f t="shared" si="30"/>
        <v>580000</v>
      </c>
      <c r="H453" s="10">
        <v>449</v>
      </c>
    </row>
    <row r="454" spans="1:8" s="3" customFormat="1">
      <c r="A454" s="13">
        <v>3</v>
      </c>
      <c r="B454" s="5" t="s">
        <v>87</v>
      </c>
      <c r="C454" s="6" t="e">
        <f>Gia_VLieu!#REF!</f>
        <v>#REF!</v>
      </c>
      <c r="D454" s="66" t="e">
        <f>Gia_VLieu!#REF!</f>
        <v>#REF!</v>
      </c>
      <c r="E454" s="53">
        <v>0.3</v>
      </c>
      <c r="F454" s="16" t="e">
        <f t="shared" si="30"/>
        <v>#REF!</v>
      </c>
      <c r="H454" s="10">
        <v>450</v>
      </c>
    </row>
    <row r="455" spans="1:8" s="3" customFormat="1">
      <c r="A455" s="13">
        <v>4</v>
      </c>
      <c r="B455" s="5" t="s">
        <v>88</v>
      </c>
      <c r="C455" s="6" t="str">
        <f>Gia_VLieu!C6</f>
        <v>Quyển</v>
      </c>
      <c r="D455" s="66">
        <f>Gia_VLieu!D6</f>
        <v>10000</v>
      </c>
      <c r="E455" s="53">
        <v>15</v>
      </c>
      <c r="F455" s="16">
        <f t="shared" si="30"/>
        <v>150000</v>
      </c>
      <c r="H455" s="10">
        <v>451</v>
      </c>
    </row>
    <row r="456" spans="1:8" s="3" customFormat="1">
      <c r="A456" s="13">
        <v>5</v>
      </c>
      <c r="B456" s="5" t="s">
        <v>22</v>
      </c>
      <c r="C456" s="6" t="str">
        <f>Gia_VLieu!C7</f>
        <v>Cái</v>
      </c>
      <c r="D456" s="66">
        <f>Gia_VLieu!D7</f>
        <v>2000</v>
      </c>
      <c r="E456" s="53">
        <v>30</v>
      </c>
      <c r="F456" s="16">
        <f t="shared" si="30"/>
        <v>60000</v>
      </c>
      <c r="H456" s="10">
        <v>452</v>
      </c>
    </row>
    <row r="457" spans="1:8" s="3" customFormat="1">
      <c r="A457" s="13">
        <v>6</v>
      </c>
      <c r="B457" s="5" t="s">
        <v>89</v>
      </c>
      <c r="C457" s="6" t="str">
        <f>Gia_VLieu!C8</f>
        <v>Cái</v>
      </c>
      <c r="D457" s="66">
        <f>Gia_VLieu!D8</f>
        <v>8000</v>
      </c>
      <c r="E457" s="53">
        <v>9</v>
      </c>
      <c r="F457" s="16">
        <f t="shared" si="30"/>
        <v>72000</v>
      </c>
      <c r="H457" s="10">
        <v>453</v>
      </c>
    </row>
    <row r="458" spans="1:8" s="3" customFormat="1">
      <c r="A458" s="13">
        <v>7</v>
      </c>
      <c r="B458" s="5" t="s">
        <v>90</v>
      </c>
      <c r="C458" s="6" t="str">
        <f>Gia_VLieu!C9</f>
        <v>Cái</v>
      </c>
      <c r="D458" s="66">
        <f>Gia_VLieu!D9</f>
        <v>10000</v>
      </c>
      <c r="E458" s="53">
        <v>9</v>
      </c>
      <c r="F458" s="16">
        <f t="shared" si="30"/>
        <v>90000</v>
      </c>
      <c r="H458" s="10">
        <v>454</v>
      </c>
    </row>
    <row r="459" spans="1:8" s="3" customFormat="1">
      <c r="A459" s="13">
        <v>8</v>
      </c>
      <c r="B459" s="5" t="s">
        <v>91</v>
      </c>
      <c r="C459" s="6" t="str">
        <f>Gia_VLieu!C10</f>
        <v>Hộp</v>
      </c>
      <c r="D459" s="66">
        <f>Gia_VLieu!D10</f>
        <v>2500</v>
      </c>
      <c r="E459" s="53">
        <v>6</v>
      </c>
      <c r="F459" s="16">
        <f t="shared" si="30"/>
        <v>15000</v>
      </c>
      <c r="H459" s="10">
        <v>455</v>
      </c>
    </row>
    <row r="460" spans="1:8" s="3" customFormat="1">
      <c r="A460" s="13">
        <v>9</v>
      </c>
      <c r="B460" s="5" t="s">
        <v>92</v>
      </c>
      <c r="C460" s="6" t="str">
        <f>Gia_VLieu!C11</f>
        <v>Hộp</v>
      </c>
      <c r="D460" s="66">
        <f>Gia_VLieu!D11</f>
        <v>2000</v>
      </c>
      <c r="E460" s="53">
        <v>3</v>
      </c>
      <c r="F460" s="16">
        <f t="shared" si="30"/>
        <v>6000</v>
      </c>
      <c r="H460" s="10">
        <v>456</v>
      </c>
    </row>
    <row r="461" spans="1:8" s="3" customFormat="1">
      <c r="A461" s="13">
        <v>10</v>
      </c>
      <c r="B461" s="5" t="s">
        <v>93</v>
      </c>
      <c r="C461" s="6" t="str">
        <f>Gia_VLieu!C12</f>
        <v>Tập</v>
      </c>
      <c r="D461" s="66">
        <f>Gia_VLieu!D12</f>
        <v>8000</v>
      </c>
      <c r="E461" s="53">
        <v>5</v>
      </c>
      <c r="F461" s="16">
        <f t="shared" si="30"/>
        <v>40000</v>
      </c>
      <c r="H461" s="10">
        <v>457</v>
      </c>
    </row>
    <row r="462" spans="1:8" s="3" customFormat="1">
      <c r="A462" s="40">
        <v>11</v>
      </c>
      <c r="B462" s="41" t="s">
        <v>94</v>
      </c>
      <c r="C462" s="42" t="str">
        <f>Gia_VLieu!C13</f>
        <v>Cái</v>
      </c>
      <c r="D462" s="67">
        <f>Gia_VLieu!D13</f>
        <v>15000</v>
      </c>
      <c r="E462" s="54">
        <v>15</v>
      </c>
      <c r="F462" s="38">
        <f t="shared" si="30"/>
        <v>225000</v>
      </c>
      <c r="H462" s="10">
        <v>458</v>
      </c>
    </row>
    <row r="463" spans="1:8" s="14" customFormat="1">
      <c r="A463" s="12" t="e">
        <f>#REF!</f>
        <v>#REF!</v>
      </c>
      <c r="B463" s="8" t="e">
        <f>#REF!</f>
        <v>#REF!</v>
      </c>
      <c r="C463" s="7"/>
      <c r="D463" s="72"/>
      <c r="E463" s="48"/>
      <c r="F463" s="17"/>
      <c r="H463" s="10">
        <v>459</v>
      </c>
    </row>
    <row r="464" spans="1:8" s="33" customFormat="1">
      <c r="A464" s="31" t="e">
        <f>#REF!</f>
        <v>#REF!</v>
      </c>
      <c r="B464" s="32" t="e">
        <f>#REF!</f>
        <v>#REF!</v>
      </c>
      <c r="C464" s="15"/>
      <c r="D464" s="70"/>
      <c r="E464" s="45"/>
      <c r="F464" s="18" t="e">
        <f>F466</f>
        <v>#REF!</v>
      </c>
      <c r="H464" s="10">
        <v>460</v>
      </c>
    </row>
    <row r="465" spans="1:8" s="3" customFormat="1">
      <c r="A465" s="13" t="e">
        <f>#REF!</f>
        <v>#REF!</v>
      </c>
      <c r="B465" s="5" t="e">
        <f>#REF!</f>
        <v>#REF!</v>
      </c>
      <c r="C465" s="6"/>
      <c r="D465" s="66"/>
      <c r="E465" s="30"/>
      <c r="F465" s="16" t="e">
        <f>F466</f>
        <v>#REF!</v>
      </c>
      <c r="H465" s="10">
        <v>461</v>
      </c>
    </row>
    <row r="466" spans="1:8" s="3" customFormat="1">
      <c r="A466" s="13" t="e">
        <f>#REF!</f>
        <v>#REF!</v>
      </c>
      <c r="B466" s="5" t="e">
        <f>#REF!</f>
        <v>#REF!</v>
      </c>
      <c r="C466" s="6"/>
      <c r="D466" s="127">
        <f>Gia_VLieu!D$14</f>
        <v>1.08</v>
      </c>
      <c r="E466" s="45"/>
      <c r="F466" s="18" t="e">
        <f>SUM(F467:F477)*D466</f>
        <v>#REF!</v>
      </c>
      <c r="H466" s="10">
        <v>462</v>
      </c>
    </row>
    <row r="467" spans="1:8" s="3" customFormat="1">
      <c r="A467" s="13">
        <v>1</v>
      </c>
      <c r="B467" s="5" t="s">
        <v>85</v>
      </c>
      <c r="C467" s="6" t="str">
        <f>Gia_VLieu!C4</f>
        <v>Gram</v>
      </c>
      <c r="D467" s="66">
        <f>Gia_VLieu!D4</f>
        <v>45000</v>
      </c>
      <c r="E467" s="53">
        <v>1E-3</v>
      </c>
      <c r="F467" s="16">
        <f>D467*E467</f>
        <v>45</v>
      </c>
      <c r="H467" s="10">
        <v>463</v>
      </c>
    </row>
    <row r="468" spans="1:8" s="3" customFormat="1">
      <c r="A468" s="13">
        <v>2</v>
      </c>
      <c r="B468" s="5" t="s">
        <v>86</v>
      </c>
      <c r="C468" s="6" t="str">
        <f>Gia_VLieu!C5</f>
        <v>Hộp</v>
      </c>
      <c r="D468" s="66">
        <f>Gia_VLieu!D5</f>
        <v>1450000</v>
      </c>
      <c r="E468" s="53">
        <v>1E-3</v>
      </c>
      <c r="F468" s="16">
        <f t="shared" ref="F468:F476" si="31">D468*E468</f>
        <v>1450</v>
      </c>
      <c r="H468" s="10">
        <v>464</v>
      </c>
    </row>
    <row r="469" spans="1:8" s="3" customFormat="1">
      <c r="A469" s="13">
        <v>3</v>
      </c>
      <c r="B469" s="5" t="s">
        <v>87</v>
      </c>
      <c r="C469" s="6" t="e">
        <f>Gia_VLieu!#REF!</f>
        <v>#REF!</v>
      </c>
      <c r="D469" s="66" t="e">
        <f>Gia_VLieu!#REF!</f>
        <v>#REF!</v>
      </c>
      <c r="E469" s="53">
        <v>1E-3</v>
      </c>
      <c r="F469" s="16" t="e">
        <f t="shared" si="31"/>
        <v>#REF!</v>
      </c>
      <c r="H469" s="10">
        <v>465</v>
      </c>
    </row>
    <row r="470" spans="1:8" s="3" customFormat="1">
      <c r="A470" s="13">
        <v>4</v>
      </c>
      <c r="B470" s="5" t="s">
        <v>88</v>
      </c>
      <c r="C470" s="6" t="str">
        <f>Gia_VLieu!C6</f>
        <v>Quyển</v>
      </c>
      <c r="D470" s="66">
        <f>Gia_VLieu!D6</f>
        <v>10000</v>
      </c>
      <c r="E470" s="53">
        <v>2E-3</v>
      </c>
      <c r="F470" s="16">
        <f t="shared" si="31"/>
        <v>20</v>
      </c>
      <c r="H470" s="10">
        <v>466</v>
      </c>
    </row>
    <row r="471" spans="1:8" s="3" customFormat="1">
      <c r="A471" s="13">
        <v>5</v>
      </c>
      <c r="B471" s="5" t="s">
        <v>22</v>
      </c>
      <c r="C471" s="6" t="str">
        <f>Gia_VLieu!C7</f>
        <v>Cái</v>
      </c>
      <c r="D471" s="66">
        <f>Gia_VLieu!D7</f>
        <v>2000</v>
      </c>
      <c r="E471" s="53">
        <v>0.01</v>
      </c>
      <c r="F471" s="16">
        <f t="shared" si="31"/>
        <v>20</v>
      </c>
      <c r="H471" s="10">
        <v>467</v>
      </c>
    </row>
    <row r="472" spans="1:8" s="3" customFormat="1">
      <c r="A472" s="13">
        <v>6</v>
      </c>
      <c r="B472" s="5" t="s">
        <v>89</v>
      </c>
      <c r="C472" s="6" t="str">
        <f>Gia_VLieu!C8</f>
        <v>Cái</v>
      </c>
      <c r="D472" s="66">
        <f>Gia_VLieu!D8</f>
        <v>8000</v>
      </c>
      <c r="E472" s="53">
        <v>1E-3</v>
      </c>
      <c r="F472" s="16">
        <f t="shared" si="31"/>
        <v>8</v>
      </c>
      <c r="H472" s="10">
        <v>468</v>
      </c>
    </row>
    <row r="473" spans="1:8" s="3" customFormat="1">
      <c r="A473" s="13">
        <v>7</v>
      </c>
      <c r="B473" s="5" t="s">
        <v>90</v>
      </c>
      <c r="C473" s="6" t="str">
        <f>Gia_VLieu!C9</f>
        <v>Cái</v>
      </c>
      <c r="D473" s="66">
        <f>Gia_VLieu!D9</f>
        <v>10000</v>
      </c>
      <c r="E473" s="53">
        <v>1E-3</v>
      </c>
      <c r="F473" s="16">
        <f t="shared" si="31"/>
        <v>10</v>
      </c>
      <c r="H473" s="10">
        <v>469</v>
      </c>
    </row>
    <row r="474" spans="1:8" s="3" customFormat="1">
      <c r="A474" s="13">
        <v>8</v>
      </c>
      <c r="B474" s="5" t="s">
        <v>91</v>
      </c>
      <c r="C474" s="6" t="str">
        <f>Gia_VLieu!C10</f>
        <v>Hộp</v>
      </c>
      <c r="D474" s="66">
        <f>Gia_VLieu!D10</f>
        <v>2500</v>
      </c>
      <c r="E474" s="53">
        <v>1E-3</v>
      </c>
      <c r="F474" s="16">
        <f t="shared" si="31"/>
        <v>2.5</v>
      </c>
      <c r="H474" s="10">
        <v>470</v>
      </c>
    </row>
    <row r="475" spans="1:8" s="3" customFormat="1">
      <c r="A475" s="13">
        <v>9</v>
      </c>
      <c r="B475" s="5" t="s">
        <v>92</v>
      </c>
      <c r="C475" s="6" t="str">
        <f>Gia_VLieu!C11</f>
        <v>Hộp</v>
      </c>
      <c r="D475" s="66">
        <f>Gia_VLieu!D11</f>
        <v>2000</v>
      </c>
      <c r="E475" s="53">
        <v>1E-3</v>
      </c>
      <c r="F475" s="16">
        <f t="shared" si="31"/>
        <v>2</v>
      </c>
      <c r="H475" s="10">
        <v>471</v>
      </c>
    </row>
    <row r="476" spans="1:8" s="3" customFormat="1">
      <c r="A476" s="13">
        <v>10</v>
      </c>
      <c r="B476" s="5" t="s">
        <v>93</v>
      </c>
      <c r="C476" s="6" t="str">
        <f>Gia_VLieu!C12</f>
        <v>Tập</v>
      </c>
      <c r="D476" s="66">
        <f>Gia_VLieu!D12</f>
        <v>8000</v>
      </c>
      <c r="E476" s="53">
        <v>3.0000000000000001E-3</v>
      </c>
      <c r="F476" s="16">
        <f t="shared" si="31"/>
        <v>24</v>
      </c>
      <c r="H476" s="10">
        <v>472</v>
      </c>
    </row>
    <row r="477" spans="1:8" s="3" customFormat="1">
      <c r="A477" s="40">
        <v>11</v>
      </c>
      <c r="B477" s="41" t="s">
        <v>94</v>
      </c>
      <c r="C477" s="42" t="str">
        <f>Gia_VLieu!C13</f>
        <v>Cái</v>
      </c>
      <c r="D477" s="67">
        <f>Gia_VLieu!D13</f>
        <v>15000</v>
      </c>
      <c r="E477" s="54">
        <v>1E-3</v>
      </c>
      <c r="F477" s="38">
        <f>D477*E477</f>
        <v>15</v>
      </c>
      <c r="H477" s="10">
        <v>473</v>
      </c>
    </row>
    <row r="478" spans="1:8" s="33" customFormat="1">
      <c r="A478" s="31" t="e">
        <f>#REF!</f>
        <v>#REF!</v>
      </c>
      <c r="B478" s="32" t="e">
        <f>#REF!</f>
        <v>#REF!</v>
      </c>
      <c r="C478" s="15"/>
      <c r="D478" s="127">
        <f>Gia_VLieu!D$14</f>
        <v>1.08</v>
      </c>
      <c r="E478" s="45"/>
      <c r="F478" s="18" t="e">
        <f>SUM(F479:F489)*D478</f>
        <v>#REF!</v>
      </c>
      <c r="H478" s="10">
        <v>474</v>
      </c>
    </row>
    <row r="479" spans="1:8" s="3" customFormat="1">
      <c r="A479" s="13">
        <v>1</v>
      </c>
      <c r="B479" s="5" t="s">
        <v>85</v>
      </c>
      <c r="C479" s="6" t="str">
        <f>Gia_VLieu!C4</f>
        <v>Gram</v>
      </c>
      <c r="D479" s="66">
        <f>Gia_VLieu!D4</f>
        <v>45000</v>
      </c>
      <c r="E479" s="53">
        <v>1E-3</v>
      </c>
      <c r="F479" s="16">
        <f>D479*E479</f>
        <v>45</v>
      </c>
      <c r="H479" s="10">
        <v>475</v>
      </c>
    </row>
    <row r="480" spans="1:8" s="3" customFormat="1">
      <c r="A480" s="13">
        <v>2</v>
      </c>
      <c r="B480" s="5" t="s">
        <v>86</v>
      </c>
      <c r="C480" s="6" t="str">
        <f>Gia_VLieu!C5</f>
        <v>Hộp</v>
      </c>
      <c r="D480" s="66">
        <f>Gia_VLieu!D5</f>
        <v>1450000</v>
      </c>
      <c r="E480" s="53">
        <v>1E-3</v>
      </c>
      <c r="F480" s="16">
        <f t="shared" ref="F480:F488" si="32">D480*E480</f>
        <v>1450</v>
      </c>
      <c r="H480" s="10">
        <v>476</v>
      </c>
    </row>
    <row r="481" spans="1:8" s="3" customFormat="1">
      <c r="A481" s="13">
        <v>3</v>
      </c>
      <c r="B481" s="5" t="s">
        <v>87</v>
      </c>
      <c r="C481" s="6" t="e">
        <f>Gia_VLieu!#REF!</f>
        <v>#REF!</v>
      </c>
      <c r="D481" s="66" t="e">
        <f>Gia_VLieu!#REF!</f>
        <v>#REF!</v>
      </c>
      <c r="E481" s="53">
        <v>1E-3</v>
      </c>
      <c r="F481" s="16" t="e">
        <f t="shared" si="32"/>
        <v>#REF!</v>
      </c>
      <c r="H481" s="10">
        <v>477</v>
      </c>
    </row>
    <row r="482" spans="1:8" s="3" customFormat="1">
      <c r="A482" s="13">
        <v>4</v>
      </c>
      <c r="B482" s="5" t="s">
        <v>88</v>
      </c>
      <c r="C482" s="6" t="str">
        <f>Gia_VLieu!C6</f>
        <v>Quyển</v>
      </c>
      <c r="D482" s="66">
        <f>Gia_VLieu!D6</f>
        <v>10000</v>
      </c>
      <c r="E482" s="53">
        <v>2E-3</v>
      </c>
      <c r="F482" s="16">
        <f t="shared" si="32"/>
        <v>20</v>
      </c>
      <c r="H482" s="10">
        <v>478</v>
      </c>
    </row>
    <row r="483" spans="1:8" s="3" customFormat="1">
      <c r="A483" s="13">
        <v>5</v>
      </c>
      <c r="B483" s="5" t="s">
        <v>22</v>
      </c>
      <c r="C483" s="6" t="str">
        <f>Gia_VLieu!C7</f>
        <v>Cái</v>
      </c>
      <c r="D483" s="66">
        <f>Gia_VLieu!D7</f>
        <v>2000</v>
      </c>
      <c r="E483" s="53">
        <v>0.01</v>
      </c>
      <c r="F483" s="16">
        <f t="shared" si="32"/>
        <v>20</v>
      </c>
      <c r="H483" s="10">
        <v>479</v>
      </c>
    </row>
    <row r="484" spans="1:8" s="3" customFormat="1">
      <c r="A484" s="13">
        <v>6</v>
      </c>
      <c r="B484" s="5" t="s">
        <v>89</v>
      </c>
      <c r="C484" s="6" t="str">
        <f>Gia_VLieu!C8</f>
        <v>Cái</v>
      </c>
      <c r="D484" s="66">
        <f>Gia_VLieu!D8</f>
        <v>8000</v>
      </c>
      <c r="E484" s="53">
        <v>1E-3</v>
      </c>
      <c r="F484" s="16">
        <f t="shared" si="32"/>
        <v>8</v>
      </c>
      <c r="H484" s="10">
        <v>480</v>
      </c>
    </row>
    <row r="485" spans="1:8" s="3" customFormat="1">
      <c r="A485" s="13">
        <v>7</v>
      </c>
      <c r="B485" s="5" t="s">
        <v>90</v>
      </c>
      <c r="C485" s="6" t="str">
        <f>Gia_VLieu!C9</f>
        <v>Cái</v>
      </c>
      <c r="D485" s="66">
        <f>Gia_VLieu!D9</f>
        <v>10000</v>
      </c>
      <c r="E485" s="53">
        <v>1E-3</v>
      </c>
      <c r="F485" s="16">
        <f t="shared" si="32"/>
        <v>10</v>
      </c>
      <c r="H485" s="10">
        <v>481</v>
      </c>
    </row>
    <row r="486" spans="1:8" s="3" customFormat="1">
      <c r="A486" s="13">
        <v>8</v>
      </c>
      <c r="B486" s="5" t="s">
        <v>91</v>
      </c>
      <c r="C486" s="6" t="str">
        <f>Gia_VLieu!C10</f>
        <v>Hộp</v>
      </c>
      <c r="D486" s="66">
        <f>Gia_VLieu!D10</f>
        <v>2500</v>
      </c>
      <c r="E486" s="53">
        <v>1E-3</v>
      </c>
      <c r="F486" s="16">
        <f t="shared" si="32"/>
        <v>2.5</v>
      </c>
      <c r="H486" s="10">
        <v>482</v>
      </c>
    </row>
    <row r="487" spans="1:8" s="3" customFormat="1">
      <c r="A487" s="13">
        <v>9</v>
      </c>
      <c r="B487" s="5" t="s">
        <v>92</v>
      </c>
      <c r="C487" s="6" t="str">
        <f>Gia_VLieu!C11</f>
        <v>Hộp</v>
      </c>
      <c r="D487" s="66">
        <f>Gia_VLieu!D11</f>
        <v>2000</v>
      </c>
      <c r="E487" s="53">
        <v>1E-3</v>
      </c>
      <c r="F487" s="16">
        <f t="shared" si="32"/>
        <v>2</v>
      </c>
      <c r="H487" s="10">
        <v>483</v>
      </c>
    </row>
    <row r="488" spans="1:8" s="3" customFormat="1">
      <c r="A488" s="13">
        <v>10</v>
      </c>
      <c r="B488" s="5" t="s">
        <v>93</v>
      </c>
      <c r="C488" s="6" t="str">
        <f>Gia_VLieu!C12</f>
        <v>Tập</v>
      </c>
      <c r="D488" s="66">
        <f>Gia_VLieu!D12</f>
        <v>8000</v>
      </c>
      <c r="E488" s="53">
        <v>3.0000000000000001E-3</v>
      </c>
      <c r="F488" s="16">
        <f t="shared" si="32"/>
        <v>24</v>
      </c>
      <c r="H488" s="10">
        <v>484</v>
      </c>
    </row>
    <row r="489" spans="1:8" s="3" customFormat="1">
      <c r="A489" s="40">
        <v>11</v>
      </c>
      <c r="B489" s="41" t="s">
        <v>94</v>
      </c>
      <c r="C489" s="42" t="str">
        <f>Gia_VLieu!C13</f>
        <v>Cái</v>
      </c>
      <c r="D489" s="67">
        <f>Gia_VLieu!D13</f>
        <v>15000</v>
      </c>
      <c r="E489" s="54">
        <v>1E-3</v>
      </c>
      <c r="F489" s="38">
        <f>D489*E489</f>
        <v>15</v>
      </c>
      <c r="H489" s="10">
        <v>485</v>
      </c>
    </row>
    <row r="490" spans="1:8" s="33" customFormat="1">
      <c r="A490" s="31" t="e">
        <f>#REF!</f>
        <v>#REF!</v>
      </c>
      <c r="B490" s="32" t="e">
        <f>#REF!</f>
        <v>#REF!</v>
      </c>
      <c r="C490" s="15"/>
      <c r="D490" s="70"/>
      <c r="E490" s="45"/>
      <c r="F490" s="18"/>
      <c r="H490" s="10">
        <v>486</v>
      </c>
    </row>
    <row r="491" spans="1:8" s="3" customFormat="1">
      <c r="A491" s="40" t="e">
        <f>#REF!</f>
        <v>#REF!</v>
      </c>
      <c r="B491" s="41" t="e">
        <f>#REF!</f>
        <v>#REF!</v>
      </c>
      <c r="C491" s="42"/>
      <c r="D491" s="67"/>
      <c r="E491" s="46"/>
      <c r="F491" s="38"/>
      <c r="H491" s="10">
        <v>487</v>
      </c>
    </row>
    <row r="492" spans="1:8" s="14" customFormat="1">
      <c r="A492" s="35" t="e">
        <f>#REF!</f>
        <v>#REF!</v>
      </c>
      <c r="B492" s="36" t="e">
        <f>#REF!</f>
        <v>#REF!</v>
      </c>
      <c r="C492" s="37"/>
      <c r="D492" s="71"/>
      <c r="E492" s="47"/>
      <c r="F492" s="28"/>
      <c r="H492" s="10">
        <v>488</v>
      </c>
    </row>
    <row r="493" spans="1:8" s="33" customFormat="1">
      <c r="A493" s="31" t="e">
        <f>#REF!</f>
        <v>#REF!</v>
      </c>
      <c r="B493" s="32" t="e">
        <f>#REF!</f>
        <v>#REF!</v>
      </c>
      <c r="C493" s="15"/>
      <c r="D493" s="127">
        <f>Gia_VLieu!D$14</f>
        <v>1.08</v>
      </c>
      <c r="E493" s="45"/>
      <c r="F493" s="18" t="e">
        <f>SUM(F494:F504)*D493</f>
        <v>#REF!</v>
      </c>
      <c r="H493" s="10">
        <v>489</v>
      </c>
    </row>
    <row r="494" spans="1:8" s="3" customFormat="1">
      <c r="A494" s="13">
        <v>1</v>
      </c>
      <c r="B494" s="5" t="s">
        <v>85</v>
      </c>
      <c r="C494" s="6" t="str">
        <f>Gia_VLieu!C4</f>
        <v>Gram</v>
      </c>
      <c r="D494" s="66">
        <f>Gia_VLieu!D4</f>
        <v>45000</v>
      </c>
      <c r="E494" s="53">
        <v>10</v>
      </c>
      <c r="F494" s="16">
        <f>D494*E494</f>
        <v>450000</v>
      </c>
      <c r="H494" s="10">
        <v>490</v>
      </c>
    </row>
    <row r="495" spans="1:8" s="3" customFormat="1">
      <c r="A495" s="13">
        <v>2</v>
      </c>
      <c r="B495" s="5" t="s">
        <v>86</v>
      </c>
      <c r="C495" s="6" t="str">
        <f>Gia_VLieu!C5</f>
        <v>Hộp</v>
      </c>
      <c r="D495" s="66">
        <f>Gia_VLieu!D5</f>
        <v>1450000</v>
      </c>
      <c r="E495" s="53">
        <v>0.5</v>
      </c>
      <c r="F495" s="16">
        <f t="shared" ref="F495:F503" si="33">D495*E495</f>
        <v>725000</v>
      </c>
      <c r="H495" s="10">
        <v>491</v>
      </c>
    </row>
    <row r="496" spans="1:8" s="3" customFormat="1">
      <c r="A496" s="13">
        <v>3</v>
      </c>
      <c r="B496" s="5" t="s">
        <v>87</v>
      </c>
      <c r="C496" s="6" t="e">
        <f>Gia_VLieu!#REF!</f>
        <v>#REF!</v>
      </c>
      <c r="D496" s="66" t="e">
        <f>Gia_VLieu!#REF!</f>
        <v>#REF!</v>
      </c>
      <c r="E496" s="53">
        <v>0.4</v>
      </c>
      <c r="F496" s="16" t="e">
        <f t="shared" si="33"/>
        <v>#REF!</v>
      </c>
      <c r="H496" s="10">
        <v>492</v>
      </c>
    </row>
    <row r="497" spans="1:8" s="3" customFormat="1">
      <c r="A497" s="13">
        <v>4</v>
      </c>
      <c r="B497" s="5" t="s">
        <v>88</v>
      </c>
      <c r="C497" s="6" t="str">
        <f>Gia_VLieu!C6</f>
        <v>Quyển</v>
      </c>
      <c r="D497" s="66">
        <f>Gia_VLieu!D6</f>
        <v>10000</v>
      </c>
      <c r="E497" s="53">
        <v>30</v>
      </c>
      <c r="F497" s="16">
        <f t="shared" si="33"/>
        <v>300000</v>
      </c>
      <c r="H497" s="10">
        <v>493</v>
      </c>
    </row>
    <row r="498" spans="1:8" s="3" customFormat="1">
      <c r="A498" s="13">
        <v>5</v>
      </c>
      <c r="B498" s="5" t="s">
        <v>22</v>
      </c>
      <c r="C498" s="6" t="str">
        <f>Gia_VLieu!C7</f>
        <v>Cái</v>
      </c>
      <c r="D498" s="66">
        <f>Gia_VLieu!D7</f>
        <v>2000</v>
      </c>
      <c r="E498" s="53">
        <v>32</v>
      </c>
      <c r="F498" s="16">
        <f t="shared" si="33"/>
        <v>64000</v>
      </c>
      <c r="H498" s="10">
        <v>494</v>
      </c>
    </row>
    <row r="499" spans="1:8" s="3" customFormat="1">
      <c r="A499" s="13">
        <v>6</v>
      </c>
      <c r="B499" s="5" t="s">
        <v>89</v>
      </c>
      <c r="C499" s="6" t="str">
        <f>Gia_VLieu!C8</f>
        <v>Cái</v>
      </c>
      <c r="D499" s="66">
        <f>Gia_VLieu!D8</f>
        <v>8000</v>
      </c>
      <c r="E499" s="53">
        <v>15</v>
      </c>
      <c r="F499" s="16">
        <f t="shared" si="33"/>
        <v>120000</v>
      </c>
      <c r="H499" s="10">
        <v>495</v>
      </c>
    </row>
    <row r="500" spans="1:8" s="3" customFormat="1">
      <c r="A500" s="13">
        <v>7</v>
      </c>
      <c r="B500" s="5" t="s">
        <v>90</v>
      </c>
      <c r="C500" s="6" t="str">
        <f>Gia_VLieu!C9</f>
        <v>Cái</v>
      </c>
      <c r="D500" s="66">
        <f>Gia_VLieu!D9</f>
        <v>10000</v>
      </c>
      <c r="E500" s="53">
        <v>15</v>
      </c>
      <c r="F500" s="16">
        <f t="shared" si="33"/>
        <v>150000</v>
      </c>
      <c r="H500" s="10">
        <v>496</v>
      </c>
    </row>
    <row r="501" spans="1:8" s="3" customFormat="1">
      <c r="A501" s="13">
        <v>8</v>
      </c>
      <c r="B501" s="5" t="s">
        <v>91</v>
      </c>
      <c r="C501" s="6" t="str">
        <f>Gia_VLieu!C10</f>
        <v>Hộp</v>
      </c>
      <c r="D501" s="66">
        <f>Gia_VLieu!D10</f>
        <v>2500</v>
      </c>
      <c r="E501" s="53">
        <v>10</v>
      </c>
      <c r="F501" s="16">
        <f t="shared" si="33"/>
        <v>25000</v>
      </c>
      <c r="H501" s="10">
        <v>497</v>
      </c>
    </row>
    <row r="502" spans="1:8" s="3" customFormat="1">
      <c r="A502" s="13">
        <v>9</v>
      </c>
      <c r="B502" s="5" t="s">
        <v>92</v>
      </c>
      <c r="C502" s="6" t="str">
        <f>Gia_VLieu!C11</f>
        <v>Hộp</v>
      </c>
      <c r="D502" s="66">
        <f>Gia_VLieu!D11</f>
        <v>2000</v>
      </c>
      <c r="E502" s="53">
        <v>8</v>
      </c>
      <c r="F502" s="16">
        <f t="shared" si="33"/>
        <v>16000</v>
      </c>
      <c r="H502" s="10">
        <v>498</v>
      </c>
    </row>
    <row r="503" spans="1:8" s="3" customFormat="1">
      <c r="A503" s="13">
        <v>10</v>
      </c>
      <c r="B503" s="5" t="s">
        <v>93</v>
      </c>
      <c r="C503" s="6" t="str">
        <f>Gia_VLieu!C12</f>
        <v>Tập</v>
      </c>
      <c r="D503" s="66">
        <f>Gia_VLieu!D12</f>
        <v>8000</v>
      </c>
      <c r="E503" s="53">
        <v>10</v>
      </c>
      <c r="F503" s="16">
        <f t="shared" si="33"/>
        <v>80000</v>
      </c>
      <c r="H503" s="10">
        <v>499</v>
      </c>
    </row>
    <row r="504" spans="1:8" s="3" customFormat="1">
      <c r="A504" s="40">
        <v>11</v>
      </c>
      <c r="B504" s="41" t="s">
        <v>94</v>
      </c>
      <c r="C504" s="42" t="str">
        <f>Gia_VLieu!C13</f>
        <v>Cái</v>
      </c>
      <c r="D504" s="67">
        <f>Gia_VLieu!D13</f>
        <v>15000</v>
      </c>
      <c r="E504" s="54">
        <v>20</v>
      </c>
      <c r="F504" s="38">
        <f>D504*E504</f>
        <v>300000</v>
      </c>
      <c r="H504" s="10">
        <v>500</v>
      </c>
    </row>
    <row r="505" spans="1:8" s="33" customFormat="1">
      <c r="A505" s="31" t="e">
        <f>#REF!</f>
        <v>#REF!</v>
      </c>
      <c r="B505" s="32" t="e">
        <f>#REF!</f>
        <v>#REF!</v>
      </c>
      <c r="C505" s="15"/>
      <c r="D505" s="127">
        <f>Gia_VLieu!D$14</f>
        <v>1.08</v>
      </c>
      <c r="E505" s="45"/>
      <c r="F505" s="18" t="e">
        <f>SUM(F506:F516)*D505</f>
        <v>#REF!</v>
      </c>
      <c r="H505" s="10">
        <v>501</v>
      </c>
    </row>
    <row r="506" spans="1:8" s="3" customFormat="1">
      <c r="A506" s="13">
        <v>1</v>
      </c>
      <c r="B506" s="5" t="s">
        <v>85</v>
      </c>
      <c r="C506" s="6" t="str">
        <f>Gia_VLieu!C4</f>
        <v>Gram</v>
      </c>
      <c r="D506" s="66">
        <f>Gia_VLieu!D4</f>
        <v>45000</v>
      </c>
      <c r="E506" s="53">
        <v>2</v>
      </c>
      <c r="F506" s="16">
        <f>D506*E506</f>
        <v>90000</v>
      </c>
      <c r="H506" s="10">
        <v>502</v>
      </c>
    </row>
    <row r="507" spans="1:8" s="3" customFormat="1">
      <c r="A507" s="13">
        <v>2</v>
      </c>
      <c r="B507" s="5" t="s">
        <v>86</v>
      </c>
      <c r="C507" s="6" t="str">
        <f>Gia_VLieu!C5</f>
        <v>Hộp</v>
      </c>
      <c r="D507" s="66">
        <f>Gia_VLieu!D5</f>
        <v>1450000</v>
      </c>
      <c r="E507" s="53">
        <v>0.1</v>
      </c>
      <c r="F507" s="16">
        <f t="shared" ref="F507:F515" si="34">D507*E507</f>
        <v>145000</v>
      </c>
      <c r="H507" s="10">
        <v>503</v>
      </c>
    </row>
    <row r="508" spans="1:8" s="3" customFormat="1">
      <c r="A508" s="13">
        <v>3</v>
      </c>
      <c r="B508" s="5" t="s">
        <v>87</v>
      </c>
      <c r="C508" s="6" t="e">
        <f>Gia_VLieu!#REF!</f>
        <v>#REF!</v>
      </c>
      <c r="D508" s="66" t="e">
        <f>Gia_VLieu!#REF!</f>
        <v>#REF!</v>
      </c>
      <c r="E508" s="53">
        <v>0.05</v>
      </c>
      <c r="F508" s="16" t="e">
        <f t="shared" si="34"/>
        <v>#REF!</v>
      </c>
      <c r="H508" s="10">
        <v>504</v>
      </c>
    </row>
    <row r="509" spans="1:8" s="3" customFormat="1">
      <c r="A509" s="13">
        <v>4</v>
      </c>
      <c r="B509" s="5" t="s">
        <v>88</v>
      </c>
      <c r="C509" s="6" t="str">
        <f>Gia_VLieu!C6</f>
        <v>Quyển</v>
      </c>
      <c r="D509" s="66">
        <f>Gia_VLieu!D6</f>
        <v>10000</v>
      </c>
      <c r="E509" s="53">
        <v>25</v>
      </c>
      <c r="F509" s="16">
        <f t="shared" si="34"/>
        <v>250000</v>
      </c>
      <c r="H509" s="10">
        <v>505</v>
      </c>
    </row>
    <row r="510" spans="1:8" s="3" customFormat="1">
      <c r="A510" s="13">
        <v>5</v>
      </c>
      <c r="B510" s="5" t="s">
        <v>22</v>
      </c>
      <c r="C510" s="6" t="str">
        <f>Gia_VLieu!C7</f>
        <v>Cái</v>
      </c>
      <c r="D510" s="66">
        <f>Gia_VLieu!D7</f>
        <v>2000</v>
      </c>
      <c r="E510" s="53">
        <v>30</v>
      </c>
      <c r="F510" s="16">
        <f t="shared" si="34"/>
        <v>60000</v>
      </c>
      <c r="H510" s="10">
        <v>506</v>
      </c>
    </row>
    <row r="511" spans="1:8" s="3" customFormat="1">
      <c r="A511" s="13">
        <v>6</v>
      </c>
      <c r="B511" s="5" t="s">
        <v>89</v>
      </c>
      <c r="C511" s="6" t="str">
        <f>Gia_VLieu!C8</f>
        <v>Cái</v>
      </c>
      <c r="D511" s="66">
        <f>Gia_VLieu!D8</f>
        <v>8000</v>
      </c>
      <c r="E511" s="53">
        <v>14</v>
      </c>
      <c r="F511" s="16">
        <f t="shared" si="34"/>
        <v>112000</v>
      </c>
      <c r="H511" s="10">
        <v>507</v>
      </c>
    </row>
    <row r="512" spans="1:8" s="3" customFormat="1">
      <c r="A512" s="13">
        <v>7</v>
      </c>
      <c r="B512" s="5" t="s">
        <v>90</v>
      </c>
      <c r="C512" s="6" t="str">
        <f>Gia_VLieu!C9</f>
        <v>Cái</v>
      </c>
      <c r="D512" s="66">
        <f>Gia_VLieu!D9</f>
        <v>10000</v>
      </c>
      <c r="E512" s="53">
        <v>14</v>
      </c>
      <c r="F512" s="16">
        <f t="shared" si="34"/>
        <v>140000</v>
      </c>
      <c r="H512" s="10">
        <v>508</v>
      </c>
    </row>
    <row r="513" spans="1:8" s="3" customFormat="1">
      <c r="A513" s="13">
        <v>8</v>
      </c>
      <c r="B513" s="5" t="s">
        <v>91</v>
      </c>
      <c r="C513" s="6" t="str">
        <f>Gia_VLieu!C10</f>
        <v>Hộp</v>
      </c>
      <c r="D513" s="66">
        <f>Gia_VLieu!D10</f>
        <v>2500</v>
      </c>
      <c r="E513" s="53">
        <v>8</v>
      </c>
      <c r="F513" s="16">
        <f t="shared" si="34"/>
        <v>20000</v>
      </c>
      <c r="H513" s="10">
        <v>509</v>
      </c>
    </row>
    <row r="514" spans="1:8" s="3" customFormat="1">
      <c r="A514" s="13">
        <v>9</v>
      </c>
      <c r="B514" s="5" t="s">
        <v>92</v>
      </c>
      <c r="C514" s="6" t="str">
        <f>Gia_VLieu!C11</f>
        <v>Hộp</v>
      </c>
      <c r="D514" s="66">
        <f>Gia_VLieu!D11</f>
        <v>2000</v>
      </c>
      <c r="E514" s="53">
        <v>6</v>
      </c>
      <c r="F514" s="16">
        <f t="shared" si="34"/>
        <v>12000</v>
      </c>
      <c r="H514" s="10">
        <v>510</v>
      </c>
    </row>
    <row r="515" spans="1:8" s="3" customFormat="1">
      <c r="A515" s="13">
        <v>10</v>
      </c>
      <c r="B515" s="5" t="s">
        <v>93</v>
      </c>
      <c r="C515" s="6" t="str">
        <f>Gia_VLieu!C12</f>
        <v>Tập</v>
      </c>
      <c r="D515" s="66">
        <f>Gia_VLieu!D12</f>
        <v>8000</v>
      </c>
      <c r="E515" s="53">
        <v>6</v>
      </c>
      <c r="F515" s="16">
        <f t="shared" si="34"/>
        <v>48000</v>
      </c>
      <c r="H515" s="10">
        <v>511</v>
      </c>
    </row>
    <row r="516" spans="1:8" s="3" customFormat="1">
      <c r="A516" s="40">
        <v>11</v>
      </c>
      <c r="B516" s="41" t="s">
        <v>94</v>
      </c>
      <c r="C516" s="42" t="str">
        <f>Gia_VLieu!C13</f>
        <v>Cái</v>
      </c>
      <c r="D516" s="67">
        <f>Gia_VLieu!D13</f>
        <v>15000</v>
      </c>
      <c r="E516" s="54">
        <v>15</v>
      </c>
      <c r="F516" s="38">
        <f>D516*E516</f>
        <v>225000</v>
      </c>
      <c r="H516" s="10">
        <v>512</v>
      </c>
    </row>
    <row r="517" spans="1:8" s="33" customFormat="1">
      <c r="A517" s="31" t="e">
        <f>#REF!</f>
        <v>#REF!</v>
      </c>
      <c r="B517" s="32" t="e">
        <f>#REF!</f>
        <v>#REF!</v>
      </c>
      <c r="C517" s="15"/>
      <c r="D517" s="127">
        <f>Gia_VLieu!D$14</f>
        <v>1.08</v>
      </c>
      <c r="E517" s="45"/>
      <c r="F517" s="18" t="e">
        <f>SUM(F518:F528)*D517</f>
        <v>#REF!</v>
      </c>
      <c r="H517" s="10">
        <v>513</v>
      </c>
    </row>
    <row r="518" spans="1:8" s="3" customFormat="1">
      <c r="A518" s="13">
        <v>1</v>
      </c>
      <c r="B518" s="5" t="s">
        <v>85</v>
      </c>
      <c r="C518" s="6" t="str">
        <f>Gia_VLieu!C4</f>
        <v>Gram</v>
      </c>
      <c r="D518" s="66">
        <f>Gia_VLieu!D4</f>
        <v>45000</v>
      </c>
      <c r="E518" s="53">
        <v>40</v>
      </c>
      <c r="F518" s="16">
        <f>D518*E518</f>
        <v>1800000</v>
      </c>
      <c r="H518" s="10">
        <v>514</v>
      </c>
    </row>
    <row r="519" spans="1:8" s="3" customFormat="1">
      <c r="A519" s="13">
        <v>2</v>
      </c>
      <c r="B519" s="5" t="s">
        <v>86</v>
      </c>
      <c r="C519" s="6" t="str">
        <f>Gia_VLieu!C5</f>
        <v>Hộp</v>
      </c>
      <c r="D519" s="66">
        <f>Gia_VLieu!D5</f>
        <v>1450000</v>
      </c>
      <c r="E519" s="53">
        <v>3.5</v>
      </c>
      <c r="F519" s="16">
        <f t="shared" ref="F519:F527" si="35">D519*E519</f>
        <v>5075000</v>
      </c>
      <c r="H519" s="10">
        <v>515</v>
      </c>
    </row>
    <row r="520" spans="1:8" s="3" customFormat="1">
      <c r="A520" s="13">
        <v>3</v>
      </c>
      <c r="B520" s="5" t="s">
        <v>87</v>
      </c>
      <c r="C520" s="6" t="e">
        <f>Gia_VLieu!#REF!</f>
        <v>#REF!</v>
      </c>
      <c r="D520" s="66" t="e">
        <f>Gia_VLieu!#REF!</f>
        <v>#REF!</v>
      </c>
      <c r="E520" s="53">
        <v>1.2</v>
      </c>
      <c r="F520" s="16" t="e">
        <f t="shared" si="35"/>
        <v>#REF!</v>
      </c>
      <c r="H520" s="10">
        <v>516</v>
      </c>
    </row>
    <row r="521" spans="1:8" s="3" customFormat="1">
      <c r="A521" s="13">
        <v>4</v>
      </c>
      <c r="B521" s="5" t="s">
        <v>88</v>
      </c>
      <c r="C521" s="6" t="str">
        <f>Gia_VLieu!C6</f>
        <v>Quyển</v>
      </c>
      <c r="D521" s="66">
        <f>Gia_VLieu!D6</f>
        <v>10000</v>
      </c>
      <c r="E521" s="53">
        <v>35</v>
      </c>
      <c r="F521" s="16">
        <f t="shared" si="35"/>
        <v>350000</v>
      </c>
      <c r="H521" s="10">
        <v>517</v>
      </c>
    </row>
    <row r="522" spans="1:8" s="3" customFormat="1">
      <c r="A522" s="13">
        <v>5</v>
      </c>
      <c r="B522" s="5" t="s">
        <v>22</v>
      </c>
      <c r="C522" s="6" t="str">
        <f>Gia_VLieu!C7</f>
        <v>Cái</v>
      </c>
      <c r="D522" s="66">
        <f>Gia_VLieu!D7</f>
        <v>2000</v>
      </c>
      <c r="E522" s="53">
        <v>50</v>
      </c>
      <c r="F522" s="16">
        <f t="shared" si="35"/>
        <v>100000</v>
      </c>
      <c r="H522" s="10">
        <v>518</v>
      </c>
    </row>
    <row r="523" spans="1:8" s="3" customFormat="1">
      <c r="A523" s="13">
        <v>6</v>
      </c>
      <c r="B523" s="5" t="s">
        <v>89</v>
      </c>
      <c r="C523" s="6" t="str">
        <f>Gia_VLieu!C8</f>
        <v>Cái</v>
      </c>
      <c r="D523" s="66">
        <f>Gia_VLieu!D8</f>
        <v>8000</v>
      </c>
      <c r="E523" s="53">
        <v>40</v>
      </c>
      <c r="F523" s="16">
        <f t="shared" si="35"/>
        <v>320000</v>
      </c>
      <c r="H523" s="10">
        <v>519</v>
      </c>
    </row>
    <row r="524" spans="1:8" s="3" customFormat="1">
      <c r="A524" s="13">
        <v>7</v>
      </c>
      <c r="B524" s="5" t="s">
        <v>90</v>
      </c>
      <c r="C524" s="6" t="str">
        <f>Gia_VLieu!C9</f>
        <v>Cái</v>
      </c>
      <c r="D524" s="66">
        <f>Gia_VLieu!D9</f>
        <v>10000</v>
      </c>
      <c r="E524" s="53">
        <v>40</v>
      </c>
      <c r="F524" s="16">
        <f t="shared" si="35"/>
        <v>400000</v>
      </c>
      <c r="H524" s="10">
        <v>520</v>
      </c>
    </row>
    <row r="525" spans="1:8" s="3" customFormat="1">
      <c r="A525" s="13">
        <v>8</v>
      </c>
      <c r="B525" s="5" t="s">
        <v>91</v>
      </c>
      <c r="C525" s="6" t="str">
        <f>Gia_VLieu!C10</f>
        <v>Hộp</v>
      </c>
      <c r="D525" s="66">
        <f>Gia_VLieu!D10</f>
        <v>2500</v>
      </c>
      <c r="E525" s="53">
        <v>35</v>
      </c>
      <c r="F525" s="16">
        <f t="shared" si="35"/>
        <v>87500</v>
      </c>
      <c r="H525" s="10">
        <v>521</v>
      </c>
    </row>
    <row r="526" spans="1:8" s="3" customFormat="1">
      <c r="A526" s="13">
        <v>9</v>
      </c>
      <c r="B526" s="5" t="s">
        <v>92</v>
      </c>
      <c r="C526" s="6" t="str">
        <f>Gia_VLieu!C11</f>
        <v>Hộp</v>
      </c>
      <c r="D526" s="66">
        <f>Gia_VLieu!D11</f>
        <v>2000</v>
      </c>
      <c r="E526" s="53">
        <v>21</v>
      </c>
      <c r="F526" s="16">
        <f t="shared" si="35"/>
        <v>42000</v>
      </c>
      <c r="H526" s="10">
        <v>522</v>
      </c>
    </row>
    <row r="527" spans="1:8" s="3" customFormat="1">
      <c r="A527" s="13">
        <v>10</v>
      </c>
      <c r="B527" s="5" t="s">
        <v>93</v>
      </c>
      <c r="C527" s="6" t="str">
        <f>Gia_VLieu!C12</f>
        <v>Tập</v>
      </c>
      <c r="D527" s="66">
        <f>Gia_VLieu!D12</f>
        <v>8000</v>
      </c>
      <c r="E527" s="53">
        <v>25</v>
      </c>
      <c r="F527" s="16">
        <f t="shared" si="35"/>
        <v>200000</v>
      </c>
      <c r="H527" s="10">
        <v>523</v>
      </c>
    </row>
    <row r="528" spans="1:8" s="3" customFormat="1">
      <c r="A528" s="40">
        <v>11</v>
      </c>
      <c r="B528" s="41" t="s">
        <v>94</v>
      </c>
      <c r="C528" s="42" t="str">
        <f>Gia_VLieu!C13</f>
        <v>Cái</v>
      </c>
      <c r="D528" s="67">
        <f>Gia_VLieu!D13</f>
        <v>15000</v>
      </c>
      <c r="E528" s="54">
        <v>32</v>
      </c>
      <c r="F528" s="38">
        <f>D528*E528</f>
        <v>480000</v>
      </c>
      <c r="H528" s="10">
        <v>524</v>
      </c>
    </row>
    <row r="529" spans="1:8" s="14" customFormat="1">
      <c r="A529" s="12" t="e">
        <f>#REF!</f>
        <v>#REF!</v>
      </c>
      <c r="B529" s="8" t="e">
        <f>#REF!</f>
        <v>#REF!</v>
      </c>
      <c r="C529" s="7"/>
      <c r="D529" s="72"/>
      <c r="E529" s="48"/>
      <c r="F529" s="17"/>
      <c r="H529" s="10">
        <v>525</v>
      </c>
    </row>
    <row r="530" spans="1:8" s="33" customFormat="1">
      <c r="A530" s="31" t="e">
        <f>#REF!</f>
        <v>#REF!</v>
      </c>
      <c r="B530" s="32" t="e">
        <f>#REF!</f>
        <v>#REF!</v>
      </c>
      <c r="C530" s="15"/>
      <c r="D530" s="70"/>
      <c r="E530" s="45"/>
      <c r="F530" s="18"/>
      <c r="H530" s="10">
        <v>526</v>
      </c>
    </row>
    <row r="531" spans="1:8" s="33" customFormat="1">
      <c r="A531" s="31" t="e">
        <f>#REF!</f>
        <v>#REF!</v>
      </c>
      <c r="B531" s="32" t="e">
        <f>#REF!</f>
        <v>#REF!</v>
      </c>
      <c r="C531" s="15"/>
      <c r="D531" s="70"/>
      <c r="E531" s="45"/>
      <c r="F531" s="18"/>
      <c r="H531" s="10">
        <v>527</v>
      </c>
    </row>
    <row r="532" spans="1:8" s="14" customFormat="1">
      <c r="A532" s="12" t="e">
        <f>#REF!</f>
        <v>#REF!</v>
      </c>
      <c r="B532" s="8" t="e">
        <f>#REF!</f>
        <v>#REF!</v>
      </c>
      <c r="C532" s="7"/>
      <c r="D532" s="72"/>
      <c r="E532" s="48"/>
      <c r="F532" s="17"/>
      <c r="H532" s="10">
        <v>528</v>
      </c>
    </row>
    <row r="533" spans="1:8" s="33" customFormat="1">
      <c r="A533" s="31" t="e">
        <f>#REF!</f>
        <v>#REF!</v>
      </c>
      <c r="B533" s="32" t="e">
        <f>#REF!</f>
        <v>#REF!</v>
      </c>
      <c r="C533" s="15"/>
      <c r="D533" s="70"/>
      <c r="E533" s="45"/>
      <c r="F533" s="18" t="e">
        <f>SUM(F534:F544)*D533</f>
        <v>#REF!</v>
      </c>
      <c r="H533" s="10">
        <v>529</v>
      </c>
    </row>
    <row r="534" spans="1:8" s="3" customFormat="1">
      <c r="A534" s="13">
        <v>1</v>
      </c>
      <c r="B534" s="5" t="s">
        <v>85</v>
      </c>
      <c r="C534" s="6" t="str">
        <f>Gia_VLieu!C4</f>
        <v>Gram</v>
      </c>
      <c r="D534" s="66">
        <f>Gia_VLieu!D4</f>
        <v>45000</v>
      </c>
      <c r="E534" s="53">
        <v>5</v>
      </c>
      <c r="F534" s="16">
        <f>D534*E534</f>
        <v>225000</v>
      </c>
      <c r="H534" s="10">
        <v>530</v>
      </c>
    </row>
    <row r="535" spans="1:8" s="3" customFormat="1">
      <c r="A535" s="13">
        <v>2</v>
      </c>
      <c r="B535" s="5" t="s">
        <v>86</v>
      </c>
      <c r="C535" s="6" t="str">
        <f>Gia_VLieu!C5</f>
        <v>Hộp</v>
      </c>
      <c r="D535" s="66">
        <f>Gia_VLieu!D5</f>
        <v>1450000</v>
      </c>
      <c r="E535" s="53">
        <v>0.02</v>
      </c>
      <c r="F535" s="16">
        <f t="shared" ref="F535:F543" si="36">D535*E535</f>
        <v>29000</v>
      </c>
      <c r="H535" s="10">
        <v>531</v>
      </c>
    </row>
    <row r="536" spans="1:8" s="3" customFormat="1">
      <c r="A536" s="13">
        <v>3</v>
      </c>
      <c r="B536" s="5" t="s">
        <v>87</v>
      </c>
      <c r="C536" s="6" t="e">
        <f>Gia_VLieu!#REF!</f>
        <v>#REF!</v>
      </c>
      <c r="D536" s="66" t="e">
        <f>Gia_VLieu!#REF!</f>
        <v>#REF!</v>
      </c>
      <c r="E536" s="53">
        <v>0.01</v>
      </c>
      <c r="F536" s="16" t="e">
        <f t="shared" si="36"/>
        <v>#REF!</v>
      </c>
      <c r="H536" s="10">
        <v>532</v>
      </c>
    </row>
    <row r="537" spans="1:8" s="3" customFormat="1">
      <c r="A537" s="13">
        <v>4</v>
      </c>
      <c r="B537" s="5" t="s">
        <v>88</v>
      </c>
      <c r="C537" s="6" t="str">
        <f>Gia_VLieu!C6</f>
        <v>Quyển</v>
      </c>
      <c r="D537" s="66">
        <f>Gia_VLieu!D6</f>
        <v>10000</v>
      </c>
      <c r="E537" s="53">
        <v>5</v>
      </c>
      <c r="F537" s="16">
        <f t="shared" si="36"/>
        <v>50000</v>
      </c>
      <c r="H537" s="10">
        <v>533</v>
      </c>
    </row>
    <row r="538" spans="1:8" s="3" customFormat="1">
      <c r="A538" s="13">
        <v>5</v>
      </c>
      <c r="B538" s="5" t="s">
        <v>22</v>
      </c>
      <c r="C538" s="6" t="str">
        <f>Gia_VLieu!C7</f>
        <v>Cái</v>
      </c>
      <c r="D538" s="66">
        <f>Gia_VLieu!D7</f>
        <v>2000</v>
      </c>
      <c r="E538" s="53">
        <v>11</v>
      </c>
      <c r="F538" s="16">
        <f t="shared" si="36"/>
        <v>22000</v>
      </c>
      <c r="H538" s="10">
        <v>534</v>
      </c>
    </row>
    <row r="539" spans="1:8" s="3" customFormat="1">
      <c r="A539" s="13">
        <v>6</v>
      </c>
      <c r="B539" s="5" t="s">
        <v>89</v>
      </c>
      <c r="C539" s="6" t="str">
        <f>Gia_VLieu!C8</f>
        <v>Cái</v>
      </c>
      <c r="D539" s="66">
        <f>Gia_VLieu!D8</f>
        <v>8000</v>
      </c>
      <c r="E539" s="53">
        <v>40</v>
      </c>
      <c r="F539" s="16">
        <f t="shared" si="36"/>
        <v>320000</v>
      </c>
      <c r="H539" s="10">
        <v>535</v>
      </c>
    </row>
    <row r="540" spans="1:8" s="3" customFormat="1">
      <c r="A540" s="13">
        <v>7</v>
      </c>
      <c r="B540" s="5" t="s">
        <v>90</v>
      </c>
      <c r="C540" s="6" t="str">
        <f>Gia_VLieu!C9</f>
        <v>Cái</v>
      </c>
      <c r="D540" s="66">
        <f>Gia_VLieu!D9</f>
        <v>10000</v>
      </c>
      <c r="E540" s="53">
        <v>40</v>
      </c>
      <c r="F540" s="16">
        <f t="shared" si="36"/>
        <v>400000</v>
      </c>
      <c r="H540" s="10">
        <v>536</v>
      </c>
    </row>
    <row r="541" spans="1:8" s="3" customFormat="1">
      <c r="A541" s="13">
        <v>8</v>
      </c>
      <c r="B541" s="5" t="s">
        <v>91</v>
      </c>
      <c r="C541" s="6" t="str">
        <f>Gia_VLieu!C10</f>
        <v>Hộp</v>
      </c>
      <c r="D541" s="66">
        <f>Gia_VLieu!D10</f>
        <v>2500</v>
      </c>
      <c r="E541" s="53">
        <v>8</v>
      </c>
      <c r="F541" s="16">
        <f t="shared" si="36"/>
        <v>20000</v>
      </c>
      <c r="H541" s="10">
        <v>537</v>
      </c>
    </row>
    <row r="542" spans="1:8" s="3" customFormat="1">
      <c r="A542" s="13">
        <v>9</v>
      </c>
      <c r="B542" s="5" t="s">
        <v>92</v>
      </c>
      <c r="C542" s="6" t="str">
        <f>Gia_VLieu!C11</f>
        <v>Hộp</v>
      </c>
      <c r="D542" s="66">
        <f>Gia_VLieu!D11</f>
        <v>2000</v>
      </c>
      <c r="E542" s="53">
        <v>4</v>
      </c>
      <c r="F542" s="16">
        <f t="shared" si="36"/>
        <v>8000</v>
      </c>
      <c r="H542" s="10">
        <v>538</v>
      </c>
    </row>
    <row r="543" spans="1:8" s="3" customFormat="1">
      <c r="A543" s="13">
        <v>10</v>
      </c>
      <c r="B543" s="5" t="s">
        <v>93</v>
      </c>
      <c r="C543" s="6" t="str">
        <f>Gia_VLieu!C12</f>
        <v>Tập</v>
      </c>
      <c r="D543" s="66">
        <f>Gia_VLieu!D12</f>
        <v>8000</v>
      </c>
      <c r="E543" s="53">
        <v>5</v>
      </c>
      <c r="F543" s="16">
        <f t="shared" si="36"/>
        <v>40000</v>
      </c>
      <c r="H543" s="10">
        <v>539</v>
      </c>
    </row>
    <row r="544" spans="1:8" s="3" customFormat="1">
      <c r="A544" s="40">
        <v>11</v>
      </c>
      <c r="B544" s="41" t="s">
        <v>94</v>
      </c>
      <c r="C544" s="42" t="str">
        <f>Gia_VLieu!C13</f>
        <v>Cái</v>
      </c>
      <c r="D544" s="67">
        <f>Gia_VLieu!D13</f>
        <v>15000</v>
      </c>
      <c r="E544" s="54">
        <v>3.78</v>
      </c>
      <c r="F544" s="38">
        <f>D544*E544</f>
        <v>56700</v>
      </c>
      <c r="H544" s="10">
        <v>540</v>
      </c>
    </row>
    <row r="545" spans="1:8" s="33" customFormat="1">
      <c r="A545" s="31" t="e">
        <f>#REF!</f>
        <v>#REF!</v>
      </c>
      <c r="B545" s="32" t="e">
        <f>#REF!</f>
        <v>#REF!</v>
      </c>
      <c r="C545" s="15"/>
      <c r="D545" s="127">
        <f>Gia_VLieu!D$14</f>
        <v>1.08</v>
      </c>
      <c r="E545" s="45"/>
      <c r="F545" s="18" t="e">
        <f>SUM(F546:F556)*D545</f>
        <v>#REF!</v>
      </c>
      <c r="H545" s="10">
        <v>541</v>
      </c>
    </row>
    <row r="546" spans="1:8" s="3" customFormat="1">
      <c r="A546" s="13">
        <v>1</v>
      </c>
      <c r="B546" s="5" t="s">
        <v>85</v>
      </c>
      <c r="C546" s="6" t="str">
        <f>Gia_VLieu!C4</f>
        <v>Gram</v>
      </c>
      <c r="D546" s="66">
        <f>Gia_VLieu!D4</f>
        <v>45000</v>
      </c>
      <c r="E546" s="53">
        <v>1</v>
      </c>
      <c r="F546" s="16">
        <f>D546*E546</f>
        <v>45000</v>
      </c>
      <c r="H546" s="10">
        <v>542</v>
      </c>
    </row>
    <row r="547" spans="1:8" s="3" customFormat="1">
      <c r="A547" s="13">
        <v>2</v>
      </c>
      <c r="B547" s="5" t="s">
        <v>86</v>
      </c>
      <c r="C547" s="6" t="str">
        <f>Gia_VLieu!C5</f>
        <v>Hộp</v>
      </c>
      <c r="D547" s="66">
        <f>Gia_VLieu!D5</f>
        <v>1450000</v>
      </c>
      <c r="E547" s="53">
        <v>0.01</v>
      </c>
      <c r="F547" s="16">
        <f t="shared" ref="F547:F555" si="37">D547*E547</f>
        <v>14500</v>
      </c>
      <c r="H547" s="10">
        <v>543</v>
      </c>
    </row>
    <row r="548" spans="1:8" s="3" customFormat="1">
      <c r="A548" s="13">
        <v>3</v>
      </c>
      <c r="B548" s="5" t="s">
        <v>87</v>
      </c>
      <c r="C548" s="6" t="e">
        <f>Gia_VLieu!#REF!</f>
        <v>#REF!</v>
      </c>
      <c r="D548" s="66" t="e">
        <f>Gia_VLieu!#REF!</f>
        <v>#REF!</v>
      </c>
      <c r="E548" s="53">
        <v>0.01</v>
      </c>
      <c r="F548" s="16" t="e">
        <f t="shared" si="37"/>
        <v>#REF!</v>
      </c>
      <c r="H548" s="10">
        <v>544</v>
      </c>
    </row>
    <row r="549" spans="1:8" s="3" customFormat="1">
      <c r="A549" s="13">
        <v>4</v>
      </c>
      <c r="B549" s="5" t="s">
        <v>88</v>
      </c>
      <c r="C549" s="6" t="str">
        <f>Gia_VLieu!C6</f>
        <v>Quyển</v>
      </c>
      <c r="D549" s="66">
        <f>Gia_VLieu!D6</f>
        <v>10000</v>
      </c>
      <c r="E549" s="53">
        <v>4</v>
      </c>
      <c r="F549" s="16">
        <f t="shared" si="37"/>
        <v>40000</v>
      </c>
      <c r="H549" s="10">
        <v>545</v>
      </c>
    </row>
    <row r="550" spans="1:8" s="3" customFormat="1">
      <c r="A550" s="13">
        <v>5</v>
      </c>
      <c r="B550" s="5" t="s">
        <v>22</v>
      </c>
      <c r="C550" s="6" t="str">
        <f>Gia_VLieu!C7</f>
        <v>Cái</v>
      </c>
      <c r="D550" s="66">
        <f>Gia_VLieu!D7</f>
        <v>2000</v>
      </c>
      <c r="E550" s="53">
        <v>6</v>
      </c>
      <c r="F550" s="16">
        <f t="shared" si="37"/>
        <v>12000</v>
      </c>
      <c r="H550" s="10">
        <v>546</v>
      </c>
    </row>
    <row r="551" spans="1:8" s="3" customFormat="1">
      <c r="A551" s="13">
        <v>6</v>
      </c>
      <c r="B551" s="5" t="s">
        <v>89</v>
      </c>
      <c r="C551" s="6" t="str">
        <f>Gia_VLieu!C8</f>
        <v>Cái</v>
      </c>
      <c r="D551" s="66">
        <f>Gia_VLieu!D8</f>
        <v>8000</v>
      </c>
      <c r="E551" s="53">
        <v>40</v>
      </c>
      <c r="F551" s="16">
        <f t="shared" si="37"/>
        <v>320000</v>
      </c>
      <c r="H551" s="10">
        <v>547</v>
      </c>
    </row>
    <row r="552" spans="1:8" s="3" customFormat="1">
      <c r="A552" s="13">
        <v>7</v>
      </c>
      <c r="B552" s="5" t="s">
        <v>90</v>
      </c>
      <c r="C552" s="6" t="str">
        <f>Gia_VLieu!C9</f>
        <v>Cái</v>
      </c>
      <c r="D552" s="66">
        <f>Gia_VLieu!D9</f>
        <v>10000</v>
      </c>
      <c r="E552" s="53">
        <v>40</v>
      </c>
      <c r="F552" s="16">
        <f t="shared" si="37"/>
        <v>400000</v>
      </c>
      <c r="H552" s="10">
        <v>548</v>
      </c>
    </row>
    <row r="553" spans="1:8" s="3" customFormat="1">
      <c r="A553" s="13">
        <v>8</v>
      </c>
      <c r="B553" s="5" t="s">
        <v>91</v>
      </c>
      <c r="C553" s="6" t="str">
        <f>Gia_VLieu!C10</f>
        <v>Hộp</v>
      </c>
      <c r="D553" s="66">
        <f>Gia_VLieu!D10</f>
        <v>2500</v>
      </c>
      <c r="E553" s="53">
        <v>6</v>
      </c>
      <c r="F553" s="16">
        <f t="shared" si="37"/>
        <v>15000</v>
      </c>
      <c r="H553" s="10">
        <v>549</v>
      </c>
    </row>
    <row r="554" spans="1:8" s="3" customFormat="1">
      <c r="A554" s="13">
        <v>9</v>
      </c>
      <c r="B554" s="5" t="s">
        <v>92</v>
      </c>
      <c r="C554" s="6" t="str">
        <f>Gia_VLieu!C11</f>
        <v>Hộp</v>
      </c>
      <c r="D554" s="66">
        <f>Gia_VLieu!D11</f>
        <v>2000</v>
      </c>
      <c r="E554" s="53">
        <v>3</v>
      </c>
      <c r="F554" s="16">
        <f t="shared" si="37"/>
        <v>6000</v>
      </c>
      <c r="H554" s="10">
        <v>550</v>
      </c>
    </row>
    <row r="555" spans="1:8" s="3" customFormat="1">
      <c r="A555" s="13">
        <v>10</v>
      </c>
      <c r="B555" s="5" t="s">
        <v>93</v>
      </c>
      <c r="C555" s="6" t="str">
        <f>Gia_VLieu!C12</f>
        <v>Tập</v>
      </c>
      <c r="D555" s="66">
        <f>Gia_VLieu!D12</f>
        <v>8000</v>
      </c>
      <c r="E555" s="53">
        <v>4</v>
      </c>
      <c r="F555" s="16">
        <f t="shared" si="37"/>
        <v>32000</v>
      </c>
      <c r="H555" s="10">
        <v>551</v>
      </c>
    </row>
    <row r="556" spans="1:8" s="3" customFormat="1">
      <c r="A556" s="40">
        <v>11</v>
      </c>
      <c r="B556" s="41" t="s">
        <v>94</v>
      </c>
      <c r="C556" s="42" t="str">
        <f>Gia_VLieu!C13</f>
        <v>Cái</v>
      </c>
      <c r="D556" s="67">
        <f>Gia_VLieu!D13</f>
        <v>15000</v>
      </c>
      <c r="E556" s="54">
        <v>20</v>
      </c>
      <c r="F556" s="38">
        <f>D556*E556</f>
        <v>300000</v>
      </c>
      <c r="H556" s="10">
        <v>552</v>
      </c>
    </row>
    <row r="557" spans="1:8" s="33" customFormat="1">
      <c r="A557" s="31" t="e">
        <f>#REF!</f>
        <v>#REF!</v>
      </c>
      <c r="B557" s="32" t="e">
        <f>#REF!</f>
        <v>#REF!</v>
      </c>
      <c r="C557" s="15"/>
      <c r="D557" s="70"/>
      <c r="E557" s="45"/>
      <c r="F557" s="18"/>
      <c r="H557" s="10">
        <v>553</v>
      </c>
    </row>
    <row r="558" spans="1:8" s="3" customFormat="1">
      <c r="A558" s="13" t="e">
        <f>#REF!</f>
        <v>#REF!</v>
      </c>
      <c r="B558" s="5" t="e">
        <f>#REF!</f>
        <v>#REF!</v>
      </c>
      <c r="C558" s="6"/>
      <c r="D558" s="127">
        <f>Gia_VLieu!D$14</f>
        <v>1.08</v>
      </c>
      <c r="E558" s="45"/>
      <c r="F558" s="18" t="e">
        <f>SUM(F559:F569)*D558</f>
        <v>#REF!</v>
      </c>
      <c r="H558" s="10">
        <v>554</v>
      </c>
    </row>
    <row r="559" spans="1:8" s="3" customFormat="1">
      <c r="A559" s="13">
        <v>1</v>
      </c>
      <c r="B559" s="5" t="s">
        <v>85</v>
      </c>
      <c r="C559" s="6" t="str">
        <f>Gia_VLieu!C4</f>
        <v>Gram</v>
      </c>
      <c r="D559" s="66">
        <f>Gia_VLieu!D4</f>
        <v>45000</v>
      </c>
      <c r="E559" s="53">
        <v>0.5</v>
      </c>
      <c r="F559" s="16">
        <f>D559*E559</f>
        <v>22500</v>
      </c>
      <c r="H559" s="10">
        <v>555</v>
      </c>
    </row>
    <row r="560" spans="1:8" s="3" customFormat="1">
      <c r="A560" s="13">
        <v>2</v>
      </c>
      <c r="B560" s="5" t="s">
        <v>86</v>
      </c>
      <c r="C560" s="6" t="str">
        <f>Gia_VLieu!C5</f>
        <v>Hộp</v>
      </c>
      <c r="D560" s="66">
        <f>Gia_VLieu!D5</f>
        <v>1450000</v>
      </c>
      <c r="E560" s="53">
        <v>0.01</v>
      </c>
      <c r="F560" s="16">
        <f t="shared" ref="F560:F568" si="38">D560*E560</f>
        <v>14500</v>
      </c>
      <c r="H560" s="10">
        <v>556</v>
      </c>
    </row>
    <row r="561" spans="1:8" s="3" customFormat="1">
      <c r="A561" s="13">
        <v>3</v>
      </c>
      <c r="B561" s="5" t="s">
        <v>87</v>
      </c>
      <c r="C561" s="6" t="e">
        <f>Gia_VLieu!#REF!</f>
        <v>#REF!</v>
      </c>
      <c r="D561" s="66" t="e">
        <f>Gia_VLieu!#REF!</f>
        <v>#REF!</v>
      </c>
      <c r="E561" s="53">
        <v>0.01</v>
      </c>
      <c r="F561" s="16" t="e">
        <f t="shared" si="38"/>
        <v>#REF!</v>
      </c>
      <c r="H561" s="10">
        <v>557</v>
      </c>
    </row>
    <row r="562" spans="1:8" s="3" customFormat="1">
      <c r="A562" s="13">
        <v>4</v>
      </c>
      <c r="B562" s="5" t="s">
        <v>88</v>
      </c>
      <c r="C562" s="6" t="str">
        <f>Gia_VLieu!C6</f>
        <v>Quyển</v>
      </c>
      <c r="D562" s="66">
        <f>Gia_VLieu!D6</f>
        <v>10000</v>
      </c>
      <c r="E562" s="53">
        <v>2</v>
      </c>
      <c r="F562" s="16">
        <f t="shared" si="38"/>
        <v>20000</v>
      </c>
      <c r="H562" s="10">
        <v>558</v>
      </c>
    </row>
    <row r="563" spans="1:8" s="3" customFormat="1">
      <c r="A563" s="13">
        <v>5</v>
      </c>
      <c r="B563" s="5" t="s">
        <v>22</v>
      </c>
      <c r="C563" s="6" t="str">
        <f>Gia_VLieu!C7</f>
        <v>Cái</v>
      </c>
      <c r="D563" s="66">
        <f>Gia_VLieu!D7</f>
        <v>2000</v>
      </c>
      <c r="E563" s="53">
        <v>3</v>
      </c>
      <c r="F563" s="16">
        <f t="shared" si="38"/>
        <v>6000</v>
      </c>
      <c r="H563" s="10">
        <v>559</v>
      </c>
    </row>
    <row r="564" spans="1:8" s="3" customFormat="1">
      <c r="A564" s="13">
        <v>6</v>
      </c>
      <c r="B564" s="5" t="s">
        <v>89</v>
      </c>
      <c r="C564" s="6" t="str">
        <f>Gia_VLieu!C8</f>
        <v>Cái</v>
      </c>
      <c r="D564" s="66">
        <f>Gia_VLieu!D8</f>
        <v>8000</v>
      </c>
      <c r="E564" s="53">
        <v>20</v>
      </c>
      <c r="F564" s="16">
        <f t="shared" si="38"/>
        <v>160000</v>
      </c>
      <c r="H564" s="10">
        <v>560</v>
      </c>
    </row>
    <row r="565" spans="1:8" s="3" customFormat="1">
      <c r="A565" s="13">
        <v>7</v>
      </c>
      <c r="B565" s="5" t="s">
        <v>90</v>
      </c>
      <c r="C565" s="6" t="str">
        <f>Gia_VLieu!C9</f>
        <v>Cái</v>
      </c>
      <c r="D565" s="66">
        <f>Gia_VLieu!D9</f>
        <v>10000</v>
      </c>
      <c r="E565" s="53">
        <v>20</v>
      </c>
      <c r="F565" s="16">
        <f t="shared" si="38"/>
        <v>200000</v>
      </c>
      <c r="H565" s="10">
        <v>561</v>
      </c>
    </row>
    <row r="566" spans="1:8" s="3" customFormat="1">
      <c r="A566" s="13">
        <v>8</v>
      </c>
      <c r="B566" s="5" t="s">
        <v>91</v>
      </c>
      <c r="C566" s="6" t="str">
        <f>Gia_VLieu!C10</f>
        <v>Hộp</v>
      </c>
      <c r="D566" s="66">
        <f>Gia_VLieu!D10</f>
        <v>2500</v>
      </c>
      <c r="E566" s="53">
        <v>3</v>
      </c>
      <c r="F566" s="16">
        <f t="shared" si="38"/>
        <v>7500</v>
      </c>
      <c r="H566" s="10">
        <v>562</v>
      </c>
    </row>
    <row r="567" spans="1:8" s="3" customFormat="1">
      <c r="A567" s="13">
        <v>9</v>
      </c>
      <c r="B567" s="5" t="s">
        <v>92</v>
      </c>
      <c r="C567" s="6" t="str">
        <f>Gia_VLieu!C11</f>
        <v>Hộp</v>
      </c>
      <c r="D567" s="66">
        <f>Gia_VLieu!D11</f>
        <v>2000</v>
      </c>
      <c r="E567" s="53">
        <v>1.5</v>
      </c>
      <c r="F567" s="16">
        <f t="shared" si="38"/>
        <v>3000</v>
      </c>
      <c r="H567" s="10">
        <v>563</v>
      </c>
    </row>
    <row r="568" spans="1:8" s="3" customFormat="1">
      <c r="A568" s="13">
        <v>10</v>
      </c>
      <c r="B568" s="5" t="s">
        <v>93</v>
      </c>
      <c r="C568" s="6" t="str">
        <f>Gia_VLieu!C12</f>
        <v>Tập</v>
      </c>
      <c r="D568" s="66">
        <f>Gia_VLieu!D12</f>
        <v>8000</v>
      </c>
      <c r="E568" s="53">
        <v>2</v>
      </c>
      <c r="F568" s="16">
        <f t="shared" si="38"/>
        <v>16000</v>
      </c>
      <c r="H568" s="10">
        <v>564</v>
      </c>
    </row>
    <row r="569" spans="1:8" s="3" customFormat="1">
      <c r="A569" s="40">
        <v>11</v>
      </c>
      <c r="B569" s="41" t="s">
        <v>94</v>
      </c>
      <c r="C569" s="42" t="str">
        <f>Gia_VLieu!C13</f>
        <v>Cái</v>
      </c>
      <c r="D569" s="67">
        <f>Gia_VLieu!D13</f>
        <v>15000</v>
      </c>
      <c r="E569" s="54">
        <v>10</v>
      </c>
      <c r="F569" s="38">
        <f>D569*E569</f>
        <v>150000</v>
      </c>
      <c r="H569" s="10">
        <v>565</v>
      </c>
    </row>
    <row r="570" spans="1:8" s="3" customFormat="1">
      <c r="A570" s="13" t="e">
        <f>#REF!</f>
        <v>#REF!</v>
      </c>
      <c r="B570" s="5" t="e">
        <f>#REF!</f>
        <v>#REF!</v>
      </c>
      <c r="C570" s="6"/>
      <c r="D570" s="127">
        <f>Gia_VLieu!D$14</f>
        <v>1.08</v>
      </c>
      <c r="E570" s="45"/>
      <c r="F570" s="18" t="e">
        <f>SUM(F571:F581)*D570</f>
        <v>#REF!</v>
      </c>
      <c r="H570" s="10">
        <v>566</v>
      </c>
    </row>
    <row r="571" spans="1:8" s="3" customFormat="1">
      <c r="A571" s="13">
        <v>1</v>
      </c>
      <c r="B571" s="5" t="s">
        <v>85</v>
      </c>
      <c r="C571" s="6" t="str">
        <f>Gia_VLieu!C4</f>
        <v>Gram</v>
      </c>
      <c r="D571" s="66">
        <f>Gia_VLieu!D4</f>
        <v>45000</v>
      </c>
      <c r="E571" s="53">
        <v>2</v>
      </c>
      <c r="F571" s="16">
        <f>D571*E571</f>
        <v>90000</v>
      </c>
      <c r="H571" s="10">
        <v>567</v>
      </c>
    </row>
    <row r="572" spans="1:8" s="3" customFormat="1">
      <c r="A572" s="13">
        <v>2</v>
      </c>
      <c r="B572" s="5" t="s">
        <v>86</v>
      </c>
      <c r="C572" s="6" t="str">
        <f>Gia_VLieu!C5</f>
        <v>Hộp</v>
      </c>
      <c r="D572" s="66">
        <f>Gia_VLieu!D5</f>
        <v>1450000</v>
      </c>
      <c r="E572" s="53">
        <v>0.02</v>
      </c>
      <c r="F572" s="16">
        <f t="shared" ref="F572:F580" si="39">D572*E572</f>
        <v>29000</v>
      </c>
      <c r="H572" s="10">
        <v>568</v>
      </c>
    </row>
    <row r="573" spans="1:8" s="3" customFormat="1">
      <c r="A573" s="13">
        <v>3</v>
      </c>
      <c r="B573" s="5" t="s">
        <v>87</v>
      </c>
      <c r="C573" s="6" t="e">
        <f>Gia_VLieu!#REF!</f>
        <v>#REF!</v>
      </c>
      <c r="D573" s="66" t="e">
        <f>Gia_VLieu!#REF!</f>
        <v>#REF!</v>
      </c>
      <c r="E573" s="53">
        <v>0.02</v>
      </c>
      <c r="F573" s="16" t="e">
        <f t="shared" si="39"/>
        <v>#REF!</v>
      </c>
      <c r="H573" s="10">
        <v>569</v>
      </c>
    </row>
    <row r="574" spans="1:8" s="3" customFormat="1">
      <c r="A574" s="13">
        <v>4</v>
      </c>
      <c r="B574" s="5" t="s">
        <v>88</v>
      </c>
      <c r="C574" s="6" t="str">
        <f>Gia_VLieu!C6</f>
        <v>Quyển</v>
      </c>
      <c r="D574" s="66">
        <f>Gia_VLieu!D6</f>
        <v>10000</v>
      </c>
      <c r="E574" s="53">
        <v>5</v>
      </c>
      <c r="F574" s="16">
        <f t="shared" si="39"/>
        <v>50000</v>
      </c>
      <c r="H574" s="10">
        <v>570</v>
      </c>
    </row>
    <row r="575" spans="1:8" s="3" customFormat="1">
      <c r="A575" s="13">
        <v>5</v>
      </c>
      <c r="B575" s="5" t="s">
        <v>22</v>
      </c>
      <c r="C575" s="6" t="str">
        <f>Gia_VLieu!C7</f>
        <v>Cái</v>
      </c>
      <c r="D575" s="66">
        <f>Gia_VLieu!D7</f>
        <v>2000</v>
      </c>
      <c r="E575" s="53">
        <v>6</v>
      </c>
      <c r="F575" s="16">
        <f t="shared" si="39"/>
        <v>12000</v>
      </c>
      <c r="H575" s="10">
        <v>571</v>
      </c>
    </row>
    <row r="576" spans="1:8" s="3" customFormat="1">
      <c r="A576" s="13">
        <v>6</v>
      </c>
      <c r="B576" s="5" t="s">
        <v>89</v>
      </c>
      <c r="C576" s="6" t="str">
        <f>Gia_VLieu!C8</f>
        <v>Cái</v>
      </c>
      <c r="D576" s="66">
        <f>Gia_VLieu!D8</f>
        <v>8000</v>
      </c>
      <c r="E576" s="53">
        <v>12</v>
      </c>
      <c r="F576" s="16">
        <f t="shared" si="39"/>
        <v>96000</v>
      </c>
      <c r="H576" s="10">
        <v>572</v>
      </c>
    </row>
    <row r="577" spans="1:8" s="3" customFormat="1">
      <c r="A577" s="13">
        <v>7</v>
      </c>
      <c r="B577" s="5" t="s">
        <v>90</v>
      </c>
      <c r="C577" s="6" t="str">
        <f>Gia_VLieu!C9</f>
        <v>Cái</v>
      </c>
      <c r="D577" s="66">
        <f>Gia_VLieu!D9</f>
        <v>10000</v>
      </c>
      <c r="E577" s="53">
        <v>14</v>
      </c>
      <c r="F577" s="16">
        <f t="shared" si="39"/>
        <v>140000</v>
      </c>
      <c r="H577" s="10">
        <v>573</v>
      </c>
    </row>
    <row r="578" spans="1:8" s="3" customFormat="1">
      <c r="A578" s="13">
        <v>8</v>
      </c>
      <c r="B578" s="5" t="s">
        <v>91</v>
      </c>
      <c r="C578" s="6" t="str">
        <f>Gia_VLieu!C10</f>
        <v>Hộp</v>
      </c>
      <c r="D578" s="66">
        <f>Gia_VLieu!D10</f>
        <v>2500</v>
      </c>
      <c r="E578" s="53">
        <v>4</v>
      </c>
      <c r="F578" s="16">
        <f t="shared" si="39"/>
        <v>10000</v>
      </c>
      <c r="H578" s="10">
        <v>574</v>
      </c>
    </row>
    <row r="579" spans="1:8" s="3" customFormat="1">
      <c r="A579" s="13">
        <v>9</v>
      </c>
      <c r="B579" s="5" t="s">
        <v>92</v>
      </c>
      <c r="C579" s="6" t="str">
        <f>Gia_VLieu!C11</f>
        <v>Hộp</v>
      </c>
      <c r="D579" s="66">
        <f>Gia_VLieu!D11</f>
        <v>2000</v>
      </c>
      <c r="E579" s="53">
        <v>2</v>
      </c>
      <c r="F579" s="16">
        <f t="shared" si="39"/>
        <v>4000</v>
      </c>
      <c r="H579" s="10">
        <v>575</v>
      </c>
    </row>
    <row r="580" spans="1:8" s="3" customFormat="1">
      <c r="A580" s="13">
        <v>10</v>
      </c>
      <c r="B580" s="5" t="s">
        <v>93</v>
      </c>
      <c r="C580" s="6" t="str">
        <f>Gia_VLieu!C12</f>
        <v>Tập</v>
      </c>
      <c r="D580" s="66">
        <f>Gia_VLieu!D12</f>
        <v>8000</v>
      </c>
      <c r="E580" s="53">
        <v>3</v>
      </c>
      <c r="F580" s="16">
        <f t="shared" si="39"/>
        <v>24000</v>
      </c>
      <c r="H580" s="10">
        <v>576</v>
      </c>
    </row>
    <row r="581" spans="1:8" s="3" customFormat="1">
      <c r="A581" s="40">
        <v>11</v>
      </c>
      <c r="B581" s="41" t="s">
        <v>94</v>
      </c>
      <c r="C581" s="42" t="str">
        <f>Gia_VLieu!C13</f>
        <v>Cái</v>
      </c>
      <c r="D581" s="67">
        <f>Gia_VLieu!D13</f>
        <v>15000</v>
      </c>
      <c r="E581" s="54">
        <v>8</v>
      </c>
      <c r="F581" s="38">
        <f>D581*E581</f>
        <v>120000</v>
      </c>
      <c r="H581" s="10">
        <v>577</v>
      </c>
    </row>
    <row r="582" spans="1:8" s="33" customFormat="1">
      <c r="A582" s="31" t="e">
        <f>#REF!</f>
        <v>#REF!</v>
      </c>
      <c r="B582" s="32" t="e">
        <f>#REF!</f>
        <v>#REF!</v>
      </c>
      <c r="C582" s="15"/>
      <c r="D582" s="70"/>
      <c r="E582" s="45"/>
      <c r="F582" s="18"/>
      <c r="H582" s="10">
        <v>578</v>
      </c>
    </row>
    <row r="583" spans="1:8" s="3" customFormat="1">
      <c r="A583" s="13" t="e">
        <f>#REF!</f>
        <v>#REF!</v>
      </c>
      <c r="B583" s="5" t="e">
        <f>#REF!</f>
        <v>#REF!</v>
      </c>
      <c r="C583" s="6"/>
      <c r="D583" s="66"/>
      <c r="E583" s="30"/>
      <c r="F583" s="16"/>
      <c r="H583" s="10">
        <v>579</v>
      </c>
    </row>
    <row r="584" spans="1:8" s="9" customFormat="1">
      <c r="A584" s="24" t="e">
        <f>#REF!</f>
        <v>#REF!</v>
      </c>
      <c r="B584" s="113" t="e">
        <f>#REF!</f>
        <v>#REF!</v>
      </c>
      <c r="C584" s="114"/>
      <c r="D584" s="114"/>
      <c r="E584" s="114"/>
      <c r="F584" s="115"/>
      <c r="H584" s="10">
        <v>580</v>
      </c>
    </row>
    <row r="585" spans="1:8" s="33" customFormat="1">
      <c r="A585" s="31" t="e">
        <f>#REF!</f>
        <v>#REF!</v>
      </c>
      <c r="B585" s="32" t="e">
        <f>#REF!</f>
        <v>#REF!</v>
      </c>
      <c r="C585" s="15"/>
      <c r="D585" s="127">
        <f>Gia_VLieu!D$14</f>
        <v>1.08</v>
      </c>
      <c r="E585" s="45"/>
      <c r="F585" s="18" t="e">
        <f>SUM(F586:F596)*D585</f>
        <v>#REF!</v>
      </c>
      <c r="H585" s="10">
        <v>581</v>
      </c>
    </row>
    <row r="586" spans="1:8" s="3" customFormat="1">
      <c r="A586" s="13">
        <v>1</v>
      </c>
      <c r="B586" s="5" t="s">
        <v>85</v>
      </c>
      <c r="C586" s="6" t="str">
        <f>Gia_VLieu!C4</f>
        <v>Gram</v>
      </c>
      <c r="D586" s="66">
        <f>Gia_VLieu!D4</f>
        <v>45000</v>
      </c>
      <c r="E586" s="53">
        <v>4</v>
      </c>
      <c r="F586" s="16">
        <f>D586*E586</f>
        <v>180000</v>
      </c>
      <c r="H586" s="10">
        <v>582</v>
      </c>
    </row>
    <row r="587" spans="1:8" s="3" customFormat="1">
      <c r="A587" s="13">
        <v>2</v>
      </c>
      <c r="B587" s="5" t="s">
        <v>86</v>
      </c>
      <c r="C587" s="6" t="str">
        <f>Gia_VLieu!C5</f>
        <v>Hộp</v>
      </c>
      <c r="D587" s="66">
        <f>Gia_VLieu!D5</f>
        <v>1450000</v>
      </c>
      <c r="E587" s="53">
        <v>0.3</v>
      </c>
      <c r="F587" s="16">
        <f t="shared" ref="F587:F595" si="40">D587*E587</f>
        <v>435000</v>
      </c>
      <c r="H587" s="10">
        <v>583</v>
      </c>
    </row>
    <row r="588" spans="1:8" s="3" customFormat="1">
      <c r="A588" s="13">
        <v>3</v>
      </c>
      <c r="B588" s="5" t="s">
        <v>87</v>
      </c>
      <c r="C588" s="6" t="e">
        <f>Gia_VLieu!#REF!</f>
        <v>#REF!</v>
      </c>
      <c r="D588" s="66" t="e">
        <f>Gia_VLieu!#REF!</f>
        <v>#REF!</v>
      </c>
      <c r="E588" s="53">
        <v>0.2</v>
      </c>
      <c r="F588" s="16" t="e">
        <f t="shared" si="40"/>
        <v>#REF!</v>
      </c>
      <c r="H588" s="10">
        <v>584</v>
      </c>
    </row>
    <row r="589" spans="1:8" s="3" customFormat="1">
      <c r="A589" s="13">
        <v>4</v>
      </c>
      <c r="B589" s="5" t="s">
        <v>88</v>
      </c>
      <c r="C589" s="6" t="str">
        <f>Gia_VLieu!C6</f>
        <v>Quyển</v>
      </c>
      <c r="D589" s="66">
        <f>Gia_VLieu!D6</f>
        <v>10000</v>
      </c>
      <c r="E589" s="53">
        <v>12</v>
      </c>
      <c r="F589" s="16">
        <f t="shared" si="40"/>
        <v>120000</v>
      </c>
      <c r="H589" s="10">
        <v>585</v>
      </c>
    </row>
    <row r="590" spans="1:8" s="3" customFormat="1">
      <c r="A590" s="13">
        <v>5</v>
      </c>
      <c r="B590" s="5" t="s">
        <v>22</v>
      </c>
      <c r="C590" s="6" t="str">
        <f>Gia_VLieu!C7</f>
        <v>Cái</v>
      </c>
      <c r="D590" s="66">
        <f>Gia_VLieu!D7</f>
        <v>2000</v>
      </c>
      <c r="E590" s="53">
        <v>25</v>
      </c>
      <c r="F590" s="16">
        <f t="shared" si="40"/>
        <v>50000</v>
      </c>
      <c r="H590" s="10">
        <v>586</v>
      </c>
    </row>
    <row r="591" spans="1:8" s="3" customFormat="1">
      <c r="A591" s="13">
        <v>6</v>
      </c>
      <c r="B591" s="5" t="s">
        <v>89</v>
      </c>
      <c r="C591" s="6" t="str">
        <f>Gia_VLieu!C8</f>
        <v>Cái</v>
      </c>
      <c r="D591" s="66">
        <f>Gia_VLieu!D8</f>
        <v>8000</v>
      </c>
      <c r="E591" s="53">
        <v>20</v>
      </c>
      <c r="F591" s="16">
        <f t="shared" si="40"/>
        <v>160000</v>
      </c>
      <c r="H591" s="10">
        <v>587</v>
      </c>
    </row>
    <row r="592" spans="1:8" s="3" customFormat="1">
      <c r="A592" s="13">
        <v>7</v>
      </c>
      <c r="B592" s="5" t="s">
        <v>90</v>
      </c>
      <c r="C592" s="6" t="str">
        <f>Gia_VLieu!C9</f>
        <v>Cái</v>
      </c>
      <c r="D592" s="66">
        <f>Gia_VLieu!D9</f>
        <v>10000</v>
      </c>
      <c r="E592" s="53">
        <v>20</v>
      </c>
      <c r="F592" s="16">
        <f t="shared" si="40"/>
        <v>200000</v>
      </c>
      <c r="H592" s="10">
        <v>588</v>
      </c>
    </row>
    <row r="593" spans="1:8" s="3" customFormat="1">
      <c r="A593" s="13">
        <v>8</v>
      </c>
      <c r="B593" s="5" t="s">
        <v>91</v>
      </c>
      <c r="C593" s="6" t="str">
        <f>Gia_VLieu!C10</f>
        <v>Hộp</v>
      </c>
      <c r="D593" s="66">
        <f>Gia_VLieu!D10</f>
        <v>2500</v>
      </c>
      <c r="E593" s="53">
        <v>8</v>
      </c>
      <c r="F593" s="16">
        <f t="shared" si="40"/>
        <v>20000</v>
      </c>
      <c r="H593" s="10">
        <v>589</v>
      </c>
    </row>
    <row r="594" spans="1:8" s="3" customFormat="1">
      <c r="A594" s="13">
        <v>9</v>
      </c>
      <c r="B594" s="5" t="s">
        <v>92</v>
      </c>
      <c r="C594" s="6" t="str">
        <f>Gia_VLieu!C11</f>
        <v>Hộp</v>
      </c>
      <c r="D594" s="66">
        <f>Gia_VLieu!D11</f>
        <v>2000</v>
      </c>
      <c r="E594" s="53">
        <v>2</v>
      </c>
      <c r="F594" s="16">
        <f t="shared" si="40"/>
        <v>4000</v>
      </c>
      <c r="H594" s="10">
        <v>590</v>
      </c>
    </row>
    <row r="595" spans="1:8" s="3" customFormat="1">
      <c r="A595" s="13">
        <v>10</v>
      </c>
      <c r="B595" s="5" t="s">
        <v>93</v>
      </c>
      <c r="C595" s="6" t="str">
        <f>Gia_VLieu!C12</f>
        <v>Tập</v>
      </c>
      <c r="D595" s="66">
        <f>Gia_VLieu!D12</f>
        <v>8000</v>
      </c>
      <c r="E595" s="53">
        <v>5</v>
      </c>
      <c r="F595" s="16">
        <f t="shared" si="40"/>
        <v>40000</v>
      </c>
      <c r="H595" s="10">
        <v>591</v>
      </c>
    </row>
    <row r="596" spans="1:8" s="3" customFormat="1">
      <c r="A596" s="40">
        <v>11</v>
      </c>
      <c r="B596" s="41" t="s">
        <v>94</v>
      </c>
      <c r="C596" s="42" t="str">
        <f>Gia_VLieu!C13</f>
        <v>Cái</v>
      </c>
      <c r="D596" s="67">
        <f>Gia_VLieu!D13</f>
        <v>15000</v>
      </c>
      <c r="E596" s="54">
        <v>8</v>
      </c>
      <c r="F596" s="38">
        <f>D596*E596</f>
        <v>120000</v>
      </c>
      <c r="H596" s="10">
        <v>592</v>
      </c>
    </row>
    <row r="597" spans="1:8" s="33" customFormat="1">
      <c r="A597" s="31" t="e">
        <f>#REF!</f>
        <v>#REF!</v>
      </c>
      <c r="B597" s="32" t="e">
        <f>#REF!</f>
        <v>#REF!</v>
      </c>
      <c r="C597" s="15"/>
      <c r="D597" s="127">
        <f>Gia_VLieu!D$14</f>
        <v>1.08</v>
      </c>
      <c r="E597" s="45"/>
      <c r="F597" s="18" t="e">
        <f>SUM(F598:F608)*D597</f>
        <v>#REF!</v>
      </c>
      <c r="H597" s="10">
        <v>593</v>
      </c>
    </row>
    <row r="598" spans="1:8" s="3" customFormat="1">
      <c r="A598" s="13">
        <v>1</v>
      </c>
      <c r="B598" s="5" t="s">
        <v>85</v>
      </c>
      <c r="C598" s="6" t="str">
        <f>Gia_VLieu!C4</f>
        <v>Gram</v>
      </c>
      <c r="D598" s="66">
        <f>Gia_VLieu!D4</f>
        <v>45000</v>
      </c>
      <c r="E598" s="53">
        <v>5</v>
      </c>
      <c r="F598" s="16">
        <f>D598*E598</f>
        <v>225000</v>
      </c>
      <c r="H598" s="10">
        <v>594</v>
      </c>
    </row>
    <row r="599" spans="1:8" s="3" customFormat="1">
      <c r="A599" s="13">
        <v>2</v>
      </c>
      <c r="B599" s="5" t="s">
        <v>86</v>
      </c>
      <c r="C599" s="6" t="str">
        <f>Gia_VLieu!C5</f>
        <v>Hộp</v>
      </c>
      <c r="D599" s="66">
        <f>Gia_VLieu!D5</f>
        <v>1450000</v>
      </c>
      <c r="E599" s="53">
        <v>0.2</v>
      </c>
      <c r="F599" s="16">
        <f t="shared" ref="F599:F607" si="41">D599*E599</f>
        <v>290000</v>
      </c>
      <c r="H599" s="10">
        <v>595</v>
      </c>
    </row>
    <row r="600" spans="1:8" s="3" customFormat="1">
      <c r="A600" s="13">
        <v>3</v>
      </c>
      <c r="B600" s="5" t="s">
        <v>87</v>
      </c>
      <c r="C600" s="6" t="e">
        <f>Gia_VLieu!#REF!</f>
        <v>#REF!</v>
      </c>
      <c r="D600" s="66" t="e">
        <f>Gia_VLieu!#REF!</f>
        <v>#REF!</v>
      </c>
      <c r="E600" s="53">
        <v>0.3</v>
      </c>
      <c r="F600" s="16" t="e">
        <f t="shared" si="41"/>
        <v>#REF!</v>
      </c>
      <c r="H600" s="10">
        <v>596</v>
      </c>
    </row>
    <row r="601" spans="1:8" s="3" customFormat="1">
      <c r="A601" s="13">
        <v>4</v>
      </c>
      <c r="B601" s="5" t="s">
        <v>88</v>
      </c>
      <c r="C601" s="6" t="str">
        <f>Gia_VLieu!C6</f>
        <v>Quyển</v>
      </c>
      <c r="D601" s="66">
        <f>Gia_VLieu!D6</f>
        <v>10000</v>
      </c>
      <c r="E601" s="53">
        <v>8</v>
      </c>
      <c r="F601" s="16">
        <f t="shared" si="41"/>
        <v>80000</v>
      </c>
      <c r="H601" s="10">
        <v>597</v>
      </c>
    </row>
    <row r="602" spans="1:8" s="3" customFormat="1">
      <c r="A602" s="13">
        <v>5</v>
      </c>
      <c r="B602" s="5" t="s">
        <v>22</v>
      </c>
      <c r="C602" s="6" t="str">
        <f>Gia_VLieu!C7</f>
        <v>Cái</v>
      </c>
      <c r="D602" s="66">
        <f>Gia_VLieu!D7</f>
        <v>2000</v>
      </c>
      <c r="E602" s="53">
        <v>20</v>
      </c>
      <c r="F602" s="16">
        <f t="shared" si="41"/>
        <v>40000</v>
      </c>
      <c r="H602" s="10">
        <v>598</v>
      </c>
    </row>
    <row r="603" spans="1:8" s="3" customFormat="1">
      <c r="A603" s="13">
        <v>6</v>
      </c>
      <c r="B603" s="5" t="s">
        <v>89</v>
      </c>
      <c r="C603" s="6" t="str">
        <f>Gia_VLieu!C8</f>
        <v>Cái</v>
      </c>
      <c r="D603" s="66">
        <f>Gia_VLieu!D8</f>
        <v>8000</v>
      </c>
      <c r="E603" s="53">
        <v>25</v>
      </c>
      <c r="F603" s="16">
        <f t="shared" si="41"/>
        <v>200000</v>
      </c>
      <c r="H603" s="10">
        <v>599</v>
      </c>
    </row>
    <row r="604" spans="1:8" s="3" customFormat="1">
      <c r="A604" s="13">
        <v>7</v>
      </c>
      <c r="B604" s="5" t="s">
        <v>90</v>
      </c>
      <c r="C604" s="6" t="str">
        <f>Gia_VLieu!C9</f>
        <v>Cái</v>
      </c>
      <c r="D604" s="66">
        <f>Gia_VLieu!D9</f>
        <v>10000</v>
      </c>
      <c r="E604" s="53">
        <v>25</v>
      </c>
      <c r="F604" s="16">
        <f t="shared" si="41"/>
        <v>250000</v>
      </c>
      <c r="H604" s="10">
        <v>600</v>
      </c>
    </row>
    <row r="605" spans="1:8" s="3" customFormat="1">
      <c r="A605" s="13">
        <v>8</v>
      </c>
      <c r="B605" s="5" t="s">
        <v>91</v>
      </c>
      <c r="C605" s="6" t="str">
        <f>Gia_VLieu!C10</f>
        <v>Hộp</v>
      </c>
      <c r="D605" s="66">
        <f>Gia_VLieu!D10</f>
        <v>2500</v>
      </c>
      <c r="E605" s="53">
        <v>6</v>
      </c>
      <c r="F605" s="16">
        <f t="shared" si="41"/>
        <v>15000</v>
      </c>
      <c r="H605" s="10">
        <v>601</v>
      </c>
    </row>
    <row r="606" spans="1:8" s="3" customFormat="1">
      <c r="A606" s="13">
        <v>9</v>
      </c>
      <c r="B606" s="5" t="s">
        <v>92</v>
      </c>
      <c r="C606" s="6" t="str">
        <f>Gia_VLieu!C11</f>
        <v>Hộp</v>
      </c>
      <c r="D606" s="66">
        <f>Gia_VLieu!D11</f>
        <v>2000</v>
      </c>
      <c r="E606" s="53">
        <v>6</v>
      </c>
      <c r="F606" s="16">
        <f t="shared" si="41"/>
        <v>12000</v>
      </c>
      <c r="H606" s="10">
        <v>602</v>
      </c>
    </row>
    <row r="607" spans="1:8" s="3" customFormat="1">
      <c r="A607" s="13">
        <v>10</v>
      </c>
      <c r="B607" s="5" t="s">
        <v>93</v>
      </c>
      <c r="C607" s="6" t="str">
        <f>Gia_VLieu!C12</f>
        <v>Tập</v>
      </c>
      <c r="D607" s="66">
        <f>Gia_VLieu!D12</f>
        <v>8000</v>
      </c>
      <c r="E607" s="53">
        <v>4</v>
      </c>
      <c r="F607" s="16">
        <f t="shared" si="41"/>
        <v>32000</v>
      </c>
      <c r="H607" s="10">
        <v>603</v>
      </c>
    </row>
    <row r="608" spans="1:8" s="3" customFormat="1">
      <c r="A608" s="40">
        <v>11</v>
      </c>
      <c r="B608" s="41" t="s">
        <v>94</v>
      </c>
      <c r="C608" s="42" t="str">
        <f>Gia_VLieu!C13</f>
        <v>Cái</v>
      </c>
      <c r="D608" s="67">
        <f>Gia_VLieu!D13</f>
        <v>15000</v>
      </c>
      <c r="E608" s="54">
        <v>20</v>
      </c>
      <c r="F608" s="38">
        <f>D608*E608</f>
        <v>300000</v>
      </c>
      <c r="H608" s="10">
        <v>604</v>
      </c>
    </row>
    <row r="609" spans="1:8" s="33" customFormat="1">
      <c r="A609" s="31" t="e">
        <f>#REF!</f>
        <v>#REF!</v>
      </c>
      <c r="B609" s="32" t="e">
        <f>#REF!</f>
        <v>#REF!</v>
      </c>
      <c r="C609" s="15"/>
      <c r="D609" s="70"/>
      <c r="E609" s="45"/>
      <c r="F609" s="18"/>
      <c r="H609" s="10">
        <v>605</v>
      </c>
    </row>
    <row r="610" spans="1:8" s="3" customFormat="1">
      <c r="A610" s="13" t="e">
        <f>#REF!</f>
        <v>#REF!</v>
      </c>
      <c r="B610" s="5" t="e">
        <f>#REF!</f>
        <v>#REF!</v>
      </c>
      <c r="C610" s="6"/>
      <c r="D610" s="127">
        <f>Gia_VLieu!D$14</f>
        <v>1.08</v>
      </c>
      <c r="E610" s="45"/>
      <c r="F610" s="18" t="e">
        <f>SUM(F611:F621)*D610</f>
        <v>#REF!</v>
      </c>
      <c r="H610" s="10">
        <v>606</v>
      </c>
    </row>
    <row r="611" spans="1:8" s="3" customFormat="1">
      <c r="A611" s="13">
        <v>1</v>
      </c>
      <c r="B611" s="5" t="s">
        <v>85</v>
      </c>
      <c r="C611" s="6" t="str">
        <f>Gia_VLieu!C4</f>
        <v>Gram</v>
      </c>
      <c r="D611" s="66">
        <f>Gia_VLieu!D4</f>
        <v>45000</v>
      </c>
      <c r="E611" s="53">
        <v>2</v>
      </c>
      <c r="F611" s="16">
        <f>D611*E611</f>
        <v>90000</v>
      </c>
      <c r="H611" s="10">
        <v>607</v>
      </c>
    </row>
    <row r="612" spans="1:8" s="3" customFormat="1">
      <c r="A612" s="13">
        <v>2</v>
      </c>
      <c r="B612" s="5" t="s">
        <v>86</v>
      </c>
      <c r="C612" s="6" t="str">
        <f>Gia_VLieu!C5</f>
        <v>Hộp</v>
      </c>
      <c r="D612" s="66">
        <f>Gia_VLieu!D5</f>
        <v>1450000</v>
      </c>
      <c r="E612" s="53">
        <v>0.1</v>
      </c>
      <c r="F612" s="16">
        <f t="shared" ref="F612:F620" si="42">D612*E612</f>
        <v>145000</v>
      </c>
      <c r="H612" s="10">
        <v>608</v>
      </c>
    </row>
    <row r="613" spans="1:8" s="3" customFormat="1">
      <c r="A613" s="13">
        <v>3</v>
      </c>
      <c r="B613" s="5" t="s">
        <v>87</v>
      </c>
      <c r="C613" s="6" t="e">
        <f>Gia_VLieu!#REF!</f>
        <v>#REF!</v>
      </c>
      <c r="D613" s="66" t="e">
        <f>Gia_VLieu!#REF!</f>
        <v>#REF!</v>
      </c>
      <c r="E613" s="53">
        <v>0.2</v>
      </c>
      <c r="F613" s="16" t="e">
        <f t="shared" si="42"/>
        <v>#REF!</v>
      </c>
      <c r="H613" s="10">
        <v>609</v>
      </c>
    </row>
    <row r="614" spans="1:8" s="3" customFormat="1">
      <c r="A614" s="13">
        <v>4</v>
      </c>
      <c r="B614" s="5" t="s">
        <v>88</v>
      </c>
      <c r="C614" s="6" t="str">
        <f>Gia_VLieu!C6</f>
        <v>Quyển</v>
      </c>
      <c r="D614" s="66">
        <f>Gia_VLieu!D6</f>
        <v>10000</v>
      </c>
      <c r="E614" s="53">
        <v>6</v>
      </c>
      <c r="F614" s="16">
        <f t="shared" si="42"/>
        <v>60000</v>
      </c>
      <c r="H614" s="10">
        <v>610</v>
      </c>
    </row>
    <row r="615" spans="1:8" s="3" customFormat="1">
      <c r="A615" s="13">
        <v>5</v>
      </c>
      <c r="B615" s="5" t="s">
        <v>22</v>
      </c>
      <c r="C615" s="6" t="str">
        <f>Gia_VLieu!C7</f>
        <v>Cái</v>
      </c>
      <c r="D615" s="66">
        <f>Gia_VLieu!D7</f>
        <v>2000</v>
      </c>
      <c r="E615" s="53">
        <v>15</v>
      </c>
      <c r="F615" s="16">
        <f t="shared" si="42"/>
        <v>30000</v>
      </c>
      <c r="H615" s="10">
        <v>611</v>
      </c>
    </row>
    <row r="616" spans="1:8" s="3" customFormat="1">
      <c r="A616" s="13">
        <v>6</v>
      </c>
      <c r="B616" s="5" t="s">
        <v>89</v>
      </c>
      <c r="C616" s="6" t="str">
        <f>Gia_VLieu!C8</f>
        <v>Cái</v>
      </c>
      <c r="D616" s="66">
        <f>Gia_VLieu!D8</f>
        <v>8000</v>
      </c>
      <c r="E616" s="53">
        <v>24</v>
      </c>
      <c r="F616" s="16">
        <f t="shared" si="42"/>
        <v>192000</v>
      </c>
      <c r="H616" s="10">
        <v>612</v>
      </c>
    </row>
    <row r="617" spans="1:8" s="3" customFormat="1">
      <c r="A617" s="13">
        <v>7</v>
      </c>
      <c r="B617" s="5" t="s">
        <v>90</v>
      </c>
      <c r="C617" s="6" t="str">
        <f>Gia_VLieu!C9</f>
        <v>Cái</v>
      </c>
      <c r="D617" s="66">
        <f>Gia_VLieu!D9</f>
        <v>10000</v>
      </c>
      <c r="E617" s="53">
        <v>24</v>
      </c>
      <c r="F617" s="16">
        <f t="shared" si="42"/>
        <v>240000</v>
      </c>
      <c r="H617" s="10">
        <v>613</v>
      </c>
    </row>
    <row r="618" spans="1:8" s="3" customFormat="1">
      <c r="A618" s="13">
        <v>8</v>
      </c>
      <c r="B618" s="5" t="s">
        <v>91</v>
      </c>
      <c r="C618" s="6" t="str">
        <f>Gia_VLieu!C10</f>
        <v>Hộp</v>
      </c>
      <c r="D618" s="66">
        <f>Gia_VLieu!D10</f>
        <v>2500</v>
      </c>
      <c r="E618" s="53">
        <v>5</v>
      </c>
      <c r="F618" s="16">
        <f t="shared" si="42"/>
        <v>12500</v>
      </c>
      <c r="H618" s="10">
        <v>614</v>
      </c>
    </row>
    <row r="619" spans="1:8" s="3" customFormat="1">
      <c r="A619" s="13">
        <v>9</v>
      </c>
      <c r="B619" s="5" t="s">
        <v>92</v>
      </c>
      <c r="C619" s="6" t="str">
        <f>Gia_VLieu!C11</f>
        <v>Hộp</v>
      </c>
      <c r="D619" s="66">
        <f>Gia_VLieu!D11</f>
        <v>2000</v>
      </c>
      <c r="E619" s="53">
        <v>4</v>
      </c>
      <c r="F619" s="16">
        <f t="shared" si="42"/>
        <v>8000</v>
      </c>
      <c r="H619" s="10">
        <v>615</v>
      </c>
    </row>
    <row r="620" spans="1:8" s="3" customFormat="1">
      <c r="A620" s="13">
        <v>10</v>
      </c>
      <c r="B620" s="5" t="s">
        <v>93</v>
      </c>
      <c r="C620" s="6" t="str">
        <f>Gia_VLieu!C12</f>
        <v>Tập</v>
      </c>
      <c r="D620" s="66">
        <f>Gia_VLieu!D12</f>
        <v>8000</v>
      </c>
      <c r="E620" s="53">
        <v>4</v>
      </c>
      <c r="F620" s="16">
        <f t="shared" si="42"/>
        <v>32000</v>
      </c>
      <c r="H620" s="10">
        <v>616</v>
      </c>
    </row>
    <row r="621" spans="1:8" s="3" customFormat="1">
      <c r="A621" s="40">
        <v>11</v>
      </c>
      <c r="B621" s="41" t="s">
        <v>94</v>
      </c>
      <c r="C621" s="42" t="str">
        <f>Gia_VLieu!C13</f>
        <v>Cái</v>
      </c>
      <c r="D621" s="67">
        <f>Gia_VLieu!D13</f>
        <v>15000</v>
      </c>
      <c r="E621" s="54">
        <v>20</v>
      </c>
      <c r="F621" s="38">
        <f>D621*E621</f>
        <v>300000</v>
      </c>
      <c r="H621" s="10">
        <v>617</v>
      </c>
    </row>
    <row r="622" spans="1:8" s="3" customFormat="1">
      <c r="A622" s="13" t="e">
        <f>#REF!</f>
        <v>#REF!</v>
      </c>
      <c r="B622" s="5" t="e">
        <f>#REF!</f>
        <v>#REF!</v>
      </c>
      <c r="C622" s="6"/>
      <c r="D622" s="127">
        <f>Gia_VLieu!D$14</f>
        <v>1.08</v>
      </c>
      <c r="E622" s="45"/>
      <c r="F622" s="18" t="e">
        <f>SUM(F623:F633)*D622</f>
        <v>#REF!</v>
      </c>
      <c r="H622" s="10">
        <v>618</v>
      </c>
    </row>
    <row r="623" spans="1:8" s="3" customFormat="1">
      <c r="A623" s="13">
        <v>1</v>
      </c>
      <c r="B623" s="5" t="s">
        <v>85</v>
      </c>
      <c r="C623" s="6" t="str">
        <f>Gia_VLieu!C4</f>
        <v>Gram</v>
      </c>
      <c r="D623" s="66">
        <f>Gia_VLieu!D4</f>
        <v>45000</v>
      </c>
      <c r="E623" s="53">
        <v>2</v>
      </c>
      <c r="F623" s="16">
        <f>D623*E623</f>
        <v>90000</v>
      </c>
      <c r="H623" s="10">
        <v>619</v>
      </c>
    </row>
    <row r="624" spans="1:8" s="3" customFormat="1">
      <c r="A624" s="13">
        <v>2</v>
      </c>
      <c r="B624" s="5" t="s">
        <v>86</v>
      </c>
      <c r="C624" s="6" t="str">
        <f>Gia_VLieu!C5</f>
        <v>Hộp</v>
      </c>
      <c r="D624" s="66">
        <f>Gia_VLieu!D5</f>
        <v>1450000</v>
      </c>
      <c r="E624" s="53">
        <v>0.15</v>
      </c>
      <c r="F624" s="16">
        <f t="shared" ref="F624:F632" si="43">D624*E624</f>
        <v>217500</v>
      </c>
      <c r="H624" s="10">
        <v>620</v>
      </c>
    </row>
    <row r="625" spans="1:8" s="3" customFormat="1">
      <c r="A625" s="13">
        <v>3</v>
      </c>
      <c r="B625" s="5" t="s">
        <v>87</v>
      </c>
      <c r="C625" s="6" t="e">
        <f>Gia_VLieu!#REF!</f>
        <v>#REF!</v>
      </c>
      <c r="D625" s="66" t="e">
        <f>Gia_VLieu!#REF!</f>
        <v>#REF!</v>
      </c>
      <c r="E625" s="53">
        <v>0.1</v>
      </c>
      <c r="F625" s="16" t="e">
        <f t="shared" si="43"/>
        <v>#REF!</v>
      </c>
      <c r="H625" s="10">
        <v>621</v>
      </c>
    </row>
    <row r="626" spans="1:8" s="3" customFormat="1">
      <c r="A626" s="13">
        <v>4</v>
      </c>
      <c r="B626" s="5" t="s">
        <v>88</v>
      </c>
      <c r="C626" s="6" t="str">
        <f>Gia_VLieu!C6</f>
        <v>Quyển</v>
      </c>
      <c r="D626" s="66">
        <f>Gia_VLieu!D6</f>
        <v>10000</v>
      </c>
      <c r="E626" s="53">
        <v>8</v>
      </c>
      <c r="F626" s="16">
        <f t="shared" si="43"/>
        <v>80000</v>
      </c>
      <c r="H626" s="10">
        <v>622</v>
      </c>
    </row>
    <row r="627" spans="1:8" s="3" customFormat="1">
      <c r="A627" s="13">
        <v>5</v>
      </c>
      <c r="B627" s="5" t="s">
        <v>22</v>
      </c>
      <c r="C627" s="6" t="str">
        <f>Gia_VLieu!C7</f>
        <v>Cái</v>
      </c>
      <c r="D627" s="66">
        <f>Gia_VLieu!D7</f>
        <v>2000</v>
      </c>
      <c r="E627" s="53">
        <v>12</v>
      </c>
      <c r="F627" s="16">
        <f t="shared" si="43"/>
        <v>24000</v>
      </c>
      <c r="H627" s="10">
        <v>623</v>
      </c>
    </row>
    <row r="628" spans="1:8" s="3" customFormat="1">
      <c r="A628" s="13">
        <v>6</v>
      </c>
      <c r="B628" s="5" t="s">
        <v>89</v>
      </c>
      <c r="C628" s="6" t="str">
        <f>Gia_VLieu!C8</f>
        <v>Cái</v>
      </c>
      <c r="D628" s="66">
        <f>Gia_VLieu!D8</f>
        <v>8000</v>
      </c>
      <c r="E628" s="53">
        <v>12</v>
      </c>
      <c r="F628" s="16">
        <f t="shared" si="43"/>
        <v>96000</v>
      </c>
      <c r="H628" s="10">
        <v>624</v>
      </c>
    </row>
    <row r="629" spans="1:8" s="3" customFormat="1">
      <c r="A629" s="13">
        <v>7</v>
      </c>
      <c r="B629" s="5" t="s">
        <v>90</v>
      </c>
      <c r="C629" s="6" t="str">
        <f>Gia_VLieu!C9</f>
        <v>Cái</v>
      </c>
      <c r="D629" s="66">
        <f>Gia_VLieu!D9</f>
        <v>10000</v>
      </c>
      <c r="E629" s="53">
        <v>12</v>
      </c>
      <c r="F629" s="16">
        <f t="shared" si="43"/>
        <v>120000</v>
      </c>
      <c r="H629" s="10">
        <v>625</v>
      </c>
    </row>
    <row r="630" spans="1:8" s="3" customFormat="1">
      <c r="A630" s="13">
        <v>8</v>
      </c>
      <c r="B630" s="5" t="s">
        <v>91</v>
      </c>
      <c r="C630" s="6" t="str">
        <f>Gia_VLieu!C10</f>
        <v>Hộp</v>
      </c>
      <c r="D630" s="66">
        <f>Gia_VLieu!D10</f>
        <v>2500</v>
      </c>
      <c r="E630" s="53">
        <v>4</v>
      </c>
      <c r="F630" s="16">
        <f t="shared" si="43"/>
        <v>10000</v>
      </c>
      <c r="H630" s="10">
        <v>626</v>
      </c>
    </row>
    <row r="631" spans="1:8" s="3" customFormat="1">
      <c r="A631" s="13">
        <v>9</v>
      </c>
      <c r="B631" s="5" t="s">
        <v>92</v>
      </c>
      <c r="C631" s="6" t="str">
        <f>Gia_VLieu!C11</f>
        <v>Hộp</v>
      </c>
      <c r="D631" s="66">
        <f>Gia_VLieu!D11</f>
        <v>2000</v>
      </c>
      <c r="E631" s="53">
        <v>3</v>
      </c>
      <c r="F631" s="16">
        <f t="shared" si="43"/>
        <v>6000</v>
      </c>
      <c r="H631" s="10">
        <v>627</v>
      </c>
    </row>
    <row r="632" spans="1:8" s="3" customFormat="1">
      <c r="A632" s="13">
        <v>10</v>
      </c>
      <c r="B632" s="5" t="s">
        <v>93</v>
      </c>
      <c r="C632" s="6" t="str">
        <f>Gia_VLieu!C12</f>
        <v>Tập</v>
      </c>
      <c r="D632" s="66">
        <f>Gia_VLieu!D12</f>
        <v>8000</v>
      </c>
      <c r="E632" s="53">
        <v>3</v>
      </c>
      <c r="F632" s="16">
        <f t="shared" si="43"/>
        <v>24000</v>
      </c>
      <c r="H632" s="10">
        <v>628</v>
      </c>
    </row>
    <row r="633" spans="1:8" s="3" customFormat="1">
      <c r="A633" s="40">
        <v>11</v>
      </c>
      <c r="B633" s="41" t="s">
        <v>94</v>
      </c>
      <c r="C633" s="42" t="str">
        <f>Gia_VLieu!C13</f>
        <v>Cái</v>
      </c>
      <c r="D633" s="67">
        <f>Gia_VLieu!D13</f>
        <v>15000</v>
      </c>
      <c r="E633" s="54">
        <v>15</v>
      </c>
      <c r="F633" s="38">
        <f>D633*E633</f>
        <v>225000</v>
      </c>
      <c r="H633" s="10">
        <v>629</v>
      </c>
    </row>
    <row r="634" spans="1:8" s="14" customFormat="1">
      <c r="A634" s="12" t="e">
        <f>#REF!</f>
        <v>#REF!</v>
      </c>
      <c r="B634" s="8" t="e">
        <f>#REF!</f>
        <v>#REF!</v>
      </c>
      <c r="C634" s="7"/>
      <c r="D634" s="72"/>
      <c r="E634" s="48"/>
      <c r="F634" s="17"/>
      <c r="H634" s="10">
        <v>630</v>
      </c>
    </row>
    <row r="635" spans="1:8" s="33" customFormat="1">
      <c r="A635" s="31" t="e">
        <f>#REF!</f>
        <v>#REF!</v>
      </c>
      <c r="B635" s="32" t="e">
        <f>#REF!</f>
        <v>#REF!</v>
      </c>
      <c r="C635" s="15"/>
      <c r="D635" s="70"/>
      <c r="E635" s="45"/>
      <c r="F635" s="18"/>
      <c r="H635" s="10">
        <v>631</v>
      </c>
    </row>
    <row r="636" spans="1:8" s="33" customFormat="1">
      <c r="A636" s="31" t="e">
        <f>#REF!</f>
        <v>#REF!</v>
      </c>
      <c r="B636" s="32" t="e">
        <f>#REF!</f>
        <v>#REF!</v>
      </c>
      <c r="C636" s="15"/>
      <c r="D636" s="127">
        <f>Gia_VLieu!D$14</f>
        <v>1.08</v>
      </c>
      <c r="E636" s="45"/>
      <c r="F636" s="18" t="e">
        <f>SUM(F637:F647)*D636</f>
        <v>#REF!</v>
      </c>
      <c r="H636" s="10">
        <v>632</v>
      </c>
    </row>
    <row r="637" spans="1:8" s="3" customFormat="1">
      <c r="A637" s="13">
        <v>1</v>
      </c>
      <c r="B637" s="5" t="s">
        <v>85</v>
      </c>
      <c r="C637" s="6" t="str">
        <f>Gia_VLieu!C4</f>
        <v>Gram</v>
      </c>
      <c r="D637" s="66">
        <f>Gia_VLieu!D4</f>
        <v>45000</v>
      </c>
      <c r="E637" s="53">
        <v>2</v>
      </c>
      <c r="F637" s="16">
        <f>D637*E637</f>
        <v>90000</v>
      </c>
      <c r="H637" s="10">
        <v>633</v>
      </c>
    </row>
    <row r="638" spans="1:8" s="3" customFormat="1">
      <c r="A638" s="13">
        <v>2</v>
      </c>
      <c r="B638" s="5" t="s">
        <v>86</v>
      </c>
      <c r="C638" s="6" t="str">
        <f>Gia_VLieu!C5</f>
        <v>Hộp</v>
      </c>
      <c r="D638" s="66">
        <f>Gia_VLieu!D5</f>
        <v>1450000</v>
      </c>
      <c r="E638" s="53">
        <v>0.1</v>
      </c>
      <c r="F638" s="16">
        <f t="shared" ref="F638:F646" si="44">D638*E638</f>
        <v>145000</v>
      </c>
      <c r="H638" s="10">
        <v>634</v>
      </c>
    </row>
    <row r="639" spans="1:8" s="3" customFormat="1">
      <c r="A639" s="13">
        <v>3</v>
      </c>
      <c r="B639" s="5" t="s">
        <v>87</v>
      </c>
      <c r="C639" s="6" t="e">
        <f>Gia_VLieu!#REF!</f>
        <v>#REF!</v>
      </c>
      <c r="D639" s="66" t="e">
        <f>Gia_VLieu!#REF!</f>
        <v>#REF!</v>
      </c>
      <c r="E639" s="53">
        <v>0.2</v>
      </c>
      <c r="F639" s="16" t="e">
        <f t="shared" si="44"/>
        <v>#REF!</v>
      </c>
      <c r="H639" s="10">
        <v>635</v>
      </c>
    </row>
    <row r="640" spans="1:8" s="3" customFormat="1">
      <c r="A640" s="13">
        <v>4</v>
      </c>
      <c r="B640" s="5" t="s">
        <v>88</v>
      </c>
      <c r="C640" s="6" t="str">
        <f>Gia_VLieu!C6</f>
        <v>Quyển</v>
      </c>
      <c r="D640" s="66">
        <f>Gia_VLieu!D6</f>
        <v>10000</v>
      </c>
      <c r="E640" s="53">
        <v>4</v>
      </c>
      <c r="F640" s="16">
        <f t="shared" si="44"/>
        <v>40000</v>
      </c>
      <c r="H640" s="10">
        <v>636</v>
      </c>
    </row>
    <row r="641" spans="1:8" s="3" customFormat="1">
      <c r="A641" s="13">
        <v>5</v>
      </c>
      <c r="B641" s="5" t="s">
        <v>22</v>
      </c>
      <c r="C641" s="6" t="str">
        <f>Gia_VLieu!C7</f>
        <v>Cái</v>
      </c>
      <c r="D641" s="66">
        <f>Gia_VLieu!D7</f>
        <v>2000</v>
      </c>
      <c r="E641" s="53">
        <v>15</v>
      </c>
      <c r="F641" s="16">
        <f t="shared" si="44"/>
        <v>30000</v>
      </c>
      <c r="H641" s="10">
        <v>637</v>
      </c>
    </row>
    <row r="642" spans="1:8" s="3" customFormat="1">
      <c r="A642" s="13">
        <v>6</v>
      </c>
      <c r="B642" s="5" t="s">
        <v>89</v>
      </c>
      <c r="C642" s="6" t="str">
        <f>Gia_VLieu!C8</f>
        <v>Cái</v>
      </c>
      <c r="D642" s="66">
        <f>Gia_VLieu!D8</f>
        <v>8000</v>
      </c>
      <c r="E642" s="53">
        <v>8</v>
      </c>
      <c r="F642" s="16">
        <f t="shared" si="44"/>
        <v>64000</v>
      </c>
      <c r="H642" s="10">
        <v>638</v>
      </c>
    </row>
    <row r="643" spans="1:8" s="3" customFormat="1">
      <c r="A643" s="13">
        <v>7</v>
      </c>
      <c r="B643" s="5" t="s">
        <v>90</v>
      </c>
      <c r="C643" s="6" t="str">
        <f>Gia_VLieu!C9</f>
        <v>Cái</v>
      </c>
      <c r="D643" s="66">
        <f>Gia_VLieu!D9</f>
        <v>10000</v>
      </c>
      <c r="E643" s="53">
        <v>12</v>
      </c>
      <c r="F643" s="16">
        <f t="shared" si="44"/>
        <v>120000</v>
      </c>
      <c r="H643" s="10">
        <v>639</v>
      </c>
    </row>
    <row r="644" spans="1:8" s="3" customFormat="1">
      <c r="A644" s="13">
        <v>8</v>
      </c>
      <c r="B644" s="5" t="s">
        <v>91</v>
      </c>
      <c r="C644" s="6" t="str">
        <f>Gia_VLieu!C10</f>
        <v>Hộp</v>
      </c>
      <c r="D644" s="66">
        <f>Gia_VLieu!D10</f>
        <v>2500</v>
      </c>
      <c r="E644" s="53">
        <v>9</v>
      </c>
      <c r="F644" s="16">
        <f t="shared" si="44"/>
        <v>22500</v>
      </c>
      <c r="H644" s="10">
        <v>640</v>
      </c>
    </row>
    <row r="645" spans="1:8" s="3" customFormat="1">
      <c r="A645" s="13">
        <v>9</v>
      </c>
      <c r="B645" s="5" t="s">
        <v>92</v>
      </c>
      <c r="C645" s="6" t="str">
        <f>Gia_VLieu!C11</f>
        <v>Hộp</v>
      </c>
      <c r="D645" s="66">
        <f>Gia_VLieu!D11</f>
        <v>2000</v>
      </c>
      <c r="E645" s="53">
        <v>4</v>
      </c>
      <c r="F645" s="16">
        <f t="shared" si="44"/>
        <v>8000</v>
      </c>
      <c r="H645" s="10">
        <v>641</v>
      </c>
    </row>
    <row r="646" spans="1:8" s="3" customFormat="1">
      <c r="A646" s="13">
        <v>10</v>
      </c>
      <c r="B646" s="5" t="s">
        <v>93</v>
      </c>
      <c r="C646" s="6" t="str">
        <f>Gia_VLieu!C12</f>
        <v>Tập</v>
      </c>
      <c r="D646" s="66">
        <f>Gia_VLieu!D12</f>
        <v>8000</v>
      </c>
      <c r="E646" s="53">
        <v>5</v>
      </c>
      <c r="F646" s="16">
        <f t="shared" si="44"/>
        <v>40000</v>
      </c>
      <c r="H646" s="10">
        <v>642</v>
      </c>
    </row>
    <row r="647" spans="1:8" s="3" customFormat="1">
      <c r="A647" s="40">
        <v>11</v>
      </c>
      <c r="B647" s="41" t="s">
        <v>94</v>
      </c>
      <c r="C647" s="42" t="str">
        <f>Gia_VLieu!C13</f>
        <v>Cái</v>
      </c>
      <c r="D647" s="67">
        <f>Gia_VLieu!D13</f>
        <v>15000</v>
      </c>
      <c r="E647" s="54">
        <v>9</v>
      </c>
      <c r="F647" s="38">
        <f>D647*E647</f>
        <v>135000</v>
      </c>
      <c r="H647" s="10">
        <v>643</v>
      </c>
    </row>
    <row r="648" spans="1:8" s="33" customFormat="1">
      <c r="A648" s="31" t="e">
        <f>#REF!</f>
        <v>#REF!</v>
      </c>
      <c r="B648" s="32" t="e">
        <f>#REF!</f>
        <v>#REF!</v>
      </c>
      <c r="C648" s="15"/>
      <c r="D648" s="127">
        <f>Gia_VLieu!D$14</f>
        <v>1.08</v>
      </c>
      <c r="E648" s="45"/>
      <c r="F648" s="18" t="e">
        <f>SUM(F649:F659)*D648</f>
        <v>#REF!</v>
      </c>
      <c r="H648" s="10">
        <v>644</v>
      </c>
    </row>
    <row r="649" spans="1:8" s="3" customFormat="1">
      <c r="A649" s="13">
        <v>1</v>
      </c>
      <c r="B649" s="5" t="s">
        <v>85</v>
      </c>
      <c r="C649" s="6" t="str">
        <f>Gia_VLieu!C4</f>
        <v>Gram</v>
      </c>
      <c r="D649" s="66">
        <f>Gia_VLieu!D4</f>
        <v>45000</v>
      </c>
      <c r="E649" s="53">
        <v>5</v>
      </c>
      <c r="F649" s="16">
        <f>D649*E649</f>
        <v>225000</v>
      </c>
      <c r="H649" s="10">
        <v>645</v>
      </c>
    </row>
    <row r="650" spans="1:8" s="3" customFormat="1">
      <c r="A650" s="13">
        <v>2</v>
      </c>
      <c r="B650" s="5" t="s">
        <v>86</v>
      </c>
      <c r="C650" s="6" t="str">
        <f>Gia_VLieu!C5</f>
        <v>Hộp</v>
      </c>
      <c r="D650" s="66">
        <f>Gia_VLieu!D5</f>
        <v>1450000</v>
      </c>
      <c r="E650" s="53">
        <v>0.8</v>
      </c>
      <c r="F650" s="16">
        <f t="shared" ref="F650:F658" si="45">D650*E650</f>
        <v>1160000</v>
      </c>
      <c r="H650" s="10">
        <v>646</v>
      </c>
    </row>
    <row r="651" spans="1:8" s="3" customFormat="1">
      <c r="A651" s="13">
        <v>3</v>
      </c>
      <c r="B651" s="5" t="s">
        <v>87</v>
      </c>
      <c r="C651" s="6" t="e">
        <f>Gia_VLieu!#REF!</f>
        <v>#REF!</v>
      </c>
      <c r="D651" s="66" t="e">
        <f>Gia_VLieu!#REF!</f>
        <v>#REF!</v>
      </c>
      <c r="E651" s="53">
        <v>0.6</v>
      </c>
      <c r="F651" s="16" t="e">
        <f t="shared" si="45"/>
        <v>#REF!</v>
      </c>
      <c r="H651" s="10">
        <v>647</v>
      </c>
    </row>
    <row r="652" spans="1:8" s="3" customFormat="1">
      <c r="A652" s="13">
        <v>4</v>
      </c>
      <c r="B652" s="5" t="s">
        <v>88</v>
      </c>
      <c r="C652" s="6" t="str">
        <f>Gia_VLieu!C6</f>
        <v>Quyển</v>
      </c>
      <c r="D652" s="66">
        <f>Gia_VLieu!D6</f>
        <v>10000</v>
      </c>
      <c r="E652" s="53">
        <v>12</v>
      </c>
      <c r="F652" s="16">
        <f t="shared" si="45"/>
        <v>120000</v>
      </c>
      <c r="H652" s="10">
        <v>648</v>
      </c>
    </row>
    <row r="653" spans="1:8" s="3" customFormat="1">
      <c r="A653" s="13">
        <v>5</v>
      </c>
      <c r="B653" s="5" t="s">
        <v>22</v>
      </c>
      <c r="C653" s="6" t="str">
        <f>Gia_VLieu!C7</f>
        <v>Cái</v>
      </c>
      <c r="D653" s="66">
        <f>Gia_VLieu!D7</f>
        <v>2000</v>
      </c>
      <c r="E653" s="53">
        <v>26</v>
      </c>
      <c r="F653" s="16">
        <f t="shared" si="45"/>
        <v>52000</v>
      </c>
      <c r="H653" s="10">
        <v>649</v>
      </c>
    </row>
    <row r="654" spans="1:8" s="3" customFormat="1">
      <c r="A654" s="13">
        <v>6</v>
      </c>
      <c r="B654" s="5" t="s">
        <v>89</v>
      </c>
      <c r="C654" s="6" t="str">
        <f>Gia_VLieu!C8</f>
        <v>Cái</v>
      </c>
      <c r="D654" s="66">
        <f>Gia_VLieu!D8</f>
        <v>8000</v>
      </c>
      <c r="E654" s="53">
        <v>5</v>
      </c>
      <c r="F654" s="16">
        <f t="shared" si="45"/>
        <v>40000</v>
      </c>
      <c r="H654" s="10">
        <v>650</v>
      </c>
    </row>
    <row r="655" spans="1:8" s="3" customFormat="1">
      <c r="A655" s="13">
        <v>7</v>
      </c>
      <c r="B655" s="5" t="s">
        <v>90</v>
      </c>
      <c r="C655" s="6" t="str">
        <f>Gia_VLieu!C9</f>
        <v>Cái</v>
      </c>
      <c r="D655" s="66">
        <f>Gia_VLieu!D9</f>
        <v>10000</v>
      </c>
      <c r="E655" s="53">
        <v>3</v>
      </c>
      <c r="F655" s="16">
        <f t="shared" si="45"/>
        <v>30000</v>
      </c>
      <c r="H655" s="10">
        <v>651</v>
      </c>
    </row>
    <row r="656" spans="1:8" s="3" customFormat="1">
      <c r="A656" s="13">
        <v>8</v>
      </c>
      <c r="B656" s="5" t="s">
        <v>91</v>
      </c>
      <c r="C656" s="6" t="str">
        <f>Gia_VLieu!C10</f>
        <v>Hộp</v>
      </c>
      <c r="D656" s="66">
        <f>Gia_VLieu!D10</f>
        <v>2500</v>
      </c>
      <c r="E656" s="53">
        <v>12</v>
      </c>
      <c r="F656" s="16">
        <f t="shared" si="45"/>
        <v>30000</v>
      </c>
      <c r="H656" s="10">
        <v>652</v>
      </c>
    </row>
    <row r="657" spans="1:8" s="3" customFormat="1">
      <c r="A657" s="13">
        <v>9</v>
      </c>
      <c r="B657" s="5" t="s">
        <v>92</v>
      </c>
      <c r="C657" s="6" t="str">
        <f>Gia_VLieu!C11</f>
        <v>Hộp</v>
      </c>
      <c r="D657" s="66">
        <f>Gia_VLieu!D11</f>
        <v>2000</v>
      </c>
      <c r="E657" s="53">
        <v>6</v>
      </c>
      <c r="F657" s="16">
        <f t="shared" si="45"/>
        <v>12000</v>
      </c>
      <c r="H657" s="10">
        <v>653</v>
      </c>
    </row>
    <row r="658" spans="1:8" s="3" customFormat="1">
      <c r="A658" s="13">
        <v>10</v>
      </c>
      <c r="B658" s="5" t="s">
        <v>93</v>
      </c>
      <c r="C658" s="6" t="str">
        <f>Gia_VLieu!C12</f>
        <v>Tập</v>
      </c>
      <c r="D658" s="66">
        <f>Gia_VLieu!D12</f>
        <v>8000</v>
      </c>
      <c r="E658" s="53">
        <v>8</v>
      </c>
      <c r="F658" s="16">
        <f t="shared" si="45"/>
        <v>64000</v>
      </c>
      <c r="H658" s="10">
        <v>654</v>
      </c>
    </row>
    <row r="659" spans="1:8" s="3" customFormat="1">
      <c r="A659" s="40">
        <v>11</v>
      </c>
      <c r="B659" s="41" t="s">
        <v>94</v>
      </c>
      <c r="C659" s="42" t="str">
        <f>Gia_VLieu!C13</f>
        <v>Cái</v>
      </c>
      <c r="D659" s="67">
        <f>Gia_VLieu!D13</f>
        <v>15000</v>
      </c>
      <c r="E659" s="54">
        <v>12</v>
      </c>
      <c r="F659" s="38">
        <f>D659*E659</f>
        <v>180000</v>
      </c>
      <c r="H659" s="10">
        <v>655</v>
      </c>
    </row>
    <row r="660" spans="1:8" s="33" customFormat="1">
      <c r="A660" s="31" t="e">
        <f>#REF!</f>
        <v>#REF!</v>
      </c>
      <c r="B660" s="32" t="e">
        <f>#REF!</f>
        <v>#REF!</v>
      </c>
      <c r="C660" s="15"/>
      <c r="D660" s="70"/>
      <c r="E660" s="45"/>
      <c r="F660" s="18" t="e">
        <f>F662</f>
        <v>#REF!</v>
      </c>
      <c r="H660" s="10">
        <v>656</v>
      </c>
    </row>
    <row r="661" spans="1:8" s="3" customFormat="1">
      <c r="A661" s="13" t="e">
        <f>#REF!</f>
        <v>#REF!</v>
      </c>
      <c r="B661" s="5" t="e">
        <f>#REF!</f>
        <v>#REF!</v>
      </c>
      <c r="C661" s="6"/>
      <c r="D661" s="66"/>
      <c r="E661" s="30"/>
      <c r="F661" s="16" t="e">
        <f>F662</f>
        <v>#REF!</v>
      </c>
      <c r="H661" s="10">
        <v>657</v>
      </c>
    </row>
    <row r="662" spans="1:8" s="3" customFormat="1">
      <c r="A662" s="13" t="e">
        <f>#REF!</f>
        <v>#REF!</v>
      </c>
      <c r="B662" s="5" t="e">
        <f>#REF!</f>
        <v>#REF!</v>
      </c>
      <c r="C662" s="6"/>
      <c r="D662" s="127">
        <f>Gia_VLieu!D$14</f>
        <v>1.08</v>
      </c>
      <c r="E662" s="45"/>
      <c r="F662" s="18" t="e">
        <f>SUM(F663:F673)*D662</f>
        <v>#REF!</v>
      </c>
      <c r="H662" s="10">
        <v>658</v>
      </c>
    </row>
    <row r="663" spans="1:8" s="3" customFormat="1">
      <c r="A663" s="13">
        <v>1</v>
      </c>
      <c r="B663" s="5" t="s">
        <v>85</v>
      </c>
      <c r="C663" s="6" t="str">
        <f>Gia_VLieu!C4</f>
        <v>Gram</v>
      </c>
      <c r="D663" s="66">
        <f>Gia_VLieu!D4</f>
        <v>45000</v>
      </c>
      <c r="E663" s="53">
        <v>5</v>
      </c>
      <c r="F663" s="16">
        <f>D663*E663</f>
        <v>225000</v>
      </c>
      <c r="H663" s="10">
        <v>659</v>
      </c>
    </row>
    <row r="664" spans="1:8" s="3" customFormat="1">
      <c r="A664" s="13">
        <v>2</v>
      </c>
      <c r="B664" s="5" t="s">
        <v>86</v>
      </c>
      <c r="C664" s="6" t="str">
        <f>Gia_VLieu!C5</f>
        <v>Hộp</v>
      </c>
      <c r="D664" s="66">
        <f>Gia_VLieu!D5</f>
        <v>1450000</v>
      </c>
      <c r="E664" s="53">
        <v>0.8</v>
      </c>
      <c r="F664" s="16">
        <f t="shared" ref="F664:F672" si="46">D664*E664</f>
        <v>1160000</v>
      </c>
      <c r="H664" s="10">
        <v>660</v>
      </c>
    </row>
    <row r="665" spans="1:8" s="3" customFormat="1">
      <c r="A665" s="13">
        <v>3</v>
      </c>
      <c r="B665" s="5" t="s">
        <v>87</v>
      </c>
      <c r="C665" s="6" t="e">
        <f>Gia_VLieu!#REF!</f>
        <v>#REF!</v>
      </c>
      <c r="D665" s="66" t="e">
        <f>Gia_VLieu!#REF!</f>
        <v>#REF!</v>
      </c>
      <c r="E665" s="53">
        <v>0.6</v>
      </c>
      <c r="F665" s="16" t="e">
        <f t="shared" si="46"/>
        <v>#REF!</v>
      </c>
      <c r="H665" s="10">
        <v>661</v>
      </c>
    </row>
    <row r="666" spans="1:8" s="3" customFormat="1">
      <c r="A666" s="13">
        <v>4</v>
      </c>
      <c r="B666" s="5" t="s">
        <v>88</v>
      </c>
      <c r="C666" s="6" t="str">
        <f>Gia_VLieu!C6</f>
        <v>Quyển</v>
      </c>
      <c r="D666" s="66">
        <f>Gia_VLieu!D6</f>
        <v>10000</v>
      </c>
      <c r="E666" s="53">
        <v>10</v>
      </c>
      <c r="F666" s="16">
        <f t="shared" si="46"/>
        <v>100000</v>
      </c>
      <c r="H666" s="10">
        <v>662</v>
      </c>
    </row>
    <row r="667" spans="1:8" s="3" customFormat="1">
      <c r="A667" s="13">
        <v>5</v>
      </c>
      <c r="B667" s="5" t="s">
        <v>22</v>
      </c>
      <c r="C667" s="6" t="str">
        <f>Gia_VLieu!C7</f>
        <v>Cái</v>
      </c>
      <c r="D667" s="66">
        <f>Gia_VLieu!D7</f>
        <v>2000</v>
      </c>
      <c r="E667" s="53">
        <v>24</v>
      </c>
      <c r="F667" s="16">
        <f t="shared" si="46"/>
        <v>48000</v>
      </c>
      <c r="H667" s="10">
        <v>663</v>
      </c>
    </row>
    <row r="668" spans="1:8" s="3" customFormat="1">
      <c r="A668" s="13">
        <v>6</v>
      </c>
      <c r="B668" s="5" t="s">
        <v>89</v>
      </c>
      <c r="C668" s="6" t="str">
        <f>Gia_VLieu!C8</f>
        <v>Cái</v>
      </c>
      <c r="D668" s="66">
        <f>Gia_VLieu!D8</f>
        <v>8000</v>
      </c>
      <c r="E668" s="53">
        <v>6</v>
      </c>
      <c r="F668" s="16">
        <f t="shared" si="46"/>
        <v>48000</v>
      </c>
      <c r="H668" s="10">
        <v>664</v>
      </c>
    </row>
    <row r="669" spans="1:8" s="3" customFormat="1">
      <c r="A669" s="13">
        <v>7</v>
      </c>
      <c r="B669" s="5" t="s">
        <v>90</v>
      </c>
      <c r="C669" s="6" t="str">
        <f>Gia_VLieu!C9</f>
        <v>Cái</v>
      </c>
      <c r="D669" s="66">
        <f>Gia_VLieu!D9</f>
        <v>10000</v>
      </c>
      <c r="E669" s="53">
        <v>4</v>
      </c>
      <c r="F669" s="16">
        <f t="shared" si="46"/>
        <v>40000</v>
      </c>
      <c r="H669" s="10">
        <v>665</v>
      </c>
    </row>
    <row r="670" spans="1:8" s="3" customFormat="1">
      <c r="A670" s="13">
        <v>8</v>
      </c>
      <c r="B670" s="5" t="s">
        <v>91</v>
      </c>
      <c r="C670" s="6" t="str">
        <f>Gia_VLieu!C10</f>
        <v>Hộp</v>
      </c>
      <c r="D670" s="66">
        <f>Gia_VLieu!D10</f>
        <v>2500</v>
      </c>
      <c r="E670" s="53">
        <v>12</v>
      </c>
      <c r="F670" s="16">
        <f t="shared" si="46"/>
        <v>30000</v>
      </c>
      <c r="H670" s="10">
        <v>666</v>
      </c>
    </row>
    <row r="671" spans="1:8" s="3" customFormat="1">
      <c r="A671" s="13">
        <v>9</v>
      </c>
      <c r="B671" s="5" t="s">
        <v>92</v>
      </c>
      <c r="C671" s="6" t="str">
        <f>Gia_VLieu!C11</f>
        <v>Hộp</v>
      </c>
      <c r="D671" s="66">
        <f>Gia_VLieu!D11</f>
        <v>2000</v>
      </c>
      <c r="E671" s="53">
        <v>6</v>
      </c>
      <c r="F671" s="16">
        <f t="shared" si="46"/>
        <v>12000</v>
      </c>
      <c r="H671" s="10">
        <v>667</v>
      </c>
    </row>
    <row r="672" spans="1:8" s="3" customFormat="1">
      <c r="A672" s="13">
        <v>10</v>
      </c>
      <c r="B672" s="5" t="s">
        <v>93</v>
      </c>
      <c r="C672" s="6" t="str">
        <f>Gia_VLieu!C12</f>
        <v>Tập</v>
      </c>
      <c r="D672" s="66">
        <f>Gia_VLieu!D12</f>
        <v>8000</v>
      </c>
      <c r="E672" s="53">
        <v>8</v>
      </c>
      <c r="F672" s="16">
        <f t="shared" si="46"/>
        <v>64000</v>
      </c>
      <c r="H672" s="10">
        <v>668</v>
      </c>
    </row>
    <row r="673" spans="1:8" s="3" customFormat="1">
      <c r="A673" s="40">
        <v>11</v>
      </c>
      <c r="B673" s="41" t="s">
        <v>94</v>
      </c>
      <c r="C673" s="42" t="str">
        <f>Gia_VLieu!C13</f>
        <v>Cái</v>
      </c>
      <c r="D673" s="67">
        <f>Gia_VLieu!D13</f>
        <v>15000</v>
      </c>
      <c r="E673" s="54">
        <v>12</v>
      </c>
      <c r="F673" s="38">
        <f>D673*E673</f>
        <v>180000</v>
      </c>
      <c r="H673" s="10">
        <v>669</v>
      </c>
    </row>
    <row r="674" spans="1:8" s="14" customFormat="1">
      <c r="A674" s="12" t="e">
        <f>#REF!</f>
        <v>#REF!</v>
      </c>
      <c r="B674" s="8" t="e">
        <f>#REF!</f>
        <v>#REF!</v>
      </c>
      <c r="C674" s="7"/>
      <c r="D674" s="72"/>
      <c r="E674" s="48"/>
      <c r="F674" s="17"/>
      <c r="H674" s="10">
        <v>670</v>
      </c>
    </row>
    <row r="675" spans="1:8" s="33" customFormat="1">
      <c r="A675" s="31" t="e">
        <f>#REF!</f>
        <v>#REF!</v>
      </c>
      <c r="B675" s="32" t="e">
        <f>#REF!</f>
        <v>#REF!</v>
      </c>
      <c r="C675" s="15"/>
      <c r="D675" s="70"/>
      <c r="E675" s="45"/>
      <c r="F675" s="18"/>
      <c r="H675" s="10">
        <v>671</v>
      </c>
    </row>
    <row r="676" spans="1:8" s="3" customFormat="1">
      <c r="A676" s="13" t="e">
        <f>#REF!</f>
        <v>#REF!</v>
      </c>
      <c r="B676" s="5" t="e">
        <f>#REF!</f>
        <v>#REF!</v>
      </c>
      <c r="C676" s="6"/>
      <c r="D676" s="127">
        <f>Gia_VLieu!D$14</f>
        <v>1.08</v>
      </c>
      <c r="E676" s="45"/>
      <c r="F676" s="18" t="e">
        <f>SUM(F677:F687)*D676</f>
        <v>#REF!</v>
      </c>
      <c r="H676" s="10">
        <v>672</v>
      </c>
    </row>
    <row r="677" spans="1:8" s="3" customFormat="1">
      <c r="A677" s="13">
        <v>1</v>
      </c>
      <c r="B677" s="5" t="s">
        <v>85</v>
      </c>
      <c r="C677" s="6" t="str">
        <f>Gia_VLieu!C4</f>
        <v>Gram</v>
      </c>
      <c r="D677" s="66">
        <f>Gia_VLieu!D4</f>
        <v>45000</v>
      </c>
      <c r="E677" s="53">
        <v>1</v>
      </c>
      <c r="F677" s="16">
        <f>D677*E677</f>
        <v>45000</v>
      </c>
      <c r="H677" s="10">
        <v>673</v>
      </c>
    </row>
    <row r="678" spans="1:8" s="3" customFormat="1">
      <c r="A678" s="13">
        <v>2</v>
      </c>
      <c r="B678" s="5" t="s">
        <v>86</v>
      </c>
      <c r="C678" s="6" t="str">
        <f>Gia_VLieu!C5</f>
        <v>Hộp</v>
      </c>
      <c r="D678" s="66">
        <f>Gia_VLieu!D5</f>
        <v>1450000</v>
      </c>
      <c r="E678" s="53">
        <v>0.1</v>
      </c>
      <c r="F678" s="16">
        <f t="shared" ref="F678:F686" si="47">D678*E678</f>
        <v>145000</v>
      </c>
      <c r="H678" s="10">
        <v>674</v>
      </c>
    </row>
    <row r="679" spans="1:8" s="3" customFormat="1">
      <c r="A679" s="13">
        <v>3</v>
      </c>
      <c r="B679" s="5" t="s">
        <v>87</v>
      </c>
      <c r="C679" s="6" t="e">
        <f>Gia_VLieu!#REF!</f>
        <v>#REF!</v>
      </c>
      <c r="D679" s="66" t="e">
        <f>Gia_VLieu!#REF!</f>
        <v>#REF!</v>
      </c>
      <c r="E679" s="53">
        <v>0.05</v>
      </c>
      <c r="F679" s="16" t="e">
        <f t="shared" si="47"/>
        <v>#REF!</v>
      </c>
      <c r="H679" s="10">
        <v>675</v>
      </c>
    </row>
    <row r="680" spans="1:8" s="3" customFormat="1">
      <c r="A680" s="13">
        <v>4</v>
      </c>
      <c r="B680" s="5" t="s">
        <v>88</v>
      </c>
      <c r="C680" s="6" t="str">
        <f>Gia_VLieu!C6</f>
        <v>Quyển</v>
      </c>
      <c r="D680" s="66">
        <f>Gia_VLieu!D6</f>
        <v>10000</v>
      </c>
      <c r="E680" s="53">
        <v>8</v>
      </c>
      <c r="F680" s="16">
        <f t="shared" si="47"/>
        <v>80000</v>
      </c>
      <c r="H680" s="10">
        <v>676</v>
      </c>
    </row>
    <row r="681" spans="1:8" s="3" customFormat="1">
      <c r="A681" s="13">
        <v>5</v>
      </c>
      <c r="B681" s="5" t="s">
        <v>22</v>
      </c>
      <c r="C681" s="6" t="str">
        <f>Gia_VLieu!C7</f>
        <v>Cái</v>
      </c>
      <c r="D681" s="66">
        <f>Gia_VLieu!D7</f>
        <v>2000</v>
      </c>
      <c r="E681" s="53">
        <v>15</v>
      </c>
      <c r="F681" s="16">
        <f t="shared" si="47"/>
        <v>30000</v>
      </c>
      <c r="H681" s="10">
        <v>677</v>
      </c>
    </row>
    <row r="682" spans="1:8" s="3" customFormat="1">
      <c r="A682" s="13">
        <v>6</v>
      </c>
      <c r="B682" s="5" t="s">
        <v>89</v>
      </c>
      <c r="C682" s="6" t="str">
        <f>Gia_VLieu!C8</f>
        <v>Cái</v>
      </c>
      <c r="D682" s="66">
        <f>Gia_VLieu!D8</f>
        <v>8000</v>
      </c>
      <c r="E682" s="53">
        <v>6</v>
      </c>
      <c r="F682" s="16">
        <f t="shared" si="47"/>
        <v>48000</v>
      </c>
      <c r="H682" s="10">
        <v>678</v>
      </c>
    </row>
    <row r="683" spans="1:8" s="3" customFormat="1">
      <c r="A683" s="13">
        <v>7</v>
      </c>
      <c r="B683" s="5" t="s">
        <v>90</v>
      </c>
      <c r="C683" s="6" t="str">
        <f>Gia_VLieu!C9</f>
        <v>Cái</v>
      </c>
      <c r="D683" s="66">
        <f>Gia_VLieu!D9</f>
        <v>10000</v>
      </c>
      <c r="E683" s="53">
        <v>6</v>
      </c>
      <c r="F683" s="16">
        <f t="shared" si="47"/>
        <v>60000</v>
      </c>
      <c r="H683" s="10">
        <v>679</v>
      </c>
    </row>
    <row r="684" spans="1:8" s="3" customFormat="1">
      <c r="A684" s="13">
        <v>8</v>
      </c>
      <c r="B684" s="5" t="s">
        <v>91</v>
      </c>
      <c r="C684" s="6" t="str">
        <f>Gia_VLieu!C10</f>
        <v>Hộp</v>
      </c>
      <c r="D684" s="66">
        <f>Gia_VLieu!D10</f>
        <v>2500</v>
      </c>
      <c r="E684" s="53">
        <v>2</v>
      </c>
      <c r="F684" s="16">
        <f t="shared" si="47"/>
        <v>5000</v>
      </c>
      <c r="H684" s="10">
        <v>680</v>
      </c>
    </row>
    <row r="685" spans="1:8" s="3" customFormat="1">
      <c r="A685" s="13">
        <v>9</v>
      </c>
      <c r="B685" s="5" t="s">
        <v>92</v>
      </c>
      <c r="C685" s="6" t="str">
        <f>Gia_VLieu!C11</f>
        <v>Hộp</v>
      </c>
      <c r="D685" s="66">
        <f>Gia_VLieu!D11</f>
        <v>2000</v>
      </c>
      <c r="E685" s="53">
        <v>2</v>
      </c>
      <c r="F685" s="16">
        <f t="shared" si="47"/>
        <v>4000</v>
      </c>
      <c r="H685" s="10">
        <v>681</v>
      </c>
    </row>
    <row r="686" spans="1:8" s="3" customFormat="1">
      <c r="A686" s="13">
        <v>10</v>
      </c>
      <c r="B686" s="5" t="s">
        <v>93</v>
      </c>
      <c r="C686" s="6" t="str">
        <f>Gia_VLieu!C12</f>
        <v>Tập</v>
      </c>
      <c r="D686" s="66">
        <f>Gia_VLieu!D12</f>
        <v>8000</v>
      </c>
      <c r="E686" s="53">
        <v>1</v>
      </c>
      <c r="F686" s="16">
        <f t="shared" si="47"/>
        <v>8000</v>
      </c>
      <c r="H686" s="10">
        <v>682</v>
      </c>
    </row>
    <row r="687" spans="1:8" s="3" customFormat="1">
      <c r="A687" s="40">
        <v>11</v>
      </c>
      <c r="B687" s="41" t="s">
        <v>94</v>
      </c>
      <c r="C687" s="42" t="str">
        <f>Gia_VLieu!C13</f>
        <v>Cái</v>
      </c>
      <c r="D687" s="67">
        <f>Gia_VLieu!D13</f>
        <v>15000</v>
      </c>
      <c r="E687" s="54">
        <v>4</v>
      </c>
      <c r="F687" s="38">
        <f>D687*E687</f>
        <v>60000</v>
      </c>
      <c r="H687" s="10">
        <v>683</v>
      </c>
    </row>
    <row r="688" spans="1:8" s="3" customFormat="1">
      <c r="A688" s="13" t="e">
        <f>#REF!</f>
        <v>#REF!</v>
      </c>
      <c r="B688" s="5" t="e">
        <f>#REF!</f>
        <v>#REF!</v>
      </c>
      <c r="C688" s="6"/>
      <c r="D688" s="127">
        <f>Gia_VLieu!D$14</f>
        <v>1.08</v>
      </c>
      <c r="E688" s="45"/>
      <c r="F688" s="18" t="e">
        <f>SUM(F689:F699)*D688</f>
        <v>#REF!</v>
      </c>
      <c r="H688" s="10">
        <v>684</v>
      </c>
    </row>
    <row r="689" spans="1:8" s="3" customFormat="1">
      <c r="A689" s="13">
        <v>1</v>
      </c>
      <c r="B689" s="5" t="s">
        <v>85</v>
      </c>
      <c r="C689" s="6" t="str">
        <f>Gia_VLieu!C4</f>
        <v>Gram</v>
      </c>
      <c r="D689" s="66">
        <f>Gia_VLieu!D4</f>
        <v>45000</v>
      </c>
      <c r="E689" s="53">
        <v>1</v>
      </c>
      <c r="F689" s="16">
        <f>D689*E689</f>
        <v>45000</v>
      </c>
      <c r="H689" s="10">
        <v>685</v>
      </c>
    </row>
    <row r="690" spans="1:8" s="3" customFormat="1">
      <c r="A690" s="13">
        <v>2</v>
      </c>
      <c r="B690" s="5" t="s">
        <v>86</v>
      </c>
      <c r="C690" s="6" t="str">
        <f>Gia_VLieu!C5</f>
        <v>Hộp</v>
      </c>
      <c r="D690" s="66">
        <f>Gia_VLieu!D5</f>
        <v>1450000</v>
      </c>
      <c r="E690" s="53">
        <v>0.15</v>
      </c>
      <c r="F690" s="16">
        <f t="shared" ref="F690:F698" si="48">D690*E690</f>
        <v>217500</v>
      </c>
      <c r="H690" s="10">
        <v>686</v>
      </c>
    </row>
    <row r="691" spans="1:8" s="3" customFormat="1">
      <c r="A691" s="13">
        <v>3</v>
      </c>
      <c r="B691" s="5" t="s">
        <v>87</v>
      </c>
      <c r="C691" s="6" t="e">
        <f>Gia_VLieu!#REF!</f>
        <v>#REF!</v>
      </c>
      <c r="D691" s="66" t="e">
        <f>Gia_VLieu!#REF!</f>
        <v>#REF!</v>
      </c>
      <c r="E691" s="53">
        <v>0.2</v>
      </c>
      <c r="F691" s="16" t="e">
        <f t="shared" si="48"/>
        <v>#REF!</v>
      </c>
      <c r="H691" s="10">
        <v>687</v>
      </c>
    </row>
    <row r="692" spans="1:8" s="3" customFormat="1">
      <c r="A692" s="13">
        <v>4</v>
      </c>
      <c r="B692" s="5" t="s">
        <v>88</v>
      </c>
      <c r="C692" s="6" t="str">
        <f>Gia_VLieu!C6</f>
        <v>Quyển</v>
      </c>
      <c r="D692" s="66">
        <f>Gia_VLieu!D6</f>
        <v>10000</v>
      </c>
      <c r="E692" s="53">
        <v>12</v>
      </c>
      <c r="F692" s="16">
        <f t="shared" si="48"/>
        <v>120000</v>
      </c>
      <c r="H692" s="10">
        <v>688</v>
      </c>
    </row>
    <row r="693" spans="1:8" s="3" customFormat="1">
      <c r="A693" s="13">
        <v>5</v>
      </c>
      <c r="B693" s="5" t="s">
        <v>22</v>
      </c>
      <c r="C693" s="6" t="str">
        <f>Gia_VLieu!C7</f>
        <v>Cái</v>
      </c>
      <c r="D693" s="66">
        <f>Gia_VLieu!D7</f>
        <v>2000</v>
      </c>
      <c r="E693" s="53">
        <v>20</v>
      </c>
      <c r="F693" s="16">
        <f t="shared" si="48"/>
        <v>40000</v>
      </c>
      <c r="H693" s="10">
        <v>689</v>
      </c>
    </row>
    <row r="694" spans="1:8" s="3" customFormat="1">
      <c r="A694" s="13">
        <v>6</v>
      </c>
      <c r="B694" s="5" t="s">
        <v>89</v>
      </c>
      <c r="C694" s="6" t="str">
        <f>Gia_VLieu!C8</f>
        <v>Cái</v>
      </c>
      <c r="D694" s="66">
        <f>Gia_VLieu!D8</f>
        <v>8000</v>
      </c>
      <c r="E694" s="53">
        <v>8</v>
      </c>
      <c r="F694" s="16">
        <f t="shared" si="48"/>
        <v>64000</v>
      </c>
      <c r="H694" s="10">
        <v>690</v>
      </c>
    </row>
    <row r="695" spans="1:8" s="3" customFormat="1">
      <c r="A695" s="13">
        <v>7</v>
      </c>
      <c r="B695" s="5" t="s">
        <v>90</v>
      </c>
      <c r="C695" s="6" t="str">
        <f>Gia_VLieu!C9</f>
        <v>Cái</v>
      </c>
      <c r="D695" s="66">
        <f>Gia_VLieu!D9</f>
        <v>10000</v>
      </c>
      <c r="E695" s="53">
        <v>8</v>
      </c>
      <c r="F695" s="16">
        <f t="shared" si="48"/>
        <v>80000</v>
      </c>
      <c r="H695" s="10">
        <v>691</v>
      </c>
    </row>
    <row r="696" spans="1:8" s="3" customFormat="1">
      <c r="A696" s="13">
        <v>8</v>
      </c>
      <c r="B696" s="5" t="s">
        <v>91</v>
      </c>
      <c r="C696" s="6" t="str">
        <f>Gia_VLieu!C10</f>
        <v>Hộp</v>
      </c>
      <c r="D696" s="66">
        <f>Gia_VLieu!D10</f>
        <v>2500</v>
      </c>
      <c r="E696" s="53">
        <v>2</v>
      </c>
      <c r="F696" s="16">
        <f t="shared" si="48"/>
        <v>5000</v>
      </c>
      <c r="H696" s="10">
        <v>692</v>
      </c>
    </row>
    <row r="697" spans="1:8" s="3" customFormat="1">
      <c r="A697" s="13">
        <v>9</v>
      </c>
      <c r="B697" s="5" t="s">
        <v>92</v>
      </c>
      <c r="C697" s="6" t="str">
        <f>Gia_VLieu!C11</f>
        <v>Hộp</v>
      </c>
      <c r="D697" s="66">
        <f>Gia_VLieu!D11</f>
        <v>2000</v>
      </c>
      <c r="E697" s="53">
        <v>2</v>
      </c>
      <c r="F697" s="16">
        <f t="shared" si="48"/>
        <v>4000</v>
      </c>
      <c r="H697" s="10">
        <v>693</v>
      </c>
    </row>
    <row r="698" spans="1:8" s="3" customFormat="1">
      <c r="A698" s="13">
        <v>10</v>
      </c>
      <c r="B698" s="5" t="s">
        <v>93</v>
      </c>
      <c r="C698" s="6" t="str">
        <f>Gia_VLieu!C12</f>
        <v>Tập</v>
      </c>
      <c r="D698" s="66">
        <f>Gia_VLieu!D12</f>
        <v>8000</v>
      </c>
      <c r="E698" s="53">
        <v>2</v>
      </c>
      <c r="F698" s="16">
        <f t="shared" si="48"/>
        <v>16000</v>
      </c>
      <c r="H698" s="10">
        <v>694</v>
      </c>
    </row>
    <row r="699" spans="1:8" s="3" customFormat="1">
      <c r="A699" s="40">
        <v>11</v>
      </c>
      <c r="B699" s="41" t="s">
        <v>94</v>
      </c>
      <c r="C699" s="42" t="str">
        <f>Gia_VLieu!C13</f>
        <v>Cái</v>
      </c>
      <c r="D699" s="67">
        <f>Gia_VLieu!D13</f>
        <v>15000</v>
      </c>
      <c r="E699" s="54">
        <v>5</v>
      </c>
      <c r="F699" s="38">
        <f>D699*E699</f>
        <v>75000</v>
      </c>
      <c r="H699" s="10">
        <v>695</v>
      </c>
    </row>
    <row r="700" spans="1:8" s="33" customFormat="1">
      <c r="A700" s="31" t="e">
        <f>#REF!</f>
        <v>#REF!</v>
      </c>
      <c r="B700" s="32" t="e">
        <f>#REF!</f>
        <v>#REF!</v>
      </c>
      <c r="C700" s="15"/>
      <c r="D700" s="127">
        <f>Gia_VLieu!D$14</f>
        <v>1.08</v>
      </c>
      <c r="E700" s="45"/>
      <c r="F700" s="18" t="e">
        <f>SUM(F701:F711)*D700</f>
        <v>#REF!</v>
      </c>
      <c r="H700" s="10">
        <v>696</v>
      </c>
    </row>
    <row r="701" spans="1:8" s="3" customFormat="1">
      <c r="A701" s="13">
        <v>1</v>
      </c>
      <c r="B701" s="5" t="s">
        <v>85</v>
      </c>
      <c r="C701" s="6" t="str">
        <f>Gia_VLieu!C4</f>
        <v>Gram</v>
      </c>
      <c r="D701" s="66">
        <f>Gia_VLieu!D4</f>
        <v>45000</v>
      </c>
      <c r="E701" s="53">
        <v>0.8</v>
      </c>
      <c r="F701" s="16">
        <f>D701*E701</f>
        <v>36000</v>
      </c>
      <c r="H701" s="10">
        <v>697</v>
      </c>
    </row>
    <row r="702" spans="1:8" s="3" customFormat="1">
      <c r="A702" s="13">
        <v>2</v>
      </c>
      <c r="B702" s="5" t="s">
        <v>86</v>
      </c>
      <c r="C702" s="6" t="str">
        <f>Gia_VLieu!C5</f>
        <v>Hộp</v>
      </c>
      <c r="D702" s="66">
        <f>Gia_VLieu!D5</f>
        <v>1450000</v>
      </c>
      <c r="E702" s="53">
        <v>0.01</v>
      </c>
      <c r="F702" s="16">
        <f t="shared" ref="F702:F710" si="49">D702*E702</f>
        <v>14500</v>
      </c>
      <c r="H702" s="10">
        <v>698</v>
      </c>
    </row>
    <row r="703" spans="1:8" s="3" customFormat="1">
      <c r="A703" s="13">
        <v>3</v>
      </c>
      <c r="B703" s="5" t="s">
        <v>87</v>
      </c>
      <c r="C703" s="6" t="e">
        <f>Gia_VLieu!#REF!</f>
        <v>#REF!</v>
      </c>
      <c r="D703" s="66" t="e">
        <f>Gia_VLieu!#REF!</f>
        <v>#REF!</v>
      </c>
      <c r="E703" s="53">
        <v>0.02</v>
      </c>
      <c r="F703" s="16" t="e">
        <f t="shared" si="49"/>
        <v>#REF!</v>
      </c>
      <c r="H703" s="10">
        <v>699</v>
      </c>
    </row>
    <row r="704" spans="1:8" s="3" customFormat="1">
      <c r="A704" s="13">
        <v>4</v>
      </c>
      <c r="B704" s="5" t="s">
        <v>88</v>
      </c>
      <c r="C704" s="6" t="str">
        <f>Gia_VLieu!C6</f>
        <v>Quyển</v>
      </c>
      <c r="D704" s="66">
        <f>Gia_VLieu!D6</f>
        <v>10000</v>
      </c>
      <c r="E704" s="53">
        <v>12</v>
      </c>
      <c r="F704" s="16">
        <f t="shared" si="49"/>
        <v>120000</v>
      </c>
      <c r="H704" s="10">
        <v>700</v>
      </c>
    </row>
    <row r="705" spans="1:8" s="3" customFormat="1">
      <c r="A705" s="13">
        <v>5</v>
      </c>
      <c r="B705" s="5" t="s">
        <v>22</v>
      </c>
      <c r="C705" s="6" t="str">
        <f>Gia_VLieu!C7</f>
        <v>Cái</v>
      </c>
      <c r="D705" s="66">
        <f>Gia_VLieu!D7</f>
        <v>2000</v>
      </c>
      <c r="E705" s="53">
        <v>18</v>
      </c>
      <c r="F705" s="16">
        <f t="shared" si="49"/>
        <v>36000</v>
      </c>
      <c r="H705" s="10">
        <v>701</v>
      </c>
    </row>
    <row r="706" spans="1:8" s="3" customFormat="1">
      <c r="A706" s="13">
        <v>6</v>
      </c>
      <c r="B706" s="5" t="s">
        <v>89</v>
      </c>
      <c r="C706" s="6" t="str">
        <f>Gia_VLieu!C8</f>
        <v>Cái</v>
      </c>
      <c r="D706" s="66">
        <f>Gia_VLieu!D8</f>
        <v>8000</v>
      </c>
      <c r="E706" s="53">
        <v>10</v>
      </c>
      <c r="F706" s="16">
        <f t="shared" si="49"/>
        <v>80000</v>
      </c>
      <c r="H706" s="10">
        <v>702</v>
      </c>
    </row>
    <row r="707" spans="1:8" s="3" customFormat="1">
      <c r="A707" s="13">
        <v>7</v>
      </c>
      <c r="B707" s="5" t="s">
        <v>90</v>
      </c>
      <c r="C707" s="6" t="str">
        <f>Gia_VLieu!C9</f>
        <v>Cái</v>
      </c>
      <c r="D707" s="66">
        <f>Gia_VLieu!D9</f>
        <v>10000</v>
      </c>
      <c r="E707" s="53">
        <v>10</v>
      </c>
      <c r="F707" s="16">
        <f t="shared" si="49"/>
        <v>100000</v>
      </c>
      <c r="H707" s="10">
        <v>703</v>
      </c>
    </row>
    <row r="708" spans="1:8" s="3" customFormat="1">
      <c r="A708" s="13">
        <v>8</v>
      </c>
      <c r="B708" s="5" t="s">
        <v>91</v>
      </c>
      <c r="C708" s="6" t="str">
        <f>Gia_VLieu!C10</f>
        <v>Hộp</v>
      </c>
      <c r="D708" s="66">
        <f>Gia_VLieu!D10</f>
        <v>2500</v>
      </c>
      <c r="E708" s="53">
        <v>6</v>
      </c>
      <c r="F708" s="16">
        <f t="shared" si="49"/>
        <v>15000</v>
      </c>
      <c r="H708" s="10">
        <v>704</v>
      </c>
    </row>
    <row r="709" spans="1:8" s="3" customFormat="1">
      <c r="A709" s="13">
        <v>9</v>
      </c>
      <c r="B709" s="5" t="s">
        <v>92</v>
      </c>
      <c r="C709" s="6" t="str">
        <f>Gia_VLieu!C11</f>
        <v>Hộp</v>
      </c>
      <c r="D709" s="66">
        <f>Gia_VLieu!D11</f>
        <v>2000</v>
      </c>
      <c r="E709" s="53">
        <v>4</v>
      </c>
      <c r="F709" s="16">
        <f t="shared" si="49"/>
        <v>8000</v>
      </c>
      <c r="H709" s="10">
        <v>705</v>
      </c>
    </row>
    <row r="710" spans="1:8" s="3" customFormat="1">
      <c r="A710" s="13">
        <v>10</v>
      </c>
      <c r="B710" s="5" t="s">
        <v>93</v>
      </c>
      <c r="C710" s="6" t="str">
        <f>Gia_VLieu!C12</f>
        <v>Tập</v>
      </c>
      <c r="D710" s="66">
        <f>Gia_VLieu!D12</f>
        <v>8000</v>
      </c>
      <c r="E710" s="53">
        <v>4</v>
      </c>
      <c r="F710" s="16">
        <f t="shared" si="49"/>
        <v>32000</v>
      </c>
      <c r="H710" s="10">
        <v>706</v>
      </c>
    </row>
    <row r="711" spans="1:8" s="3" customFormat="1">
      <c r="A711" s="40">
        <v>11</v>
      </c>
      <c r="B711" s="41" t="s">
        <v>94</v>
      </c>
      <c r="C711" s="42" t="str">
        <f>Gia_VLieu!C13</f>
        <v>Cái</v>
      </c>
      <c r="D711" s="67">
        <f>Gia_VLieu!D13</f>
        <v>15000</v>
      </c>
      <c r="E711" s="54">
        <v>14</v>
      </c>
      <c r="F711" s="38">
        <f>D711*E711</f>
        <v>210000</v>
      </c>
      <c r="H711" s="10">
        <v>707</v>
      </c>
    </row>
    <row r="712" spans="1:8" s="33" customFormat="1">
      <c r="A712" s="31" t="e">
        <f>#REF!</f>
        <v>#REF!</v>
      </c>
      <c r="B712" s="32" t="e">
        <f>#REF!</f>
        <v>#REF!</v>
      </c>
      <c r="C712" s="15"/>
      <c r="D712" s="127">
        <f>Gia_VLieu!D$14</f>
        <v>1.08</v>
      </c>
      <c r="E712" s="45"/>
      <c r="F712" s="18" t="e">
        <f>SUM(F713:F723)*D712</f>
        <v>#REF!</v>
      </c>
      <c r="H712" s="10">
        <v>708</v>
      </c>
    </row>
    <row r="713" spans="1:8" s="3" customFormat="1">
      <c r="A713" s="13">
        <v>1</v>
      </c>
      <c r="B713" s="5" t="s">
        <v>85</v>
      </c>
      <c r="C713" s="6" t="str">
        <f>Gia_VLieu!C4</f>
        <v>Gram</v>
      </c>
      <c r="D713" s="66">
        <f>Gia_VLieu!D4</f>
        <v>45000</v>
      </c>
      <c r="E713" s="53">
        <v>0.5</v>
      </c>
      <c r="F713" s="16">
        <f>D713*E713</f>
        <v>22500</v>
      </c>
      <c r="H713" s="10">
        <v>709</v>
      </c>
    </row>
    <row r="714" spans="1:8" s="3" customFormat="1">
      <c r="A714" s="13">
        <v>2</v>
      </c>
      <c r="B714" s="5" t="s">
        <v>86</v>
      </c>
      <c r="C714" s="6" t="str">
        <f>Gia_VLieu!C5</f>
        <v>Hộp</v>
      </c>
      <c r="D714" s="66">
        <f>Gia_VLieu!D5</f>
        <v>1450000</v>
      </c>
      <c r="E714" s="53">
        <v>0.05</v>
      </c>
      <c r="F714" s="16">
        <f t="shared" ref="F714:F722" si="50">D714*E714</f>
        <v>72500</v>
      </c>
      <c r="H714" s="10">
        <v>710</v>
      </c>
    </row>
    <row r="715" spans="1:8" s="3" customFormat="1">
      <c r="A715" s="13">
        <v>3</v>
      </c>
      <c r="B715" s="5" t="s">
        <v>87</v>
      </c>
      <c r="C715" s="6" t="e">
        <f>Gia_VLieu!#REF!</f>
        <v>#REF!</v>
      </c>
      <c r="D715" s="66" t="e">
        <f>Gia_VLieu!#REF!</f>
        <v>#REF!</v>
      </c>
      <c r="E715" s="53">
        <v>0.05</v>
      </c>
      <c r="F715" s="16" t="e">
        <f t="shared" si="50"/>
        <v>#REF!</v>
      </c>
      <c r="H715" s="10">
        <v>711</v>
      </c>
    </row>
    <row r="716" spans="1:8" s="3" customFormat="1">
      <c r="A716" s="13">
        <v>4</v>
      </c>
      <c r="B716" s="5" t="s">
        <v>88</v>
      </c>
      <c r="C716" s="6" t="str">
        <f>Gia_VLieu!C6</f>
        <v>Quyển</v>
      </c>
      <c r="D716" s="66">
        <f>Gia_VLieu!D6</f>
        <v>10000</v>
      </c>
      <c r="E716" s="53">
        <v>10</v>
      </c>
      <c r="F716" s="16">
        <f t="shared" si="50"/>
        <v>100000</v>
      </c>
      <c r="H716" s="10">
        <v>712</v>
      </c>
    </row>
    <row r="717" spans="1:8" s="3" customFormat="1">
      <c r="A717" s="13">
        <v>5</v>
      </c>
      <c r="B717" s="5" t="s">
        <v>22</v>
      </c>
      <c r="C717" s="6" t="str">
        <f>Gia_VLieu!C7</f>
        <v>Cái</v>
      </c>
      <c r="D717" s="66">
        <f>Gia_VLieu!D7</f>
        <v>2000</v>
      </c>
      <c r="E717" s="53">
        <v>20</v>
      </c>
      <c r="F717" s="16">
        <f t="shared" si="50"/>
        <v>40000</v>
      </c>
      <c r="H717" s="10">
        <v>713</v>
      </c>
    </row>
    <row r="718" spans="1:8" s="3" customFormat="1">
      <c r="A718" s="13">
        <v>6</v>
      </c>
      <c r="B718" s="5" t="s">
        <v>89</v>
      </c>
      <c r="C718" s="6" t="str">
        <f>Gia_VLieu!C8</f>
        <v>Cái</v>
      </c>
      <c r="D718" s="66">
        <f>Gia_VLieu!D8</f>
        <v>8000</v>
      </c>
      <c r="E718" s="53">
        <v>8</v>
      </c>
      <c r="F718" s="16">
        <f t="shared" si="50"/>
        <v>64000</v>
      </c>
      <c r="H718" s="10">
        <v>714</v>
      </c>
    </row>
    <row r="719" spans="1:8" s="3" customFormat="1">
      <c r="A719" s="13">
        <v>7</v>
      </c>
      <c r="B719" s="5" t="s">
        <v>90</v>
      </c>
      <c r="C719" s="6" t="str">
        <f>Gia_VLieu!C9</f>
        <v>Cái</v>
      </c>
      <c r="D719" s="66">
        <f>Gia_VLieu!D9</f>
        <v>10000</v>
      </c>
      <c r="E719" s="53">
        <v>8</v>
      </c>
      <c r="F719" s="16">
        <f t="shared" si="50"/>
        <v>80000</v>
      </c>
      <c r="H719" s="10">
        <v>715</v>
      </c>
    </row>
    <row r="720" spans="1:8" s="3" customFormat="1">
      <c r="A720" s="13">
        <v>8</v>
      </c>
      <c r="B720" s="5" t="s">
        <v>91</v>
      </c>
      <c r="C720" s="6" t="str">
        <f>Gia_VLieu!C10</f>
        <v>Hộp</v>
      </c>
      <c r="D720" s="66">
        <f>Gia_VLieu!D10</f>
        <v>2500</v>
      </c>
      <c r="E720" s="53">
        <v>5</v>
      </c>
      <c r="F720" s="16">
        <f t="shared" si="50"/>
        <v>12500</v>
      </c>
      <c r="H720" s="10">
        <v>716</v>
      </c>
    </row>
    <row r="721" spans="1:8" s="3" customFormat="1">
      <c r="A721" s="13">
        <v>9</v>
      </c>
      <c r="B721" s="5" t="s">
        <v>92</v>
      </c>
      <c r="C721" s="6" t="str">
        <f>Gia_VLieu!C11</f>
        <v>Hộp</v>
      </c>
      <c r="D721" s="66">
        <f>Gia_VLieu!D11</f>
        <v>2000</v>
      </c>
      <c r="E721" s="53">
        <v>5</v>
      </c>
      <c r="F721" s="16">
        <f t="shared" si="50"/>
        <v>10000</v>
      </c>
      <c r="H721" s="10">
        <v>717</v>
      </c>
    </row>
    <row r="722" spans="1:8" s="3" customFormat="1">
      <c r="A722" s="13">
        <v>10</v>
      </c>
      <c r="B722" s="5" t="s">
        <v>93</v>
      </c>
      <c r="C722" s="6" t="str">
        <f>Gia_VLieu!C12</f>
        <v>Tập</v>
      </c>
      <c r="D722" s="66">
        <f>Gia_VLieu!D12</f>
        <v>8000</v>
      </c>
      <c r="E722" s="53">
        <v>5</v>
      </c>
      <c r="F722" s="16">
        <f t="shared" si="50"/>
        <v>40000</v>
      </c>
      <c r="H722" s="10">
        <v>718</v>
      </c>
    </row>
    <row r="723" spans="1:8" s="3" customFormat="1">
      <c r="A723" s="40">
        <v>11</v>
      </c>
      <c r="B723" s="41" t="s">
        <v>94</v>
      </c>
      <c r="C723" s="42" t="str">
        <f>Gia_VLieu!C13</f>
        <v>Cái</v>
      </c>
      <c r="D723" s="67">
        <f>Gia_VLieu!D13</f>
        <v>15000</v>
      </c>
      <c r="E723" s="54">
        <v>10</v>
      </c>
      <c r="F723" s="38">
        <f>D723*E723</f>
        <v>150000</v>
      </c>
      <c r="H723" s="10">
        <v>719</v>
      </c>
    </row>
    <row r="724" spans="1:8" s="33" customFormat="1">
      <c r="A724" s="31" t="e">
        <f>#REF!</f>
        <v>#REF!</v>
      </c>
      <c r="B724" s="32" t="e">
        <f>#REF!</f>
        <v>#REF!</v>
      </c>
      <c r="C724" s="15"/>
      <c r="D724" s="127">
        <f>Gia_VLieu!D$14</f>
        <v>1.08</v>
      </c>
      <c r="E724" s="45"/>
      <c r="F724" s="18" t="e">
        <f>SUM(F725:F735)*D724</f>
        <v>#REF!</v>
      </c>
      <c r="H724" s="10">
        <v>720</v>
      </c>
    </row>
    <row r="725" spans="1:8" s="3" customFormat="1">
      <c r="A725" s="13">
        <v>1</v>
      </c>
      <c r="B725" s="5" t="s">
        <v>85</v>
      </c>
      <c r="C725" s="6" t="str">
        <f>Gia_VLieu!C4</f>
        <v>Gram</v>
      </c>
      <c r="D725" s="66">
        <f>Gia_VLieu!D4</f>
        <v>45000</v>
      </c>
      <c r="E725" s="53">
        <v>0.5</v>
      </c>
      <c r="F725" s="16">
        <f>D725*E725</f>
        <v>22500</v>
      </c>
      <c r="H725" s="10">
        <v>721</v>
      </c>
    </row>
    <row r="726" spans="1:8" s="3" customFormat="1">
      <c r="A726" s="13">
        <v>2</v>
      </c>
      <c r="B726" s="5" t="s">
        <v>86</v>
      </c>
      <c r="C726" s="6" t="str">
        <f>Gia_VLieu!C5</f>
        <v>Hộp</v>
      </c>
      <c r="D726" s="66">
        <f>Gia_VLieu!D5</f>
        <v>1450000</v>
      </c>
      <c r="E726" s="53">
        <v>0.02</v>
      </c>
      <c r="F726" s="16">
        <f t="shared" ref="F726:F734" si="51">D726*E726</f>
        <v>29000</v>
      </c>
      <c r="H726" s="10">
        <v>722</v>
      </c>
    </row>
    <row r="727" spans="1:8" s="3" customFormat="1">
      <c r="A727" s="13">
        <v>3</v>
      </c>
      <c r="B727" s="5" t="s">
        <v>87</v>
      </c>
      <c r="C727" s="6" t="e">
        <f>Gia_VLieu!#REF!</f>
        <v>#REF!</v>
      </c>
      <c r="D727" s="66" t="e">
        <f>Gia_VLieu!#REF!</f>
        <v>#REF!</v>
      </c>
      <c r="E727" s="53">
        <v>0.02</v>
      </c>
      <c r="F727" s="16" t="e">
        <f t="shared" si="51"/>
        <v>#REF!</v>
      </c>
      <c r="H727" s="10">
        <v>723</v>
      </c>
    </row>
    <row r="728" spans="1:8" s="3" customFormat="1">
      <c r="A728" s="13">
        <v>4</v>
      </c>
      <c r="B728" s="5" t="s">
        <v>88</v>
      </c>
      <c r="C728" s="6" t="str">
        <f>Gia_VLieu!C6</f>
        <v>Quyển</v>
      </c>
      <c r="D728" s="66">
        <f>Gia_VLieu!D6</f>
        <v>10000</v>
      </c>
      <c r="E728" s="53">
        <v>6</v>
      </c>
      <c r="F728" s="16">
        <f t="shared" si="51"/>
        <v>60000</v>
      </c>
      <c r="H728" s="10">
        <v>724</v>
      </c>
    </row>
    <row r="729" spans="1:8" s="3" customFormat="1">
      <c r="A729" s="13">
        <v>5</v>
      </c>
      <c r="B729" s="5" t="s">
        <v>22</v>
      </c>
      <c r="C729" s="6" t="str">
        <f>Gia_VLieu!C7</f>
        <v>Cái</v>
      </c>
      <c r="D729" s="66">
        <f>Gia_VLieu!D7</f>
        <v>2000</v>
      </c>
      <c r="E729" s="53">
        <v>15</v>
      </c>
      <c r="F729" s="16">
        <f t="shared" si="51"/>
        <v>30000</v>
      </c>
      <c r="H729" s="10">
        <v>725</v>
      </c>
    </row>
    <row r="730" spans="1:8" s="3" customFormat="1">
      <c r="A730" s="13">
        <v>6</v>
      </c>
      <c r="B730" s="5" t="s">
        <v>89</v>
      </c>
      <c r="C730" s="6" t="str">
        <f>Gia_VLieu!C8</f>
        <v>Cái</v>
      </c>
      <c r="D730" s="66">
        <f>Gia_VLieu!D8</f>
        <v>8000</v>
      </c>
      <c r="E730" s="53">
        <v>7</v>
      </c>
      <c r="F730" s="16">
        <f t="shared" si="51"/>
        <v>56000</v>
      </c>
      <c r="H730" s="10">
        <v>726</v>
      </c>
    </row>
    <row r="731" spans="1:8" s="3" customFormat="1">
      <c r="A731" s="13">
        <v>7</v>
      </c>
      <c r="B731" s="5" t="s">
        <v>90</v>
      </c>
      <c r="C731" s="6" t="str">
        <f>Gia_VLieu!C9</f>
        <v>Cái</v>
      </c>
      <c r="D731" s="66">
        <f>Gia_VLieu!D9</f>
        <v>10000</v>
      </c>
      <c r="E731" s="53">
        <v>7</v>
      </c>
      <c r="F731" s="16">
        <f t="shared" si="51"/>
        <v>70000</v>
      </c>
      <c r="H731" s="10">
        <v>727</v>
      </c>
    </row>
    <row r="732" spans="1:8" s="3" customFormat="1">
      <c r="A732" s="13">
        <v>8</v>
      </c>
      <c r="B732" s="5" t="s">
        <v>91</v>
      </c>
      <c r="C732" s="6" t="str">
        <f>Gia_VLieu!C10</f>
        <v>Hộp</v>
      </c>
      <c r="D732" s="66">
        <f>Gia_VLieu!D10</f>
        <v>2500</v>
      </c>
      <c r="E732" s="53">
        <v>3</v>
      </c>
      <c r="F732" s="16">
        <f t="shared" si="51"/>
        <v>7500</v>
      </c>
      <c r="H732" s="10">
        <v>728</v>
      </c>
    </row>
    <row r="733" spans="1:8" s="3" customFormat="1">
      <c r="A733" s="13">
        <v>9</v>
      </c>
      <c r="B733" s="5" t="s">
        <v>92</v>
      </c>
      <c r="C733" s="6" t="str">
        <f>Gia_VLieu!C11</f>
        <v>Hộp</v>
      </c>
      <c r="D733" s="66">
        <f>Gia_VLieu!D11</f>
        <v>2000</v>
      </c>
      <c r="E733" s="53">
        <v>3</v>
      </c>
      <c r="F733" s="16">
        <f t="shared" si="51"/>
        <v>6000</v>
      </c>
      <c r="H733" s="10">
        <v>729</v>
      </c>
    </row>
    <row r="734" spans="1:8" s="3" customFormat="1">
      <c r="A734" s="13">
        <v>10</v>
      </c>
      <c r="B734" s="5" t="s">
        <v>93</v>
      </c>
      <c r="C734" s="6" t="str">
        <f>Gia_VLieu!C12</f>
        <v>Tập</v>
      </c>
      <c r="D734" s="66">
        <f>Gia_VLieu!D12</f>
        <v>8000</v>
      </c>
      <c r="E734" s="53">
        <v>4</v>
      </c>
      <c r="F734" s="16">
        <f t="shared" si="51"/>
        <v>32000</v>
      </c>
      <c r="H734" s="10">
        <v>730</v>
      </c>
    </row>
    <row r="735" spans="1:8" s="3" customFormat="1">
      <c r="A735" s="40">
        <v>11</v>
      </c>
      <c r="B735" s="41" t="s">
        <v>94</v>
      </c>
      <c r="C735" s="42" t="str">
        <f>Gia_VLieu!C13</f>
        <v>Cái</v>
      </c>
      <c r="D735" s="67">
        <f>Gia_VLieu!D13</f>
        <v>15000</v>
      </c>
      <c r="E735" s="54">
        <v>6</v>
      </c>
      <c r="F735" s="38">
        <f>D735*E735</f>
        <v>90000</v>
      </c>
      <c r="H735" s="10">
        <v>731</v>
      </c>
    </row>
    <row r="736" spans="1:8" s="14" customFormat="1">
      <c r="A736" s="12" t="e">
        <f>#REF!</f>
        <v>#REF!</v>
      </c>
      <c r="B736" s="8" t="e">
        <f>#REF!</f>
        <v>#REF!</v>
      </c>
      <c r="C736" s="7"/>
      <c r="D736" s="72"/>
      <c r="E736" s="48"/>
      <c r="F736" s="17"/>
      <c r="H736" s="10">
        <v>732</v>
      </c>
    </row>
    <row r="737" spans="1:8" s="14" customFormat="1">
      <c r="A737" s="12" t="e">
        <f>#REF!</f>
        <v>#REF!</v>
      </c>
      <c r="B737" s="8" t="e">
        <f>#REF!</f>
        <v>#REF!</v>
      </c>
      <c r="C737" s="7"/>
      <c r="D737" s="72"/>
      <c r="E737" s="48"/>
      <c r="F737" s="17"/>
      <c r="H737" s="10">
        <v>733</v>
      </c>
    </row>
    <row r="738" spans="1:8" s="33" customFormat="1">
      <c r="A738" s="31" t="e">
        <f>#REF!</f>
        <v>#REF!</v>
      </c>
      <c r="B738" s="32" t="e">
        <f>#REF!</f>
        <v>#REF!</v>
      </c>
      <c r="C738" s="15"/>
      <c r="D738" s="70"/>
      <c r="E738" s="45"/>
      <c r="F738" s="18"/>
      <c r="H738" s="10">
        <v>734</v>
      </c>
    </row>
    <row r="739" spans="1:8" s="33" customFormat="1">
      <c r="A739" s="31" t="e">
        <f>#REF!</f>
        <v>#REF!</v>
      </c>
      <c r="B739" s="32" t="e">
        <f>#REF!</f>
        <v>#REF!</v>
      </c>
      <c r="C739" s="15"/>
      <c r="D739" s="70"/>
      <c r="E739" s="45"/>
      <c r="F739" s="18"/>
      <c r="H739" s="10">
        <v>735</v>
      </c>
    </row>
    <row r="740" spans="1:8" s="33" customFormat="1">
      <c r="A740" s="31" t="e">
        <f>#REF!</f>
        <v>#REF!</v>
      </c>
      <c r="B740" s="32" t="e">
        <f>#REF!</f>
        <v>#REF!</v>
      </c>
      <c r="C740" s="15"/>
      <c r="D740" s="127">
        <f>Gia_VLieu!D$14</f>
        <v>1.08</v>
      </c>
      <c r="E740" s="45"/>
      <c r="F740" s="18" t="e">
        <f>SUM(F741:F751)*D740</f>
        <v>#REF!</v>
      </c>
      <c r="H740" s="10">
        <v>736</v>
      </c>
    </row>
    <row r="741" spans="1:8" s="3" customFormat="1">
      <c r="A741" s="13">
        <v>1</v>
      </c>
      <c r="B741" s="5" t="s">
        <v>85</v>
      </c>
      <c r="C741" s="6" t="str">
        <f>Gia_VLieu!C4</f>
        <v>Gram</v>
      </c>
      <c r="D741" s="66">
        <f>Gia_VLieu!D4</f>
        <v>45000</v>
      </c>
      <c r="E741" s="53">
        <v>2E-3</v>
      </c>
      <c r="F741" s="16">
        <f>D741*E741</f>
        <v>90</v>
      </c>
      <c r="H741" s="10">
        <v>737</v>
      </c>
    </row>
    <row r="742" spans="1:8" s="3" customFormat="1">
      <c r="A742" s="13">
        <v>2</v>
      </c>
      <c r="B742" s="5" t="s">
        <v>86</v>
      </c>
      <c r="C742" s="6" t="str">
        <f>Gia_VLieu!C5</f>
        <v>Hộp</v>
      </c>
      <c r="D742" s="66">
        <f>Gia_VLieu!D5</f>
        <v>1450000</v>
      </c>
      <c r="E742" s="53">
        <v>8.0000000000000004E-4</v>
      </c>
      <c r="F742" s="16">
        <f t="shared" ref="F742:F750" si="52">D742*E742</f>
        <v>1160</v>
      </c>
      <c r="H742" s="10">
        <v>738</v>
      </c>
    </row>
    <row r="743" spans="1:8" s="3" customFormat="1">
      <c r="A743" s="13">
        <v>3</v>
      </c>
      <c r="B743" s="5" t="s">
        <v>87</v>
      </c>
      <c r="C743" s="6" t="e">
        <f>Gia_VLieu!#REF!</f>
        <v>#REF!</v>
      </c>
      <c r="D743" s="66" t="e">
        <f>Gia_VLieu!#REF!</f>
        <v>#REF!</v>
      </c>
      <c r="E743" s="53">
        <v>2.9999999999999997E-4</v>
      </c>
      <c r="F743" s="16" t="e">
        <f t="shared" si="52"/>
        <v>#REF!</v>
      </c>
      <c r="H743" s="10">
        <v>739</v>
      </c>
    </row>
    <row r="744" spans="1:8" s="3" customFormat="1">
      <c r="A744" s="13">
        <v>4</v>
      </c>
      <c r="B744" s="5" t="s">
        <v>88</v>
      </c>
      <c r="C744" s="6" t="str">
        <f>Gia_VLieu!C6</f>
        <v>Quyển</v>
      </c>
      <c r="D744" s="66">
        <f>Gia_VLieu!D6</f>
        <v>10000</v>
      </c>
      <c r="E744" s="53">
        <v>0.05</v>
      </c>
      <c r="F744" s="16">
        <f t="shared" si="52"/>
        <v>500</v>
      </c>
      <c r="H744" s="10">
        <v>740</v>
      </c>
    </row>
    <row r="745" spans="1:8" s="3" customFormat="1">
      <c r="A745" s="13">
        <v>5</v>
      </c>
      <c r="B745" s="5" t="s">
        <v>22</v>
      </c>
      <c r="C745" s="6" t="str">
        <f>Gia_VLieu!C7</f>
        <v>Cái</v>
      </c>
      <c r="D745" s="66">
        <f>Gia_VLieu!D7</f>
        <v>2000</v>
      </c>
      <c r="E745" s="53">
        <v>8.0000000000000002E-3</v>
      </c>
      <c r="F745" s="16">
        <f t="shared" si="52"/>
        <v>16</v>
      </c>
      <c r="H745" s="10">
        <v>741</v>
      </c>
    </row>
    <row r="746" spans="1:8" s="3" customFormat="1">
      <c r="A746" s="13">
        <v>6</v>
      </c>
      <c r="B746" s="5" t="s">
        <v>89</v>
      </c>
      <c r="C746" s="6" t="str">
        <f>Gia_VLieu!C8</f>
        <v>Cái</v>
      </c>
      <c r="D746" s="66">
        <f>Gia_VLieu!D8</f>
        <v>8000</v>
      </c>
      <c r="E746" s="53">
        <v>6.0000000000000001E-3</v>
      </c>
      <c r="F746" s="16">
        <f t="shared" si="52"/>
        <v>48</v>
      </c>
      <c r="H746" s="10">
        <v>742</v>
      </c>
    </row>
    <row r="747" spans="1:8" s="3" customFormat="1">
      <c r="A747" s="13">
        <v>7</v>
      </c>
      <c r="B747" s="5" t="s">
        <v>90</v>
      </c>
      <c r="C747" s="6" t="str">
        <f>Gia_VLieu!C9</f>
        <v>Cái</v>
      </c>
      <c r="D747" s="66">
        <f>Gia_VLieu!D9</f>
        <v>10000</v>
      </c>
      <c r="E747" s="53">
        <v>6.0000000000000001E-3</v>
      </c>
      <c r="F747" s="16">
        <f t="shared" si="52"/>
        <v>60</v>
      </c>
      <c r="H747" s="10">
        <v>743</v>
      </c>
    </row>
    <row r="748" spans="1:8" s="3" customFormat="1">
      <c r="A748" s="13">
        <v>8</v>
      </c>
      <c r="B748" s="5" t="s">
        <v>91</v>
      </c>
      <c r="C748" s="6" t="str">
        <f>Gia_VLieu!C10</f>
        <v>Hộp</v>
      </c>
      <c r="D748" s="66">
        <f>Gia_VLieu!D10</f>
        <v>2500</v>
      </c>
      <c r="E748" s="53">
        <v>0.01</v>
      </c>
      <c r="F748" s="16">
        <f t="shared" si="52"/>
        <v>25</v>
      </c>
      <c r="H748" s="10">
        <v>744</v>
      </c>
    </row>
    <row r="749" spans="1:8" s="3" customFormat="1">
      <c r="A749" s="13">
        <v>9</v>
      </c>
      <c r="B749" s="5" t="s">
        <v>92</v>
      </c>
      <c r="C749" s="6" t="str">
        <f>Gia_VLieu!C11</f>
        <v>Hộp</v>
      </c>
      <c r="D749" s="66">
        <f>Gia_VLieu!D11</f>
        <v>2000</v>
      </c>
      <c r="E749" s="53">
        <v>0.01</v>
      </c>
      <c r="F749" s="16">
        <f t="shared" si="52"/>
        <v>20</v>
      </c>
      <c r="H749" s="10">
        <v>745</v>
      </c>
    </row>
    <row r="750" spans="1:8" s="3" customFormat="1">
      <c r="A750" s="13">
        <v>10</v>
      </c>
      <c r="B750" s="5" t="s">
        <v>93</v>
      </c>
      <c r="C750" s="6" t="str">
        <f>Gia_VLieu!C12</f>
        <v>Tập</v>
      </c>
      <c r="D750" s="66">
        <f>Gia_VLieu!D12</f>
        <v>8000</v>
      </c>
      <c r="E750" s="53">
        <v>5.0000000000000001E-3</v>
      </c>
      <c r="F750" s="16">
        <f t="shared" si="52"/>
        <v>40</v>
      </c>
      <c r="H750" s="10">
        <v>746</v>
      </c>
    </row>
    <row r="751" spans="1:8" s="3" customFormat="1">
      <c r="A751" s="40">
        <v>11</v>
      </c>
      <c r="B751" s="41" t="s">
        <v>94</v>
      </c>
      <c r="C751" s="42" t="str">
        <f>Gia_VLieu!C13</f>
        <v>Cái</v>
      </c>
      <c r="D751" s="67">
        <f>Gia_VLieu!D13</f>
        <v>15000</v>
      </c>
      <c r="E751" s="54">
        <v>7.0000000000000001E-3</v>
      </c>
      <c r="F751" s="38">
        <f>D751*E751</f>
        <v>105</v>
      </c>
      <c r="H751" s="10">
        <v>747</v>
      </c>
    </row>
    <row r="752" spans="1:8" s="33" customFormat="1">
      <c r="A752" s="31" t="e">
        <f>#REF!</f>
        <v>#REF!</v>
      </c>
      <c r="B752" s="32" t="e">
        <f>#REF!</f>
        <v>#REF!</v>
      </c>
      <c r="C752" s="15"/>
      <c r="D752" s="127">
        <f>Gia_VLieu!D$14</f>
        <v>1.08</v>
      </c>
      <c r="E752" s="45"/>
      <c r="F752" s="18" t="e">
        <f>SUM(F753:F763)*D752</f>
        <v>#REF!</v>
      </c>
      <c r="H752" s="10">
        <v>748</v>
      </c>
    </row>
    <row r="753" spans="1:8" s="3" customFormat="1">
      <c r="A753" s="13">
        <v>1</v>
      </c>
      <c r="B753" s="5" t="s">
        <v>85</v>
      </c>
      <c r="C753" s="6" t="str">
        <f>Gia_VLieu!C4</f>
        <v>Gram</v>
      </c>
      <c r="D753" s="66">
        <f>Gia_VLieu!D4</f>
        <v>45000</v>
      </c>
      <c r="E753" s="53">
        <v>2E-3</v>
      </c>
      <c r="F753" s="16">
        <f>D753*E753</f>
        <v>90</v>
      </c>
      <c r="H753" s="10">
        <v>749</v>
      </c>
    </row>
    <row r="754" spans="1:8" s="3" customFormat="1">
      <c r="A754" s="13">
        <v>2</v>
      </c>
      <c r="B754" s="5" t="s">
        <v>86</v>
      </c>
      <c r="C754" s="6" t="str">
        <f>Gia_VLieu!C5</f>
        <v>Hộp</v>
      </c>
      <c r="D754" s="66">
        <f>Gia_VLieu!D5</f>
        <v>1450000</v>
      </c>
      <c r="E754" s="53">
        <v>8.0000000000000004E-4</v>
      </c>
      <c r="F754" s="16">
        <f t="shared" ref="F754:F762" si="53">D754*E754</f>
        <v>1160</v>
      </c>
      <c r="H754" s="10">
        <v>750</v>
      </c>
    </row>
    <row r="755" spans="1:8" s="3" customFormat="1">
      <c r="A755" s="13">
        <v>3</v>
      </c>
      <c r="B755" s="5" t="s">
        <v>87</v>
      </c>
      <c r="C755" s="6" t="e">
        <f>Gia_VLieu!#REF!</f>
        <v>#REF!</v>
      </c>
      <c r="D755" s="66" t="e">
        <f>Gia_VLieu!#REF!</f>
        <v>#REF!</v>
      </c>
      <c r="E755" s="53">
        <v>2.9999999999999997E-4</v>
      </c>
      <c r="F755" s="16" t="e">
        <f t="shared" si="53"/>
        <v>#REF!</v>
      </c>
      <c r="H755" s="10">
        <v>751</v>
      </c>
    </row>
    <row r="756" spans="1:8" s="3" customFormat="1">
      <c r="A756" s="13">
        <v>4</v>
      </c>
      <c r="B756" s="5" t="s">
        <v>88</v>
      </c>
      <c r="C756" s="6" t="str">
        <f>Gia_VLieu!C6</f>
        <v>Quyển</v>
      </c>
      <c r="D756" s="66">
        <f>Gia_VLieu!D6</f>
        <v>10000</v>
      </c>
      <c r="E756" s="53">
        <v>0.05</v>
      </c>
      <c r="F756" s="16">
        <f t="shared" si="53"/>
        <v>500</v>
      </c>
      <c r="H756" s="10">
        <v>752</v>
      </c>
    </row>
    <row r="757" spans="1:8" s="3" customFormat="1">
      <c r="A757" s="13">
        <v>5</v>
      </c>
      <c r="B757" s="5" t="s">
        <v>22</v>
      </c>
      <c r="C757" s="6" t="str">
        <f>Gia_VLieu!C7</f>
        <v>Cái</v>
      </c>
      <c r="D757" s="66">
        <f>Gia_VLieu!D7</f>
        <v>2000</v>
      </c>
      <c r="E757" s="53">
        <v>8.0000000000000002E-3</v>
      </c>
      <c r="F757" s="16">
        <f t="shared" si="53"/>
        <v>16</v>
      </c>
      <c r="H757" s="10">
        <v>753</v>
      </c>
    </row>
    <row r="758" spans="1:8" s="3" customFormat="1">
      <c r="A758" s="13">
        <v>6</v>
      </c>
      <c r="B758" s="5" t="s">
        <v>89</v>
      </c>
      <c r="C758" s="6" t="str">
        <f>Gia_VLieu!C8</f>
        <v>Cái</v>
      </c>
      <c r="D758" s="66">
        <f>Gia_VLieu!D8</f>
        <v>8000</v>
      </c>
      <c r="E758" s="53">
        <v>6.0000000000000001E-3</v>
      </c>
      <c r="F758" s="16">
        <f t="shared" si="53"/>
        <v>48</v>
      </c>
      <c r="H758" s="10">
        <v>754</v>
      </c>
    </row>
    <row r="759" spans="1:8" s="3" customFormat="1">
      <c r="A759" s="13">
        <v>7</v>
      </c>
      <c r="B759" s="5" t="s">
        <v>90</v>
      </c>
      <c r="C759" s="6" t="str">
        <f>Gia_VLieu!C9</f>
        <v>Cái</v>
      </c>
      <c r="D759" s="66">
        <f>Gia_VLieu!D9</f>
        <v>10000</v>
      </c>
      <c r="E759" s="53">
        <v>6.0000000000000001E-3</v>
      </c>
      <c r="F759" s="16">
        <f t="shared" si="53"/>
        <v>60</v>
      </c>
      <c r="H759" s="10">
        <v>755</v>
      </c>
    </row>
    <row r="760" spans="1:8" s="3" customFormat="1">
      <c r="A760" s="13">
        <v>8</v>
      </c>
      <c r="B760" s="5" t="s">
        <v>91</v>
      </c>
      <c r="C760" s="6" t="str">
        <f>Gia_VLieu!C10</f>
        <v>Hộp</v>
      </c>
      <c r="D760" s="66">
        <f>Gia_VLieu!D10</f>
        <v>2500</v>
      </c>
      <c r="E760" s="53">
        <v>0.01</v>
      </c>
      <c r="F760" s="16">
        <f t="shared" si="53"/>
        <v>25</v>
      </c>
      <c r="H760" s="10">
        <v>756</v>
      </c>
    </row>
    <row r="761" spans="1:8" s="3" customFormat="1">
      <c r="A761" s="13">
        <v>9</v>
      </c>
      <c r="B761" s="5" t="s">
        <v>92</v>
      </c>
      <c r="C761" s="6" t="str">
        <f>Gia_VLieu!C11</f>
        <v>Hộp</v>
      </c>
      <c r="D761" s="66">
        <f>Gia_VLieu!D11</f>
        <v>2000</v>
      </c>
      <c r="E761" s="53">
        <v>0.01</v>
      </c>
      <c r="F761" s="16">
        <f t="shared" si="53"/>
        <v>20</v>
      </c>
      <c r="H761" s="10">
        <v>757</v>
      </c>
    </row>
    <row r="762" spans="1:8" s="3" customFormat="1">
      <c r="A762" s="13">
        <v>10</v>
      </c>
      <c r="B762" s="5" t="s">
        <v>93</v>
      </c>
      <c r="C762" s="6" t="str">
        <f>Gia_VLieu!C12</f>
        <v>Tập</v>
      </c>
      <c r="D762" s="66">
        <f>Gia_VLieu!D12</f>
        <v>8000</v>
      </c>
      <c r="E762" s="53">
        <v>5.0000000000000001E-3</v>
      </c>
      <c r="F762" s="16">
        <f t="shared" si="53"/>
        <v>40</v>
      </c>
      <c r="H762" s="10">
        <v>758</v>
      </c>
    </row>
    <row r="763" spans="1:8" s="3" customFormat="1">
      <c r="A763" s="40">
        <v>11</v>
      </c>
      <c r="B763" s="41" t="s">
        <v>94</v>
      </c>
      <c r="C763" s="42" t="str">
        <f>Gia_VLieu!C13</f>
        <v>Cái</v>
      </c>
      <c r="D763" s="67">
        <f>Gia_VLieu!D13</f>
        <v>15000</v>
      </c>
      <c r="E763" s="54">
        <v>7.0000000000000001E-3</v>
      </c>
      <c r="F763" s="38">
        <f>D763*E763</f>
        <v>105</v>
      </c>
      <c r="H763" s="10">
        <v>759</v>
      </c>
    </row>
    <row r="764" spans="1:8" s="33" customFormat="1">
      <c r="A764" s="31" t="e">
        <f>#REF!</f>
        <v>#REF!</v>
      </c>
      <c r="B764" s="32" t="e">
        <f>#REF!</f>
        <v>#REF!</v>
      </c>
      <c r="C764" s="15"/>
      <c r="D764" s="127">
        <f>Gia_VLieu!D$14</f>
        <v>1.08</v>
      </c>
      <c r="E764" s="45"/>
      <c r="F764" s="18" t="e">
        <f>SUM(F765:F775)*D764</f>
        <v>#REF!</v>
      </c>
      <c r="H764" s="10">
        <v>760</v>
      </c>
    </row>
    <row r="765" spans="1:8" s="3" customFormat="1">
      <c r="A765" s="13">
        <v>1</v>
      </c>
      <c r="B765" s="5" t="s">
        <v>85</v>
      </c>
      <c r="C765" s="6" t="str">
        <f>Gia_VLieu!C4</f>
        <v>Gram</v>
      </c>
      <c r="D765" s="66">
        <f>Gia_VLieu!D4</f>
        <v>45000</v>
      </c>
      <c r="E765" s="53">
        <v>2E-3</v>
      </c>
      <c r="F765" s="16">
        <f>D765*E765</f>
        <v>90</v>
      </c>
      <c r="H765" s="10">
        <v>761</v>
      </c>
    </row>
    <row r="766" spans="1:8" s="3" customFormat="1">
      <c r="A766" s="13">
        <v>2</v>
      </c>
      <c r="B766" s="5" t="s">
        <v>86</v>
      </c>
      <c r="C766" s="6" t="str">
        <f>Gia_VLieu!C5</f>
        <v>Hộp</v>
      </c>
      <c r="D766" s="66">
        <f>Gia_VLieu!D5</f>
        <v>1450000</v>
      </c>
      <c r="E766" s="53">
        <v>8.0000000000000004E-4</v>
      </c>
      <c r="F766" s="16">
        <f t="shared" ref="F766:F774" si="54">D766*E766</f>
        <v>1160</v>
      </c>
      <c r="H766" s="10">
        <v>762</v>
      </c>
    </row>
    <row r="767" spans="1:8" s="3" customFormat="1">
      <c r="A767" s="13">
        <v>3</v>
      </c>
      <c r="B767" s="5" t="s">
        <v>87</v>
      </c>
      <c r="C767" s="6" t="e">
        <f>Gia_VLieu!#REF!</f>
        <v>#REF!</v>
      </c>
      <c r="D767" s="66" t="e">
        <f>Gia_VLieu!#REF!</f>
        <v>#REF!</v>
      </c>
      <c r="E767" s="53">
        <v>2.9999999999999997E-4</v>
      </c>
      <c r="F767" s="16" t="e">
        <f t="shared" si="54"/>
        <v>#REF!</v>
      </c>
      <c r="H767" s="10">
        <v>763</v>
      </c>
    </row>
    <row r="768" spans="1:8" s="3" customFormat="1">
      <c r="A768" s="13">
        <v>4</v>
      </c>
      <c r="B768" s="5" t="s">
        <v>88</v>
      </c>
      <c r="C768" s="6" t="str">
        <f>Gia_VLieu!C6</f>
        <v>Quyển</v>
      </c>
      <c r="D768" s="66">
        <f>Gia_VLieu!D6</f>
        <v>10000</v>
      </c>
      <c r="E768" s="53">
        <v>0.05</v>
      </c>
      <c r="F768" s="16">
        <f t="shared" si="54"/>
        <v>500</v>
      </c>
      <c r="H768" s="10">
        <v>764</v>
      </c>
    </row>
    <row r="769" spans="1:8" s="3" customFormat="1">
      <c r="A769" s="13">
        <v>5</v>
      </c>
      <c r="B769" s="5" t="s">
        <v>22</v>
      </c>
      <c r="C769" s="6" t="str">
        <f>Gia_VLieu!C7</f>
        <v>Cái</v>
      </c>
      <c r="D769" s="66">
        <f>Gia_VLieu!D7</f>
        <v>2000</v>
      </c>
      <c r="E769" s="53">
        <v>8.0000000000000002E-3</v>
      </c>
      <c r="F769" s="16">
        <f t="shared" si="54"/>
        <v>16</v>
      </c>
      <c r="H769" s="10">
        <v>765</v>
      </c>
    </row>
    <row r="770" spans="1:8" s="3" customFormat="1">
      <c r="A770" s="13">
        <v>6</v>
      </c>
      <c r="B770" s="5" t="s">
        <v>89</v>
      </c>
      <c r="C770" s="6" t="str">
        <f>Gia_VLieu!C8</f>
        <v>Cái</v>
      </c>
      <c r="D770" s="66">
        <f>Gia_VLieu!D8</f>
        <v>8000</v>
      </c>
      <c r="E770" s="53">
        <v>6.0000000000000001E-3</v>
      </c>
      <c r="F770" s="16">
        <f t="shared" si="54"/>
        <v>48</v>
      </c>
      <c r="H770" s="10">
        <v>766</v>
      </c>
    </row>
    <row r="771" spans="1:8" s="3" customFormat="1">
      <c r="A771" s="13">
        <v>7</v>
      </c>
      <c r="B771" s="5" t="s">
        <v>90</v>
      </c>
      <c r="C771" s="6" t="str">
        <f>Gia_VLieu!C9</f>
        <v>Cái</v>
      </c>
      <c r="D771" s="66">
        <f>Gia_VLieu!D9</f>
        <v>10000</v>
      </c>
      <c r="E771" s="53">
        <v>6.0000000000000001E-3</v>
      </c>
      <c r="F771" s="16">
        <f t="shared" si="54"/>
        <v>60</v>
      </c>
      <c r="H771" s="10">
        <v>767</v>
      </c>
    </row>
    <row r="772" spans="1:8" s="3" customFormat="1">
      <c r="A772" s="13">
        <v>8</v>
      </c>
      <c r="B772" s="5" t="s">
        <v>91</v>
      </c>
      <c r="C772" s="6" t="str">
        <f>Gia_VLieu!C10</f>
        <v>Hộp</v>
      </c>
      <c r="D772" s="66">
        <f>Gia_VLieu!D10</f>
        <v>2500</v>
      </c>
      <c r="E772" s="53">
        <v>0.01</v>
      </c>
      <c r="F772" s="16">
        <f t="shared" si="54"/>
        <v>25</v>
      </c>
      <c r="H772" s="10">
        <v>768</v>
      </c>
    </row>
    <row r="773" spans="1:8" s="3" customFormat="1">
      <c r="A773" s="13">
        <v>9</v>
      </c>
      <c r="B773" s="5" t="s">
        <v>92</v>
      </c>
      <c r="C773" s="6" t="str">
        <f>Gia_VLieu!C11</f>
        <v>Hộp</v>
      </c>
      <c r="D773" s="66">
        <f>Gia_VLieu!D11</f>
        <v>2000</v>
      </c>
      <c r="E773" s="53">
        <v>0.01</v>
      </c>
      <c r="F773" s="16">
        <f t="shared" si="54"/>
        <v>20</v>
      </c>
      <c r="H773" s="10">
        <v>769</v>
      </c>
    </row>
    <row r="774" spans="1:8" s="3" customFormat="1">
      <c r="A774" s="13">
        <v>10</v>
      </c>
      <c r="B774" s="5" t="s">
        <v>93</v>
      </c>
      <c r="C774" s="6" t="str">
        <f>Gia_VLieu!C12</f>
        <v>Tập</v>
      </c>
      <c r="D774" s="66">
        <f>Gia_VLieu!D12</f>
        <v>8000</v>
      </c>
      <c r="E774" s="53">
        <v>5.0000000000000001E-3</v>
      </c>
      <c r="F774" s="16">
        <f t="shared" si="54"/>
        <v>40</v>
      </c>
      <c r="H774" s="10">
        <v>770</v>
      </c>
    </row>
    <row r="775" spans="1:8" s="3" customFormat="1">
      <c r="A775" s="40">
        <v>11</v>
      </c>
      <c r="B775" s="41" t="s">
        <v>94</v>
      </c>
      <c r="C775" s="42" t="str">
        <f>Gia_VLieu!C13</f>
        <v>Cái</v>
      </c>
      <c r="D775" s="67">
        <f>Gia_VLieu!D13</f>
        <v>15000</v>
      </c>
      <c r="E775" s="54">
        <v>7.0000000000000001E-3</v>
      </c>
      <c r="F775" s="38">
        <f>D775*E775</f>
        <v>105</v>
      </c>
      <c r="H775" s="10">
        <v>771</v>
      </c>
    </row>
    <row r="776" spans="1:8" s="33" customFormat="1">
      <c r="A776" s="31" t="e">
        <f>#REF!</f>
        <v>#REF!</v>
      </c>
      <c r="B776" s="32" t="e">
        <f>#REF!</f>
        <v>#REF!</v>
      </c>
      <c r="C776" s="15"/>
      <c r="D776" s="70"/>
      <c r="E776" s="45"/>
      <c r="F776" s="18"/>
      <c r="H776" s="10">
        <v>772</v>
      </c>
    </row>
    <row r="777" spans="1:8" s="33" customFormat="1">
      <c r="A777" s="31" t="e">
        <f>#REF!</f>
        <v>#REF!</v>
      </c>
      <c r="B777" s="32" t="e">
        <f>#REF!</f>
        <v>#REF!</v>
      </c>
      <c r="C777" s="15"/>
      <c r="D777" s="127">
        <f>Gia_VLieu!D$14</f>
        <v>1.08</v>
      </c>
      <c r="E777" s="45"/>
      <c r="F777" s="18" t="e">
        <f>SUM(F778:F788)*D777</f>
        <v>#REF!</v>
      </c>
      <c r="H777" s="10">
        <v>773</v>
      </c>
    </row>
    <row r="778" spans="1:8" s="3" customFormat="1">
      <c r="A778" s="13">
        <v>1</v>
      </c>
      <c r="B778" s="5" t="s">
        <v>85</v>
      </c>
      <c r="C778" s="6" t="str">
        <f>Gia_VLieu!C4</f>
        <v>Gram</v>
      </c>
      <c r="D778" s="66">
        <f>Gia_VLieu!D4</f>
        <v>45000</v>
      </c>
      <c r="E778" s="53">
        <v>2E-3</v>
      </c>
      <c r="F778" s="16">
        <f>D778*E778</f>
        <v>90</v>
      </c>
      <c r="H778" s="10">
        <v>774</v>
      </c>
    </row>
    <row r="779" spans="1:8" s="3" customFormat="1">
      <c r="A779" s="13">
        <v>2</v>
      </c>
      <c r="B779" s="5" t="s">
        <v>86</v>
      </c>
      <c r="C779" s="6" t="str">
        <f>Gia_VLieu!C5</f>
        <v>Hộp</v>
      </c>
      <c r="D779" s="66">
        <f>Gia_VLieu!D5</f>
        <v>1450000</v>
      </c>
      <c r="E779" s="53">
        <v>8.0000000000000004E-4</v>
      </c>
      <c r="F779" s="16">
        <f t="shared" ref="F779:F787" si="55">D779*E779</f>
        <v>1160</v>
      </c>
      <c r="H779" s="10">
        <v>775</v>
      </c>
    </row>
    <row r="780" spans="1:8" s="3" customFormat="1">
      <c r="A780" s="13">
        <v>3</v>
      </c>
      <c r="B780" s="5" t="s">
        <v>87</v>
      </c>
      <c r="C780" s="6" t="e">
        <f>Gia_VLieu!#REF!</f>
        <v>#REF!</v>
      </c>
      <c r="D780" s="66" t="e">
        <f>Gia_VLieu!#REF!</f>
        <v>#REF!</v>
      </c>
      <c r="E780" s="53">
        <v>2.9999999999999997E-4</v>
      </c>
      <c r="F780" s="16" t="e">
        <f t="shared" si="55"/>
        <v>#REF!</v>
      </c>
      <c r="H780" s="10">
        <v>776</v>
      </c>
    </row>
    <row r="781" spans="1:8" s="3" customFormat="1">
      <c r="A781" s="13">
        <v>4</v>
      </c>
      <c r="B781" s="5" t="s">
        <v>88</v>
      </c>
      <c r="C781" s="6" t="str">
        <f>Gia_VLieu!C6</f>
        <v>Quyển</v>
      </c>
      <c r="D781" s="66">
        <f>Gia_VLieu!D6</f>
        <v>10000</v>
      </c>
      <c r="E781" s="53">
        <v>0.05</v>
      </c>
      <c r="F781" s="16">
        <f t="shared" si="55"/>
        <v>500</v>
      </c>
      <c r="H781" s="10">
        <v>777</v>
      </c>
    </row>
    <row r="782" spans="1:8" s="3" customFormat="1">
      <c r="A782" s="13">
        <v>5</v>
      </c>
      <c r="B782" s="5" t="s">
        <v>22</v>
      </c>
      <c r="C782" s="6" t="str">
        <f>Gia_VLieu!C7</f>
        <v>Cái</v>
      </c>
      <c r="D782" s="66">
        <f>Gia_VLieu!D7</f>
        <v>2000</v>
      </c>
      <c r="E782" s="53">
        <v>8.0000000000000002E-3</v>
      </c>
      <c r="F782" s="16">
        <f t="shared" si="55"/>
        <v>16</v>
      </c>
      <c r="H782" s="10">
        <v>778</v>
      </c>
    </row>
    <row r="783" spans="1:8" s="3" customFormat="1">
      <c r="A783" s="13">
        <v>6</v>
      </c>
      <c r="B783" s="5" t="s">
        <v>89</v>
      </c>
      <c r="C783" s="6" t="str">
        <f>Gia_VLieu!C8</f>
        <v>Cái</v>
      </c>
      <c r="D783" s="66">
        <f>Gia_VLieu!D8</f>
        <v>8000</v>
      </c>
      <c r="E783" s="53">
        <v>6.0000000000000001E-3</v>
      </c>
      <c r="F783" s="16">
        <f t="shared" si="55"/>
        <v>48</v>
      </c>
      <c r="H783" s="10">
        <v>779</v>
      </c>
    </row>
    <row r="784" spans="1:8" s="3" customFormat="1">
      <c r="A784" s="13">
        <v>7</v>
      </c>
      <c r="B784" s="5" t="s">
        <v>90</v>
      </c>
      <c r="C784" s="6" t="str">
        <f>Gia_VLieu!C9</f>
        <v>Cái</v>
      </c>
      <c r="D784" s="66">
        <f>Gia_VLieu!D9</f>
        <v>10000</v>
      </c>
      <c r="E784" s="53">
        <v>6.0000000000000001E-3</v>
      </c>
      <c r="F784" s="16">
        <f t="shared" si="55"/>
        <v>60</v>
      </c>
      <c r="H784" s="10">
        <v>780</v>
      </c>
    </row>
    <row r="785" spans="1:8" s="3" customFormat="1">
      <c r="A785" s="13">
        <v>8</v>
      </c>
      <c r="B785" s="5" t="s">
        <v>91</v>
      </c>
      <c r="C785" s="6" t="str">
        <f>Gia_VLieu!C10</f>
        <v>Hộp</v>
      </c>
      <c r="D785" s="66">
        <f>Gia_VLieu!D10</f>
        <v>2500</v>
      </c>
      <c r="E785" s="53">
        <v>0.01</v>
      </c>
      <c r="F785" s="16">
        <f t="shared" si="55"/>
        <v>25</v>
      </c>
      <c r="H785" s="10">
        <v>781</v>
      </c>
    </row>
    <row r="786" spans="1:8" s="3" customFormat="1">
      <c r="A786" s="13">
        <v>9</v>
      </c>
      <c r="B786" s="5" t="s">
        <v>92</v>
      </c>
      <c r="C786" s="6" t="str">
        <f>Gia_VLieu!C11</f>
        <v>Hộp</v>
      </c>
      <c r="D786" s="66">
        <f>Gia_VLieu!D11</f>
        <v>2000</v>
      </c>
      <c r="E786" s="53">
        <v>0.01</v>
      </c>
      <c r="F786" s="16">
        <f t="shared" si="55"/>
        <v>20</v>
      </c>
      <c r="H786" s="10">
        <v>782</v>
      </c>
    </row>
    <row r="787" spans="1:8" s="3" customFormat="1">
      <c r="A787" s="13">
        <v>10</v>
      </c>
      <c r="B787" s="5" t="s">
        <v>93</v>
      </c>
      <c r="C787" s="6" t="str">
        <f>Gia_VLieu!C12</f>
        <v>Tập</v>
      </c>
      <c r="D787" s="66">
        <f>Gia_VLieu!D12</f>
        <v>8000</v>
      </c>
      <c r="E787" s="53">
        <v>5.0000000000000001E-3</v>
      </c>
      <c r="F787" s="16">
        <f t="shared" si="55"/>
        <v>40</v>
      </c>
      <c r="H787" s="10">
        <v>783</v>
      </c>
    </row>
    <row r="788" spans="1:8" s="3" customFormat="1">
      <c r="A788" s="40">
        <v>11</v>
      </c>
      <c r="B788" s="41" t="s">
        <v>94</v>
      </c>
      <c r="C788" s="42" t="str">
        <f>Gia_VLieu!C13</f>
        <v>Cái</v>
      </c>
      <c r="D788" s="67">
        <f>Gia_VLieu!D13</f>
        <v>15000</v>
      </c>
      <c r="E788" s="54">
        <v>7.0000000000000001E-3</v>
      </c>
      <c r="F788" s="38">
        <f>D788*E788</f>
        <v>105</v>
      </c>
      <c r="H788" s="10">
        <v>784</v>
      </c>
    </row>
    <row r="789" spans="1:8" s="33" customFormat="1">
      <c r="A789" s="31" t="e">
        <f>#REF!</f>
        <v>#REF!</v>
      </c>
      <c r="B789" s="32" t="e">
        <f>#REF!</f>
        <v>#REF!</v>
      </c>
      <c r="C789" s="15"/>
      <c r="D789" s="127">
        <f>Gia_VLieu!D$14</f>
        <v>1.08</v>
      </c>
      <c r="E789" s="45"/>
      <c r="F789" s="18" t="e">
        <f>SUM(F790:F800)*D789</f>
        <v>#REF!</v>
      </c>
      <c r="H789" s="10">
        <v>785</v>
      </c>
    </row>
    <row r="790" spans="1:8" s="3" customFormat="1">
      <c r="A790" s="13">
        <v>1</v>
      </c>
      <c r="B790" s="5" t="s">
        <v>85</v>
      </c>
      <c r="C790" s="6" t="str">
        <f>Gia_VLieu!C4</f>
        <v>Gram</v>
      </c>
      <c r="D790" s="66">
        <f>Gia_VLieu!D4</f>
        <v>45000</v>
      </c>
      <c r="E790" s="53">
        <v>2E-3</v>
      </c>
      <c r="F790" s="16">
        <f>D790*E790</f>
        <v>90</v>
      </c>
      <c r="H790" s="10">
        <v>786</v>
      </c>
    </row>
    <row r="791" spans="1:8" s="3" customFormat="1">
      <c r="A791" s="13">
        <v>2</v>
      </c>
      <c r="B791" s="5" t="s">
        <v>86</v>
      </c>
      <c r="C791" s="6" t="str">
        <f>Gia_VLieu!C5</f>
        <v>Hộp</v>
      </c>
      <c r="D791" s="66">
        <f>Gia_VLieu!D5</f>
        <v>1450000</v>
      </c>
      <c r="E791" s="53">
        <v>8.0000000000000004E-4</v>
      </c>
      <c r="F791" s="16">
        <f t="shared" ref="F791:F799" si="56">D791*E791</f>
        <v>1160</v>
      </c>
      <c r="H791" s="10">
        <v>787</v>
      </c>
    </row>
    <row r="792" spans="1:8" s="3" customFormat="1">
      <c r="A792" s="13">
        <v>3</v>
      </c>
      <c r="B792" s="5" t="s">
        <v>87</v>
      </c>
      <c r="C792" s="6" t="e">
        <f>Gia_VLieu!#REF!</f>
        <v>#REF!</v>
      </c>
      <c r="D792" s="66" t="e">
        <f>Gia_VLieu!#REF!</f>
        <v>#REF!</v>
      </c>
      <c r="E792" s="53">
        <v>2.9999999999999997E-4</v>
      </c>
      <c r="F792" s="16" t="e">
        <f t="shared" si="56"/>
        <v>#REF!</v>
      </c>
      <c r="H792" s="10">
        <v>788</v>
      </c>
    </row>
    <row r="793" spans="1:8" s="3" customFormat="1">
      <c r="A793" s="13">
        <v>4</v>
      </c>
      <c r="B793" s="5" t="s">
        <v>88</v>
      </c>
      <c r="C793" s="6" t="str">
        <f>Gia_VLieu!C6</f>
        <v>Quyển</v>
      </c>
      <c r="D793" s="66">
        <f>Gia_VLieu!D6</f>
        <v>10000</v>
      </c>
      <c r="E793" s="53">
        <v>0.05</v>
      </c>
      <c r="F793" s="16">
        <f t="shared" si="56"/>
        <v>500</v>
      </c>
      <c r="H793" s="10">
        <v>789</v>
      </c>
    </row>
    <row r="794" spans="1:8" s="3" customFormat="1">
      <c r="A794" s="13">
        <v>5</v>
      </c>
      <c r="B794" s="5" t="s">
        <v>22</v>
      </c>
      <c r="C794" s="6" t="str">
        <f>Gia_VLieu!C7</f>
        <v>Cái</v>
      </c>
      <c r="D794" s="66">
        <f>Gia_VLieu!D7</f>
        <v>2000</v>
      </c>
      <c r="E794" s="53">
        <v>8.0000000000000002E-3</v>
      </c>
      <c r="F794" s="16">
        <f t="shared" si="56"/>
        <v>16</v>
      </c>
      <c r="H794" s="10">
        <v>790</v>
      </c>
    </row>
    <row r="795" spans="1:8" s="3" customFormat="1">
      <c r="A795" s="13">
        <v>6</v>
      </c>
      <c r="B795" s="5" t="s">
        <v>89</v>
      </c>
      <c r="C795" s="6" t="str">
        <f>Gia_VLieu!C8</f>
        <v>Cái</v>
      </c>
      <c r="D795" s="66">
        <f>Gia_VLieu!D8</f>
        <v>8000</v>
      </c>
      <c r="E795" s="53">
        <v>6.0000000000000001E-3</v>
      </c>
      <c r="F795" s="16">
        <f t="shared" si="56"/>
        <v>48</v>
      </c>
      <c r="H795" s="10">
        <v>791</v>
      </c>
    </row>
    <row r="796" spans="1:8" s="3" customFormat="1">
      <c r="A796" s="13">
        <v>7</v>
      </c>
      <c r="B796" s="5" t="s">
        <v>90</v>
      </c>
      <c r="C796" s="6" t="str">
        <f>Gia_VLieu!C9</f>
        <v>Cái</v>
      </c>
      <c r="D796" s="66">
        <f>Gia_VLieu!D9</f>
        <v>10000</v>
      </c>
      <c r="E796" s="53">
        <v>6.0000000000000001E-3</v>
      </c>
      <c r="F796" s="16">
        <f t="shared" si="56"/>
        <v>60</v>
      </c>
      <c r="H796" s="10">
        <v>792</v>
      </c>
    </row>
    <row r="797" spans="1:8" s="3" customFormat="1">
      <c r="A797" s="13">
        <v>8</v>
      </c>
      <c r="B797" s="5" t="s">
        <v>91</v>
      </c>
      <c r="C797" s="6" t="str">
        <f>Gia_VLieu!C10</f>
        <v>Hộp</v>
      </c>
      <c r="D797" s="66">
        <f>Gia_VLieu!D10</f>
        <v>2500</v>
      </c>
      <c r="E797" s="53">
        <v>0.01</v>
      </c>
      <c r="F797" s="16">
        <f t="shared" si="56"/>
        <v>25</v>
      </c>
      <c r="H797" s="10">
        <v>793</v>
      </c>
    </row>
    <row r="798" spans="1:8" s="3" customFormat="1">
      <c r="A798" s="13">
        <v>9</v>
      </c>
      <c r="B798" s="5" t="s">
        <v>92</v>
      </c>
      <c r="C798" s="6" t="str">
        <f>Gia_VLieu!C11</f>
        <v>Hộp</v>
      </c>
      <c r="D798" s="66">
        <f>Gia_VLieu!D11</f>
        <v>2000</v>
      </c>
      <c r="E798" s="53">
        <v>0.01</v>
      </c>
      <c r="F798" s="16">
        <f t="shared" si="56"/>
        <v>20</v>
      </c>
      <c r="H798" s="10">
        <v>794</v>
      </c>
    </row>
    <row r="799" spans="1:8" s="3" customFormat="1">
      <c r="A799" s="13">
        <v>10</v>
      </c>
      <c r="B799" s="5" t="s">
        <v>93</v>
      </c>
      <c r="C799" s="6" t="str">
        <f>Gia_VLieu!C12</f>
        <v>Tập</v>
      </c>
      <c r="D799" s="66">
        <f>Gia_VLieu!D12</f>
        <v>8000</v>
      </c>
      <c r="E799" s="53">
        <v>5.0000000000000001E-3</v>
      </c>
      <c r="F799" s="16">
        <f t="shared" si="56"/>
        <v>40</v>
      </c>
      <c r="H799" s="10">
        <v>795</v>
      </c>
    </row>
    <row r="800" spans="1:8" s="3" customFormat="1">
      <c r="A800" s="40">
        <v>11</v>
      </c>
      <c r="B800" s="41" t="s">
        <v>94</v>
      </c>
      <c r="C800" s="42" t="str">
        <f>Gia_VLieu!C13</f>
        <v>Cái</v>
      </c>
      <c r="D800" s="67">
        <f>Gia_VLieu!D13</f>
        <v>15000</v>
      </c>
      <c r="E800" s="54">
        <v>7.0000000000000001E-3</v>
      </c>
      <c r="F800" s="38">
        <f>D800*E800</f>
        <v>105</v>
      </c>
      <c r="H800" s="10">
        <v>796</v>
      </c>
    </row>
    <row r="801" spans="1:8" s="33" customFormat="1">
      <c r="A801" s="31" t="e">
        <f>#REF!</f>
        <v>#REF!</v>
      </c>
      <c r="B801" s="32" t="e">
        <f>#REF!</f>
        <v>#REF!</v>
      </c>
      <c r="C801" s="15"/>
      <c r="D801" s="70"/>
      <c r="E801" s="45"/>
      <c r="F801" s="18" t="e">
        <f>F764</f>
        <v>#REF!</v>
      </c>
      <c r="H801" s="10">
        <v>797</v>
      </c>
    </row>
    <row r="802" spans="1:8" s="33" customFormat="1">
      <c r="A802" s="31" t="e">
        <f>#REF!</f>
        <v>#REF!</v>
      </c>
      <c r="B802" s="32" t="e">
        <f>#REF!</f>
        <v>#REF!</v>
      </c>
      <c r="C802" s="15"/>
      <c r="D802" s="127">
        <f>Gia_VLieu!D$14</f>
        <v>1.08</v>
      </c>
      <c r="E802" s="45"/>
      <c r="F802" s="18" t="e">
        <f>SUM(F803:F813)*D802</f>
        <v>#REF!</v>
      </c>
      <c r="H802" s="10">
        <v>798</v>
      </c>
    </row>
    <row r="803" spans="1:8" s="3" customFormat="1">
      <c r="A803" s="13">
        <v>1</v>
      </c>
      <c r="B803" s="5" t="s">
        <v>85</v>
      </c>
      <c r="C803" s="6" t="str">
        <f>Gia_VLieu!C4</f>
        <v>Gram</v>
      </c>
      <c r="D803" s="66">
        <f>Gia_VLieu!D4</f>
        <v>45000</v>
      </c>
      <c r="E803" s="53">
        <v>2E-3</v>
      </c>
      <c r="F803" s="16">
        <f>D803*E803</f>
        <v>90</v>
      </c>
      <c r="H803" s="10">
        <v>799</v>
      </c>
    </row>
    <row r="804" spans="1:8" s="3" customFormat="1">
      <c r="A804" s="13">
        <v>2</v>
      </c>
      <c r="B804" s="5" t="s">
        <v>86</v>
      </c>
      <c r="C804" s="6" t="str">
        <f>Gia_VLieu!C5</f>
        <v>Hộp</v>
      </c>
      <c r="D804" s="66">
        <f>Gia_VLieu!D5</f>
        <v>1450000</v>
      </c>
      <c r="E804" s="53">
        <v>8.0000000000000004E-4</v>
      </c>
      <c r="F804" s="16">
        <f t="shared" ref="F804:F812" si="57">D804*E804</f>
        <v>1160</v>
      </c>
      <c r="H804" s="10">
        <v>800</v>
      </c>
    </row>
    <row r="805" spans="1:8" s="3" customFormat="1">
      <c r="A805" s="13">
        <v>3</v>
      </c>
      <c r="B805" s="5" t="s">
        <v>87</v>
      </c>
      <c r="C805" s="6" t="e">
        <f>Gia_VLieu!#REF!</f>
        <v>#REF!</v>
      </c>
      <c r="D805" s="66" t="e">
        <f>Gia_VLieu!#REF!</f>
        <v>#REF!</v>
      </c>
      <c r="E805" s="53">
        <v>2.9999999999999997E-4</v>
      </c>
      <c r="F805" s="16" t="e">
        <f t="shared" si="57"/>
        <v>#REF!</v>
      </c>
      <c r="H805" s="10">
        <v>801</v>
      </c>
    </row>
    <row r="806" spans="1:8" s="3" customFormat="1">
      <c r="A806" s="13">
        <v>4</v>
      </c>
      <c r="B806" s="5" t="s">
        <v>88</v>
      </c>
      <c r="C806" s="6" t="str">
        <f>Gia_VLieu!C6</f>
        <v>Quyển</v>
      </c>
      <c r="D806" s="66">
        <f>Gia_VLieu!D6</f>
        <v>10000</v>
      </c>
      <c r="E806" s="53">
        <v>0.05</v>
      </c>
      <c r="F806" s="16">
        <f t="shared" si="57"/>
        <v>500</v>
      </c>
      <c r="H806" s="10">
        <v>802</v>
      </c>
    </row>
    <row r="807" spans="1:8" s="3" customFormat="1">
      <c r="A807" s="13">
        <v>5</v>
      </c>
      <c r="B807" s="5" t="s">
        <v>22</v>
      </c>
      <c r="C807" s="6" t="str">
        <f>Gia_VLieu!C7</f>
        <v>Cái</v>
      </c>
      <c r="D807" s="66">
        <f>Gia_VLieu!D7</f>
        <v>2000</v>
      </c>
      <c r="E807" s="53">
        <v>8.0000000000000002E-3</v>
      </c>
      <c r="F807" s="16">
        <f t="shared" si="57"/>
        <v>16</v>
      </c>
      <c r="H807" s="10">
        <v>803</v>
      </c>
    </row>
    <row r="808" spans="1:8" s="3" customFormat="1">
      <c r="A808" s="13">
        <v>6</v>
      </c>
      <c r="B808" s="5" t="s">
        <v>89</v>
      </c>
      <c r="C808" s="6" t="str">
        <f>Gia_VLieu!C8</f>
        <v>Cái</v>
      </c>
      <c r="D808" s="66">
        <f>Gia_VLieu!D8</f>
        <v>8000</v>
      </c>
      <c r="E808" s="53">
        <v>6.0000000000000001E-3</v>
      </c>
      <c r="F808" s="16">
        <f t="shared" si="57"/>
        <v>48</v>
      </c>
      <c r="H808" s="10">
        <v>804</v>
      </c>
    </row>
    <row r="809" spans="1:8" s="3" customFormat="1">
      <c r="A809" s="13">
        <v>7</v>
      </c>
      <c r="B809" s="5" t="s">
        <v>90</v>
      </c>
      <c r="C809" s="6" t="str">
        <f>Gia_VLieu!C9</f>
        <v>Cái</v>
      </c>
      <c r="D809" s="66">
        <f>Gia_VLieu!D9</f>
        <v>10000</v>
      </c>
      <c r="E809" s="53">
        <v>6.0000000000000001E-3</v>
      </c>
      <c r="F809" s="16">
        <f t="shared" si="57"/>
        <v>60</v>
      </c>
      <c r="H809" s="10">
        <v>805</v>
      </c>
    </row>
    <row r="810" spans="1:8" s="3" customFormat="1">
      <c r="A810" s="13">
        <v>8</v>
      </c>
      <c r="B810" s="5" t="s">
        <v>91</v>
      </c>
      <c r="C810" s="6" t="str">
        <f>Gia_VLieu!C10</f>
        <v>Hộp</v>
      </c>
      <c r="D810" s="66">
        <f>Gia_VLieu!D10</f>
        <v>2500</v>
      </c>
      <c r="E810" s="53">
        <v>0.01</v>
      </c>
      <c r="F810" s="16">
        <f t="shared" si="57"/>
        <v>25</v>
      </c>
      <c r="H810" s="10">
        <v>806</v>
      </c>
    </row>
    <row r="811" spans="1:8" s="3" customFormat="1">
      <c r="A811" s="13">
        <v>9</v>
      </c>
      <c r="B811" s="5" t="s">
        <v>92</v>
      </c>
      <c r="C811" s="6" t="str">
        <f>Gia_VLieu!C11</f>
        <v>Hộp</v>
      </c>
      <c r="D811" s="66">
        <f>Gia_VLieu!D11</f>
        <v>2000</v>
      </c>
      <c r="E811" s="53">
        <v>0.01</v>
      </c>
      <c r="F811" s="16">
        <f t="shared" si="57"/>
        <v>20</v>
      </c>
      <c r="H811" s="10">
        <v>807</v>
      </c>
    </row>
    <row r="812" spans="1:8" s="3" customFormat="1">
      <c r="A812" s="13">
        <v>10</v>
      </c>
      <c r="B812" s="5" t="s">
        <v>93</v>
      </c>
      <c r="C812" s="6" t="str">
        <f>Gia_VLieu!C12</f>
        <v>Tập</v>
      </c>
      <c r="D812" s="66">
        <f>Gia_VLieu!D12</f>
        <v>8000</v>
      </c>
      <c r="E812" s="53">
        <v>5.0000000000000001E-3</v>
      </c>
      <c r="F812" s="16">
        <f t="shared" si="57"/>
        <v>40</v>
      </c>
      <c r="H812" s="10">
        <v>808</v>
      </c>
    </row>
    <row r="813" spans="1:8" s="3" customFormat="1">
      <c r="A813" s="40">
        <v>11</v>
      </c>
      <c r="B813" s="41" t="s">
        <v>94</v>
      </c>
      <c r="C813" s="42" t="str">
        <f>Gia_VLieu!C13</f>
        <v>Cái</v>
      </c>
      <c r="D813" s="67">
        <f>Gia_VLieu!D13</f>
        <v>15000</v>
      </c>
      <c r="E813" s="54">
        <v>7.0000000000000001E-3</v>
      </c>
      <c r="F813" s="38">
        <f>D813*E813</f>
        <v>105</v>
      </c>
      <c r="H813" s="10">
        <v>809</v>
      </c>
    </row>
    <row r="814" spans="1:8" s="14" customFormat="1">
      <c r="A814" s="12" t="e">
        <f>#REF!</f>
        <v>#REF!</v>
      </c>
      <c r="B814" s="8" t="e">
        <f>#REF!</f>
        <v>#REF!</v>
      </c>
      <c r="C814" s="7"/>
      <c r="D814" s="72"/>
      <c r="E814" s="48"/>
      <c r="F814" s="17"/>
      <c r="H814" s="10">
        <v>810</v>
      </c>
    </row>
    <row r="815" spans="1:8" s="3" customFormat="1">
      <c r="A815" s="13" t="e">
        <f>#REF!</f>
        <v>#REF!</v>
      </c>
      <c r="B815" s="5" t="e">
        <f>#REF!</f>
        <v>#REF!</v>
      </c>
      <c r="C815" s="6"/>
      <c r="D815" s="66"/>
      <c r="E815" s="30"/>
      <c r="F815" s="16"/>
      <c r="H815" s="10">
        <v>811</v>
      </c>
    </row>
    <row r="816" spans="1:8" s="3" customFormat="1">
      <c r="A816" s="13" t="e">
        <f>#REF!</f>
        <v>#REF!</v>
      </c>
      <c r="B816" s="5" t="e">
        <f>#REF!</f>
        <v>#REF!</v>
      </c>
      <c r="C816" s="6"/>
      <c r="D816" s="66"/>
      <c r="E816" s="30"/>
      <c r="F816" s="16"/>
      <c r="H816" s="10">
        <v>812</v>
      </c>
    </row>
    <row r="817" spans="1:8" s="3" customFormat="1">
      <c r="A817" s="13" t="e">
        <f>#REF!</f>
        <v>#REF!</v>
      </c>
      <c r="B817" s="5" t="e">
        <f>#REF!</f>
        <v>#REF!</v>
      </c>
      <c r="C817" s="6"/>
      <c r="D817" s="66"/>
      <c r="E817" s="30"/>
      <c r="F817" s="16"/>
      <c r="H817" s="10">
        <v>813</v>
      </c>
    </row>
    <row r="818" spans="1:8" s="3" customFormat="1">
      <c r="A818" s="13" t="e">
        <f>#REF!</f>
        <v>#REF!</v>
      </c>
      <c r="B818" s="5" t="e">
        <f>#REF!</f>
        <v>#REF!</v>
      </c>
      <c r="C818" s="6"/>
      <c r="D818" s="66"/>
      <c r="E818" s="30"/>
      <c r="F818" s="16" t="e">
        <f>F740</f>
        <v>#REF!</v>
      </c>
      <c r="H818" s="10">
        <v>814</v>
      </c>
    </row>
    <row r="819" spans="1:8" s="3" customFormat="1">
      <c r="A819" s="13" t="e">
        <f>#REF!</f>
        <v>#REF!</v>
      </c>
      <c r="B819" s="5" t="e">
        <f>#REF!</f>
        <v>#REF!</v>
      </c>
      <c r="C819" s="6"/>
      <c r="D819" s="66"/>
      <c r="E819" s="30"/>
      <c r="F819" s="16" t="e">
        <f>F752</f>
        <v>#REF!</v>
      </c>
      <c r="H819" s="10">
        <v>815</v>
      </c>
    </row>
    <row r="820" spans="1:8" s="3" customFormat="1">
      <c r="A820" s="13" t="e">
        <f>#REF!</f>
        <v>#REF!</v>
      </c>
      <c r="B820" s="5" t="e">
        <f>#REF!</f>
        <v>#REF!</v>
      </c>
      <c r="C820" s="6"/>
      <c r="D820" s="66"/>
      <c r="E820" s="30"/>
      <c r="F820" s="16"/>
      <c r="H820" s="10">
        <v>816</v>
      </c>
    </row>
    <row r="821" spans="1:8" s="3" customFormat="1">
      <c r="A821" s="13" t="e">
        <f>#REF!</f>
        <v>#REF!</v>
      </c>
      <c r="B821" s="5" t="e">
        <f>#REF!</f>
        <v>#REF!</v>
      </c>
      <c r="C821" s="6"/>
      <c r="D821" s="66"/>
      <c r="E821" s="30"/>
      <c r="F821" s="16" t="e">
        <f>F777</f>
        <v>#REF!</v>
      </c>
      <c r="H821" s="10">
        <v>817</v>
      </c>
    </row>
    <row r="822" spans="1:8" s="3" customFormat="1">
      <c r="A822" s="13" t="e">
        <f>#REF!</f>
        <v>#REF!</v>
      </c>
      <c r="B822" s="5" t="e">
        <f>#REF!</f>
        <v>#REF!</v>
      </c>
      <c r="C822" s="6"/>
      <c r="D822" s="66"/>
      <c r="E822" s="30"/>
      <c r="F822" s="16" t="e">
        <f>F789</f>
        <v>#REF!</v>
      </c>
      <c r="H822" s="10">
        <v>818</v>
      </c>
    </row>
    <row r="823" spans="1:8" s="3" customFormat="1">
      <c r="A823" s="40" t="e">
        <f>#REF!</f>
        <v>#REF!</v>
      </c>
      <c r="B823" s="41" t="e">
        <f>#REF!</f>
        <v>#REF!</v>
      </c>
      <c r="C823" s="42"/>
      <c r="D823" s="67"/>
      <c r="E823" s="46"/>
      <c r="F823" s="38" t="e">
        <f>F801</f>
        <v>#REF!</v>
      </c>
      <c r="H823" s="10">
        <v>819</v>
      </c>
    </row>
    <row r="824" spans="1:8" s="33" customFormat="1">
      <c r="A824" s="59" t="e">
        <f>#REF!</f>
        <v>#REF!</v>
      </c>
      <c r="B824" s="60" t="e">
        <f>#REF!</f>
        <v>#REF!</v>
      </c>
      <c r="C824" s="61"/>
      <c r="D824" s="73"/>
      <c r="E824" s="62"/>
      <c r="F824" s="63" t="e">
        <f>F802</f>
        <v>#REF!</v>
      </c>
      <c r="H824" s="10">
        <v>820</v>
      </c>
    </row>
    <row r="825" spans="1:8" s="33" customFormat="1">
      <c r="A825" s="55" t="e">
        <f>#REF!</f>
        <v>#REF!</v>
      </c>
      <c r="B825" s="56" t="e">
        <f>#REF!</f>
        <v>#REF!</v>
      </c>
      <c r="C825" s="57"/>
      <c r="D825" s="74"/>
      <c r="E825" s="58"/>
      <c r="F825" s="39"/>
      <c r="H825" s="10">
        <v>821</v>
      </c>
    </row>
    <row r="826" spans="1:8" s="3" customFormat="1">
      <c r="A826" s="13" t="e">
        <f>#REF!</f>
        <v>#REF!</v>
      </c>
      <c r="B826" s="5" t="e">
        <f>#REF!</f>
        <v>#REF!</v>
      </c>
      <c r="C826" s="6"/>
      <c r="D826" s="66"/>
      <c r="E826" s="30"/>
      <c r="F826" s="16"/>
      <c r="H826" s="10">
        <v>822</v>
      </c>
    </row>
    <row r="827" spans="1:8" s="3" customFormat="1">
      <c r="A827" s="13" t="e">
        <f>#REF!</f>
        <v>#REF!</v>
      </c>
      <c r="B827" s="5" t="e">
        <f>#REF!</f>
        <v>#REF!</v>
      </c>
      <c r="C827" s="6"/>
      <c r="D827" s="66"/>
      <c r="E827" s="30"/>
      <c r="F827" s="16"/>
      <c r="H827" s="10">
        <v>823</v>
      </c>
    </row>
    <row r="828" spans="1:8" s="3" customFormat="1">
      <c r="A828" s="13" t="e">
        <f>#REF!</f>
        <v>#REF!</v>
      </c>
      <c r="B828" s="5" t="e">
        <f>#REF!</f>
        <v>#REF!</v>
      </c>
      <c r="C828" s="6"/>
      <c r="D828" s="66"/>
      <c r="E828" s="30"/>
      <c r="F828" s="16" t="e">
        <f>F818</f>
        <v>#REF!</v>
      </c>
      <c r="H828" s="10">
        <v>824</v>
      </c>
    </row>
    <row r="829" spans="1:8" s="3" customFormat="1">
      <c r="A829" s="13" t="e">
        <f>#REF!</f>
        <v>#REF!</v>
      </c>
      <c r="B829" s="5" t="e">
        <f>#REF!</f>
        <v>#REF!</v>
      </c>
      <c r="C829" s="6"/>
      <c r="D829" s="66"/>
      <c r="E829" s="30"/>
      <c r="F829" s="16" t="e">
        <f>F819</f>
        <v>#REF!</v>
      </c>
      <c r="H829" s="10">
        <v>825</v>
      </c>
    </row>
    <row r="830" spans="1:8" s="3" customFormat="1">
      <c r="A830" s="13" t="e">
        <f>#REF!</f>
        <v>#REF!</v>
      </c>
      <c r="B830" s="5" t="e">
        <f>#REF!</f>
        <v>#REF!</v>
      </c>
      <c r="C830" s="6"/>
      <c r="D830" s="66"/>
      <c r="E830" s="30"/>
      <c r="F830" s="16" t="e">
        <f>F823</f>
        <v>#REF!</v>
      </c>
      <c r="H830" s="10">
        <v>826</v>
      </c>
    </row>
    <row r="831" spans="1:8" s="3" customFormat="1">
      <c r="A831" s="13" t="e">
        <f>#REF!</f>
        <v>#REF!</v>
      </c>
      <c r="B831" s="5" t="e">
        <f>#REF!</f>
        <v>#REF!</v>
      </c>
      <c r="C831" s="6"/>
      <c r="D831" s="66"/>
      <c r="E831" s="30"/>
      <c r="F831" s="16"/>
      <c r="H831" s="10">
        <v>827</v>
      </c>
    </row>
    <row r="832" spans="1:8" s="3" customFormat="1">
      <c r="A832" s="13" t="e">
        <f>#REF!</f>
        <v>#REF!</v>
      </c>
      <c r="B832" s="5" t="e">
        <f>#REF!</f>
        <v>#REF!</v>
      </c>
      <c r="C832" s="6"/>
      <c r="D832" s="66"/>
      <c r="E832" s="30"/>
      <c r="F832" s="16" t="e">
        <f>F821</f>
        <v>#REF!</v>
      </c>
      <c r="H832" s="10">
        <v>828</v>
      </c>
    </row>
    <row r="833" spans="1:8" s="3" customFormat="1">
      <c r="A833" s="13" t="e">
        <f>#REF!</f>
        <v>#REF!</v>
      </c>
      <c r="B833" s="5" t="e">
        <f>#REF!</f>
        <v>#REF!</v>
      </c>
      <c r="C833" s="6"/>
      <c r="D833" s="66"/>
      <c r="E833" s="30"/>
      <c r="F833" s="16" t="e">
        <f>F822</f>
        <v>#REF!</v>
      </c>
      <c r="H833" s="10">
        <v>829</v>
      </c>
    </row>
    <row r="834" spans="1:8" s="3" customFormat="1">
      <c r="A834" s="40" t="e">
        <f>#REF!</f>
        <v>#REF!</v>
      </c>
      <c r="B834" s="41" t="e">
        <f>#REF!</f>
        <v>#REF!</v>
      </c>
      <c r="C834" s="42"/>
      <c r="D834" s="67"/>
      <c r="E834" s="46"/>
      <c r="F834" s="38" t="e">
        <f>F824</f>
        <v>#REF!</v>
      </c>
      <c r="H834" s="10">
        <v>830</v>
      </c>
    </row>
    <row r="835" spans="1:8" s="33" customFormat="1">
      <c r="A835" s="55" t="e">
        <f>#REF!</f>
        <v>#REF!</v>
      </c>
      <c r="B835" s="56" t="e">
        <f>#REF!</f>
        <v>#REF!</v>
      </c>
      <c r="C835" s="57"/>
      <c r="D835" s="74"/>
      <c r="E835" s="58"/>
      <c r="F835" s="39"/>
      <c r="H835" s="10">
        <v>831</v>
      </c>
    </row>
    <row r="836" spans="1:8" s="33" customFormat="1">
      <c r="A836" s="31" t="e">
        <f>#REF!</f>
        <v>#REF!</v>
      </c>
      <c r="B836" s="32" t="e">
        <f>#REF!</f>
        <v>#REF!</v>
      </c>
      <c r="C836" s="15"/>
      <c r="D836" s="127">
        <f>Gia_VLieu!D$14</f>
        <v>1.08</v>
      </c>
      <c r="E836" s="45"/>
      <c r="F836" s="18" t="e">
        <f>SUM(F837:F847)*D836</f>
        <v>#REF!</v>
      </c>
      <c r="H836" s="10">
        <v>832</v>
      </c>
    </row>
    <row r="837" spans="1:8" s="3" customFormat="1">
      <c r="A837" s="13">
        <v>1</v>
      </c>
      <c r="B837" s="5" t="s">
        <v>85</v>
      </c>
      <c r="C837" s="6" t="str">
        <f>Gia_VLieu!C4</f>
        <v>Gram</v>
      </c>
      <c r="D837" s="66">
        <f>Gia_VLieu!D4</f>
        <v>45000</v>
      </c>
      <c r="E837" s="53">
        <v>3</v>
      </c>
      <c r="F837" s="16">
        <f>D837*E837</f>
        <v>135000</v>
      </c>
      <c r="H837" s="10">
        <v>833</v>
      </c>
    </row>
    <row r="838" spans="1:8" s="3" customFormat="1">
      <c r="A838" s="13">
        <v>2</v>
      </c>
      <c r="B838" s="5" t="s">
        <v>86</v>
      </c>
      <c r="C838" s="6" t="str">
        <f>Gia_VLieu!C5</f>
        <v>Hộp</v>
      </c>
      <c r="D838" s="66">
        <f>Gia_VLieu!D5</f>
        <v>1450000</v>
      </c>
      <c r="E838" s="53">
        <v>0.25</v>
      </c>
      <c r="F838" s="16">
        <f t="shared" ref="F838:F846" si="58">D838*E838</f>
        <v>362500</v>
      </c>
      <c r="H838" s="10">
        <v>834</v>
      </c>
    </row>
    <row r="839" spans="1:8" s="3" customFormat="1">
      <c r="A839" s="13">
        <v>3</v>
      </c>
      <c r="B839" s="5" t="s">
        <v>87</v>
      </c>
      <c r="C839" s="6" t="e">
        <f>Gia_VLieu!#REF!</f>
        <v>#REF!</v>
      </c>
      <c r="D839" s="66" t="e">
        <f>Gia_VLieu!#REF!</f>
        <v>#REF!</v>
      </c>
      <c r="E839" s="53">
        <v>0.2</v>
      </c>
      <c r="F839" s="16" t="e">
        <f t="shared" si="58"/>
        <v>#REF!</v>
      </c>
      <c r="H839" s="10">
        <v>835</v>
      </c>
    </row>
    <row r="840" spans="1:8" s="3" customFormat="1">
      <c r="A840" s="13">
        <v>4</v>
      </c>
      <c r="B840" s="5" t="s">
        <v>88</v>
      </c>
      <c r="C840" s="6" t="str">
        <f>Gia_VLieu!C6</f>
        <v>Quyển</v>
      </c>
      <c r="D840" s="66">
        <f>Gia_VLieu!D6</f>
        <v>10000</v>
      </c>
      <c r="E840" s="53">
        <v>10</v>
      </c>
      <c r="F840" s="16">
        <f t="shared" si="58"/>
        <v>100000</v>
      </c>
      <c r="H840" s="10">
        <v>836</v>
      </c>
    </row>
    <row r="841" spans="1:8" s="3" customFormat="1">
      <c r="A841" s="13">
        <v>5</v>
      </c>
      <c r="B841" s="5" t="s">
        <v>22</v>
      </c>
      <c r="C841" s="6" t="str">
        <f>Gia_VLieu!C7</f>
        <v>Cái</v>
      </c>
      <c r="D841" s="66">
        <f>Gia_VLieu!D7</f>
        <v>2000</v>
      </c>
      <c r="E841" s="53">
        <v>10</v>
      </c>
      <c r="F841" s="16">
        <f t="shared" si="58"/>
        <v>20000</v>
      </c>
      <c r="H841" s="10">
        <v>837</v>
      </c>
    </row>
    <row r="842" spans="1:8" s="3" customFormat="1">
      <c r="A842" s="13">
        <v>6</v>
      </c>
      <c r="B842" s="5" t="s">
        <v>89</v>
      </c>
      <c r="C842" s="6" t="str">
        <f>Gia_VLieu!C8</f>
        <v>Cái</v>
      </c>
      <c r="D842" s="66">
        <f>Gia_VLieu!D8</f>
        <v>8000</v>
      </c>
      <c r="E842" s="53">
        <v>6</v>
      </c>
      <c r="F842" s="16">
        <f t="shared" si="58"/>
        <v>48000</v>
      </c>
      <c r="H842" s="10">
        <v>838</v>
      </c>
    </row>
    <row r="843" spans="1:8" s="3" customFormat="1">
      <c r="A843" s="13">
        <v>7</v>
      </c>
      <c r="B843" s="5" t="s">
        <v>90</v>
      </c>
      <c r="C843" s="6" t="str">
        <f>Gia_VLieu!C9</f>
        <v>Cái</v>
      </c>
      <c r="D843" s="66">
        <f>Gia_VLieu!D9</f>
        <v>10000</v>
      </c>
      <c r="E843" s="53">
        <v>3</v>
      </c>
      <c r="F843" s="16">
        <f t="shared" si="58"/>
        <v>30000</v>
      </c>
      <c r="H843" s="10">
        <v>839</v>
      </c>
    </row>
    <row r="844" spans="1:8" s="3" customFormat="1">
      <c r="A844" s="13">
        <v>8</v>
      </c>
      <c r="B844" s="5" t="s">
        <v>91</v>
      </c>
      <c r="C844" s="6" t="str">
        <f>Gia_VLieu!C10</f>
        <v>Hộp</v>
      </c>
      <c r="D844" s="66">
        <f>Gia_VLieu!D10</f>
        <v>2500</v>
      </c>
      <c r="E844" s="53">
        <v>3</v>
      </c>
      <c r="F844" s="16">
        <f t="shared" si="58"/>
        <v>7500</v>
      </c>
      <c r="H844" s="10">
        <v>840</v>
      </c>
    </row>
    <row r="845" spans="1:8" s="3" customFormat="1">
      <c r="A845" s="13">
        <v>9</v>
      </c>
      <c r="B845" s="5" t="s">
        <v>92</v>
      </c>
      <c r="C845" s="6" t="str">
        <f>Gia_VLieu!C11</f>
        <v>Hộp</v>
      </c>
      <c r="D845" s="66">
        <f>Gia_VLieu!D11</f>
        <v>2000</v>
      </c>
      <c r="E845" s="53">
        <v>2.5</v>
      </c>
      <c r="F845" s="16">
        <f t="shared" si="58"/>
        <v>5000</v>
      </c>
      <c r="H845" s="10">
        <v>841</v>
      </c>
    </row>
    <row r="846" spans="1:8" s="3" customFormat="1">
      <c r="A846" s="13">
        <v>10</v>
      </c>
      <c r="B846" s="5" t="s">
        <v>93</v>
      </c>
      <c r="C846" s="6" t="str">
        <f>Gia_VLieu!C12</f>
        <v>Tập</v>
      </c>
      <c r="D846" s="66">
        <f>Gia_VLieu!D12</f>
        <v>8000</v>
      </c>
      <c r="E846" s="53">
        <v>4</v>
      </c>
      <c r="F846" s="16">
        <f t="shared" si="58"/>
        <v>32000</v>
      </c>
      <c r="H846" s="10">
        <v>842</v>
      </c>
    </row>
    <row r="847" spans="1:8" s="3" customFormat="1">
      <c r="A847" s="40">
        <v>11</v>
      </c>
      <c r="B847" s="41" t="s">
        <v>94</v>
      </c>
      <c r="C847" s="42" t="str">
        <f>Gia_VLieu!C13</f>
        <v>Cái</v>
      </c>
      <c r="D847" s="67">
        <f>Gia_VLieu!D13</f>
        <v>15000</v>
      </c>
      <c r="E847" s="54">
        <v>8</v>
      </c>
      <c r="F847" s="38">
        <f>D847*E847</f>
        <v>120000</v>
      </c>
      <c r="H847" s="10">
        <v>843</v>
      </c>
    </row>
    <row r="848" spans="1:8" s="33" customFormat="1">
      <c r="A848" s="31" t="e">
        <f>#REF!</f>
        <v>#REF!</v>
      </c>
      <c r="B848" s="32" t="e">
        <f>#REF!</f>
        <v>#REF!</v>
      </c>
      <c r="C848" s="15"/>
      <c r="D848" s="127">
        <f>Gia_VLieu!D$14</f>
        <v>1.08</v>
      </c>
      <c r="E848" s="45"/>
      <c r="F848" s="18" t="e">
        <f>SUM(F849:F859)*D848</f>
        <v>#REF!</v>
      </c>
      <c r="H848" s="10">
        <v>844</v>
      </c>
    </row>
    <row r="849" spans="1:8" s="3" customFormat="1">
      <c r="A849" s="13">
        <v>1</v>
      </c>
      <c r="B849" s="5" t="s">
        <v>85</v>
      </c>
      <c r="C849" s="6" t="str">
        <f>Gia_VLieu!C4</f>
        <v>Gram</v>
      </c>
      <c r="D849" s="66">
        <f>Gia_VLieu!D4</f>
        <v>45000</v>
      </c>
      <c r="E849" s="53">
        <v>3</v>
      </c>
      <c r="F849" s="16">
        <f>D849*E849</f>
        <v>135000</v>
      </c>
      <c r="H849" s="10">
        <v>845</v>
      </c>
    </row>
    <row r="850" spans="1:8" s="3" customFormat="1">
      <c r="A850" s="13">
        <v>2</v>
      </c>
      <c r="B850" s="5" t="s">
        <v>86</v>
      </c>
      <c r="C850" s="6" t="str">
        <f>Gia_VLieu!C5</f>
        <v>Hộp</v>
      </c>
      <c r="D850" s="66">
        <f>Gia_VLieu!D5</f>
        <v>1450000</v>
      </c>
      <c r="E850" s="53">
        <v>0.25</v>
      </c>
      <c r="F850" s="16">
        <f t="shared" ref="F850:F858" si="59">D850*E850</f>
        <v>362500</v>
      </c>
      <c r="H850" s="10">
        <v>846</v>
      </c>
    </row>
    <row r="851" spans="1:8" s="3" customFormat="1">
      <c r="A851" s="13">
        <v>3</v>
      </c>
      <c r="B851" s="5" t="s">
        <v>87</v>
      </c>
      <c r="C851" s="6" t="e">
        <f>Gia_VLieu!#REF!</f>
        <v>#REF!</v>
      </c>
      <c r="D851" s="66" t="e">
        <f>Gia_VLieu!#REF!</f>
        <v>#REF!</v>
      </c>
      <c r="E851" s="53">
        <v>0.2</v>
      </c>
      <c r="F851" s="16" t="e">
        <f t="shared" si="59"/>
        <v>#REF!</v>
      </c>
      <c r="H851" s="10">
        <v>847</v>
      </c>
    </row>
    <row r="852" spans="1:8" s="3" customFormat="1">
      <c r="A852" s="13">
        <v>4</v>
      </c>
      <c r="B852" s="5" t="s">
        <v>88</v>
      </c>
      <c r="C852" s="6" t="str">
        <f>Gia_VLieu!C6</f>
        <v>Quyển</v>
      </c>
      <c r="D852" s="66">
        <f>Gia_VLieu!D6</f>
        <v>10000</v>
      </c>
      <c r="E852" s="53">
        <v>10</v>
      </c>
      <c r="F852" s="16">
        <f t="shared" si="59"/>
        <v>100000</v>
      </c>
      <c r="H852" s="10">
        <v>848</v>
      </c>
    </row>
    <row r="853" spans="1:8" s="3" customFormat="1">
      <c r="A853" s="13">
        <v>5</v>
      </c>
      <c r="B853" s="5" t="s">
        <v>22</v>
      </c>
      <c r="C853" s="6" t="str">
        <f>Gia_VLieu!C7</f>
        <v>Cái</v>
      </c>
      <c r="D853" s="66">
        <f>Gia_VLieu!D7</f>
        <v>2000</v>
      </c>
      <c r="E853" s="53">
        <v>10</v>
      </c>
      <c r="F853" s="16">
        <f t="shared" si="59"/>
        <v>20000</v>
      </c>
      <c r="H853" s="10">
        <v>849</v>
      </c>
    </row>
    <row r="854" spans="1:8" s="3" customFormat="1">
      <c r="A854" s="13">
        <v>6</v>
      </c>
      <c r="B854" s="5" t="s">
        <v>89</v>
      </c>
      <c r="C854" s="6" t="str">
        <f>Gia_VLieu!C8</f>
        <v>Cái</v>
      </c>
      <c r="D854" s="66">
        <f>Gia_VLieu!D8</f>
        <v>8000</v>
      </c>
      <c r="E854" s="53">
        <v>6</v>
      </c>
      <c r="F854" s="16">
        <f t="shared" si="59"/>
        <v>48000</v>
      </c>
      <c r="H854" s="10">
        <v>850</v>
      </c>
    </row>
    <row r="855" spans="1:8" s="3" customFormat="1">
      <c r="A855" s="13">
        <v>7</v>
      </c>
      <c r="B855" s="5" t="s">
        <v>90</v>
      </c>
      <c r="C855" s="6" t="str">
        <f>Gia_VLieu!C9</f>
        <v>Cái</v>
      </c>
      <c r="D855" s="66">
        <f>Gia_VLieu!D9</f>
        <v>10000</v>
      </c>
      <c r="E855" s="53">
        <v>3</v>
      </c>
      <c r="F855" s="16">
        <f t="shared" si="59"/>
        <v>30000</v>
      </c>
      <c r="H855" s="10">
        <v>851</v>
      </c>
    </row>
    <row r="856" spans="1:8" s="3" customFormat="1">
      <c r="A856" s="13">
        <v>8</v>
      </c>
      <c r="B856" s="5" t="s">
        <v>91</v>
      </c>
      <c r="C856" s="6" t="str">
        <f>Gia_VLieu!C10</f>
        <v>Hộp</v>
      </c>
      <c r="D856" s="66">
        <f>Gia_VLieu!D10</f>
        <v>2500</v>
      </c>
      <c r="E856" s="53">
        <v>3</v>
      </c>
      <c r="F856" s="16">
        <f t="shared" si="59"/>
        <v>7500</v>
      </c>
      <c r="H856" s="10">
        <v>852</v>
      </c>
    </row>
    <row r="857" spans="1:8" s="3" customFormat="1">
      <c r="A857" s="13">
        <v>9</v>
      </c>
      <c r="B857" s="5" t="s">
        <v>92</v>
      </c>
      <c r="C857" s="6" t="str">
        <f>Gia_VLieu!C11</f>
        <v>Hộp</v>
      </c>
      <c r="D857" s="66">
        <f>Gia_VLieu!D11</f>
        <v>2000</v>
      </c>
      <c r="E857" s="53">
        <v>2.5</v>
      </c>
      <c r="F857" s="16">
        <f t="shared" si="59"/>
        <v>5000</v>
      </c>
      <c r="H857" s="10">
        <v>853</v>
      </c>
    </row>
    <row r="858" spans="1:8" s="3" customFormat="1">
      <c r="A858" s="13">
        <v>10</v>
      </c>
      <c r="B858" s="5" t="s">
        <v>93</v>
      </c>
      <c r="C858" s="6" t="str">
        <f>Gia_VLieu!C12</f>
        <v>Tập</v>
      </c>
      <c r="D858" s="66">
        <f>Gia_VLieu!D12</f>
        <v>8000</v>
      </c>
      <c r="E858" s="53">
        <v>4</v>
      </c>
      <c r="F858" s="16">
        <f t="shared" si="59"/>
        <v>32000</v>
      </c>
      <c r="H858" s="10">
        <v>854</v>
      </c>
    </row>
    <row r="859" spans="1:8" s="3" customFormat="1">
      <c r="A859" s="40">
        <v>11</v>
      </c>
      <c r="B859" s="41" t="s">
        <v>94</v>
      </c>
      <c r="C859" s="42" t="str">
        <f>Gia_VLieu!C13</f>
        <v>Cái</v>
      </c>
      <c r="D859" s="67">
        <f>Gia_VLieu!D13</f>
        <v>15000</v>
      </c>
      <c r="E859" s="54">
        <v>8</v>
      </c>
      <c r="F859" s="38">
        <f>D859*E859</f>
        <v>120000</v>
      </c>
      <c r="H859" s="10">
        <v>855</v>
      </c>
    </row>
    <row r="860" spans="1:8" s="14" customFormat="1">
      <c r="A860" s="12" t="e">
        <f>#REF!</f>
        <v>#REF!</v>
      </c>
      <c r="B860" s="8" t="e">
        <f>#REF!</f>
        <v>#REF!</v>
      </c>
      <c r="C860" s="7"/>
      <c r="D860" s="72"/>
      <c r="E860" s="48"/>
      <c r="F860" s="17"/>
      <c r="H860" s="10">
        <v>856</v>
      </c>
    </row>
    <row r="861" spans="1:8" s="33" customFormat="1">
      <c r="A861" s="31" t="e">
        <f>#REF!</f>
        <v>#REF!</v>
      </c>
      <c r="B861" s="32" t="e">
        <f>#REF!</f>
        <v>#REF!</v>
      </c>
      <c r="C861" s="15"/>
      <c r="D861" s="70"/>
      <c r="E861" s="45"/>
      <c r="F861" s="18"/>
      <c r="H861" s="10">
        <v>857</v>
      </c>
    </row>
    <row r="862" spans="1:8" s="33" customFormat="1">
      <c r="A862" s="31" t="e">
        <f>#REF!</f>
        <v>#REF!</v>
      </c>
      <c r="B862" s="32" t="e">
        <f>#REF!</f>
        <v>#REF!</v>
      </c>
      <c r="C862" s="15"/>
      <c r="D862" s="70"/>
      <c r="E862" s="45"/>
      <c r="F862" s="18"/>
      <c r="H862" s="10">
        <v>858</v>
      </c>
    </row>
    <row r="863" spans="1:8" s="14" customFormat="1">
      <c r="A863" s="12" t="e">
        <f>#REF!</f>
        <v>#REF!</v>
      </c>
      <c r="B863" s="8" t="e">
        <f>#REF!</f>
        <v>#REF!</v>
      </c>
      <c r="C863" s="7"/>
      <c r="D863" s="72"/>
      <c r="E863" s="48"/>
      <c r="F863" s="17"/>
      <c r="H863" s="10">
        <v>859</v>
      </c>
    </row>
    <row r="864" spans="1:8" s="33" customFormat="1">
      <c r="A864" s="31" t="e">
        <f>#REF!</f>
        <v>#REF!</v>
      </c>
      <c r="B864" s="32" t="e">
        <f>#REF!</f>
        <v>#REF!</v>
      </c>
      <c r="C864" s="15"/>
      <c r="D864" s="70"/>
      <c r="E864" s="45"/>
      <c r="F864" s="18" t="e">
        <f>F866</f>
        <v>#REF!</v>
      </c>
      <c r="H864" s="10">
        <v>860</v>
      </c>
    </row>
    <row r="865" spans="1:8" s="3" customFormat="1">
      <c r="A865" s="13" t="e">
        <f>#REF!</f>
        <v>#REF!</v>
      </c>
      <c r="B865" s="5" t="e">
        <f>#REF!</f>
        <v>#REF!</v>
      </c>
      <c r="C865" s="6"/>
      <c r="D865" s="66"/>
      <c r="E865" s="30"/>
      <c r="F865" s="16" t="e">
        <f>F866</f>
        <v>#REF!</v>
      </c>
      <c r="H865" s="10">
        <v>861</v>
      </c>
    </row>
    <row r="866" spans="1:8" s="3" customFormat="1">
      <c r="A866" s="13" t="e">
        <f>#REF!</f>
        <v>#REF!</v>
      </c>
      <c r="B866" s="5" t="e">
        <f>#REF!</f>
        <v>#REF!</v>
      </c>
      <c r="C866" s="6"/>
      <c r="D866" s="127">
        <f>Gia_VLieu!D$14</f>
        <v>1.08</v>
      </c>
      <c r="E866" s="45"/>
      <c r="F866" s="18" t="e">
        <f>SUM(F867:F877)*D866</f>
        <v>#REF!</v>
      </c>
      <c r="H866" s="10">
        <v>862</v>
      </c>
    </row>
    <row r="867" spans="1:8" s="3" customFormat="1">
      <c r="A867" s="13">
        <v>1</v>
      </c>
      <c r="B867" s="5" t="s">
        <v>85</v>
      </c>
      <c r="C867" s="6" t="str">
        <f>Gia_VLieu!C4</f>
        <v>Gram</v>
      </c>
      <c r="D867" s="66">
        <f>Gia_VLieu!D4</f>
        <v>45000</v>
      </c>
      <c r="E867" s="53">
        <v>1E-3</v>
      </c>
      <c r="F867" s="16">
        <f>D867*E867</f>
        <v>45</v>
      </c>
      <c r="H867" s="10">
        <v>863</v>
      </c>
    </row>
    <row r="868" spans="1:8" s="3" customFormat="1">
      <c r="A868" s="13">
        <v>2</v>
      </c>
      <c r="B868" s="5" t="s">
        <v>86</v>
      </c>
      <c r="C868" s="6" t="str">
        <f>Gia_VLieu!C5</f>
        <v>Hộp</v>
      </c>
      <c r="D868" s="66">
        <f>Gia_VLieu!D5</f>
        <v>1450000</v>
      </c>
      <c r="E868" s="53">
        <v>1E-3</v>
      </c>
      <c r="F868" s="16">
        <f t="shared" ref="F868:F876" si="60">D868*E868</f>
        <v>1450</v>
      </c>
      <c r="H868" s="10">
        <v>864</v>
      </c>
    </row>
    <row r="869" spans="1:8" s="3" customFormat="1">
      <c r="A869" s="13">
        <v>3</v>
      </c>
      <c r="B869" s="5" t="s">
        <v>87</v>
      </c>
      <c r="C869" s="6" t="e">
        <f>Gia_VLieu!#REF!</f>
        <v>#REF!</v>
      </c>
      <c r="D869" s="66" t="e">
        <f>Gia_VLieu!#REF!</f>
        <v>#REF!</v>
      </c>
      <c r="E869" s="53">
        <v>1E-3</v>
      </c>
      <c r="F869" s="16" t="e">
        <f t="shared" si="60"/>
        <v>#REF!</v>
      </c>
      <c r="H869" s="10">
        <v>865</v>
      </c>
    </row>
    <row r="870" spans="1:8" s="3" customFormat="1">
      <c r="A870" s="13">
        <v>4</v>
      </c>
      <c r="B870" s="5" t="s">
        <v>88</v>
      </c>
      <c r="C870" s="6" t="str">
        <f>Gia_VLieu!C6</f>
        <v>Quyển</v>
      </c>
      <c r="D870" s="66">
        <f>Gia_VLieu!D6</f>
        <v>10000</v>
      </c>
      <c r="E870" s="53">
        <v>2E-3</v>
      </c>
      <c r="F870" s="16">
        <f t="shared" si="60"/>
        <v>20</v>
      </c>
      <c r="H870" s="10">
        <v>866</v>
      </c>
    </row>
    <row r="871" spans="1:8" s="3" customFormat="1">
      <c r="A871" s="13">
        <v>5</v>
      </c>
      <c r="B871" s="5" t="s">
        <v>22</v>
      </c>
      <c r="C871" s="6" t="str">
        <f>Gia_VLieu!C7</f>
        <v>Cái</v>
      </c>
      <c r="D871" s="66">
        <f>Gia_VLieu!D7</f>
        <v>2000</v>
      </c>
      <c r="E871" s="53">
        <v>0.01</v>
      </c>
      <c r="F871" s="16">
        <f t="shared" si="60"/>
        <v>20</v>
      </c>
      <c r="H871" s="10">
        <v>867</v>
      </c>
    </row>
    <row r="872" spans="1:8" s="3" customFormat="1">
      <c r="A872" s="13">
        <v>6</v>
      </c>
      <c r="B872" s="5" t="s">
        <v>89</v>
      </c>
      <c r="C872" s="6" t="str">
        <f>Gia_VLieu!C8</f>
        <v>Cái</v>
      </c>
      <c r="D872" s="66">
        <f>Gia_VLieu!D8</f>
        <v>8000</v>
      </c>
      <c r="E872" s="53">
        <v>1E-3</v>
      </c>
      <c r="F872" s="16">
        <f t="shared" si="60"/>
        <v>8</v>
      </c>
      <c r="H872" s="10">
        <v>868</v>
      </c>
    </row>
    <row r="873" spans="1:8" s="3" customFormat="1">
      <c r="A873" s="13">
        <v>7</v>
      </c>
      <c r="B873" s="5" t="s">
        <v>90</v>
      </c>
      <c r="C873" s="6" t="str">
        <f>Gia_VLieu!C9</f>
        <v>Cái</v>
      </c>
      <c r="D873" s="66">
        <f>Gia_VLieu!D9</f>
        <v>10000</v>
      </c>
      <c r="E873" s="53">
        <v>1E-3</v>
      </c>
      <c r="F873" s="16">
        <f t="shared" si="60"/>
        <v>10</v>
      </c>
      <c r="H873" s="10">
        <v>869</v>
      </c>
    </row>
    <row r="874" spans="1:8" s="3" customFormat="1">
      <c r="A874" s="13">
        <v>8</v>
      </c>
      <c r="B874" s="5" t="s">
        <v>91</v>
      </c>
      <c r="C874" s="6" t="str">
        <f>Gia_VLieu!C10</f>
        <v>Hộp</v>
      </c>
      <c r="D874" s="66">
        <f>Gia_VLieu!D10</f>
        <v>2500</v>
      </c>
      <c r="E874" s="53">
        <v>1E-3</v>
      </c>
      <c r="F874" s="16">
        <f t="shared" si="60"/>
        <v>2.5</v>
      </c>
      <c r="H874" s="10">
        <v>870</v>
      </c>
    </row>
    <row r="875" spans="1:8" s="3" customFormat="1">
      <c r="A875" s="13">
        <v>9</v>
      </c>
      <c r="B875" s="5" t="s">
        <v>92</v>
      </c>
      <c r="C875" s="6" t="str">
        <f>Gia_VLieu!C11</f>
        <v>Hộp</v>
      </c>
      <c r="D875" s="66">
        <f>Gia_VLieu!D11</f>
        <v>2000</v>
      </c>
      <c r="E875" s="53">
        <v>1E-3</v>
      </c>
      <c r="F875" s="16">
        <f t="shared" si="60"/>
        <v>2</v>
      </c>
      <c r="H875" s="10">
        <v>871</v>
      </c>
    </row>
    <row r="876" spans="1:8" s="3" customFormat="1">
      <c r="A876" s="13">
        <v>10</v>
      </c>
      <c r="B876" s="5" t="s">
        <v>93</v>
      </c>
      <c r="C876" s="6" t="str">
        <f>Gia_VLieu!C12</f>
        <v>Tập</v>
      </c>
      <c r="D876" s="66">
        <f>Gia_VLieu!D12</f>
        <v>8000</v>
      </c>
      <c r="E876" s="53">
        <v>3.0000000000000001E-3</v>
      </c>
      <c r="F876" s="16">
        <f t="shared" si="60"/>
        <v>24</v>
      </c>
      <c r="H876" s="10">
        <v>872</v>
      </c>
    </row>
    <row r="877" spans="1:8" s="3" customFormat="1">
      <c r="A877" s="40">
        <v>11</v>
      </c>
      <c r="B877" s="41" t="s">
        <v>94</v>
      </c>
      <c r="C877" s="42" t="str">
        <f>Gia_VLieu!C13</f>
        <v>Cái</v>
      </c>
      <c r="D877" s="67">
        <f>Gia_VLieu!D13</f>
        <v>15000</v>
      </c>
      <c r="E877" s="54">
        <v>1E-3</v>
      </c>
      <c r="F877" s="38">
        <f>D877*E877</f>
        <v>15</v>
      </c>
      <c r="H877" s="10">
        <v>873</v>
      </c>
    </row>
    <row r="878" spans="1:8" s="33" customFormat="1">
      <c r="A878" s="31" t="e">
        <f>#REF!</f>
        <v>#REF!</v>
      </c>
      <c r="B878" s="32" t="e">
        <f>#REF!</f>
        <v>#REF!</v>
      </c>
      <c r="C878" s="15"/>
      <c r="D878" s="127">
        <f>Gia_VLieu!D$14</f>
        <v>1.08</v>
      </c>
      <c r="E878" s="45"/>
      <c r="F878" s="18" t="e">
        <f>SUM(F879:F889)*D878</f>
        <v>#REF!</v>
      </c>
      <c r="H878" s="10">
        <v>874</v>
      </c>
    </row>
    <row r="879" spans="1:8" s="3" customFormat="1">
      <c r="A879" s="13">
        <v>1</v>
      </c>
      <c r="B879" s="5" t="s">
        <v>85</v>
      </c>
      <c r="C879" s="6" t="str">
        <f>Gia_VLieu!C4</f>
        <v>Gram</v>
      </c>
      <c r="D879" s="66">
        <f>Gia_VLieu!D4</f>
        <v>45000</v>
      </c>
      <c r="E879" s="53">
        <v>1E-3</v>
      </c>
      <c r="F879" s="16">
        <f>D879*E879</f>
        <v>45</v>
      </c>
      <c r="H879" s="10">
        <v>875</v>
      </c>
    </row>
    <row r="880" spans="1:8" s="3" customFormat="1">
      <c r="A880" s="13">
        <v>2</v>
      </c>
      <c r="B880" s="5" t="s">
        <v>86</v>
      </c>
      <c r="C880" s="6" t="str">
        <f>Gia_VLieu!C5</f>
        <v>Hộp</v>
      </c>
      <c r="D880" s="66">
        <f>Gia_VLieu!D5</f>
        <v>1450000</v>
      </c>
      <c r="E880" s="53">
        <v>1E-3</v>
      </c>
      <c r="F880" s="16">
        <f t="shared" ref="F880:F888" si="61">D880*E880</f>
        <v>1450</v>
      </c>
      <c r="H880" s="10">
        <v>876</v>
      </c>
    </row>
    <row r="881" spans="1:8" s="3" customFormat="1">
      <c r="A881" s="13">
        <v>3</v>
      </c>
      <c r="B881" s="5" t="s">
        <v>87</v>
      </c>
      <c r="C881" s="6" t="e">
        <f>Gia_VLieu!#REF!</f>
        <v>#REF!</v>
      </c>
      <c r="D881" s="66" t="e">
        <f>Gia_VLieu!#REF!</f>
        <v>#REF!</v>
      </c>
      <c r="E881" s="53">
        <v>1E-3</v>
      </c>
      <c r="F881" s="16" t="e">
        <f t="shared" si="61"/>
        <v>#REF!</v>
      </c>
      <c r="H881" s="10">
        <v>877</v>
      </c>
    </row>
    <row r="882" spans="1:8" s="3" customFormat="1">
      <c r="A882" s="13">
        <v>4</v>
      </c>
      <c r="B882" s="5" t="s">
        <v>88</v>
      </c>
      <c r="C882" s="6" t="str">
        <f>Gia_VLieu!C6</f>
        <v>Quyển</v>
      </c>
      <c r="D882" s="66">
        <f>Gia_VLieu!D6</f>
        <v>10000</v>
      </c>
      <c r="E882" s="53">
        <v>1E-3</v>
      </c>
      <c r="F882" s="16">
        <f t="shared" si="61"/>
        <v>10</v>
      </c>
      <c r="H882" s="10">
        <v>878</v>
      </c>
    </row>
    <row r="883" spans="1:8" s="3" customFormat="1">
      <c r="A883" s="13">
        <v>5</v>
      </c>
      <c r="B883" s="5" t="s">
        <v>22</v>
      </c>
      <c r="C883" s="6" t="str">
        <f>Gia_VLieu!C7</f>
        <v>Cái</v>
      </c>
      <c r="D883" s="66">
        <f>Gia_VLieu!D7</f>
        <v>2000</v>
      </c>
      <c r="E883" s="53">
        <v>5.0000000000000001E-3</v>
      </c>
      <c r="F883" s="16">
        <f t="shared" si="61"/>
        <v>10</v>
      </c>
      <c r="H883" s="10">
        <v>879</v>
      </c>
    </row>
    <row r="884" spans="1:8" s="3" customFormat="1">
      <c r="A884" s="13">
        <v>6</v>
      </c>
      <c r="B884" s="5" t="s">
        <v>89</v>
      </c>
      <c r="C884" s="6" t="str">
        <f>Gia_VLieu!C8</f>
        <v>Cái</v>
      </c>
      <c r="D884" s="66">
        <f>Gia_VLieu!D8</f>
        <v>8000</v>
      </c>
      <c r="E884" s="53">
        <v>1E-3</v>
      </c>
      <c r="F884" s="16">
        <f t="shared" si="61"/>
        <v>8</v>
      </c>
      <c r="H884" s="10">
        <v>880</v>
      </c>
    </row>
    <row r="885" spans="1:8" s="3" customFormat="1">
      <c r="A885" s="13">
        <v>7</v>
      </c>
      <c r="B885" s="5" t="s">
        <v>90</v>
      </c>
      <c r="C885" s="6" t="str">
        <f>Gia_VLieu!C9</f>
        <v>Cái</v>
      </c>
      <c r="D885" s="66">
        <f>Gia_VLieu!D9</f>
        <v>10000</v>
      </c>
      <c r="E885" s="53">
        <v>1E-3</v>
      </c>
      <c r="F885" s="16">
        <f t="shared" si="61"/>
        <v>10</v>
      </c>
      <c r="H885" s="10">
        <v>881</v>
      </c>
    </row>
    <row r="886" spans="1:8" s="3" customFormat="1">
      <c r="A886" s="13">
        <v>8</v>
      </c>
      <c r="B886" s="5" t="s">
        <v>91</v>
      </c>
      <c r="C886" s="6" t="str">
        <f>Gia_VLieu!C10</f>
        <v>Hộp</v>
      </c>
      <c r="D886" s="66">
        <f>Gia_VLieu!D10</f>
        <v>2500</v>
      </c>
      <c r="E886" s="53">
        <v>1E-3</v>
      </c>
      <c r="F886" s="16">
        <f t="shared" si="61"/>
        <v>2.5</v>
      </c>
      <c r="H886" s="10">
        <v>882</v>
      </c>
    </row>
    <row r="887" spans="1:8" s="3" customFormat="1">
      <c r="A887" s="13">
        <v>9</v>
      </c>
      <c r="B887" s="5" t="s">
        <v>92</v>
      </c>
      <c r="C887" s="6" t="str">
        <f>Gia_VLieu!C11</f>
        <v>Hộp</v>
      </c>
      <c r="D887" s="66">
        <f>Gia_VLieu!D11</f>
        <v>2000</v>
      </c>
      <c r="E887" s="53">
        <v>1E-3</v>
      </c>
      <c r="F887" s="16">
        <f t="shared" si="61"/>
        <v>2</v>
      </c>
      <c r="H887" s="10">
        <v>883</v>
      </c>
    </row>
    <row r="888" spans="1:8" s="3" customFormat="1">
      <c r="A888" s="13">
        <v>10</v>
      </c>
      <c r="B888" s="5" t="s">
        <v>93</v>
      </c>
      <c r="C888" s="6" t="str">
        <f>Gia_VLieu!C12</f>
        <v>Tập</v>
      </c>
      <c r="D888" s="66">
        <f>Gia_VLieu!D12</f>
        <v>8000</v>
      </c>
      <c r="E888" s="53">
        <v>2E-3</v>
      </c>
      <c r="F888" s="16">
        <f t="shared" si="61"/>
        <v>16</v>
      </c>
      <c r="H888" s="10">
        <v>884</v>
      </c>
    </row>
    <row r="889" spans="1:8" s="3" customFormat="1">
      <c r="A889" s="40">
        <v>11</v>
      </c>
      <c r="B889" s="41" t="s">
        <v>94</v>
      </c>
      <c r="C889" s="42" t="str">
        <f>Gia_VLieu!C13</f>
        <v>Cái</v>
      </c>
      <c r="D889" s="67">
        <f>Gia_VLieu!D13</f>
        <v>15000</v>
      </c>
      <c r="E889" s="54">
        <v>1E-3</v>
      </c>
      <c r="F889" s="38">
        <f>D889*E889</f>
        <v>15</v>
      </c>
      <c r="H889" s="10">
        <v>885</v>
      </c>
    </row>
    <row r="890" spans="1:8" s="33" customFormat="1">
      <c r="A890" s="59" t="e">
        <f>#REF!</f>
        <v>#REF!</v>
      </c>
      <c r="B890" s="60" t="e">
        <f>#REF!</f>
        <v>#REF!</v>
      </c>
      <c r="C890" s="61"/>
      <c r="D890" s="73"/>
      <c r="E890" s="62"/>
      <c r="F890" s="63"/>
      <c r="H890" s="10">
        <v>886</v>
      </c>
    </row>
    <row r="891" spans="1:8" s="14" customFormat="1">
      <c r="A891" s="35" t="e">
        <f>#REF!</f>
        <v>#REF!</v>
      </c>
      <c r="B891" s="36" t="e">
        <f>#REF!</f>
        <v>#REF!</v>
      </c>
      <c r="C891" s="37"/>
      <c r="D891" s="71"/>
      <c r="E891" s="47"/>
      <c r="F891" s="28"/>
      <c r="H891" s="10">
        <v>887</v>
      </c>
    </row>
    <row r="892" spans="1:8" s="33" customFormat="1">
      <c r="A892" s="31" t="e">
        <f>#REF!</f>
        <v>#REF!</v>
      </c>
      <c r="B892" s="32" t="e">
        <f>#REF!</f>
        <v>#REF!</v>
      </c>
      <c r="C892" s="15"/>
      <c r="D892" s="127">
        <f>Gia_VLieu!D$14</f>
        <v>1.08</v>
      </c>
      <c r="E892" s="45"/>
      <c r="F892" s="18" t="e">
        <f>SUM(F893:F903)*D892</f>
        <v>#REF!</v>
      </c>
      <c r="H892" s="10">
        <v>888</v>
      </c>
    </row>
    <row r="893" spans="1:8" s="3" customFormat="1">
      <c r="A893" s="13">
        <v>1</v>
      </c>
      <c r="B893" s="5" t="s">
        <v>85</v>
      </c>
      <c r="C893" s="6" t="str">
        <f>Gia_VLieu!C4</f>
        <v>Gram</v>
      </c>
      <c r="D893" s="66">
        <f>Gia_VLieu!D4</f>
        <v>45000</v>
      </c>
      <c r="E893" s="53">
        <v>10</v>
      </c>
      <c r="F893" s="16">
        <f>D893*E893</f>
        <v>450000</v>
      </c>
      <c r="H893" s="10">
        <v>889</v>
      </c>
    </row>
    <row r="894" spans="1:8" s="3" customFormat="1">
      <c r="A894" s="13">
        <v>2</v>
      </c>
      <c r="B894" s="5" t="s">
        <v>86</v>
      </c>
      <c r="C894" s="6" t="str">
        <f>Gia_VLieu!C5</f>
        <v>Hộp</v>
      </c>
      <c r="D894" s="66">
        <f>Gia_VLieu!D5</f>
        <v>1450000</v>
      </c>
      <c r="E894" s="53">
        <v>0.5</v>
      </c>
      <c r="F894" s="16">
        <f t="shared" ref="F894:F902" si="62">D894*E894</f>
        <v>725000</v>
      </c>
      <c r="H894" s="10">
        <v>890</v>
      </c>
    </row>
    <row r="895" spans="1:8" s="3" customFormat="1">
      <c r="A895" s="13">
        <v>3</v>
      </c>
      <c r="B895" s="5" t="s">
        <v>87</v>
      </c>
      <c r="C895" s="6" t="e">
        <f>Gia_VLieu!#REF!</f>
        <v>#REF!</v>
      </c>
      <c r="D895" s="66" t="e">
        <f>Gia_VLieu!#REF!</f>
        <v>#REF!</v>
      </c>
      <c r="E895" s="53">
        <v>0.4</v>
      </c>
      <c r="F895" s="16" t="e">
        <f t="shared" si="62"/>
        <v>#REF!</v>
      </c>
      <c r="H895" s="10">
        <v>891</v>
      </c>
    </row>
    <row r="896" spans="1:8" s="3" customFormat="1">
      <c r="A896" s="13">
        <v>4</v>
      </c>
      <c r="B896" s="5" t="s">
        <v>88</v>
      </c>
      <c r="C896" s="6" t="str">
        <f>Gia_VLieu!C6</f>
        <v>Quyển</v>
      </c>
      <c r="D896" s="66">
        <f>Gia_VLieu!D6</f>
        <v>10000</v>
      </c>
      <c r="E896" s="53">
        <v>30</v>
      </c>
      <c r="F896" s="16">
        <f t="shared" si="62"/>
        <v>300000</v>
      </c>
      <c r="H896" s="10">
        <v>892</v>
      </c>
    </row>
    <row r="897" spans="1:8" s="3" customFormat="1">
      <c r="A897" s="13">
        <v>5</v>
      </c>
      <c r="B897" s="5" t="s">
        <v>22</v>
      </c>
      <c r="C897" s="6" t="str">
        <f>Gia_VLieu!C7</f>
        <v>Cái</v>
      </c>
      <c r="D897" s="66">
        <f>Gia_VLieu!D7</f>
        <v>2000</v>
      </c>
      <c r="E897" s="53">
        <v>32</v>
      </c>
      <c r="F897" s="16">
        <f t="shared" si="62"/>
        <v>64000</v>
      </c>
      <c r="H897" s="10">
        <v>893</v>
      </c>
    </row>
    <row r="898" spans="1:8" s="3" customFormat="1">
      <c r="A898" s="13">
        <v>6</v>
      </c>
      <c r="B898" s="5" t="s">
        <v>89</v>
      </c>
      <c r="C898" s="6" t="str">
        <f>Gia_VLieu!C8</f>
        <v>Cái</v>
      </c>
      <c r="D898" s="66">
        <f>Gia_VLieu!D8</f>
        <v>8000</v>
      </c>
      <c r="E898" s="53">
        <v>15</v>
      </c>
      <c r="F898" s="16">
        <f t="shared" si="62"/>
        <v>120000</v>
      </c>
      <c r="H898" s="10">
        <v>894</v>
      </c>
    </row>
    <row r="899" spans="1:8" s="3" customFormat="1">
      <c r="A899" s="13">
        <v>7</v>
      </c>
      <c r="B899" s="5" t="s">
        <v>90</v>
      </c>
      <c r="C899" s="6" t="str">
        <f>Gia_VLieu!C9</f>
        <v>Cái</v>
      </c>
      <c r="D899" s="66">
        <f>Gia_VLieu!D9</f>
        <v>10000</v>
      </c>
      <c r="E899" s="53">
        <v>15</v>
      </c>
      <c r="F899" s="16">
        <f t="shared" si="62"/>
        <v>150000</v>
      </c>
      <c r="H899" s="10">
        <v>895</v>
      </c>
    </row>
    <row r="900" spans="1:8" s="3" customFormat="1">
      <c r="A900" s="13">
        <v>8</v>
      </c>
      <c r="B900" s="5" t="s">
        <v>91</v>
      </c>
      <c r="C900" s="6" t="str">
        <f>Gia_VLieu!C10</f>
        <v>Hộp</v>
      </c>
      <c r="D900" s="66">
        <f>Gia_VLieu!D10</f>
        <v>2500</v>
      </c>
      <c r="E900" s="53">
        <v>10</v>
      </c>
      <c r="F900" s="16">
        <f t="shared" si="62"/>
        <v>25000</v>
      </c>
      <c r="H900" s="10">
        <v>896</v>
      </c>
    </row>
    <row r="901" spans="1:8" s="3" customFormat="1">
      <c r="A901" s="13">
        <v>9</v>
      </c>
      <c r="B901" s="5" t="s">
        <v>92</v>
      </c>
      <c r="C901" s="6" t="str">
        <f>Gia_VLieu!C11</f>
        <v>Hộp</v>
      </c>
      <c r="D901" s="66">
        <f>Gia_VLieu!D11</f>
        <v>2000</v>
      </c>
      <c r="E901" s="53">
        <v>8</v>
      </c>
      <c r="F901" s="16">
        <f t="shared" si="62"/>
        <v>16000</v>
      </c>
      <c r="H901" s="10">
        <v>897</v>
      </c>
    </row>
    <row r="902" spans="1:8" s="3" customFormat="1">
      <c r="A902" s="13">
        <v>10</v>
      </c>
      <c r="B902" s="5" t="s">
        <v>93</v>
      </c>
      <c r="C902" s="6" t="str">
        <f>Gia_VLieu!C12</f>
        <v>Tập</v>
      </c>
      <c r="D902" s="66">
        <f>Gia_VLieu!D12</f>
        <v>8000</v>
      </c>
      <c r="E902" s="53">
        <v>10</v>
      </c>
      <c r="F902" s="16">
        <f t="shared" si="62"/>
        <v>80000</v>
      </c>
      <c r="H902" s="10">
        <v>898</v>
      </c>
    </row>
    <row r="903" spans="1:8" s="3" customFormat="1">
      <c r="A903" s="40">
        <v>11</v>
      </c>
      <c r="B903" s="41" t="s">
        <v>94</v>
      </c>
      <c r="C903" s="42" t="str">
        <f>Gia_VLieu!C13</f>
        <v>Cái</v>
      </c>
      <c r="D903" s="67">
        <f>Gia_VLieu!D13</f>
        <v>15000</v>
      </c>
      <c r="E903" s="54">
        <v>20</v>
      </c>
      <c r="F903" s="38">
        <f>D903*E903</f>
        <v>300000</v>
      </c>
      <c r="H903" s="10">
        <v>899</v>
      </c>
    </row>
    <row r="904" spans="1:8" s="33" customFormat="1">
      <c r="A904" s="31" t="e">
        <f>#REF!</f>
        <v>#REF!</v>
      </c>
      <c r="B904" s="32" t="e">
        <f>#REF!</f>
        <v>#REF!</v>
      </c>
      <c r="C904" s="15"/>
      <c r="D904" s="127">
        <f>Gia_VLieu!D$14</f>
        <v>1.08</v>
      </c>
      <c r="E904" s="45"/>
      <c r="F904" s="18" t="e">
        <f>SUM(F905:F915)*D904</f>
        <v>#REF!</v>
      </c>
      <c r="H904" s="10">
        <v>900</v>
      </c>
    </row>
    <row r="905" spans="1:8" s="3" customFormat="1">
      <c r="A905" s="13">
        <v>1</v>
      </c>
      <c r="B905" s="5" t="s">
        <v>85</v>
      </c>
      <c r="C905" s="6" t="str">
        <f>Gia_VLieu!C4</f>
        <v>Gram</v>
      </c>
      <c r="D905" s="66">
        <f>Gia_VLieu!D4</f>
        <v>45000</v>
      </c>
      <c r="E905" s="53">
        <v>2</v>
      </c>
      <c r="F905" s="16">
        <f>D905*E905</f>
        <v>90000</v>
      </c>
      <c r="H905" s="10">
        <v>901</v>
      </c>
    </row>
    <row r="906" spans="1:8" s="3" customFormat="1">
      <c r="A906" s="13">
        <v>2</v>
      </c>
      <c r="B906" s="5" t="s">
        <v>86</v>
      </c>
      <c r="C906" s="6" t="str">
        <f>Gia_VLieu!C5</f>
        <v>Hộp</v>
      </c>
      <c r="D906" s="66">
        <f>Gia_VLieu!D5</f>
        <v>1450000</v>
      </c>
      <c r="E906" s="53">
        <v>0.1</v>
      </c>
      <c r="F906" s="16">
        <f t="shared" ref="F906:F914" si="63">D906*E906</f>
        <v>145000</v>
      </c>
      <c r="H906" s="10">
        <v>902</v>
      </c>
    </row>
    <row r="907" spans="1:8" s="3" customFormat="1">
      <c r="A907" s="13">
        <v>3</v>
      </c>
      <c r="B907" s="5" t="s">
        <v>87</v>
      </c>
      <c r="C907" s="6" t="e">
        <f>Gia_VLieu!#REF!</f>
        <v>#REF!</v>
      </c>
      <c r="D907" s="66" t="e">
        <f>Gia_VLieu!#REF!</f>
        <v>#REF!</v>
      </c>
      <c r="E907" s="53">
        <v>0.05</v>
      </c>
      <c r="F907" s="16" t="e">
        <f t="shared" si="63"/>
        <v>#REF!</v>
      </c>
      <c r="H907" s="10">
        <v>903</v>
      </c>
    </row>
    <row r="908" spans="1:8" s="3" customFormat="1">
      <c r="A908" s="13">
        <v>4</v>
      </c>
      <c r="B908" s="5" t="s">
        <v>88</v>
      </c>
      <c r="C908" s="6" t="str">
        <f>Gia_VLieu!C6</f>
        <v>Quyển</v>
      </c>
      <c r="D908" s="66">
        <f>Gia_VLieu!D6</f>
        <v>10000</v>
      </c>
      <c r="E908" s="53">
        <v>25</v>
      </c>
      <c r="F908" s="16">
        <f t="shared" si="63"/>
        <v>250000</v>
      </c>
      <c r="H908" s="10">
        <v>904</v>
      </c>
    </row>
    <row r="909" spans="1:8" s="3" customFormat="1">
      <c r="A909" s="13">
        <v>5</v>
      </c>
      <c r="B909" s="5" t="s">
        <v>22</v>
      </c>
      <c r="C909" s="6" t="str">
        <f>Gia_VLieu!C7</f>
        <v>Cái</v>
      </c>
      <c r="D909" s="66">
        <f>Gia_VLieu!D7</f>
        <v>2000</v>
      </c>
      <c r="E909" s="53">
        <v>30</v>
      </c>
      <c r="F909" s="16">
        <f t="shared" si="63"/>
        <v>60000</v>
      </c>
      <c r="H909" s="10">
        <v>905</v>
      </c>
    </row>
    <row r="910" spans="1:8" s="3" customFormat="1">
      <c r="A910" s="13">
        <v>6</v>
      </c>
      <c r="B910" s="5" t="s">
        <v>89</v>
      </c>
      <c r="C910" s="6" t="str">
        <f>Gia_VLieu!C8</f>
        <v>Cái</v>
      </c>
      <c r="D910" s="66">
        <f>Gia_VLieu!D8</f>
        <v>8000</v>
      </c>
      <c r="E910" s="53">
        <v>14</v>
      </c>
      <c r="F910" s="16">
        <f t="shared" si="63"/>
        <v>112000</v>
      </c>
      <c r="H910" s="10">
        <v>906</v>
      </c>
    </row>
    <row r="911" spans="1:8" s="3" customFormat="1">
      <c r="A911" s="13">
        <v>7</v>
      </c>
      <c r="B911" s="5" t="s">
        <v>90</v>
      </c>
      <c r="C911" s="6" t="str">
        <f>Gia_VLieu!C9</f>
        <v>Cái</v>
      </c>
      <c r="D911" s="66">
        <f>Gia_VLieu!D9</f>
        <v>10000</v>
      </c>
      <c r="E911" s="53">
        <v>14</v>
      </c>
      <c r="F911" s="16">
        <f t="shared" si="63"/>
        <v>140000</v>
      </c>
      <c r="H911" s="10">
        <v>907</v>
      </c>
    </row>
    <row r="912" spans="1:8" s="3" customFormat="1">
      <c r="A912" s="13">
        <v>8</v>
      </c>
      <c r="B912" s="5" t="s">
        <v>91</v>
      </c>
      <c r="C912" s="6" t="str">
        <f>Gia_VLieu!C10</f>
        <v>Hộp</v>
      </c>
      <c r="D912" s="66">
        <f>Gia_VLieu!D10</f>
        <v>2500</v>
      </c>
      <c r="E912" s="53">
        <v>8</v>
      </c>
      <c r="F912" s="16">
        <f t="shared" si="63"/>
        <v>20000</v>
      </c>
      <c r="H912" s="10">
        <v>908</v>
      </c>
    </row>
    <row r="913" spans="1:8" s="3" customFormat="1">
      <c r="A913" s="13">
        <v>9</v>
      </c>
      <c r="B913" s="5" t="s">
        <v>92</v>
      </c>
      <c r="C913" s="6" t="str">
        <f>Gia_VLieu!C11</f>
        <v>Hộp</v>
      </c>
      <c r="D913" s="66">
        <f>Gia_VLieu!D11</f>
        <v>2000</v>
      </c>
      <c r="E913" s="53">
        <v>6</v>
      </c>
      <c r="F913" s="16">
        <f t="shared" si="63"/>
        <v>12000</v>
      </c>
      <c r="H913" s="10">
        <v>909</v>
      </c>
    </row>
    <row r="914" spans="1:8" s="3" customFormat="1">
      <c r="A914" s="13">
        <v>10</v>
      </c>
      <c r="B914" s="5" t="s">
        <v>93</v>
      </c>
      <c r="C914" s="6" t="str">
        <f>Gia_VLieu!C12</f>
        <v>Tập</v>
      </c>
      <c r="D914" s="66">
        <f>Gia_VLieu!D12</f>
        <v>8000</v>
      </c>
      <c r="E914" s="53">
        <v>6</v>
      </c>
      <c r="F914" s="16">
        <f t="shared" si="63"/>
        <v>48000</v>
      </c>
      <c r="H914" s="10">
        <v>910</v>
      </c>
    </row>
    <row r="915" spans="1:8" s="3" customFormat="1">
      <c r="A915" s="40">
        <v>11</v>
      </c>
      <c r="B915" s="41" t="s">
        <v>94</v>
      </c>
      <c r="C915" s="42" t="str">
        <f>Gia_VLieu!C13</f>
        <v>Cái</v>
      </c>
      <c r="D915" s="67">
        <f>Gia_VLieu!D13</f>
        <v>15000</v>
      </c>
      <c r="E915" s="54">
        <v>15</v>
      </c>
      <c r="F915" s="38">
        <f>D915*E915</f>
        <v>225000</v>
      </c>
      <c r="H915" s="10">
        <v>911</v>
      </c>
    </row>
    <row r="916" spans="1:8" s="14" customFormat="1">
      <c r="A916" s="12" t="e">
        <f>#REF!</f>
        <v>#REF!</v>
      </c>
      <c r="B916" s="8" t="e">
        <f>#REF!</f>
        <v>#REF!</v>
      </c>
      <c r="C916" s="7"/>
      <c r="D916" s="72"/>
      <c r="E916" s="48"/>
      <c r="F916" s="17"/>
      <c r="H916" s="10">
        <v>912</v>
      </c>
    </row>
    <row r="917" spans="1:8" s="33" customFormat="1">
      <c r="A917" s="31" t="e">
        <f>#REF!</f>
        <v>#REF!</v>
      </c>
      <c r="B917" s="32" t="e">
        <f>#REF!</f>
        <v>#REF!</v>
      </c>
      <c r="C917" s="15"/>
      <c r="D917" s="127">
        <f>Gia_VLieu!D$14</f>
        <v>1.08</v>
      </c>
      <c r="E917" s="45"/>
      <c r="F917" s="18" t="e">
        <f>SUM(F918:F928)*D917</f>
        <v>#REF!</v>
      </c>
      <c r="H917" s="10">
        <v>913</v>
      </c>
    </row>
    <row r="918" spans="1:8" s="3" customFormat="1">
      <c r="A918" s="13">
        <v>1</v>
      </c>
      <c r="B918" s="5" t="s">
        <v>85</v>
      </c>
      <c r="C918" s="6" t="str">
        <f>Gia_VLieu!C4</f>
        <v>Gram</v>
      </c>
      <c r="D918" s="66">
        <f>Gia_VLieu!D4</f>
        <v>45000</v>
      </c>
      <c r="E918" s="53">
        <v>40</v>
      </c>
      <c r="F918" s="16">
        <f>D918*E918</f>
        <v>1800000</v>
      </c>
      <c r="H918" s="10">
        <v>914</v>
      </c>
    </row>
    <row r="919" spans="1:8" s="3" customFormat="1">
      <c r="A919" s="13">
        <v>2</v>
      </c>
      <c r="B919" s="5" t="s">
        <v>86</v>
      </c>
      <c r="C919" s="6" t="str">
        <f>Gia_VLieu!C5</f>
        <v>Hộp</v>
      </c>
      <c r="D919" s="66">
        <f>Gia_VLieu!D5</f>
        <v>1450000</v>
      </c>
      <c r="E919" s="53">
        <v>3.5</v>
      </c>
      <c r="F919" s="16">
        <f t="shared" ref="F919:F927" si="64">D919*E919</f>
        <v>5075000</v>
      </c>
      <c r="H919" s="10">
        <v>915</v>
      </c>
    </row>
    <row r="920" spans="1:8" s="3" customFormat="1">
      <c r="A920" s="13">
        <v>3</v>
      </c>
      <c r="B920" s="5" t="s">
        <v>87</v>
      </c>
      <c r="C920" s="6" t="e">
        <f>Gia_VLieu!#REF!</f>
        <v>#REF!</v>
      </c>
      <c r="D920" s="66" t="e">
        <f>Gia_VLieu!#REF!</f>
        <v>#REF!</v>
      </c>
      <c r="E920" s="53">
        <v>1.2</v>
      </c>
      <c r="F920" s="16" t="e">
        <f t="shared" si="64"/>
        <v>#REF!</v>
      </c>
      <c r="H920" s="10">
        <v>916</v>
      </c>
    </row>
    <row r="921" spans="1:8" s="3" customFormat="1">
      <c r="A921" s="13">
        <v>4</v>
      </c>
      <c r="B921" s="5" t="s">
        <v>88</v>
      </c>
      <c r="C921" s="6" t="str">
        <f>Gia_VLieu!C6</f>
        <v>Quyển</v>
      </c>
      <c r="D921" s="66">
        <f>Gia_VLieu!D6</f>
        <v>10000</v>
      </c>
      <c r="E921" s="53">
        <v>35</v>
      </c>
      <c r="F921" s="16">
        <f t="shared" si="64"/>
        <v>350000</v>
      </c>
      <c r="H921" s="10">
        <v>917</v>
      </c>
    </row>
    <row r="922" spans="1:8" s="3" customFormat="1">
      <c r="A922" s="13">
        <v>5</v>
      </c>
      <c r="B922" s="5" t="s">
        <v>22</v>
      </c>
      <c r="C922" s="6" t="str">
        <f>Gia_VLieu!C7</f>
        <v>Cái</v>
      </c>
      <c r="D922" s="66">
        <f>Gia_VLieu!D7</f>
        <v>2000</v>
      </c>
      <c r="E922" s="53">
        <v>50</v>
      </c>
      <c r="F922" s="16">
        <f t="shared" si="64"/>
        <v>100000</v>
      </c>
      <c r="H922" s="10">
        <v>918</v>
      </c>
    </row>
    <row r="923" spans="1:8" s="3" customFormat="1">
      <c r="A923" s="13">
        <v>6</v>
      </c>
      <c r="B923" s="5" t="s">
        <v>89</v>
      </c>
      <c r="C923" s="6" t="str">
        <f>Gia_VLieu!C8</f>
        <v>Cái</v>
      </c>
      <c r="D923" s="66">
        <f>Gia_VLieu!D8</f>
        <v>8000</v>
      </c>
      <c r="E923" s="53">
        <v>40</v>
      </c>
      <c r="F923" s="16">
        <f t="shared" si="64"/>
        <v>320000</v>
      </c>
      <c r="H923" s="10">
        <v>919</v>
      </c>
    </row>
    <row r="924" spans="1:8" s="3" customFormat="1">
      <c r="A924" s="13">
        <v>7</v>
      </c>
      <c r="B924" s="5" t="s">
        <v>90</v>
      </c>
      <c r="C924" s="6" t="str">
        <f>Gia_VLieu!C9</f>
        <v>Cái</v>
      </c>
      <c r="D924" s="66">
        <f>Gia_VLieu!D9</f>
        <v>10000</v>
      </c>
      <c r="E924" s="53">
        <v>40</v>
      </c>
      <c r="F924" s="16">
        <f t="shared" si="64"/>
        <v>400000</v>
      </c>
      <c r="H924" s="10">
        <v>920</v>
      </c>
    </row>
    <row r="925" spans="1:8" s="3" customFormat="1">
      <c r="A925" s="13">
        <v>8</v>
      </c>
      <c r="B925" s="5" t="s">
        <v>91</v>
      </c>
      <c r="C925" s="6" t="str">
        <f>Gia_VLieu!C10</f>
        <v>Hộp</v>
      </c>
      <c r="D925" s="66">
        <f>Gia_VLieu!D10</f>
        <v>2500</v>
      </c>
      <c r="E925" s="53">
        <v>35</v>
      </c>
      <c r="F925" s="16">
        <f t="shared" si="64"/>
        <v>87500</v>
      </c>
      <c r="H925" s="10">
        <v>921</v>
      </c>
    </row>
    <row r="926" spans="1:8" s="3" customFormat="1">
      <c r="A926" s="13">
        <v>9</v>
      </c>
      <c r="B926" s="5" t="s">
        <v>92</v>
      </c>
      <c r="C926" s="6" t="str">
        <f>Gia_VLieu!C11</f>
        <v>Hộp</v>
      </c>
      <c r="D926" s="66">
        <f>Gia_VLieu!D11</f>
        <v>2000</v>
      </c>
      <c r="E926" s="53">
        <v>21</v>
      </c>
      <c r="F926" s="16">
        <f t="shared" si="64"/>
        <v>42000</v>
      </c>
      <c r="H926" s="10">
        <v>922</v>
      </c>
    </row>
    <row r="927" spans="1:8" s="3" customFormat="1">
      <c r="A927" s="13">
        <v>10</v>
      </c>
      <c r="B927" s="5" t="s">
        <v>93</v>
      </c>
      <c r="C927" s="6" t="str">
        <f>Gia_VLieu!C12</f>
        <v>Tập</v>
      </c>
      <c r="D927" s="66">
        <f>Gia_VLieu!D12</f>
        <v>8000</v>
      </c>
      <c r="E927" s="53">
        <v>25</v>
      </c>
      <c r="F927" s="16">
        <f t="shared" si="64"/>
        <v>200000</v>
      </c>
      <c r="H927" s="10">
        <v>923</v>
      </c>
    </row>
    <row r="928" spans="1:8" s="3" customFormat="1">
      <c r="A928" s="40">
        <v>11</v>
      </c>
      <c r="B928" s="41" t="s">
        <v>94</v>
      </c>
      <c r="C928" s="42" t="str">
        <f>Gia_VLieu!C13</f>
        <v>Cái</v>
      </c>
      <c r="D928" s="67">
        <f>Gia_VLieu!D13</f>
        <v>15000</v>
      </c>
      <c r="E928" s="54">
        <v>32</v>
      </c>
      <c r="F928" s="38">
        <f>D928*E928</f>
        <v>480000</v>
      </c>
      <c r="H928" s="10">
        <v>924</v>
      </c>
    </row>
    <row r="929" spans="1:8" s="14" customFormat="1">
      <c r="A929" s="12" t="e">
        <f>#REF!</f>
        <v>#REF!</v>
      </c>
      <c r="B929" s="8" t="e">
        <f>#REF!</f>
        <v>#REF!</v>
      </c>
      <c r="C929" s="7"/>
      <c r="D929" s="72"/>
      <c r="E929" s="48"/>
      <c r="F929" s="17"/>
      <c r="H929" s="10">
        <v>925</v>
      </c>
    </row>
    <row r="930" spans="1:8" s="33" customFormat="1">
      <c r="A930" s="31" t="e">
        <f>#REF!</f>
        <v>#REF!</v>
      </c>
      <c r="B930" s="32" t="e">
        <f>#REF!</f>
        <v>#REF!</v>
      </c>
      <c r="C930" s="15"/>
      <c r="D930" s="70"/>
      <c r="E930" s="45"/>
      <c r="F930" s="18"/>
      <c r="H930" s="10">
        <v>926</v>
      </c>
    </row>
    <row r="931" spans="1:8" s="33" customFormat="1">
      <c r="A931" s="31" t="e">
        <f>#REF!</f>
        <v>#REF!</v>
      </c>
      <c r="B931" s="32" t="e">
        <f>#REF!</f>
        <v>#REF!</v>
      </c>
      <c r="C931" s="15"/>
      <c r="D931" s="70"/>
      <c r="E931" s="45"/>
      <c r="F931" s="18"/>
      <c r="H931" s="10">
        <v>927</v>
      </c>
    </row>
    <row r="932" spans="1:8" s="14" customFormat="1">
      <c r="A932" s="12" t="e">
        <f>#REF!</f>
        <v>#REF!</v>
      </c>
      <c r="B932" s="8" t="e">
        <f>#REF!</f>
        <v>#REF!</v>
      </c>
      <c r="C932" s="7"/>
      <c r="D932" s="72"/>
      <c r="E932" s="48"/>
      <c r="F932" s="17"/>
      <c r="H932" s="10">
        <v>928</v>
      </c>
    </row>
    <row r="933" spans="1:8" s="33" customFormat="1">
      <c r="A933" s="31" t="e">
        <f>#REF!</f>
        <v>#REF!</v>
      </c>
      <c r="B933" s="32" t="e">
        <f>#REF!</f>
        <v>#REF!</v>
      </c>
      <c r="C933" s="15"/>
      <c r="D933" s="70"/>
      <c r="E933" s="45"/>
      <c r="F933" s="18" t="e">
        <f>F936</f>
        <v>#REF!</v>
      </c>
      <c r="H933" s="10">
        <v>929</v>
      </c>
    </row>
    <row r="934" spans="1:8" s="3" customFormat="1">
      <c r="A934" s="13" t="e">
        <f>#REF!</f>
        <v>#REF!</v>
      </c>
      <c r="B934" s="5" t="e">
        <f>#REF!</f>
        <v>#REF!</v>
      </c>
      <c r="C934" s="6"/>
      <c r="D934" s="66"/>
      <c r="E934" s="30"/>
      <c r="F934" s="16" t="e">
        <f>F936</f>
        <v>#REF!</v>
      </c>
      <c r="H934" s="10">
        <v>930</v>
      </c>
    </row>
    <row r="935" spans="1:8" s="3" customFormat="1">
      <c r="A935" s="13" t="e">
        <f>#REF!</f>
        <v>#REF!</v>
      </c>
      <c r="B935" s="5" t="e">
        <f>#REF!</f>
        <v>#REF!</v>
      </c>
      <c r="C935" s="6"/>
      <c r="D935" s="66"/>
      <c r="E935" s="30"/>
      <c r="F935" s="16" t="e">
        <f>F936</f>
        <v>#REF!</v>
      </c>
      <c r="H935" s="10">
        <v>931</v>
      </c>
    </row>
    <row r="936" spans="1:8" s="3" customFormat="1">
      <c r="A936" s="13" t="e">
        <f>#REF!</f>
        <v>#REF!</v>
      </c>
      <c r="B936" s="5" t="e">
        <f>#REF!</f>
        <v>#REF!</v>
      </c>
      <c r="C936" s="6"/>
      <c r="D936" s="127">
        <f>Gia_VLieu!D$14</f>
        <v>1.08</v>
      </c>
      <c r="E936" s="45"/>
      <c r="F936" s="18" t="e">
        <f>SUM(F937:F947)*D936</f>
        <v>#REF!</v>
      </c>
      <c r="H936" s="10">
        <v>932</v>
      </c>
    </row>
    <row r="937" spans="1:8" s="3" customFormat="1">
      <c r="A937" s="13">
        <v>1</v>
      </c>
      <c r="B937" s="5" t="s">
        <v>85</v>
      </c>
      <c r="C937" s="6" t="str">
        <f>Gia_VLieu!C4</f>
        <v>Gram</v>
      </c>
      <c r="D937" s="66">
        <f>Gia_VLieu!D4</f>
        <v>45000</v>
      </c>
      <c r="E937" s="53">
        <v>5</v>
      </c>
      <c r="F937" s="16">
        <f>D937*E937</f>
        <v>225000</v>
      </c>
      <c r="H937" s="10">
        <v>933</v>
      </c>
    </row>
    <row r="938" spans="1:8" s="3" customFormat="1">
      <c r="A938" s="13">
        <v>2</v>
      </c>
      <c r="B938" s="5" t="s">
        <v>86</v>
      </c>
      <c r="C938" s="6" t="str">
        <f>Gia_VLieu!C5</f>
        <v>Hộp</v>
      </c>
      <c r="D938" s="66">
        <f>Gia_VLieu!D5</f>
        <v>1450000</v>
      </c>
      <c r="E938" s="53">
        <v>0.02</v>
      </c>
      <c r="F938" s="16">
        <f t="shared" ref="F938:F946" si="65">D938*E938</f>
        <v>29000</v>
      </c>
      <c r="H938" s="10">
        <v>934</v>
      </c>
    </row>
    <row r="939" spans="1:8" s="3" customFormat="1">
      <c r="A939" s="13">
        <v>3</v>
      </c>
      <c r="B939" s="5" t="s">
        <v>87</v>
      </c>
      <c r="C939" s="6" t="e">
        <f>Gia_VLieu!#REF!</f>
        <v>#REF!</v>
      </c>
      <c r="D939" s="66" t="e">
        <f>Gia_VLieu!#REF!</f>
        <v>#REF!</v>
      </c>
      <c r="E939" s="53">
        <v>0.01</v>
      </c>
      <c r="F939" s="16" t="e">
        <f t="shared" si="65"/>
        <v>#REF!</v>
      </c>
      <c r="H939" s="10">
        <v>935</v>
      </c>
    </row>
    <row r="940" spans="1:8" s="3" customFormat="1">
      <c r="A940" s="13">
        <v>4</v>
      </c>
      <c r="B940" s="5" t="s">
        <v>88</v>
      </c>
      <c r="C940" s="6" t="str">
        <f>Gia_VLieu!C6</f>
        <v>Quyển</v>
      </c>
      <c r="D940" s="66">
        <f>Gia_VLieu!D6</f>
        <v>10000</v>
      </c>
      <c r="E940" s="53">
        <v>5</v>
      </c>
      <c r="F940" s="16">
        <f t="shared" si="65"/>
        <v>50000</v>
      </c>
      <c r="H940" s="10">
        <v>936</v>
      </c>
    </row>
    <row r="941" spans="1:8" s="3" customFormat="1">
      <c r="A941" s="13">
        <v>5</v>
      </c>
      <c r="B941" s="5" t="s">
        <v>22</v>
      </c>
      <c r="C941" s="6" t="str">
        <f>Gia_VLieu!C7</f>
        <v>Cái</v>
      </c>
      <c r="D941" s="66">
        <f>Gia_VLieu!D7</f>
        <v>2000</v>
      </c>
      <c r="E941" s="53">
        <v>11</v>
      </c>
      <c r="F941" s="16">
        <f t="shared" si="65"/>
        <v>22000</v>
      </c>
      <c r="H941" s="10">
        <v>937</v>
      </c>
    </row>
    <row r="942" spans="1:8" s="3" customFormat="1">
      <c r="A942" s="13">
        <v>6</v>
      </c>
      <c r="B942" s="5" t="s">
        <v>89</v>
      </c>
      <c r="C942" s="6" t="str">
        <f>Gia_VLieu!C8</f>
        <v>Cái</v>
      </c>
      <c r="D942" s="66">
        <f>Gia_VLieu!D8</f>
        <v>8000</v>
      </c>
      <c r="E942" s="53">
        <v>40</v>
      </c>
      <c r="F942" s="16">
        <f t="shared" si="65"/>
        <v>320000</v>
      </c>
      <c r="H942" s="10">
        <v>938</v>
      </c>
    </row>
    <row r="943" spans="1:8" s="3" customFormat="1">
      <c r="A943" s="13">
        <v>7</v>
      </c>
      <c r="B943" s="5" t="s">
        <v>90</v>
      </c>
      <c r="C943" s="6" t="str">
        <f>Gia_VLieu!C9</f>
        <v>Cái</v>
      </c>
      <c r="D943" s="66">
        <f>Gia_VLieu!D9</f>
        <v>10000</v>
      </c>
      <c r="E943" s="53">
        <v>40</v>
      </c>
      <c r="F943" s="16">
        <f t="shared" si="65"/>
        <v>400000</v>
      </c>
      <c r="H943" s="10">
        <v>939</v>
      </c>
    </row>
    <row r="944" spans="1:8" s="3" customFormat="1">
      <c r="A944" s="13">
        <v>8</v>
      </c>
      <c r="B944" s="5" t="s">
        <v>91</v>
      </c>
      <c r="C944" s="6" t="str">
        <f>Gia_VLieu!C10</f>
        <v>Hộp</v>
      </c>
      <c r="D944" s="66">
        <f>Gia_VLieu!D10</f>
        <v>2500</v>
      </c>
      <c r="E944" s="53">
        <v>8</v>
      </c>
      <c r="F944" s="16">
        <f t="shared" si="65"/>
        <v>20000</v>
      </c>
      <c r="H944" s="10">
        <v>940</v>
      </c>
    </row>
    <row r="945" spans="1:8" s="3" customFormat="1">
      <c r="A945" s="13">
        <v>9</v>
      </c>
      <c r="B945" s="5" t="s">
        <v>92</v>
      </c>
      <c r="C945" s="6" t="str">
        <f>Gia_VLieu!C11</f>
        <v>Hộp</v>
      </c>
      <c r="D945" s="66">
        <f>Gia_VLieu!D11</f>
        <v>2000</v>
      </c>
      <c r="E945" s="53">
        <v>4</v>
      </c>
      <c r="F945" s="16">
        <f t="shared" si="65"/>
        <v>8000</v>
      </c>
      <c r="H945" s="10">
        <v>941</v>
      </c>
    </row>
    <row r="946" spans="1:8" s="3" customFormat="1">
      <c r="A946" s="13">
        <v>10</v>
      </c>
      <c r="B946" s="5" t="s">
        <v>93</v>
      </c>
      <c r="C946" s="6" t="str">
        <f>Gia_VLieu!C12</f>
        <v>Tập</v>
      </c>
      <c r="D946" s="66">
        <f>Gia_VLieu!D12</f>
        <v>8000</v>
      </c>
      <c r="E946" s="53">
        <v>5</v>
      </c>
      <c r="F946" s="16">
        <f t="shared" si="65"/>
        <v>40000</v>
      </c>
      <c r="H946" s="10">
        <v>942</v>
      </c>
    </row>
    <row r="947" spans="1:8" s="3" customFormat="1">
      <c r="A947" s="40">
        <v>11</v>
      </c>
      <c r="B947" s="41" t="s">
        <v>94</v>
      </c>
      <c r="C947" s="42" t="str">
        <f>Gia_VLieu!C13</f>
        <v>Cái</v>
      </c>
      <c r="D947" s="67">
        <f>Gia_VLieu!D13</f>
        <v>15000</v>
      </c>
      <c r="E947" s="54">
        <v>3.78</v>
      </c>
      <c r="F947" s="38">
        <f>D947*E947</f>
        <v>56700</v>
      </c>
      <c r="H947" s="10">
        <v>943</v>
      </c>
    </row>
    <row r="948" spans="1:8" s="33" customFormat="1">
      <c r="A948" s="31" t="e">
        <f>#REF!</f>
        <v>#REF!</v>
      </c>
      <c r="B948" s="32" t="e">
        <f>#REF!</f>
        <v>#REF!</v>
      </c>
      <c r="C948" s="15"/>
      <c r="D948" s="127">
        <f>Gia_VLieu!D$14</f>
        <v>1.08</v>
      </c>
      <c r="E948" s="45"/>
      <c r="F948" s="18" t="e">
        <f>SUM(F949:F959)*D948</f>
        <v>#REF!</v>
      </c>
      <c r="H948" s="10">
        <v>944</v>
      </c>
    </row>
    <row r="949" spans="1:8" s="3" customFormat="1">
      <c r="A949" s="13">
        <v>1</v>
      </c>
      <c r="B949" s="5" t="s">
        <v>85</v>
      </c>
      <c r="C949" s="6" t="str">
        <f>Gia_VLieu!C4</f>
        <v>Gram</v>
      </c>
      <c r="D949" s="66">
        <f>Gia_VLieu!D4</f>
        <v>45000</v>
      </c>
      <c r="E949" s="53">
        <v>1</v>
      </c>
      <c r="F949" s="16">
        <f>D949*E949</f>
        <v>45000</v>
      </c>
      <c r="H949" s="10">
        <v>945</v>
      </c>
    </row>
    <row r="950" spans="1:8" s="3" customFormat="1">
      <c r="A950" s="13">
        <v>2</v>
      </c>
      <c r="B950" s="5" t="s">
        <v>86</v>
      </c>
      <c r="C950" s="6" t="str">
        <f>Gia_VLieu!C5</f>
        <v>Hộp</v>
      </c>
      <c r="D950" s="66">
        <f>Gia_VLieu!D5</f>
        <v>1450000</v>
      </c>
      <c r="E950" s="53">
        <v>0.01</v>
      </c>
      <c r="F950" s="16">
        <f t="shared" ref="F950:F958" si="66">D950*E950</f>
        <v>14500</v>
      </c>
      <c r="H950" s="10">
        <v>946</v>
      </c>
    </row>
    <row r="951" spans="1:8" s="3" customFormat="1">
      <c r="A951" s="13">
        <v>3</v>
      </c>
      <c r="B951" s="5" t="s">
        <v>87</v>
      </c>
      <c r="C951" s="6" t="e">
        <f>Gia_VLieu!#REF!</f>
        <v>#REF!</v>
      </c>
      <c r="D951" s="66" t="e">
        <f>Gia_VLieu!#REF!</f>
        <v>#REF!</v>
      </c>
      <c r="E951" s="53">
        <v>0.01</v>
      </c>
      <c r="F951" s="16" t="e">
        <f t="shared" si="66"/>
        <v>#REF!</v>
      </c>
      <c r="H951" s="10">
        <v>947</v>
      </c>
    </row>
    <row r="952" spans="1:8" s="3" customFormat="1">
      <c r="A952" s="13">
        <v>4</v>
      </c>
      <c r="B952" s="5" t="s">
        <v>88</v>
      </c>
      <c r="C952" s="6" t="str">
        <f>Gia_VLieu!C6</f>
        <v>Quyển</v>
      </c>
      <c r="D952" s="66">
        <f>Gia_VLieu!D6</f>
        <v>10000</v>
      </c>
      <c r="E952" s="53">
        <v>4</v>
      </c>
      <c r="F952" s="16">
        <f t="shared" si="66"/>
        <v>40000</v>
      </c>
      <c r="H952" s="10">
        <v>948</v>
      </c>
    </row>
    <row r="953" spans="1:8" s="3" customFormat="1">
      <c r="A953" s="13">
        <v>5</v>
      </c>
      <c r="B953" s="5" t="s">
        <v>22</v>
      </c>
      <c r="C953" s="6" t="str">
        <f>Gia_VLieu!C7</f>
        <v>Cái</v>
      </c>
      <c r="D953" s="66">
        <f>Gia_VLieu!D7</f>
        <v>2000</v>
      </c>
      <c r="E953" s="53">
        <v>6</v>
      </c>
      <c r="F953" s="16">
        <f t="shared" si="66"/>
        <v>12000</v>
      </c>
      <c r="H953" s="10">
        <v>949</v>
      </c>
    </row>
    <row r="954" spans="1:8" s="3" customFormat="1">
      <c r="A954" s="13">
        <v>6</v>
      </c>
      <c r="B954" s="5" t="s">
        <v>89</v>
      </c>
      <c r="C954" s="6" t="str">
        <f>Gia_VLieu!C8</f>
        <v>Cái</v>
      </c>
      <c r="D954" s="66">
        <f>Gia_VLieu!D8</f>
        <v>8000</v>
      </c>
      <c r="E954" s="53">
        <v>40</v>
      </c>
      <c r="F954" s="16">
        <f t="shared" si="66"/>
        <v>320000</v>
      </c>
      <c r="H954" s="10">
        <v>950</v>
      </c>
    </row>
    <row r="955" spans="1:8" s="3" customFormat="1">
      <c r="A955" s="13">
        <v>7</v>
      </c>
      <c r="B955" s="5" t="s">
        <v>90</v>
      </c>
      <c r="C955" s="6" t="str">
        <f>Gia_VLieu!C9</f>
        <v>Cái</v>
      </c>
      <c r="D955" s="66">
        <f>Gia_VLieu!D9</f>
        <v>10000</v>
      </c>
      <c r="E955" s="53">
        <v>40</v>
      </c>
      <c r="F955" s="16">
        <f t="shared" si="66"/>
        <v>400000</v>
      </c>
      <c r="H955" s="10">
        <v>951</v>
      </c>
    </row>
    <row r="956" spans="1:8" s="3" customFormat="1">
      <c r="A956" s="13">
        <v>8</v>
      </c>
      <c r="B956" s="5" t="s">
        <v>91</v>
      </c>
      <c r="C956" s="6" t="str">
        <f>Gia_VLieu!C10</f>
        <v>Hộp</v>
      </c>
      <c r="D956" s="66">
        <f>Gia_VLieu!D10</f>
        <v>2500</v>
      </c>
      <c r="E956" s="53">
        <v>6</v>
      </c>
      <c r="F956" s="16">
        <f t="shared" si="66"/>
        <v>15000</v>
      </c>
      <c r="H956" s="10">
        <v>952</v>
      </c>
    </row>
    <row r="957" spans="1:8" s="3" customFormat="1">
      <c r="A957" s="13">
        <v>9</v>
      </c>
      <c r="B957" s="5" t="s">
        <v>92</v>
      </c>
      <c r="C957" s="6" t="str">
        <f>Gia_VLieu!C11</f>
        <v>Hộp</v>
      </c>
      <c r="D957" s="66">
        <f>Gia_VLieu!D11</f>
        <v>2000</v>
      </c>
      <c r="E957" s="53">
        <v>3</v>
      </c>
      <c r="F957" s="16">
        <f t="shared" si="66"/>
        <v>6000</v>
      </c>
      <c r="H957" s="10">
        <v>953</v>
      </c>
    </row>
    <row r="958" spans="1:8" s="3" customFormat="1">
      <c r="A958" s="13">
        <v>10</v>
      </c>
      <c r="B958" s="5" t="s">
        <v>93</v>
      </c>
      <c r="C958" s="6" t="str">
        <f>Gia_VLieu!C12</f>
        <v>Tập</v>
      </c>
      <c r="D958" s="66">
        <f>Gia_VLieu!D12</f>
        <v>8000</v>
      </c>
      <c r="E958" s="53">
        <v>4</v>
      </c>
      <c r="F958" s="16">
        <f t="shared" si="66"/>
        <v>32000</v>
      </c>
      <c r="H958" s="10">
        <v>954</v>
      </c>
    </row>
    <row r="959" spans="1:8" s="3" customFormat="1">
      <c r="A959" s="40">
        <v>11</v>
      </c>
      <c r="B959" s="41" t="s">
        <v>94</v>
      </c>
      <c r="C959" s="42" t="str">
        <f>Gia_VLieu!C13</f>
        <v>Cái</v>
      </c>
      <c r="D959" s="67">
        <f>Gia_VLieu!D13</f>
        <v>15000</v>
      </c>
      <c r="E959" s="54">
        <v>20</v>
      </c>
      <c r="F959" s="38">
        <f>D959*E959</f>
        <v>300000</v>
      </c>
      <c r="H959" s="10">
        <v>955</v>
      </c>
    </row>
    <row r="960" spans="1:8" s="33" customFormat="1">
      <c r="A960" s="31" t="e">
        <f>#REF!</f>
        <v>#REF!</v>
      </c>
      <c r="B960" s="32" t="e">
        <f>#REF!</f>
        <v>#REF!</v>
      </c>
      <c r="C960" s="15"/>
      <c r="D960" s="70"/>
      <c r="E960" s="45"/>
      <c r="F960" s="18"/>
      <c r="H960" s="10">
        <v>956</v>
      </c>
    </row>
    <row r="961" spans="1:8" s="3" customFormat="1">
      <c r="A961" s="13" t="e">
        <f>#REF!</f>
        <v>#REF!</v>
      </c>
      <c r="B961" s="5" t="e">
        <f>#REF!</f>
        <v>#REF!</v>
      </c>
      <c r="C961" s="6"/>
      <c r="D961" s="127">
        <f>Gia_VLieu!D$14</f>
        <v>1.08</v>
      </c>
      <c r="E961" s="45"/>
      <c r="F961" s="18" t="e">
        <f>SUM(F962:F972)*D961</f>
        <v>#REF!</v>
      </c>
      <c r="H961" s="10">
        <v>957</v>
      </c>
    </row>
    <row r="962" spans="1:8" s="3" customFormat="1">
      <c r="A962" s="13">
        <v>1</v>
      </c>
      <c r="B962" s="5" t="s">
        <v>85</v>
      </c>
      <c r="C962" s="6" t="str">
        <f>Gia_VLieu!C4</f>
        <v>Gram</v>
      </c>
      <c r="D962" s="66">
        <f>Gia_VLieu!D4</f>
        <v>45000</v>
      </c>
      <c r="E962" s="53">
        <v>0.5</v>
      </c>
      <c r="F962" s="16">
        <f>D962*E962</f>
        <v>22500</v>
      </c>
      <c r="H962" s="10">
        <v>958</v>
      </c>
    </row>
    <row r="963" spans="1:8" s="3" customFormat="1">
      <c r="A963" s="13">
        <v>2</v>
      </c>
      <c r="B963" s="5" t="s">
        <v>86</v>
      </c>
      <c r="C963" s="6" t="str">
        <f>Gia_VLieu!C5</f>
        <v>Hộp</v>
      </c>
      <c r="D963" s="66">
        <f>Gia_VLieu!D5</f>
        <v>1450000</v>
      </c>
      <c r="E963" s="53">
        <v>0.01</v>
      </c>
      <c r="F963" s="16">
        <f t="shared" ref="F963:F971" si="67">D963*E963</f>
        <v>14500</v>
      </c>
      <c r="H963" s="10">
        <v>959</v>
      </c>
    </row>
    <row r="964" spans="1:8" s="3" customFormat="1">
      <c r="A964" s="13">
        <v>3</v>
      </c>
      <c r="B964" s="5" t="s">
        <v>87</v>
      </c>
      <c r="C964" s="6" t="e">
        <f>Gia_VLieu!#REF!</f>
        <v>#REF!</v>
      </c>
      <c r="D964" s="66" t="e">
        <f>Gia_VLieu!#REF!</f>
        <v>#REF!</v>
      </c>
      <c r="E964" s="53">
        <v>0.01</v>
      </c>
      <c r="F964" s="16" t="e">
        <f t="shared" si="67"/>
        <v>#REF!</v>
      </c>
      <c r="H964" s="10">
        <v>960</v>
      </c>
    </row>
    <row r="965" spans="1:8" s="3" customFormat="1">
      <c r="A965" s="13">
        <v>4</v>
      </c>
      <c r="B965" s="5" t="s">
        <v>88</v>
      </c>
      <c r="C965" s="6" t="str">
        <f>Gia_VLieu!C6</f>
        <v>Quyển</v>
      </c>
      <c r="D965" s="66">
        <f>Gia_VLieu!D6</f>
        <v>10000</v>
      </c>
      <c r="E965" s="53">
        <v>2</v>
      </c>
      <c r="F965" s="16">
        <f t="shared" si="67"/>
        <v>20000</v>
      </c>
      <c r="H965" s="10">
        <v>961</v>
      </c>
    </row>
    <row r="966" spans="1:8" s="3" customFormat="1">
      <c r="A966" s="13">
        <v>5</v>
      </c>
      <c r="B966" s="5" t="s">
        <v>22</v>
      </c>
      <c r="C966" s="6" t="str">
        <f>Gia_VLieu!C7</f>
        <v>Cái</v>
      </c>
      <c r="D966" s="66">
        <f>Gia_VLieu!D7</f>
        <v>2000</v>
      </c>
      <c r="E966" s="53">
        <v>3</v>
      </c>
      <c r="F966" s="16">
        <f t="shared" si="67"/>
        <v>6000</v>
      </c>
      <c r="H966" s="10">
        <v>962</v>
      </c>
    </row>
    <row r="967" spans="1:8" s="3" customFormat="1">
      <c r="A967" s="13">
        <v>6</v>
      </c>
      <c r="B967" s="5" t="s">
        <v>89</v>
      </c>
      <c r="C967" s="6" t="str">
        <f>Gia_VLieu!C8</f>
        <v>Cái</v>
      </c>
      <c r="D967" s="66">
        <f>Gia_VLieu!D8</f>
        <v>8000</v>
      </c>
      <c r="E967" s="53">
        <v>20</v>
      </c>
      <c r="F967" s="16">
        <f t="shared" si="67"/>
        <v>160000</v>
      </c>
      <c r="H967" s="10">
        <v>963</v>
      </c>
    </row>
    <row r="968" spans="1:8" s="3" customFormat="1">
      <c r="A968" s="13">
        <v>7</v>
      </c>
      <c r="B968" s="5" t="s">
        <v>90</v>
      </c>
      <c r="C968" s="6" t="str">
        <f>Gia_VLieu!C9</f>
        <v>Cái</v>
      </c>
      <c r="D968" s="66">
        <f>Gia_VLieu!D9</f>
        <v>10000</v>
      </c>
      <c r="E968" s="53">
        <v>20</v>
      </c>
      <c r="F968" s="16">
        <f t="shared" si="67"/>
        <v>200000</v>
      </c>
      <c r="H968" s="10">
        <v>964</v>
      </c>
    </row>
    <row r="969" spans="1:8" s="3" customFormat="1">
      <c r="A969" s="13">
        <v>8</v>
      </c>
      <c r="B969" s="5" t="s">
        <v>91</v>
      </c>
      <c r="C969" s="6" t="str">
        <f>Gia_VLieu!C10</f>
        <v>Hộp</v>
      </c>
      <c r="D969" s="66">
        <f>Gia_VLieu!D10</f>
        <v>2500</v>
      </c>
      <c r="E969" s="53">
        <v>3</v>
      </c>
      <c r="F969" s="16">
        <f t="shared" si="67"/>
        <v>7500</v>
      </c>
      <c r="H969" s="10">
        <v>965</v>
      </c>
    </row>
    <row r="970" spans="1:8" s="3" customFormat="1">
      <c r="A970" s="13">
        <v>9</v>
      </c>
      <c r="B970" s="5" t="s">
        <v>92</v>
      </c>
      <c r="C970" s="6" t="str">
        <f>Gia_VLieu!C11</f>
        <v>Hộp</v>
      </c>
      <c r="D970" s="66">
        <f>Gia_VLieu!D11</f>
        <v>2000</v>
      </c>
      <c r="E970" s="53">
        <v>1.5</v>
      </c>
      <c r="F970" s="16">
        <f t="shared" si="67"/>
        <v>3000</v>
      </c>
      <c r="H970" s="10">
        <v>966</v>
      </c>
    </row>
    <row r="971" spans="1:8" s="3" customFormat="1">
      <c r="A971" s="13">
        <v>10</v>
      </c>
      <c r="B971" s="5" t="s">
        <v>93</v>
      </c>
      <c r="C971" s="6" t="str">
        <f>Gia_VLieu!C12</f>
        <v>Tập</v>
      </c>
      <c r="D971" s="66">
        <f>Gia_VLieu!D12</f>
        <v>8000</v>
      </c>
      <c r="E971" s="53">
        <v>2</v>
      </c>
      <c r="F971" s="16">
        <f t="shared" si="67"/>
        <v>16000</v>
      </c>
      <c r="H971" s="10">
        <v>967</v>
      </c>
    </row>
    <row r="972" spans="1:8" s="3" customFormat="1">
      <c r="A972" s="40">
        <v>11</v>
      </c>
      <c r="B972" s="41" t="s">
        <v>94</v>
      </c>
      <c r="C972" s="42" t="str">
        <f>Gia_VLieu!C13</f>
        <v>Cái</v>
      </c>
      <c r="D972" s="67">
        <f>Gia_VLieu!D13</f>
        <v>15000</v>
      </c>
      <c r="E972" s="54">
        <v>10</v>
      </c>
      <c r="F972" s="38">
        <f>D972*E972</f>
        <v>150000</v>
      </c>
      <c r="H972" s="10">
        <v>968</v>
      </c>
    </row>
    <row r="973" spans="1:8" s="3" customFormat="1">
      <c r="A973" s="13" t="e">
        <f>#REF!</f>
        <v>#REF!</v>
      </c>
      <c r="B973" s="5" t="e">
        <f>#REF!</f>
        <v>#REF!</v>
      </c>
      <c r="C973" s="6"/>
      <c r="D973" s="127">
        <f>Gia_VLieu!D$14</f>
        <v>1.08</v>
      </c>
      <c r="E973" s="45"/>
      <c r="F973" s="18" t="e">
        <f>SUM(F974:F984)*D973</f>
        <v>#REF!</v>
      </c>
      <c r="H973" s="10">
        <v>969</v>
      </c>
    </row>
    <row r="974" spans="1:8" s="3" customFormat="1">
      <c r="A974" s="13">
        <v>1</v>
      </c>
      <c r="B974" s="5" t="s">
        <v>85</v>
      </c>
      <c r="C974" s="6" t="str">
        <f>Gia_VLieu!C4</f>
        <v>Gram</v>
      </c>
      <c r="D974" s="66">
        <f>Gia_VLieu!D4</f>
        <v>45000</v>
      </c>
      <c r="E974" s="53">
        <v>2</v>
      </c>
      <c r="F974" s="16">
        <f>D974*E974</f>
        <v>90000</v>
      </c>
      <c r="H974" s="10">
        <v>970</v>
      </c>
    </row>
    <row r="975" spans="1:8" s="3" customFormat="1">
      <c r="A975" s="13">
        <v>2</v>
      </c>
      <c r="B975" s="5" t="s">
        <v>86</v>
      </c>
      <c r="C975" s="6" t="str">
        <f>Gia_VLieu!C5</f>
        <v>Hộp</v>
      </c>
      <c r="D975" s="66">
        <f>Gia_VLieu!D5</f>
        <v>1450000</v>
      </c>
      <c r="E975" s="53">
        <v>0.02</v>
      </c>
      <c r="F975" s="16">
        <f t="shared" ref="F975:F983" si="68">D975*E975</f>
        <v>29000</v>
      </c>
      <c r="H975" s="10">
        <v>971</v>
      </c>
    </row>
    <row r="976" spans="1:8" s="3" customFormat="1">
      <c r="A976" s="13">
        <v>3</v>
      </c>
      <c r="B976" s="5" t="s">
        <v>87</v>
      </c>
      <c r="C976" s="6" t="e">
        <f>Gia_VLieu!#REF!</f>
        <v>#REF!</v>
      </c>
      <c r="D976" s="66" t="e">
        <f>Gia_VLieu!#REF!</f>
        <v>#REF!</v>
      </c>
      <c r="E976" s="53">
        <v>0.02</v>
      </c>
      <c r="F976" s="16" t="e">
        <f t="shared" si="68"/>
        <v>#REF!</v>
      </c>
      <c r="H976" s="10">
        <v>972</v>
      </c>
    </row>
    <row r="977" spans="1:8" s="3" customFormat="1">
      <c r="A977" s="13">
        <v>4</v>
      </c>
      <c r="B977" s="5" t="s">
        <v>88</v>
      </c>
      <c r="C977" s="6" t="str">
        <f>Gia_VLieu!C6</f>
        <v>Quyển</v>
      </c>
      <c r="D977" s="66">
        <f>Gia_VLieu!D6</f>
        <v>10000</v>
      </c>
      <c r="E977" s="53">
        <v>5</v>
      </c>
      <c r="F977" s="16">
        <f t="shared" si="68"/>
        <v>50000</v>
      </c>
      <c r="H977" s="10">
        <v>973</v>
      </c>
    </row>
    <row r="978" spans="1:8" s="3" customFormat="1">
      <c r="A978" s="13">
        <v>5</v>
      </c>
      <c r="B978" s="5" t="s">
        <v>22</v>
      </c>
      <c r="C978" s="6" t="str">
        <f>Gia_VLieu!C7</f>
        <v>Cái</v>
      </c>
      <c r="D978" s="66">
        <f>Gia_VLieu!D7</f>
        <v>2000</v>
      </c>
      <c r="E978" s="53">
        <v>6</v>
      </c>
      <c r="F978" s="16">
        <f t="shared" si="68"/>
        <v>12000</v>
      </c>
      <c r="H978" s="10">
        <v>974</v>
      </c>
    </row>
    <row r="979" spans="1:8" s="3" customFormat="1">
      <c r="A979" s="13">
        <v>6</v>
      </c>
      <c r="B979" s="5" t="s">
        <v>89</v>
      </c>
      <c r="C979" s="6" t="str">
        <f>Gia_VLieu!C8</f>
        <v>Cái</v>
      </c>
      <c r="D979" s="66">
        <f>Gia_VLieu!D8</f>
        <v>8000</v>
      </c>
      <c r="E979" s="53">
        <v>12</v>
      </c>
      <c r="F979" s="16">
        <f t="shared" si="68"/>
        <v>96000</v>
      </c>
      <c r="H979" s="10">
        <v>975</v>
      </c>
    </row>
    <row r="980" spans="1:8" s="3" customFormat="1">
      <c r="A980" s="13">
        <v>7</v>
      </c>
      <c r="B980" s="5" t="s">
        <v>90</v>
      </c>
      <c r="C980" s="6" t="str">
        <f>Gia_VLieu!C9</f>
        <v>Cái</v>
      </c>
      <c r="D980" s="66">
        <f>Gia_VLieu!D9</f>
        <v>10000</v>
      </c>
      <c r="E980" s="53">
        <v>14</v>
      </c>
      <c r="F980" s="16">
        <f t="shared" si="68"/>
        <v>140000</v>
      </c>
      <c r="H980" s="10">
        <v>976</v>
      </c>
    </row>
    <row r="981" spans="1:8" s="3" customFormat="1">
      <c r="A981" s="13">
        <v>8</v>
      </c>
      <c r="B981" s="5" t="s">
        <v>91</v>
      </c>
      <c r="C981" s="6" t="str">
        <f>Gia_VLieu!C10</f>
        <v>Hộp</v>
      </c>
      <c r="D981" s="66">
        <f>Gia_VLieu!D10</f>
        <v>2500</v>
      </c>
      <c r="E981" s="53">
        <v>4</v>
      </c>
      <c r="F981" s="16">
        <f t="shared" si="68"/>
        <v>10000</v>
      </c>
      <c r="H981" s="10">
        <v>977</v>
      </c>
    </row>
    <row r="982" spans="1:8" s="3" customFormat="1">
      <c r="A982" s="13">
        <v>9</v>
      </c>
      <c r="B982" s="5" t="s">
        <v>92</v>
      </c>
      <c r="C982" s="6" t="str">
        <f>Gia_VLieu!C11</f>
        <v>Hộp</v>
      </c>
      <c r="D982" s="66">
        <f>Gia_VLieu!D11</f>
        <v>2000</v>
      </c>
      <c r="E982" s="53">
        <v>2</v>
      </c>
      <c r="F982" s="16">
        <f t="shared" si="68"/>
        <v>4000</v>
      </c>
      <c r="H982" s="10">
        <v>978</v>
      </c>
    </row>
    <row r="983" spans="1:8" s="3" customFormat="1">
      <c r="A983" s="13">
        <v>10</v>
      </c>
      <c r="B983" s="5" t="s">
        <v>93</v>
      </c>
      <c r="C983" s="6" t="str">
        <f>Gia_VLieu!C12</f>
        <v>Tập</v>
      </c>
      <c r="D983" s="66">
        <f>Gia_VLieu!D12</f>
        <v>8000</v>
      </c>
      <c r="E983" s="53">
        <v>3</v>
      </c>
      <c r="F983" s="16">
        <f t="shared" si="68"/>
        <v>24000</v>
      </c>
      <c r="H983" s="10">
        <v>979</v>
      </c>
    </row>
    <row r="984" spans="1:8" s="3" customFormat="1">
      <c r="A984" s="40">
        <v>11</v>
      </c>
      <c r="B984" s="41" t="s">
        <v>94</v>
      </c>
      <c r="C984" s="42" t="str">
        <f>Gia_VLieu!C13</f>
        <v>Cái</v>
      </c>
      <c r="D984" s="67">
        <f>Gia_VLieu!D13</f>
        <v>15000</v>
      </c>
      <c r="E984" s="54">
        <v>8</v>
      </c>
      <c r="F984" s="38">
        <f>D984*E984</f>
        <v>120000</v>
      </c>
      <c r="H984" s="10">
        <v>980</v>
      </c>
    </row>
    <row r="985" spans="1:8" s="33" customFormat="1">
      <c r="A985" s="31" t="e">
        <f>#REF!</f>
        <v>#REF!</v>
      </c>
      <c r="B985" s="32" t="e">
        <f>#REF!</f>
        <v>#REF!</v>
      </c>
      <c r="C985" s="15"/>
      <c r="D985" s="70"/>
      <c r="E985" s="45"/>
      <c r="F985" s="18"/>
      <c r="H985" s="10">
        <v>981</v>
      </c>
    </row>
    <row r="986" spans="1:8" s="3" customFormat="1">
      <c r="A986" s="13" t="e">
        <f>#REF!</f>
        <v>#REF!</v>
      </c>
      <c r="B986" s="5" t="e">
        <f>#REF!</f>
        <v>#REF!</v>
      </c>
      <c r="C986" s="6"/>
      <c r="D986" s="66"/>
      <c r="E986" s="30"/>
      <c r="F986" s="16"/>
      <c r="H986" s="10">
        <v>982</v>
      </c>
    </row>
    <row r="987" spans="1:8" s="9" customFormat="1">
      <c r="A987" s="24" t="e">
        <f>#REF!</f>
        <v>#REF!</v>
      </c>
      <c r="B987" s="113" t="e">
        <f>#REF!</f>
        <v>#REF!</v>
      </c>
      <c r="C987" s="114"/>
      <c r="D987" s="114"/>
      <c r="E987" s="114"/>
      <c r="F987" s="115"/>
      <c r="H987" s="10">
        <v>983</v>
      </c>
    </row>
    <row r="988" spans="1:8" s="33" customFormat="1">
      <c r="A988" s="31" t="e">
        <f>#REF!</f>
        <v>#REF!</v>
      </c>
      <c r="B988" s="32" t="e">
        <f>#REF!</f>
        <v>#REF!</v>
      </c>
      <c r="C988" s="15"/>
      <c r="D988" s="127">
        <f>Gia_VLieu!D$14</f>
        <v>1.08</v>
      </c>
      <c r="E988" s="45"/>
      <c r="F988" s="18" t="e">
        <f>SUM(F989:F999)*D988</f>
        <v>#REF!</v>
      </c>
      <c r="H988" s="10">
        <v>984</v>
      </c>
    </row>
    <row r="989" spans="1:8" s="3" customFormat="1">
      <c r="A989" s="13">
        <v>1</v>
      </c>
      <c r="B989" s="5" t="s">
        <v>85</v>
      </c>
      <c r="C989" s="6" t="str">
        <f>Gia_VLieu!C4</f>
        <v>Gram</v>
      </c>
      <c r="D989" s="66">
        <f>Gia_VLieu!D4</f>
        <v>45000</v>
      </c>
      <c r="E989" s="53">
        <v>4</v>
      </c>
      <c r="F989" s="16">
        <f>D989*E989</f>
        <v>180000</v>
      </c>
      <c r="H989" s="10">
        <v>985</v>
      </c>
    </row>
    <row r="990" spans="1:8" s="3" customFormat="1">
      <c r="A990" s="13">
        <v>2</v>
      </c>
      <c r="B990" s="5" t="s">
        <v>86</v>
      </c>
      <c r="C990" s="6" t="str">
        <f>Gia_VLieu!C5</f>
        <v>Hộp</v>
      </c>
      <c r="D990" s="66">
        <f>Gia_VLieu!D5</f>
        <v>1450000</v>
      </c>
      <c r="E990" s="53">
        <v>0.3</v>
      </c>
      <c r="F990" s="16">
        <f t="shared" ref="F990:F998" si="69">D990*E990</f>
        <v>435000</v>
      </c>
      <c r="H990" s="10">
        <v>986</v>
      </c>
    </row>
    <row r="991" spans="1:8" s="3" customFormat="1">
      <c r="A991" s="13">
        <v>3</v>
      </c>
      <c r="B991" s="5" t="s">
        <v>87</v>
      </c>
      <c r="C991" s="6" t="e">
        <f>Gia_VLieu!#REF!</f>
        <v>#REF!</v>
      </c>
      <c r="D991" s="66" t="e">
        <f>Gia_VLieu!#REF!</f>
        <v>#REF!</v>
      </c>
      <c r="E991" s="53">
        <v>0.2</v>
      </c>
      <c r="F991" s="16" t="e">
        <f t="shared" si="69"/>
        <v>#REF!</v>
      </c>
      <c r="H991" s="10">
        <v>987</v>
      </c>
    </row>
    <row r="992" spans="1:8" s="3" customFormat="1">
      <c r="A992" s="13">
        <v>4</v>
      </c>
      <c r="B992" s="5" t="s">
        <v>88</v>
      </c>
      <c r="C992" s="6" t="str">
        <f>Gia_VLieu!C6</f>
        <v>Quyển</v>
      </c>
      <c r="D992" s="66">
        <f>Gia_VLieu!D6</f>
        <v>10000</v>
      </c>
      <c r="E992" s="53">
        <v>12</v>
      </c>
      <c r="F992" s="16">
        <f t="shared" si="69"/>
        <v>120000</v>
      </c>
      <c r="H992" s="10">
        <v>988</v>
      </c>
    </row>
    <row r="993" spans="1:8" s="3" customFormat="1">
      <c r="A993" s="13">
        <v>5</v>
      </c>
      <c r="B993" s="5" t="s">
        <v>22</v>
      </c>
      <c r="C993" s="6" t="str">
        <f>Gia_VLieu!C7</f>
        <v>Cái</v>
      </c>
      <c r="D993" s="66">
        <f>Gia_VLieu!D7</f>
        <v>2000</v>
      </c>
      <c r="E993" s="53">
        <v>25</v>
      </c>
      <c r="F993" s="16">
        <f t="shared" si="69"/>
        <v>50000</v>
      </c>
      <c r="H993" s="10">
        <v>989</v>
      </c>
    </row>
    <row r="994" spans="1:8" s="3" customFormat="1">
      <c r="A994" s="13">
        <v>6</v>
      </c>
      <c r="B994" s="5" t="s">
        <v>89</v>
      </c>
      <c r="C994" s="6" t="str">
        <f>Gia_VLieu!C8</f>
        <v>Cái</v>
      </c>
      <c r="D994" s="66">
        <f>Gia_VLieu!D8</f>
        <v>8000</v>
      </c>
      <c r="E994" s="53">
        <v>20</v>
      </c>
      <c r="F994" s="16">
        <f t="shared" si="69"/>
        <v>160000</v>
      </c>
      <c r="H994" s="10">
        <v>990</v>
      </c>
    </row>
    <row r="995" spans="1:8" s="3" customFormat="1">
      <c r="A995" s="13">
        <v>7</v>
      </c>
      <c r="B995" s="5" t="s">
        <v>90</v>
      </c>
      <c r="C995" s="6" t="str">
        <f>Gia_VLieu!C9</f>
        <v>Cái</v>
      </c>
      <c r="D995" s="66">
        <f>Gia_VLieu!D9</f>
        <v>10000</v>
      </c>
      <c r="E995" s="53">
        <v>20</v>
      </c>
      <c r="F995" s="16">
        <f t="shared" si="69"/>
        <v>200000</v>
      </c>
      <c r="H995" s="10">
        <v>991</v>
      </c>
    </row>
    <row r="996" spans="1:8" s="3" customFormat="1">
      <c r="A996" s="13">
        <v>8</v>
      </c>
      <c r="B996" s="5" t="s">
        <v>91</v>
      </c>
      <c r="C996" s="6" t="str">
        <f>Gia_VLieu!C10</f>
        <v>Hộp</v>
      </c>
      <c r="D996" s="66">
        <f>Gia_VLieu!D10</f>
        <v>2500</v>
      </c>
      <c r="E996" s="53">
        <v>8</v>
      </c>
      <c r="F996" s="16">
        <f t="shared" si="69"/>
        <v>20000</v>
      </c>
      <c r="H996" s="10">
        <v>992</v>
      </c>
    </row>
    <row r="997" spans="1:8" s="3" customFormat="1">
      <c r="A997" s="13">
        <v>9</v>
      </c>
      <c r="B997" s="5" t="s">
        <v>92</v>
      </c>
      <c r="C997" s="6" t="str">
        <f>Gia_VLieu!C11</f>
        <v>Hộp</v>
      </c>
      <c r="D997" s="66">
        <f>Gia_VLieu!D11</f>
        <v>2000</v>
      </c>
      <c r="E997" s="53">
        <v>2</v>
      </c>
      <c r="F997" s="16">
        <f t="shared" si="69"/>
        <v>4000</v>
      </c>
      <c r="H997" s="10">
        <v>993</v>
      </c>
    </row>
    <row r="998" spans="1:8" s="3" customFormat="1">
      <c r="A998" s="13">
        <v>10</v>
      </c>
      <c r="B998" s="5" t="s">
        <v>93</v>
      </c>
      <c r="C998" s="6" t="str">
        <f>Gia_VLieu!C12</f>
        <v>Tập</v>
      </c>
      <c r="D998" s="66">
        <f>Gia_VLieu!D12</f>
        <v>8000</v>
      </c>
      <c r="E998" s="53">
        <v>5</v>
      </c>
      <c r="F998" s="16">
        <f t="shared" si="69"/>
        <v>40000</v>
      </c>
      <c r="H998" s="10">
        <v>994</v>
      </c>
    </row>
    <row r="999" spans="1:8" s="3" customFormat="1">
      <c r="A999" s="40">
        <v>11</v>
      </c>
      <c r="B999" s="41" t="s">
        <v>94</v>
      </c>
      <c r="C999" s="42" t="str">
        <f>Gia_VLieu!C13</f>
        <v>Cái</v>
      </c>
      <c r="D999" s="67">
        <f>Gia_VLieu!D13</f>
        <v>15000</v>
      </c>
      <c r="E999" s="54">
        <v>8</v>
      </c>
      <c r="F999" s="38">
        <f>D999*E999</f>
        <v>120000</v>
      </c>
      <c r="H999" s="10">
        <v>995</v>
      </c>
    </row>
    <row r="1000" spans="1:8" s="14" customFormat="1">
      <c r="A1000" s="12" t="e">
        <f>#REF!</f>
        <v>#REF!</v>
      </c>
      <c r="B1000" s="8" t="e">
        <f>#REF!</f>
        <v>#REF!</v>
      </c>
      <c r="C1000" s="7"/>
      <c r="D1000" s="72"/>
      <c r="E1000" s="48"/>
      <c r="F1000" s="17"/>
      <c r="H1000" s="10">
        <v>996</v>
      </c>
    </row>
    <row r="1001" spans="1:8" s="33" customFormat="1">
      <c r="A1001" s="31" t="e">
        <f>#REF!</f>
        <v>#REF!</v>
      </c>
      <c r="B1001" s="32" t="e">
        <f>#REF!</f>
        <v>#REF!</v>
      </c>
      <c r="C1001" s="15"/>
      <c r="D1001" s="127">
        <f>Gia_VLieu!D$14</f>
        <v>1.08</v>
      </c>
      <c r="E1001" s="45"/>
      <c r="F1001" s="18" t="e">
        <f>SUM(F1002:F1012)*D1001</f>
        <v>#REF!</v>
      </c>
      <c r="H1001" s="10">
        <v>997</v>
      </c>
    </row>
    <row r="1002" spans="1:8" s="3" customFormat="1">
      <c r="A1002" s="13">
        <v>1</v>
      </c>
      <c r="B1002" s="5" t="s">
        <v>85</v>
      </c>
      <c r="C1002" s="6" t="str">
        <f>Gia_VLieu!C4</f>
        <v>Gram</v>
      </c>
      <c r="D1002" s="66">
        <f>Gia_VLieu!D4</f>
        <v>45000</v>
      </c>
      <c r="E1002" s="53">
        <v>1</v>
      </c>
      <c r="F1002" s="16">
        <f>D1002*E1002</f>
        <v>45000</v>
      </c>
      <c r="H1002" s="10">
        <v>998</v>
      </c>
    </row>
    <row r="1003" spans="1:8" s="3" customFormat="1">
      <c r="A1003" s="13">
        <v>2</v>
      </c>
      <c r="B1003" s="5" t="s">
        <v>86</v>
      </c>
      <c r="C1003" s="6" t="str">
        <f>Gia_VLieu!C5</f>
        <v>Hộp</v>
      </c>
      <c r="D1003" s="66">
        <f>Gia_VLieu!D5</f>
        <v>1450000</v>
      </c>
      <c r="E1003" s="53">
        <v>0.02</v>
      </c>
      <c r="F1003" s="16">
        <f t="shared" ref="F1003:F1011" si="70">D1003*E1003</f>
        <v>29000</v>
      </c>
      <c r="H1003" s="10">
        <v>999</v>
      </c>
    </row>
    <row r="1004" spans="1:8" s="3" customFormat="1">
      <c r="A1004" s="13">
        <v>3</v>
      </c>
      <c r="B1004" s="5" t="s">
        <v>87</v>
      </c>
      <c r="C1004" s="6" t="e">
        <f>Gia_VLieu!#REF!</f>
        <v>#REF!</v>
      </c>
      <c r="D1004" s="66" t="e">
        <f>Gia_VLieu!#REF!</f>
        <v>#REF!</v>
      </c>
      <c r="E1004" s="53">
        <v>0.01</v>
      </c>
      <c r="F1004" s="16" t="e">
        <f t="shared" si="70"/>
        <v>#REF!</v>
      </c>
      <c r="H1004" s="10">
        <v>1000</v>
      </c>
    </row>
    <row r="1005" spans="1:8" s="3" customFormat="1">
      <c r="A1005" s="13">
        <v>4</v>
      </c>
      <c r="B1005" s="5" t="s">
        <v>88</v>
      </c>
      <c r="C1005" s="6" t="str">
        <f>Gia_VLieu!C6</f>
        <v>Quyển</v>
      </c>
      <c r="D1005" s="66">
        <f>Gia_VLieu!D6</f>
        <v>10000</v>
      </c>
      <c r="E1005" s="53">
        <v>6</v>
      </c>
      <c r="F1005" s="16">
        <f t="shared" si="70"/>
        <v>60000</v>
      </c>
      <c r="H1005" s="10">
        <v>1001</v>
      </c>
    </row>
    <row r="1006" spans="1:8" s="3" customFormat="1">
      <c r="A1006" s="13">
        <v>5</v>
      </c>
      <c r="B1006" s="5" t="s">
        <v>22</v>
      </c>
      <c r="C1006" s="6" t="str">
        <f>Gia_VLieu!C7</f>
        <v>Cái</v>
      </c>
      <c r="D1006" s="66">
        <f>Gia_VLieu!D7</f>
        <v>2000</v>
      </c>
      <c r="E1006" s="53">
        <v>26</v>
      </c>
      <c r="F1006" s="16">
        <f t="shared" si="70"/>
        <v>52000</v>
      </c>
      <c r="H1006" s="10">
        <v>1002</v>
      </c>
    </row>
    <row r="1007" spans="1:8" s="3" customFormat="1">
      <c r="A1007" s="13">
        <v>6</v>
      </c>
      <c r="B1007" s="5" t="s">
        <v>89</v>
      </c>
      <c r="C1007" s="6" t="str">
        <f>Gia_VLieu!C8</f>
        <v>Cái</v>
      </c>
      <c r="D1007" s="66">
        <f>Gia_VLieu!D8</f>
        <v>8000</v>
      </c>
      <c r="E1007" s="53">
        <v>2</v>
      </c>
      <c r="F1007" s="16">
        <f t="shared" si="70"/>
        <v>16000</v>
      </c>
      <c r="H1007" s="10">
        <v>1003</v>
      </c>
    </row>
    <row r="1008" spans="1:8" s="3" customFormat="1">
      <c r="A1008" s="13">
        <v>7</v>
      </c>
      <c r="B1008" s="5" t="s">
        <v>90</v>
      </c>
      <c r="C1008" s="6" t="str">
        <f>Gia_VLieu!C9</f>
        <v>Cái</v>
      </c>
      <c r="D1008" s="66">
        <f>Gia_VLieu!D9</f>
        <v>10000</v>
      </c>
      <c r="E1008" s="53">
        <v>2</v>
      </c>
      <c r="F1008" s="16">
        <f t="shared" si="70"/>
        <v>20000</v>
      </c>
      <c r="H1008" s="10">
        <v>1004</v>
      </c>
    </row>
    <row r="1009" spans="1:8" s="3" customFormat="1">
      <c r="A1009" s="13">
        <v>8</v>
      </c>
      <c r="B1009" s="5" t="s">
        <v>91</v>
      </c>
      <c r="C1009" s="6" t="str">
        <f>Gia_VLieu!C10</f>
        <v>Hộp</v>
      </c>
      <c r="D1009" s="66">
        <f>Gia_VLieu!D10</f>
        <v>2500</v>
      </c>
      <c r="E1009" s="53">
        <v>2</v>
      </c>
      <c r="F1009" s="16">
        <f t="shared" si="70"/>
        <v>5000</v>
      </c>
      <c r="H1009" s="10">
        <v>1005</v>
      </c>
    </row>
    <row r="1010" spans="1:8" s="3" customFormat="1">
      <c r="A1010" s="13">
        <v>9</v>
      </c>
      <c r="B1010" s="5" t="s">
        <v>92</v>
      </c>
      <c r="C1010" s="6" t="str">
        <f>Gia_VLieu!C11</f>
        <v>Hộp</v>
      </c>
      <c r="D1010" s="66">
        <f>Gia_VLieu!D11</f>
        <v>2000</v>
      </c>
      <c r="E1010" s="53">
        <v>2</v>
      </c>
      <c r="F1010" s="16">
        <f t="shared" si="70"/>
        <v>4000</v>
      </c>
      <c r="H1010" s="10">
        <v>1006</v>
      </c>
    </row>
    <row r="1011" spans="1:8" s="3" customFormat="1">
      <c r="A1011" s="13">
        <v>10</v>
      </c>
      <c r="B1011" s="5" t="s">
        <v>93</v>
      </c>
      <c r="C1011" s="6" t="str">
        <f>Gia_VLieu!C12</f>
        <v>Tập</v>
      </c>
      <c r="D1011" s="66">
        <f>Gia_VLieu!D12</f>
        <v>8000</v>
      </c>
      <c r="E1011" s="53">
        <v>4</v>
      </c>
      <c r="F1011" s="16">
        <f t="shared" si="70"/>
        <v>32000</v>
      </c>
      <c r="H1011" s="10">
        <v>1007</v>
      </c>
    </row>
    <row r="1012" spans="1:8" s="3" customFormat="1">
      <c r="A1012" s="40">
        <v>11</v>
      </c>
      <c r="B1012" s="41" t="s">
        <v>94</v>
      </c>
      <c r="C1012" s="42" t="str">
        <f>Gia_VLieu!C13</f>
        <v>Cái</v>
      </c>
      <c r="D1012" s="67">
        <f>Gia_VLieu!D13</f>
        <v>15000</v>
      </c>
      <c r="E1012" s="54">
        <v>3</v>
      </c>
      <c r="F1012" s="38">
        <f>D1012*E1012</f>
        <v>45000</v>
      </c>
      <c r="H1012" s="10">
        <v>1008</v>
      </c>
    </row>
    <row r="1013" spans="1:8" s="33" customFormat="1">
      <c r="A1013" s="31" t="e">
        <f>#REF!</f>
        <v>#REF!</v>
      </c>
      <c r="B1013" s="32" t="e">
        <f>#REF!</f>
        <v>#REF!</v>
      </c>
      <c r="C1013" s="15"/>
      <c r="D1013" s="127">
        <f>Gia_VLieu!D$14</f>
        <v>1.08</v>
      </c>
      <c r="E1013" s="45"/>
      <c r="F1013" s="18" t="e">
        <f>SUM(F1014:F1024)*D1013</f>
        <v>#REF!</v>
      </c>
      <c r="H1013" s="10">
        <v>1009</v>
      </c>
    </row>
    <row r="1014" spans="1:8" s="3" customFormat="1">
      <c r="A1014" s="13">
        <v>1</v>
      </c>
      <c r="B1014" s="5" t="s">
        <v>85</v>
      </c>
      <c r="C1014" s="6" t="str">
        <f>Gia_VLieu!C4</f>
        <v>Gram</v>
      </c>
      <c r="D1014" s="66">
        <f>Gia_VLieu!D4</f>
        <v>45000</v>
      </c>
      <c r="E1014" s="53">
        <v>1</v>
      </c>
      <c r="F1014" s="16">
        <f>D1014*E1014</f>
        <v>45000</v>
      </c>
      <c r="H1014" s="10">
        <v>1010</v>
      </c>
    </row>
    <row r="1015" spans="1:8" s="3" customFormat="1">
      <c r="A1015" s="13">
        <v>2</v>
      </c>
      <c r="B1015" s="5" t="s">
        <v>86</v>
      </c>
      <c r="C1015" s="6" t="str">
        <f>Gia_VLieu!C5</f>
        <v>Hộp</v>
      </c>
      <c r="D1015" s="66">
        <f>Gia_VLieu!D5</f>
        <v>1450000</v>
      </c>
      <c r="E1015" s="53">
        <v>0.02</v>
      </c>
      <c r="F1015" s="16">
        <f t="shared" ref="F1015:F1023" si="71">D1015*E1015</f>
        <v>29000</v>
      </c>
      <c r="H1015" s="10">
        <v>1011</v>
      </c>
    </row>
    <row r="1016" spans="1:8" s="3" customFormat="1">
      <c r="A1016" s="13">
        <v>3</v>
      </c>
      <c r="B1016" s="5" t="s">
        <v>87</v>
      </c>
      <c r="C1016" s="6" t="e">
        <f>Gia_VLieu!#REF!</f>
        <v>#REF!</v>
      </c>
      <c r="D1016" s="66" t="e">
        <f>Gia_VLieu!#REF!</f>
        <v>#REF!</v>
      </c>
      <c r="E1016" s="53">
        <v>0.01</v>
      </c>
      <c r="F1016" s="16" t="e">
        <f t="shared" si="71"/>
        <v>#REF!</v>
      </c>
      <c r="H1016" s="10">
        <v>1012</v>
      </c>
    </row>
    <row r="1017" spans="1:8" s="3" customFormat="1">
      <c r="A1017" s="13">
        <v>4</v>
      </c>
      <c r="B1017" s="5" t="s">
        <v>88</v>
      </c>
      <c r="C1017" s="6" t="str">
        <f>Gia_VLieu!C6</f>
        <v>Quyển</v>
      </c>
      <c r="D1017" s="66">
        <f>Gia_VLieu!D6</f>
        <v>10000</v>
      </c>
      <c r="E1017" s="53">
        <v>6</v>
      </c>
      <c r="F1017" s="16">
        <f t="shared" si="71"/>
        <v>60000</v>
      </c>
      <c r="H1017" s="10">
        <v>1013</v>
      </c>
    </row>
    <row r="1018" spans="1:8" s="3" customFormat="1">
      <c r="A1018" s="13">
        <v>5</v>
      </c>
      <c r="B1018" s="5" t="s">
        <v>22</v>
      </c>
      <c r="C1018" s="6" t="str">
        <f>Gia_VLieu!C7</f>
        <v>Cái</v>
      </c>
      <c r="D1018" s="66">
        <f>Gia_VLieu!D7</f>
        <v>2000</v>
      </c>
      <c r="E1018" s="53">
        <v>26</v>
      </c>
      <c r="F1018" s="16">
        <f t="shared" si="71"/>
        <v>52000</v>
      </c>
      <c r="H1018" s="10">
        <v>1014</v>
      </c>
    </row>
    <row r="1019" spans="1:8" s="3" customFormat="1">
      <c r="A1019" s="13">
        <v>6</v>
      </c>
      <c r="B1019" s="5" t="s">
        <v>89</v>
      </c>
      <c r="C1019" s="6" t="str">
        <f>Gia_VLieu!C8</f>
        <v>Cái</v>
      </c>
      <c r="D1019" s="66">
        <f>Gia_VLieu!D8</f>
        <v>8000</v>
      </c>
      <c r="E1019" s="53">
        <v>2</v>
      </c>
      <c r="F1019" s="16">
        <f t="shared" si="71"/>
        <v>16000</v>
      </c>
      <c r="H1019" s="10">
        <v>1015</v>
      </c>
    </row>
    <row r="1020" spans="1:8" s="3" customFormat="1">
      <c r="A1020" s="13">
        <v>7</v>
      </c>
      <c r="B1020" s="5" t="s">
        <v>90</v>
      </c>
      <c r="C1020" s="6" t="str">
        <f>Gia_VLieu!C9</f>
        <v>Cái</v>
      </c>
      <c r="D1020" s="66">
        <f>Gia_VLieu!D9</f>
        <v>10000</v>
      </c>
      <c r="E1020" s="53">
        <v>2</v>
      </c>
      <c r="F1020" s="16">
        <f t="shared" si="71"/>
        <v>20000</v>
      </c>
      <c r="H1020" s="10">
        <v>1016</v>
      </c>
    </row>
    <row r="1021" spans="1:8" s="3" customFormat="1">
      <c r="A1021" s="13">
        <v>8</v>
      </c>
      <c r="B1021" s="5" t="s">
        <v>91</v>
      </c>
      <c r="C1021" s="6" t="str">
        <f>Gia_VLieu!C10</f>
        <v>Hộp</v>
      </c>
      <c r="D1021" s="66">
        <f>Gia_VLieu!D10</f>
        <v>2500</v>
      </c>
      <c r="E1021" s="53">
        <v>2</v>
      </c>
      <c r="F1021" s="16">
        <f t="shared" si="71"/>
        <v>5000</v>
      </c>
      <c r="H1021" s="10">
        <v>1017</v>
      </c>
    </row>
    <row r="1022" spans="1:8" s="3" customFormat="1">
      <c r="A1022" s="13">
        <v>9</v>
      </c>
      <c r="B1022" s="5" t="s">
        <v>92</v>
      </c>
      <c r="C1022" s="6" t="str">
        <f>Gia_VLieu!C11</f>
        <v>Hộp</v>
      </c>
      <c r="D1022" s="66">
        <f>Gia_VLieu!D11</f>
        <v>2000</v>
      </c>
      <c r="E1022" s="53">
        <v>2</v>
      </c>
      <c r="F1022" s="16">
        <f t="shared" si="71"/>
        <v>4000</v>
      </c>
      <c r="H1022" s="10">
        <v>1018</v>
      </c>
    </row>
    <row r="1023" spans="1:8" s="3" customFormat="1">
      <c r="A1023" s="13">
        <v>10</v>
      </c>
      <c r="B1023" s="5" t="s">
        <v>93</v>
      </c>
      <c r="C1023" s="6" t="str">
        <f>Gia_VLieu!C12</f>
        <v>Tập</v>
      </c>
      <c r="D1023" s="66">
        <f>Gia_VLieu!D12</f>
        <v>8000</v>
      </c>
      <c r="E1023" s="53">
        <v>4</v>
      </c>
      <c r="F1023" s="16">
        <f t="shared" si="71"/>
        <v>32000</v>
      </c>
      <c r="H1023" s="10">
        <v>1019</v>
      </c>
    </row>
    <row r="1024" spans="1:8" s="3" customFormat="1">
      <c r="A1024" s="40">
        <v>11</v>
      </c>
      <c r="B1024" s="41" t="s">
        <v>94</v>
      </c>
      <c r="C1024" s="42" t="str">
        <f>Gia_VLieu!C13</f>
        <v>Cái</v>
      </c>
      <c r="D1024" s="67">
        <f>Gia_VLieu!D13</f>
        <v>15000</v>
      </c>
      <c r="E1024" s="54">
        <v>3</v>
      </c>
      <c r="F1024" s="38">
        <f>D1024*E1024</f>
        <v>45000</v>
      </c>
      <c r="H1024" s="10">
        <v>1020</v>
      </c>
    </row>
    <row r="1025" spans="1:8" s="33" customFormat="1">
      <c r="A1025" s="31" t="e">
        <f>#REF!</f>
        <v>#REF!</v>
      </c>
      <c r="B1025" s="32" t="e">
        <f>#REF!</f>
        <v>#REF!</v>
      </c>
      <c r="C1025" s="15"/>
      <c r="D1025" s="127">
        <f>Gia_VLieu!D$14</f>
        <v>1.08</v>
      </c>
      <c r="E1025" s="45"/>
      <c r="F1025" s="18" t="e">
        <f>SUM(F1026:F1036)*D1025</f>
        <v>#REF!</v>
      </c>
      <c r="H1025" s="10">
        <v>1021</v>
      </c>
    </row>
    <row r="1026" spans="1:8" s="3" customFormat="1">
      <c r="A1026" s="13">
        <v>1</v>
      </c>
      <c r="B1026" s="5" t="s">
        <v>85</v>
      </c>
      <c r="C1026" s="6" t="str">
        <f>Gia_VLieu!C4</f>
        <v>Gram</v>
      </c>
      <c r="D1026" s="66">
        <f>Gia_VLieu!D4</f>
        <v>45000</v>
      </c>
      <c r="E1026" s="53">
        <v>1</v>
      </c>
      <c r="F1026" s="16">
        <f>D1026*E1026</f>
        <v>45000</v>
      </c>
      <c r="H1026" s="10">
        <v>1022</v>
      </c>
    </row>
    <row r="1027" spans="1:8" s="3" customFormat="1">
      <c r="A1027" s="13">
        <v>2</v>
      </c>
      <c r="B1027" s="5" t="s">
        <v>86</v>
      </c>
      <c r="C1027" s="6" t="str">
        <f>Gia_VLieu!C5</f>
        <v>Hộp</v>
      </c>
      <c r="D1027" s="66">
        <f>Gia_VLieu!D5</f>
        <v>1450000</v>
      </c>
      <c r="E1027" s="53">
        <v>0.02</v>
      </c>
      <c r="F1027" s="16">
        <f t="shared" ref="F1027:F1035" si="72">D1027*E1027</f>
        <v>29000</v>
      </c>
      <c r="H1027" s="10">
        <v>1023</v>
      </c>
    </row>
    <row r="1028" spans="1:8" s="3" customFormat="1">
      <c r="A1028" s="13">
        <v>3</v>
      </c>
      <c r="B1028" s="5" t="s">
        <v>87</v>
      </c>
      <c r="C1028" s="6" t="e">
        <f>Gia_VLieu!#REF!</f>
        <v>#REF!</v>
      </c>
      <c r="D1028" s="66" t="e">
        <f>Gia_VLieu!#REF!</f>
        <v>#REF!</v>
      </c>
      <c r="E1028" s="53">
        <v>0.01</v>
      </c>
      <c r="F1028" s="16" t="e">
        <f t="shared" si="72"/>
        <v>#REF!</v>
      </c>
      <c r="H1028" s="10">
        <v>1024</v>
      </c>
    </row>
    <row r="1029" spans="1:8" s="3" customFormat="1">
      <c r="A1029" s="13">
        <v>4</v>
      </c>
      <c r="B1029" s="5" t="s">
        <v>88</v>
      </c>
      <c r="C1029" s="6" t="str">
        <f>Gia_VLieu!C6</f>
        <v>Quyển</v>
      </c>
      <c r="D1029" s="66">
        <f>Gia_VLieu!D6</f>
        <v>10000</v>
      </c>
      <c r="E1029" s="53">
        <v>6</v>
      </c>
      <c r="F1029" s="16">
        <f t="shared" si="72"/>
        <v>60000</v>
      </c>
      <c r="H1029" s="10">
        <v>1025</v>
      </c>
    </row>
    <row r="1030" spans="1:8" s="3" customFormat="1">
      <c r="A1030" s="13">
        <v>5</v>
      </c>
      <c r="B1030" s="5" t="s">
        <v>22</v>
      </c>
      <c r="C1030" s="6" t="str">
        <f>Gia_VLieu!C7</f>
        <v>Cái</v>
      </c>
      <c r="D1030" s="66">
        <f>Gia_VLieu!D7</f>
        <v>2000</v>
      </c>
      <c r="E1030" s="53">
        <v>26</v>
      </c>
      <c r="F1030" s="16">
        <f t="shared" si="72"/>
        <v>52000</v>
      </c>
      <c r="H1030" s="10">
        <v>1026</v>
      </c>
    </row>
    <row r="1031" spans="1:8" s="3" customFormat="1">
      <c r="A1031" s="13">
        <v>6</v>
      </c>
      <c r="B1031" s="5" t="s">
        <v>89</v>
      </c>
      <c r="C1031" s="6" t="str">
        <f>Gia_VLieu!C8</f>
        <v>Cái</v>
      </c>
      <c r="D1031" s="66">
        <f>Gia_VLieu!D8</f>
        <v>8000</v>
      </c>
      <c r="E1031" s="53">
        <v>2</v>
      </c>
      <c r="F1031" s="16">
        <f t="shared" si="72"/>
        <v>16000</v>
      </c>
      <c r="H1031" s="10">
        <v>1027</v>
      </c>
    </row>
    <row r="1032" spans="1:8" s="3" customFormat="1">
      <c r="A1032" s="13">
        <v>7</v>
      </c>
      <c r="B1032" s="5" t="s">
        <v>90</v>
      </c>
      <c r="C1032" s="6" t="str">
        <f>Gia_VLieu!C9</f>
        <v>Cái</v>
      </c>
      <c r="D1032" s="66">
        <f>Gia_VLieu!D9</f>
        <v>10000</v>
      </c>
      <c r="E1032" s="53">
        <v>2</v>
      </c>
      <c r="F1032" s="16">
        <f t="shared" si="72"/>
        <v>20000</v>
      </c>
      <c r="H1032" s="10">
        <v>1028</v>
      </c>
    </row>
    <row r="1033" spans="1:8" s="3" customFormat="1">
      <c r="A1033" s="13">
        <v>8</v>
      </c>
      <c r="B1033" s="5" t="s">
        <v>91</v>
      </c>
      <c r="C1033" s="6" t="str">
        <f>Gia_VLieu!C10</f>
        <v>Hộp</v>
      </c>
      <c r="D1033" s="66">
        <f>Gia_VLieu!D10</f>
        <v>2500</v>
      </c>
      <c r="E1033" s="53">
        <v>2</v>
      </c>
      <c r="F1033" s="16">
        <f t="shared" si="72"/>
        <v>5000</v>
      </c>
      <c r="H1033" s="10">
        <v>1029</v>
      </c>
    </row>
    <row r="1034" spans="1:8" s="3" customFormat="1">
      <c r="A1034" s="13">
        <v>9</v>
      </c>
      <c r="B1034" s="5" t="s">
        <v>92</v>
      </c>
      <c r="C1034" s="6" t="str">
        <f>Gia_VLieu!C11</f>
        <v>Hộp</v>
      </c>
      <c r="D1034" s="66">
        <f>Gia_VLieu!D11</f>
        <v>2000</v>
      </c>
      <c r="E1034" s="53">
        <v>2</v>
      </c>
      <c r="F1034" s="16">
        <f t="shared" si="72"/>
        <v>4000</v>
      </c>
      <c r="H1034" s="10">
        <v>1030</v>
      </c>
    </row>
    <row r="1035" spans="1:8" s="3" customFormat="1">
      <c r="A1035" s="13">
        <v>10</v>
      </c>
      <c r="B1035" s="5" t="s">
        <v>93</v>
      </c>
      <c r="C1035" s="6" t="str">
        <f>Gia_VLieu!C12</f>
        <v>Tập</v>
      </c>
      <c r="D1035" s="66">
        <f>Gia_VLieu!D12</f>
        <v>8000</v>
      </c>
      <c r="E1035" s="53">
        <v>4</v>
      </c>
      <c r="F1035" s="16">
        <f t="shared" si="72"/>
        <v>32000</v>
      </c>
      <c r="H1035" s="10">
        <v>1031</v>
      </c>
    </row>
    <row r="1036" spans="1:8" s="3" customFormat="1">
      <c r="A1036" s="40">
        <v>11</v>
      </c>
      <c r="B1036" s="41" t="s">
        <v>94</v>
      </c>
      <c r="C1036" s="42" t="str">
        <f>Gia_VLieu!C13</f>
        <v>Cái</v>
      </c>
      <c r="D1036" s="67">
        <f>Gia_VLieu!D13</f>
        <v>15000</v>
      </c>
      <c r="E1036" s="54">
        <v>3</v>
      </c>
      <c r="F1036" s="38">
        <f>D1036*E1036</f>
        <v>45000</v>
      </c>
      <c r="H1036" s="10">
        <v>1032</v>
      </c>
    </row>
    <row r="1037" spans="1:8" s="33" customFormat="1">
      <c r="A1037" s="31" t="e">
        <f>#REF!</f>
        <v>#REF!</v>
      </c>
      <c r="B1037" s="32" t="e">
        <f>#REF!</f>
        <v>#REF!</v>
      </c>
      <c r="C1037" s="15"/>
      <c r="D1037" s="127">
        <f>Gia_VLieu!D$14</f>
        <v>1.08</v>
      </c>
      <c r="E1037" s="45"/>
      <c r="F1037" s="18" t="e">
        <f>SUM(F1038:F1048)*D1037</f>
        <v>#REF!</v>
      </c>
      <c r="H1037" s="10">
        <v>1033</v>
      </c>
    </row>
    <row r="1038" spans="1:8" s="3" customFormat="1">
      <c r="A1038" s="13">
        <v>1</v>
      </c>
      <c r="B1038" s="5" t="s">
        <v>85</v>
      </c>
      <c r="C1038" s="6" t="str">
        <f>Gia_VLieu!C4</f>
        <v>Gram</v>
      </c>
      <c r="D1038" s="66">
        <f>Gia_VLieu!D4</f>
        <v>45000</v>
      </c>
      <c r="E1038" s="53">
        <v>1</v>
      </c>
      <c r="F1038" s="16">
        <f>D1038*E1038</f>
        <v>45000</v>
      </c>
      <c r="H1038" s="10">
        <v>1034</v>
      </c>
    </row>
    <row r="1039" spans="1:8" s="3" customFormat="1">
      <c r="A1039" s="13">
        <v>2</v>
      </c>
      <c r="B1039" s="5" t="s">
        <v>86</v>
      </c>
      <c r="C1039" s="6" t="str">
        <f>Gia_VLieu!C5</f>
        <v>Hộp</v>
      </c>
      <c r="D1039" s="66">
        <f>Gia_VLieu!D5</f>
        <v>1450000</v>
      </c>
      <c r="E1039" s="53">
        <v>0.02</v>
      </c>
      <c r="F1039" s="16">
        <f t="shared" ref="F1039:F1047" si="73">D1039*E1039</f>
        <v>29000</v>
      </c>
      <c r="H1039" s="10">
        <v>1035</v>
      </c>
    </row>
    <row r="1040" spans="1:8" s="3" customFormat="1">
      <c r="A1040" s="13">
        <v>3</v>
      </c>
      <c r="B1040" s="5" t="s">
        <v>87</v>
      </c>
      <c r="C1040" s="6" t="e">
        <f>Gia_VLieu!#REF!</f>
        <v>#REF!</v>
      </c>
      <c r="D1040" s="66" t="e">
        <f>Gia_VLieu!#REF!</f>
        <v>#REF!</v>
      </c>
      <c r="E1040" s="53">
        <v>0.01</v>
      </c>
      <c r="F1040" s="16" t="e">
        <f t="shared" si="73"/>
        <v>#REF!</v>
      </c>
      <c r="H1040" s="10">
        <v>1036</v>
      </c>
    </row>
    <row r="1041" spans="1:8" s="3" customFormat="1">
      <c r="A1041" s="13">
        <v>4</v>
      </c>
      <c r="B1041" s="5" t="s">
        <v>88</v>
      </c>
      <c r="C1041" s="6" t="str">
        <f>Gia_VLieu!C6</f>
        <v>Quyển</v>
      </c>
      <c r="D1041" s="66">
        <f>Gia_VLieu!D6</f>
        <v>10000</v>
      </c>
      <c r="E1041" s="53">
        <v>6</v>
      </c>
      <c r="F1041" s="16">
        <f t="shared" si="73"/>
        <v>60000</v>
      </c>
      <c r="H1041" s="10">
        <v>1037</v>
      </c>
    </row>
    <row r="1042" spans="1:8" s="3" customFormat="1">
      <c r="A1042" s="13">
        <v>5</v>
      </c>
      <c r="B1042" s="5" t="s">
        <v>22</v>
      </c>
      <c r="C1042" s="6" t="str">
        <f>Gia_VLieu!C7</f>
        <v>Cái</v>
      </c>
      <c r="D1042" s="66">
        <f>Gia_VLieu!D7</f>
        <v>2000</v>
      </c>
      <c r="E1042" s="53">
        <v>26</v>
      </c>
      <c r="F1042" s="16">
        <f t="shared" si="73"/>
        <v>52000</v>
      </c>
      <c r="H1042" s="10">
        <v>1038</v>
      </c>
    </row>
    <row r="1043" spans="1:8" s="3" customFormat="1">
      <c r="A1043" s="13">
        <v>6</v>
      </c>
      <c r="B1043" s="5" t="s">
        <v>89</v>
      </c>
      <c r="C1043" s="6" t="str">
        <f>Gia_VLieu!C8</f>
        <v>Cái</v>
      </c>
      <c r="D1043" s="66">
        <f>Gia_VLieu!D8</f>
        <v>8000</v>
      </c>
      <c r="E1043" s="53">
        <v>2</v>
      </c>
      <c r="F1043" s="16">
        <f t="shared" si="73"/>
        <v>16000</v>
      </c>
      <c r="H1043" s="10">
        <v>1039</v>
      </c>
    </row>
    <row r="1044" spans="1:8" s="3" customFormat="1">
      <c r="A1044" s="13">
        <v>7</v>
      </c>
      <c r="B1044" s="5" t="s">
        <v>90</v>
      </c>
      <c r="C1044" s="6" t="str">
        <f>Gia_VLieu!C9</f>
        <v>Cái</v>
      </c>
      <c r="D1044" s="66">
        <f>Gia_VLieu!D9</f>
        <v>10000</v>
      </c>
      <c r="E1044" s="53">
        <v>2</v>
      </c>
      <c r="F1044" s="16">
        <f t="shared" si="73"/>
        <v>20000</v>
      </c>
      <c r="H1044" s="10">
        <v>1040</v>
      </c>
    </row>
    <row r="1045" spans="1:8" s="3" customFormat="1">
      <c r="A1045" s="13">
        <v>8</v>
      </c>
      <c r="B1045" s="5" t="s">
        <v>91</v>
      </c>
      <c r="C1045" s="6" t="str">
        <f>Gia_VLieu!C10</f>
        <v>Hộp</v>
      </c>
      <c r="D1045" s="66">
        <f>Gia_VLieu!D10</f>
        <v>2500</v>
      </c>
      <c r="E1045" s="53">
        <v>2</v>
      </c>
      <c r="F1045" s="16">
        <f t="shared" si="73"/>
        <v>5000</v>
      </c>
      <c r="H1045" s="10">
        <v>1041</v>
      </c>
    </row>
    <row r="1046" spans="1:8" s="3" customFormat="1">
      <c r="A1046" s="13">
        <v>9</v>
      </c>
      <c r="B1046" s="5" t="s">
        <v>92</v>
      </c>
      <c r="C1046" s="6" t="str">
        <f>Gia_VLieu!C11</f>
        <v>Hộp</v>
      </c>
      <c r="D1046" s="66">
        <f>Gia_VLieu!D11</f>
        <v>2000</v>
      </c>
      <c r="E1046" s="53">
        <v>2</v>
      </c>
      <c r="F1046" s="16">
        <f t="shared" si="73"/>
        <v>4000</v>
      </c>
      <c r="H1046" s="10">
        <v>1042</v>
      </c>
    </row>
    <row r="1047" spans="1:8" s="3" customFormat="1">
      <c r="A1047" s="13">
        <v>10</v>
      </c>
      <c r="B1047" s="5" t="s">
        <v>93</v>
      </c>
      <c r="C1047" s="6" t="str">
        <f>Gia_VLieu!C12</f>
        <v>Tập</v>
      </c>
      <c r="D1047" s="66">
        <f>Gia_VLieu!D12</f>
        <v>8000</v>
      </c>
      <c r="E1047" s="53">
        <v>4</v>
      </c>
      <c r="F1047" s="16">
        <f t="shared" si="73"/>
        <v>32000</v>
      </c>
      <c r="H1047" s="10">
        <v>1043</v>
      </c>
    </row>
    <row r="1048" spans="1:8" s="3" customFormat="1">
      <c r="A1048" s="40">
        <v>11</v>
      </c>
      <c r="B1048" s="41" t="s">
        <v>94</v>
      </c>
      <c r="C1048" s="42" t="str">
        <f>Gia_VLieu!C13</f>
        <v>Cái</v>
      </c>
      <c r="D1048" s="67">
        <f>Gia_VLieu!D13</f>
        <v>15000</v>
      </c>
      <c r="E1048" s="54">
        <v>3</v>
      </c>
      <c r="F1048" s="38">
        <f>D1048*E1048</f>
        <v>45000</v>
      </c>
      <c r="H1048" s="10">
        <v>1044</v>
      </c>
    </row>
    <row r="1049" spans="1:8" s="33" customFormat="1">
      <c r="A1049" s="31" t="e">
        <f>#REF!</f>
        <v>#REF!</v>
      </c>
      <c r="B1049" s="32" t="e">
        <f>#REF!</f>
        <v>#REF!</v>
      </c>
      <c r="C1049" s="15"/>
      <c r="D1049" s="127">
        <f>Gia_VLieu!D$14</f>
        <v>1.08</v>
      </c>
      <c r="E1049" s="45"/>
      <c r="F1049" s="18" t="e">
        <f>SUM(F1050:F1060)*D1049</f>
        <v>#REF!</v>
      </c>
      <c r="H1049" s="10">
        <v>1045</v>
      </c>
    </row>
    <row r="1050" spans="1:8" s="3" customFormat="1">
      <c r="A1050" s="13">
        <v>1</v>
      </c>
      <c r="B1050" s="5" t="s">
        <v>85</v>
      </c>
      <c r="C1050" s="6" t="str">
        <f>Gia_VLieu!C4</f>
        <v>Gram</v>
      </c>
      <c r="D1050" s="66">
        <f>Gia_VLieu!D4</f>
        <v>45000</v>
      </c>
      <c r="E1050" s="53">
        <v>2</v>
      </c>
      <c r="F1050" s="16">
        <f>D1050*E1050</f>
        <v>90000</v>
      </c>
      <c r="H1050" s="10">
        <v>1046</v>
      </c>
    </row>
    <row r="1051" spans="1:8" s="3" customFormat="1">
      <c r="A1051" s="13">
        <v>2</v>
      </c>
      <c r="B1051" s="5" t="s">
        <v>86</v>
      </c>
      <c r="C1051" s="6" t="str">
        <f>Gia_VLieu!C5</f>
        <v>Hộp</v>
      </c>
      <c r="D1051" s="66">
        <f>Gia_VLieu!D5</f>
        <v>1450000</v>
      </c>
      <c r="E1051" s="53">
        <v>0.12</v>
      </c>
      <c r="F1051" s="16">
        <f t="shared" ref="F1051:F1059" si="74">D1051*E1051</f>
        <v>174000</v>
      </c>
      <c r="H1051" s="10">
        <v>1047</v>
      </c>
    </row>
    <row r="1052" spans="1:8" s="3" customFormat="1">
      <c r="A1052" s="13">
        <v>3</v>
      </c>
      <c r="B1052" s="5" t="s">
        <v>87</v>
      </c>
      <c r="C1052" s="6" t="e">
        <f>Gia_VLieu!#REF!</f>
        <v>#REF!</v>
      </c>
      <c r="D1052" s="66" t="e">
        <f>Gia_VLieu!#REF!</f>
        <v>#REF!</v>
      </c>
      <c r="E1052" s="53">
        <v>0.06</v>
      </c>
      <c r="F1052" s="16" t="e">
        <f t="shared" si="74"/>
        <v>#REF!</v>
      </c>
      <c r="H1052" s="10">
        <v>1048</v>
      </c>
    </row>
    <row r="1053" spans="1:8" s="3" customFormat="1">
      <c r="A1053" s="13">
        <v>4</v>
      </c>
      <c r="B1053" s="5" t="s">
        <v>88</v>
      </c>
      <c r="C1053" s="6" t="str">
        <f>Gia_VLieu!C6</f>
        <v>Quyển</v>
      </c>
      <c r="D1053" s="66">
        <f>Gia_VLieu!D6</f>
        <v>10000</v>
      </c>
      <c r="E1053" s="53">
        <v>6</v>
      </c>
      <c r="F1053" s="16">
        <f t="shared" si="74"/>
        <v>60000</v>
      </c>
      <c r="H1053" s="10">
        <v>1049</v>
      </c>
    </row>
    <row r="1054" spans="1:8" s="3" customFormat="1">
      <c r="A1054" s="13">
        <v>5</v>
      </c>
      <c r="B1054" s="5" t="s">
        <v>22</v>
      </c>
      <c r="C1054" s="6" t="str">
        <f>Gia_VLieu!C7</f>
        <v>Cái</v>
      </c>
      <c r="D1054" s="66">
        <f>Gia_VLieu!D7</f>
        <v>2000</v>
      </c>
      <c r="E1054" s="53">
        <v>30</v>
      </c>
      <c r="F1054" s="16">
        <f t="shared" si="74"/>
        <v>60000</v>
      </c>
      <c r="H1054" s="10">
        <v>1050</v>
      </c>
    </row>
    <row r="1055" spans="1:8" s="3" customFormat="1">
      <c r="A1055" s="13">
        <v>6</v>
      </c>
      <c r="B1055" s="5" t="s">
        <v>89</v>
      </c>
      <c r="C1055" s="6" t="str">
        <f>Gia_VLieu!C8</f>
        <v>Cái</v>
      </c>
      <c r="D1055" s="66">
        <f>Gia_VLieu!D8</f>
        <v>8000</v>
      </c>
      <c r="E1055" s="53">
        <v>4</v>
      </c>
      <c r="F1055" s="16">
        <f t="shared" si="74"/>
        <v>32000</v>
      </c>
      <c r="H1055" s="10">
        <v>1051</v>
      </c>
    </row>
    <row r="1056" spans="1:8" s="3" customFormat="1">
      <c r="A1056" s="13">
        <v>7</v>
      </c>
      <c r="B1056" s="5" t="s">
        <v>90</v>
      </c>
      <c r="C1056" s="6" t="str">
        <f>Gia_VLieu!C9</f>
        <v>Cái</v>
      </c>
      <c r="D1056" s="66">
        <f>Gia_VLieu!D9</f>
        <v>10000</v>
      </c>
      <c r="E1056" s="53">
        <v>4</v>
      </c>
      <c r="F1056" s="16">
        <f t="shared" si="74"/>
        <v>40000</v>
      </c>
      <c r="H1056" s="10">
        <v>1052</v>
      </c>
    </row>
    <row r="1057" spans="1:8" s="3" customFormat="1">
      <c r="A1057" s="13">
        <v>8</v>
      </c>
      <c r="B1057" s="5" t="s">
        <v>91</v>
      </c>
      <c r="C1057" s="6" t="str">
        <f>Gia_VLieu!C10</f>
        <v>Hộp</v>
      </c>
      <c r="D1057" s="66">
        <f>Gia_VLieu!D10</f>
        <v>2500</v>
      </c>
      <c r="E1057" s="53">
        <v>2</v>
      </c>
      <c r="F1057" s="16">
        <f t="shared" si="74"/>
        <v>5000</v>
      </c>
      <c r="H1057" s="10">
        <v>1053</v>
      </c>
    </row>
    <row r="1058" spans="1:8" s="3" customFormat="1">
      <c r="A1058" s="13">
        <v>9</v>
      </c>
      <c r="B1058" s="5" t="s">
        <v>92</v>
      </c>
      <c r="C1058" s="6" t="str">
        <f>Gia_VLieu!C11</f>
        <v>Hộp</v>
      </c>
      <c r="D1058" s="66">
        <f>Gia_VLieu!D11</f>
        <v>2000</v>
      </c>
      <c r="E1058" s="53">
        <v>4</v>
      </c>
      <c r="F1058" s="16">
        <f t="shared" si="74"/>
        <v>8000</v>
      </c>
      <c r="H1058" s="10">
        <v>1054</v>
      </c>
    </row>
    <row r="1059" spans="1:8" s="3" customFormat="1">
      <c r="A1059" s="13">
        <v>10</v>
      </c>
      <c r="B1059" s="5" t="s">
        <v>93</v>
      </c>
      <c r="C1059" s="6" t="str">
        <f>Gia_VLieu!C12</f>
        <v>Tập</v>
      </c>
      <c r="D1059" s="66">
        <f>Gia_VLieu!D12</f>
        <v>8000</v>
      </c>
      <c r="E1059" s="53">
        <v>5</v>
      </c>
      <c r="F1059" s="16">
        <f t="shared" si="74"/>
        <v>40000</v>
      </c>
      <c r="H1059" s="10">
        <v>1055</v>
      </c>
    </row>
    <row r="1060" spans="1:8" s="3" customFormat="1">
      <c r="A1060" s="40">
        <v>11</v>
      </c>
      <c r="B1060" s="41" t="s">
        <v>94</v>
      </c>
      <c r="C1060" s="42" t="str">
        <f>Gia_VLieu!C13</f>
        <v>Cái</v>
      </c>
      <c r="D1060" s="67">
        <f>Gia_VLieu!D13</f>
        <v>15000</v>
      </c>
      <c r="E1060" s="54">
        <v>4</v>
      </c>
      <c r="F1060" s="38">
        <f>D1060*E1060</f>
        <v>60000</v>
      </c>
      <c r="H1060" s="10">
        <v>1056</v>
      </c>
    </row>
    <row r="1061" spans="1:8" s="14" customFormat="1">
      <c r="A1061" s="12" t="e">
        <f>#REF!</f>
        <v>#REF!</v>
      </c>
      <c r="B1061" s="8" t="e">
        <f>#REF!</f>
        <v>#REF!</v>
      </c>
      <c r="C1061" s="7"/>
      <c r="D1061" s="72"/>
      <c r="E1061" s="48"/>
      <c r="F1061" s="17"/>
      <c r="H1061" s="10">
        <v>1057</v>
      </c>
    </row>
    <row r="1062" spans="1:8" s="33" customFormat="1">
      <c r="A1062" s="31" t="e">
        <f>#REF!</f>
        <v>#REF!</v>
      </c>
      <c r="B1062" s="32" t="e">
        <f>#REF!</f>
        <v>#REF!</v>
      </c>
      <c r="C1062" s="15"/>
      <c r="D1062" s="127">
        <f>Gia_VLieu!D$14</f>
        <v>1.08</v>
      </c>
      <c r="E1062" s="45"/>
      <c r="F1062" s="18" t="e">
        <f>SUM(F1063:F1073)*D1062</f>
        <v>#REF!</v>
      </c>
      <c r="H1062" s="10">
        <v>1058</v>
      </c>
    </row>
    <row r="1063" spans="1:8" s="3" customFormat="1">
      <c r="A1063" s="13">
        <v>1</v>
      </c>
      <c r="B1063" s="5" t="s">
        <v>85</v>
      </c>
      <c r="C1063" s="6" t="str">
        <f>Gia_VLieu!C4</f>
        <v>Gram</v>
      </c>
      <c r="D1063" s="66">
        <f>Gia_VLieu!D4</f>
        <v>45000</v>
      </c>
      <c r="E1063" s="53">
        <v>5</v>
      </c>
      <c r="F1063" s="16">
        <f>D1063*E1063</f>
        <v>225000</v>
      </c>
      <c r="H1063" s="10">
        <v>1059</v>
      </c>
    </row>
    <row r="1064" spans="1:8" s="3" customFormat="1">
      <c r="A1064" s="13">
        <v>2</v>
      </c>
      <c r="B1064" s="5" t="s">
        <v>86</v>
      </c>
      <c r="C1064" s="6" t="str">
        <f>Gia_VLieu!C5</f>
        <v>Hộp</v>
      </c>
      <c r="D1064" s="66">
        <f>Gia_VLieu!D5</f>
        <v>1450000</v>
      </c>
      <c r="E1064" s="53">
        <v>0.8</v>
      </c>
      <c r="F1064" s="16">
        <f t="shared" ref="F1064:F1072" si="75">D1064*E1064</f>
        <v>1160000</v>
      </c>
      <c r="H1064" s="10">
        <v>1060</v>
      </c>
    </row>
    <row r="1065" spans="1:8" s="3" customFormat="1">
      <c r="A1065" s="13">
        <v>3</v>
      </c>
      <c r="B1065" s="5" t="s">
        <v>87</v>
      </c>
      <c r="C1065" s="6" t="e">
        <f>Gia_VLieu!#REF!</f>
        <v>#REF!</v>
      </c>
      <c r="D1065" s="66" t="e">
        <f>Gia_VLieu!#REF!</f>
        <v>#REF!</v>
      </c>
      <c r="E1065" s="53">
        <v>1.5</v>
      </c>
      <c r="F1065" s="16" t="e">
        <f t="shared" si="75"/>
        <v>#REF!</v>
      </c>
      <c r="H1065" s="10">
        <v>1061</v>
      </c>
    </row>
    <row r="1066" spans="1:8" s="3" customFormat="1">
      <c r="A1066" s="13">
        <v>4</v>
      </c>
      <c r="B1066" s="5" t="s">
        <v>88</v>
      </c>
      <c r="C1066" s="6" t="str">
        <f>Gia_VLieu!C6</f>
        <v>Quyển</v>
      </c>
      <c r="D1066" s="66">
        <f>Gia_VLieu!D6</f>
        <v>10000</v>
      </c>
      <c r="E1066" s="53">
        <v>4</v>
      </c>
      <c r="F1066" s="16">
        <f t="shared" si="75"/>
        <v>40000</v>
      </c>
      <c r="H1066" s="10">
        <v>1062</v>
      </c>
    </row>
    <row r="1067" spans="1:8" s="3" customFormat="1">
      <c r="A1067" s="13">
        <v>5</v>
      </c>
      <c r="B1067" s="5" t="s">
        <v>22</v>
      </c>
      <c r="C1067" s="6" t="str">
        <f>Gia_VLieu!C7</f>
        <v>Cái</v>
      </c>
      <c r="D1067" s="66">
        <f>Gia_VLieu!D7</f>
        <v>2000</v>
      </c>
      <c r="E1067" s="53">
        <v>15</v>
      </c>
      <c r="F1067" s="16">
        <f t="shared" si="75"/>
        <v>30000</v>
      </c>
      <c r="H1067" s="10">
        <v>1063</v>
      </c>
    </row>
    <row r="1068" spans="1:8" s="3" customFormat="1">
      <c r="A1068" s="13">
        <v>6</v>
      </c>
      <c r="B1068" s="5" t="s">
        <v>89</v>
      </c>
      <c r="C1068" s="6" t="str">
        <f>Gia_VLieu!C8</f>
        <v>Cái</v>
      </c>
      <c r="D1068" s="66">
        <f>Gia_VLieu!D8</f>
        <v>8000</v>
      </c>
      <c r="E1068" s="53">
        <v>25</v>
      </c>
      <c r="F1068" s="16">
        <f t="shared" si="75"/>
        <v>200000</v>
      </c>
      <c r="H1068" s="10">
        <v>1064</v>
      </c>
    </row>
    <row r="1069" spans="1:8" s="3" customFormat="1">
      <c r="A1069" s="13">
        <v>7</v>
      </c>
      <c r="B1069" s="5" t="s">
        <v>90</v>
      </c>
      <c r="C1069" s="6" t="str">
        <f>Gia_VLieu!C9</f>
        <v>Cái</v>
      </c>
      <c r="D1069" s="66">
        <f>Gia_VLieu!D9</f>
        <v>10000</v>
      </c>
      <c r="E1069" s="53">
        <v>25</v>
      </c>
      <c r="F1069" s="16">
        <f t="shared" si="75"/>
        <v>250000</v>
      </c>
      <c r="H1069" s="10">
        <v>1065</v>
      </c>
    </row>
    <row r="1070" spans="1:8" s="3" customFormat="1">
      <c r="A1070" s="13">
        <v>8</v>
      </c>
      <c r="B1070" s="5" t="s">
        <v>91</v>
      </c>
      <c r="C1070" s="6" t="str">
        <f>Gia_VLieu!C10</f>
        <v>Hộp</v>
      </c>
      <c r="D1070" s="66">
        <f>Gia_VLieu!D10</f>
        <v>2500</v>
      </c>
      <c r="E1070" s="53">
        <v>6</v>
      </c>
      <c r="F1070" s="16">
        <f t="shared" si="75"/>
        <v>15000</v>
      </c>
      <c r="H1070" s="10">
        <v>1066</v>
      </c>
    </row>
    <row r="1071" spans="1:8" s="3" customFormat="1">
      <c r="A1071" s="13">
        <v>9</v>
      </c>
      <c r="B1071" s="5" t="s">
        <v>92</v>
      </c>
      <c r="C1071" s="6" t="str">
        <f>Gia_VLieu!C11</f>
        <v>Hộp</v>
      </c>
      <c r="D1071" s="66">
        <f>Gia_VLieu!D11</f>
        <v>2000</v>
      </c>
      <c r="E1071" s="53">
        <v>6</v>
      </c>
      <c r="F1071" s="16">
        <f t="shared" si="75"/>
        <v>12000</v>
      </c>
      <c r="H1071" s="10">
        <v>1067</v>
      </c>
    </row>
    <row r="1072" spans="1:8" s="3" customFormat="1">
      <c r="A1072" s="13">
        <v>10</v>
      </c>
      <c r="B1072" s="5" t="s">
        <v>93</v>
      </c>
      <c r="C1072" s="6" t="str">
        <f>Gia_VLieu!C12</f>
        <v>Tập</v>
      </c>
      <c r="D1072" s="66">
        <f>Gia_VLieu!D12</f>
        <v>8000</v>
      </c>
      <c r="E1072" s="53">
        <v>4</v>
      </c>
      <c r="F1072" s="16">
        <f t="shared" si="75"/>
        <v>32000</v>
      </c>
      <c r="H1072" s="10">
        <v>1068</v>
      </c>
    </row>
    <row r="1073" spans="1:8" s="3" customFormat="1">
      <c r="A1073" s="40">
        <v>11</v>
      </c>
      <c r="B1073" s="41" t="s">
        <v>94</v>
      </c>
      <c r="C1073" s="42" t="str">
        <f>Gia_VLieu!C13</f>
        <v>Cái</v>
      </c>
      <c r="D1073" s="67">
        <f>Gia_VLieu!D13</f>
        <v>15000</v>
      </c>
      <c r="E1073" s="54">
        <v>20</v>
      </c>
      <c r="F1073" s="38">
        <f>D1073*E1073</f>
        <v>300000</v>
      </c>
      <c r="H1073" s="10">
        <v>1069</v>
      </c>
    </row>
    <row r="1074" spans="1:8" s="14" customFormat="1">
      <c r="A1074" s="12" t="e">
        <f>#REF!</f>
        <v>#REF!</v>
      </c>
      <c r="B1074" s="8" t="e">
        <f>#REF!</f>
        <v>#REF!</v>
      </c>
      <c r="C1074" s="7"/>
      <c r="D1074" s="72"/>
      <c r="E1074" s="48"/>
      <c r="F1074" s="17"/>
      <c r="H1074" s="10">
        <v>1070</v>
      </c>
    </row>
    <row r="1075" spans="1:8" s="33" customFormat="1">
      <c r="A1075" s="31" t="e">
        <f>#REF!</f>
        <v>#REF!</v>
      </c>
      <c r="B1075" s="32" t="e">
        <f>#REF!</f>
        <v>#REF!</v>
      </c>
      <c r="C1075" s="15"/>
      <c r="D1075" s="70"/>
      <c r="E1075" s="45"/>
      <c r="F1075" s="18" t="e">
        <f>F1076+F1088</f>
        <v>#REF!</v>
      </c>
      <c r="H1075" s="10">
        <v>1071</v>
      </c>
    </row>
    <row r="1076" spans="1:8" s="33" customFormat="1" ht="31.5">
      <c r="A1076" s="31" t="s">
        <v>69</v>
      </c>
      <c r="B1076" s="32" t="s">
        <v>97</v>
      </c>
      <c r="C1076" s="15"/>
      <c r="D1076" s="127">
        <f>Gia_VLieu!D$14</f>
        <v>1.08</v>
      </c>
      <c r="E1076" s="45"/>
      <c r="F1076" s="18" t="e">
        <f>SUM(F1077:F1087)*D1076</f>
        <v>#REF!</v>
      </c>
      <c r="H1076" s="10">
        <v>1072</v>
      </c>
    </row>
    <row r="1077" spans="1:8" s="3" customFormat="1">
      <c r="A1077" s="13">
        <v>1</v>
      </c>
      <c r="B1077" s="5" t="s">
        <v>85</v>
      </c>
      <c r="C1077" s="6" t="str">
        <f>Gia_VLieu!C4</f>
        <v>Gram</v>
      </c>
      <c r="D1077" s="66">
        <f>Gia_VLieu!D4</f>
        <v>45000</v>
      </c>
      <c r="E1077" s="53">
        <v>4</v>
      </c>
      <c r="F1077" s="16">
        <f>D1077*E1077</f>
        <v>180000</v>
      </c>
      <c r="H1077" s="10">
        <v>1073</v>
      </c>
    </row>
    <row r="1078" spans="1:8" s="3" customFormat="1">
      <c r="A1078" s="13">
        <v>2</v>
      </c>
      <c r="B1078" s="5" t="s">
        <v>86</v>
      </c>
      <c r="C1078" s="6" t="str">
        <f>Gia_VLieu!C5</f>
        <v>Hộp</v>
      </c>
      <c r="D1078" s="66">
        <f>Gia_VLieu!D5</f>
        <v>1450000</v>
      </c>
      <c r="E1078" s="53">
        <v>0.2</v>
      </c>
      <c r="F1078" s="16">
        <f t="shared" ref="F1078:F1086" si="76">D1078*E1078</f>
        <v>290000</v>
      </c>
      <c r="H1078" s="10">
        <v>1074</v>
      </c>
    </row>
    <row r="1079" spans="1:8" s="3" customFormat="1">
      <c r="A1079" s="13">
        <v>3</v>
      </c>
      <c r="B1079" s="5" t="s">
        <v>87</v>
      </c>
      <c r="C1079" s="6" t="e">
        <f>Gia_VLieu!#REF!</f>
        <v>#REF!</v>
      </c>
      <c r="D1079" s="66" t="e">
        <f>Gia_VLieu!#REF!</f>
        <v>#REF!</v>
      </c>
      <c r="E1079" s="53">
        <v>0.1</v>
      </c>
      <c r="F1079" s="16" t="e">
        <f t="shared" si="76"/>
        <v>#REF!</v>
      </c>
      <c r="H1079" s="10">
        <v>1075</v>
      </c>
    </row>
    <row r="1080" spans="1:8" s="3" customFormat="1">
      <c r="A1080" s="13">
        <v>4</v>
      </c>
      <c r="B1080" s="5" t="s">
        <v>88</v>
      </c>
      <c r="C1080" s="6" t="str">
        <f>Gia_VLieu!C6</f>
        <v>Quyển</v>
      </c>
      <c r="D1080" s="66">
        <f>Gia_VLieu!D6</f>
        <v>10000</v>
      </c>
      <c r="E1080" s="53">
        <v>14</v>
      </c>
      <c r="F1080" s="16">
        <f t="shared" si="76"/>
        <v>140000</v>
      </c>
      <c r="H1080" s="10">
        <v>1076</v>
      </c>
    </row>
    <row r="1081" spans="1:8" s="3" customFormat="1">
      <c r="A1081" s="13">
        <v>5</v>
      </c>
      <c r="B1081" s="5" t="s">
        <v>22</v>
      </c>
      <c r="C1081" s="6" t="str">
        <f>Gia_VLieu!C7</f>
        <v>Cái</v>
      </c>
      <c r="D1081" s="66">
        <f>Gia_VLieu!D7</f>
        <v>2000</v>
      </c>
      <c r="E1081" s="53">
        <v>20</v>
      </c>
      <c r="F1081" s="16">
        <f t="shared" si="76"/>
        <v>40000</v>
      </c>
      <c r="H1081" s="10">
        <v>1077</v>
      </c>
    </row>
    <row r="1082" spans="1:8" s="3" customFormat="1">
      <c r="A1082" s="13">
        <v>6</v>
      </c>
      <c r="B1082" s="5" t="s">
        <v>89</v>
      </c>
      <c r="C1082" s="6" t="str">
        <f>Gia_VLieu!C8</f>
        <v>Cái</v>
      </c>
      <c r="D1082" s="66">
        <f>Gia_VLieu!D8</f>
        <v>8000</v>
      </c>
      <c r="E1082" s="53">
        <v>5</v>
      </c>
      <c r="F1082" s="16">
        <f t="shared" si="76"/>
        <v>40000</v>
      </c>
      <c r="H1082" s="10">
        <v>1078</v>
      </c>
    </row>
    <row r="1083" spans="1:8" s="3" customFormat="1">
      <c r="A1083" s="13">
        <v>7</v>
      </c>
      <c r="B1083" s="5" t="s">
        <v>90</v>
      </c>
      <c r="C1083" s="6" t="str">
        <f>Gia_VLieu!C9</f>
        <v>Cái</v>
      </c>
      <c r="D1083" s="66">
        <f>Gia_VLieu!D9</f>
        <v>10000</v>
      </c>
      <c r="E1083" s="53">
        <v>4</v>
      </c>
      <c r="F1083" s="16">
        <f t="shared" si="76"/>
        <v>40000</v>
      </c>
      <c r="H1083" s="10">
        <v>1079</v>
      </c>
    </row>
    <row r="1084" spans="1:8" s="3" customFormat="1">
      <c r="A1084" s="13">
        <v>8</v>
      </c>
      <c r="B1084" s="5" t="s">
        <v>91</v>
      </c>
      <c r="C1084" s="6" t="str">
        <f>Gia_VLieu!C10</f>
        <v>Hộp</v>
      </c>
      <c r="D1084" s="66">
        <f>Gia_VLieu!D10</f>
        <v>2500</v>
      </c>
      <c r="E1084" s="53">
        <v>2</v>
      </c>
      <c r="F1084" s="16">
        <f t="shared" si="76"/>
        <v>5000</v>
      </c>
      <c r="H1084" s="10">
        <v>1080</v>
      </c>
    </row>
    <row r="1085" spans="1:8" s="3" customFormat="1">
      <c r="A1085" s="13">
        <v>9</v>
      </c>
      <c r="B1085" s="5" t="s">
        <v>92</v>
      </c>
      <c r="C1085" s="6" t="str">
        <f>Gia_VLieu!C11</f>
        <v>Hộp</v>
      </c>
      <c r="D1085" s="66">
        <f>Gia_VLieu!D11</f>
        <v>2000</v>
      </c>
      <c r="E1085" s="53">
        <v>2</v>
      </c>
      <c r="F1085" s="16">
        <f t="shared" si="76"/>
        <v>4000</v>
      </c>
      <c r="H1085" s="10">
        <v>1081</v>
      </c>
    </row>
    <row r="1086" spans="1:8" s="3" customFormat="1">
      <c r="A1086" s="13">
        <v>10</v>
      </c>
      <c r="B1086" s="5" t="s">
        <v>93</v>
      </c>
      <c r="C1086" s="6" t="str">
        <f>Gia_VLieu!C12</f>
        <v>Tập</v>
      </c>
      <c r="D1086" s="66">
        <f>Gia_VLieu!D12</f>
        <v>8000</v>
      </c>
      <c r="E1086" s="53">
        <v>4</v>
      </c>
      <c r="F1086" s="16">
        <f t="shared" si="76"/>
        <v>32000</v>
      </c>
      <c r="H1086" s="10">
        <v>1082</v>
      </c>
    </row>
    <row r="1087" spans="1:8" s="3" customFormat="1">
      <c r="A1087" s="40">
        <v>11</v>
      </c>
      <c r="B1087" s="41" t="s">
        <v>94</v>
      </c>
      <c r="C1087" s="42" t="str">
        <f>Gia_VLieu!C13</f>
        <v>Cái</v>
      </c>
      <c r="D1087" s="67">
        <f>Gia_VLieu!D13</f>
        <v>15000</v>
      </c>
      <c r="E1087" s="54">
        <v>8</v>
      </c>
      <c r="F1087" s="38">
        <f>D1087*E1087</f>
        <v>120000</v>
      </c>
      <c r="H1087" s="10">
        <v>1083</v>
      </c>
    </row>
    <row r="1088" spans="1:8" s="33" customFormat="1" ht="31.5">
      <c r="A1088" s="31" t="s">
        <v>70</v>
      </c>
      <c r="B1088" s="32" t="s">
        <v>99</v>
      </c>
      <c r="C1088" s="15"/>
      <c r="D1088" s="127">
        <f>Gia_VLieu!D$14</f>
        <v>1.08</v>
      </c>
      <c r="E1088" s="45"/>
      <c r="F1088" s="18" t="e">
        <f>SUM(F1089:F1099)*D1088</f>
        <v>#REF!</v>
      </c>
      <c r="H1088" s="10">
        <v>1084</v>
      </c>
    </row>
    <row r="1089" spans="1:8" s="3" customFormat="1">
      <c r="A1089" s="13">
        <v>1</v>
      </c>
      <c r="B1089" s="5" t="s">
        <v>85</v>
      </c>
      <c r="C1089" s="6" t="str">
        <f>Gia_VLieu!C4</f>
        <v>Gram</v>
      </c>
      <c r="D1089" s="66">
        <f>Gia_VLieu!D4</f>
        <v>45000</v>
      </c>
      <c r="E1089" s="53">
        <v>2</v>
      </c>
      <c r="F1089" s="16">
        <f>D1089*E1089</f>
        <v>90000</v>
      </c>
      <c r="H1089" s="10">
        <v>1085</v>
      </c>
    </row>
    <row r="1090" spans="1:8" s="3" customFormat="1">
      <c r="A1090" s="13">
        <v>2</v>
      </c>
      <c r="B1090" s="5" t="s">
        <v>86</v>
      </c>
      <c r="C1090" s="6" t="str">
        <f>Gia_VLieu!C5</f>
        <v>Hộp</v>
      </c>
      <c r="D1090" s="66">
        <f>Gia_VLieu!D5</f>
        <v>1450000</v>
      </c>
      <c r="E1090" s="53">
        <v>0.1</v>
      </c>
      <c r="F1090" s="16">
        <f t="shared" ref="F1090:F1098" si="77">D1090*E1090</f>
        <v>145000</v>
      </c>
      <c r="H1090" s="10">
        <v>1086</v>
      </c>
    </row>
    <row r="1091" spans="1:8" s="3" customFormat="1">
      <c r="A1091" s="13">
        <v>3</v>
      </c>
      <c r="B1091" s="5" t="s">
        <v>87</v>
      </c>
      <c r="C1091" s="6" t="e">
        <f>Gia_VLieu!#REF!</f>
        <v>#REF!</v>
      </c>
      <c r="D1091" s="66" t="e">
        <f>Gia_VLieu!#REF!</f>
        <v>#REF!</v>
      </c>
      <c r="E1091" s="53">
        <v>0.1</v>
      </c>
      <c r="F1091" s="16" t="e">
        <f t="shared" si="77"/>
        <v>#REF!</v>
      </c>
      <c r="H1091" s="10">
        <v>1087</v>
      </c>
    </row>
    <row r="1092" spans="1:8" s="3" customFormat="1">
      <c r="A1092" s="13">
        <v>4</v>
      </c>
      <c r="B1092" s="5" t="s">
        <v>88</v>
      </c>
      <c r="C1092" s="6" t="str">
        <f>Gia_VLieu!C6</f>
        <v>Quyển</v>
      </c>
      <c r="D1092" s="66">
        <f>Gia_VLieu!D6</f>
        <v>10000</v>
      </c>
      <c r="E1092" s="53">
        <v>10</v>
      </c>
      <c r="F1092" s="16">
        <f t="shared" si="77"/>
        <v>100000</v>
      </c>
      <c r="H1092" s="10">
        <v>1088</v>
      </c>
    </row>
    <row r="1093" spans="1:8" s="3" customFormat="1">
      <c r="A1093" s="13">
        <v>5</v>
      </c>
      <c r="B1093" s="5" t="s">
        <v>22</v>
      </c>
      <c r="C1093" s="6" t="str">
        <f>Gia_VLieu!C7</f>
        <v>Cái</v>
      </c>
      <c r="D1093" s="66">
        <f>Gia_VLieu!D7</f>
        <v>2000</v>
      </c>
      <c r="E1093" s="53">
        <v>15</v>
      </c>
      <c r="F1093" s="16">
        <f t="shared" si="77"/>
        <v>30000</v>
      </c>
      <c r="H1093" s="10">
        <v>1089</v>
      </c>
    </row>
    <row r="1094" spans="1:8" s="3" customFormat="1">
      <c r="A1094" s="13">
        <v>6</v>
      </c>
      <c r="B1094" s="5" t="s">
        <v>89</v>
      </c>
      <c r="C1094" s="6" t="str">
        <f>Gia_VLieu!C8</f>
        <v>Cái</v>
      </c>
      <c r="D1094" s="66">
        <f>Gia_VLieu!D8</f>
        <v>8000</v>
      </c>
      <c r="E1094" s="53">
        <v>4</v>
      </c>
      <c r="F1094" s="16">
        <f t="shared" si="77"/>
        <v>32000</v>
      </c>
      <c r="H1094" s="10">
        <v>1090</v>
      </c>
    </row>
    <row r="1095" spans="1:8" s="3" customFormat="1">
      <c r="A1095" s="13">
        <v>7</v>
      </c>
      <c r="B1095" s="5" t="s">
        <v>90</v>
      </c>
      <c r="C1095" s="6" t="str">
        <f>Gia_VLieu!C9</f>
        <v>Cái</v>
      </c>
      <c r="D1095" s="66">
        <f>Gia_VLieu!D9</f>
        <v>10000</v>
      </c>
      <c r="E1095" s="53">
        <v>4</v>
      </c>
      <c r="F1095" s="16">
        <f t="shared" si="77"/>
        <v>40000</v>
      </c>
      <c r="H1095" s="10">
        <v>1091</v>
      </c>
    </row>
    <row r="1096" spans="1:8" s="3" customFormat="1">
      <c r="A1096" s="13">
        <v>8</v>
      </c>
      <c r="B1096" s="5" t="s">
        <v>91</v>
      </c>
      <c r="C1096" s="6" t="str">
        <f>Gia_VLieu!C10</f>
        <v>Hộp</v>
      </c>
      <c r="D1096" s="66">
        <f>Gia_VLieu!D10</f>
        <v>2500</v>
      </c>
      <c r="E1096" s="53">
        <v>3</v>
      </c>
      <c r="F1096" s="16">
        <f t="shared" si="77"/>
        <v>7500</v>
      </c>
      <c r="H1096" s="10">
        <v>1092</v>
      </c>
    </row>
    <row r="1097" spans="1:8" s="3" customFormat="1">
      <c r="A1097" s="13">
        <v>9</v>
      </c>
      <c r="B1097" s="5" t="s">
        <v>92</v>
      </c>
      <c r="C1097" s="6" t="str">
        <f>Gia_VLieu!C11</f>
        <v>Hộp</v>
      </c>
      <c r="D1097" s="66">
        <f>Gia_VLieu!D11</f>
        <v>2000</v>
      </c>
      <c r="E1097" s="53">
        <v>2</v>
      </c>
      <c r="F1097" s="16">
        <f t="shared" si="77"/>
        <v>4000</v>
      </c>
      <c r="H1097" s="10">
        <v>1093</v>
      </c>
    </row>
    <row r="1098" spans="1:8" s="3" customFormat="1">
      <c r="A1098" s="13">
        <v>10</v>
      </c>
      <c r="B1098" s="5" t="s">
        <v>93</v>
      </c>
      <c r="C1098" s="6" t="str">
        <f>Gia_VLieu!C12</f>
        <v>Tập</v>
      </c>
      <c r="D1098" s="66">
        <f>Gia_VLieu!D12</f>
        <v>8000</v>
      </c>
      <c r="E1098" s="53">
        <v>2</v>
      </c>
      <c r="F1098" s="16">
        <f t="shared" si="77"/>
        <v>16000</v>
      </c>
      <c r="H1098" s="10">
        <v>1094</v>
      </c>
    </row>
    <row r="1099" spans="1:8" s="3" customFormat="1">
      <c r="A1099" s="40">
        <v>11</v>
      </c>
      <c r="B1099" s="41" t="s">
        <v>94</v>
      </c>
      <c r="C1099" s="42" t="str">
        <f>Gia_VLieu!C13</f>
        <v>Cái</v>
      </c>
      <c r="D1099" s="67">
        <f>Gia_VLieu!D13</f>
        <v>15000</v>
      </c>
      <c r="E1099" s="54">
        <v>6</v>
      </c>
      <c r="F1099" s="38">
        <f>D1099*E1099</f>
        <v>90000</v>
      </c>
      <c r="H1099" s="10">
        <v>1095</v>
      </c>
    </row>
    <row r="1100" spans="1:8" s="33" customFormat="1">
      <c r="A1100" s="31" t="e">
        <f>#REF!</f>
        <v>#REF!</v>
      </c>
      <c r="B1100" s="32" t="e">
        <f>#REF!</f>
        <v>#REF!</v>
      </c>
      <c r="C1100" s="15"/>
      <c r="D1100" s="70"/>
      <c r="E1100" s="45"/>
      <c r="F1100" s="18" t="e">
        <f>F1102</f>
        <v>#REF!</v>
      </c>
      <c r="H1100" s="10">
        <v>1096</v>
      </c>
    </row>
    <row r="1101" spans="1:8" s="3" customFormat="1">
      <c r="A1101" s="13" t="e">
        <f>#REF!</f>
        <v>#REF!</v>
      </c>
      <c r="B1101" s="5" t="e">
        <f>#REF!</f>
        <v>#REF!</v>
      </c>
      <c r="C1101" s="6"/>
      <c r="D1101" s="66"/>
      <c r="E1101" s="30"/>
      <c r="F1101" s="16" t="e">
        <f>F1102</f>
        <v>#REF!</v>
      </c>
      <c r="H1101" s="10">
        <v>1097</v>
      </c>
    </row>
    <row r="1102" spans="1:8" s="3" customFormat="1">
      <c r="A1102" s="13" t="e">
        <f>#REF!</f>
        <v>#REF!</v>
      </c>
      <c r="B1102" s="5" t="e">
        <f>#REF!</f>
        <v>#REF!</v>
      </c>
      <c r="C1102" s="6"/>
      <c r="D1102" s="127">
        <f>Gia_VLieu!D$14</f>
        <v>1.08</v>
      </c>
      <c r="E1102" s="45"/>
      <c r="F1102" s="18" t="e">
        <f>SUM(F1103:F1113)*D1102</f>
        <v>#REF!</v>
      </c>
      <c r="H1102" s="10">
        <v>1098</v>
      </c>
    </row>
    <row r="1103" spans="1:8" s="3" customFormat="1">
      <c r="A1103" s="13">
        <v>1</v>
      </c>
      <c r="B1103" s="5" t="s">
        <v>85</v>
      </c>
      <c r="C1103" s="6" t="str">
        <f>Gia_VLieu!C4</f>
        <v>Gram</v>
      </c>
      <c r="D1103" s="66">
        <f>Gia_VLieu!D4</f>
        <v>45000</v>
      </c>
      <c r="E1103" s="53">
        <v>4</v>
      </c>
      <c r="F1103" s="16">
        <f>D1103*E1103</f>
        <v>180000</v>
      </c>
      <c r="H1103" s="10">
        <v>1099</v>
      </c>
    </row>
    <row r="1104" spans="1:8" s="3" customFormat="1">
      <c r="A1104" s="13">
        <v>2</v>
      </c>
      <c r="B1104" s="5" t="s">
        <v>86</v>
      </c>
      <c r="C1104" s="6" t="str">
        <f>Gia_VLieu!C5</f>
        <v>Hộp</v>
      </c>
      <c r="D1104" s="66">
        <f>Gia_VLieu!D5</f>
        <v>1450000</v>
      </c>
      <c r="E1104" s="53">
        <v>0.2</v>
      </c>
      <c r="F1104" s="16">
        <f t="shared" ref="F1104:F1112" si="78">D1104*E1104</f>
        <v>290000</v>
      </c>
      <c r="H1104" s="10">
        <v>1100</v>
      </c>
    </row>
    <row r="1105" spans="1:8" s="3" customFormat="1">
      <c r="A1105" s="13">
        <v>3</v>
      </c>
      <c r="B1105" s="5" t="s">
        <v>87</v>
      </c>
      <c r="C1105" s="6" t="e">
        <f>Gia_VLieu!#REF!</f>
        <v>#REF!</v>
      </c>
      <c r="D1105" s="66" t="e">
        <f>Gia_VLieu!#REF!</f>
        <v>#REF!</v>
      </c>
      <c r="E1105" s="53">
        <v>0.15</v>
      </c>
      <c r="F1105" s="16" t="e">
        <f t="shared" si="78"/>
        <v>#REF!</v>
      </c>
      <c r="H1105" s="10">
        <v>1101</v>
      </c>
    </row>
    <row r="1106" spans="1:8" s="3" customFormat="1">
      <c r="A1106" s="13">
        <v>4</v>
      </c>
      <c r="B1106" s="5" t="s">
        <v>88</v>
      </c>
      <c r="C1106" s="6" t="str">
        <f>Gia_VLieu!C6</f>
        <v>Quyển</v>
      </c>
      <c r="D1106" s="66">
        <f>Gia_VLieu!D6</f>
        <v>10000</v>
      </c>
      <c r="E1106" s="53">
        <v>10</v>
      </c>
      <c r="F1106" s="16">
        <f t="shared" si="78"/>
        <v>100000</v>
      </c>
      <c r="H1106" s="10">
        <v>1102</v>
      </c>
    </row>
    <row r="1107" spans="1:8" s="3" customFormat="1">
      <c r="A1107" s="13">
        <v>5</v>
      </c>
      <c r="B1107" s="5" t="s">
        <v>22</v>
      </c>
      <c r="C1107" s="6" t="str">
        <f>Gia_VLieu!C7</f>
        <v>Cái</v>
      </c>
      <c r="D1107" s="66">
        <f>Gia_VLieu!D7</f>
        <v>2000</v>
      </c>
      <c r="E1107" s="53">
        <v>17</v>
      </c>
      <c r="F1107" s="16">
        <f t="shared" si="78"/>
        <v>34000</v>
      </c>
      <c r="H1107" s="10">
        <v>1103</v>
      </c>
    </row>
    <row r="1108" spans="1:8" s="3" customFormat="1">
      <c r="A1108" s="13">
        <v>6</v>
      </c>
      <c r="B1108" s="5" t="s">
        <v>89</v>
      </c>
      <c r="C1108" s="6" t="str">
        <f>Gia_VLieu!C8</f>
        <v>Cái</v>
      </c>
      <c r="D1108" s="66">
        <f>Gia_VLieu!D8</f>
        <v>8000</v>
      </c>
      <c r="E1108" s="53">
        <v>4</v>
      </c>
      <c r="F1108" s="16">
        <f t="shared" si="78"/>
        <v>32000</v>
      </c>
      <c r="H1108" s="10">
        <v>1104</v>
      </c>
    </row>
    <row r="1109" spans="1:8" s="3" customFormat="1">
      <c r="A1109" s="13">
        <v>7</v>
      </c>
      <c r="B1109" s="5" t="s">
        <v>90</v>
      </c>
      <c r="C1109" s="6" t="str">
        <f>Gia_VLieu!C9</f>
        <v>Cái</v>
      </c>
      <c r="D1109" s="66">
        <f>Gia_VLieu!D9</f>
        <v>10000</v>
      </c>
      <c r="E1109" s="53">
        <v>4</v>
      </c>
      <c r="F1109" s="16">
        <f t="shared" si="78"/>
        <v>40000</v>
      </c>
      <c r="H1109" s="10">
        <v>1105</v>
      </c>
    </row>
    <row r="1110" spans="1:8" s="3" customFormat="1">
      <c r="A1110" s="13">
        <v>8</v>
      </c>
      <c r="B1110" s="5" t="s">
        <v>91</v>
      </c>
      <c r="C1110" s="6" t="str">
        <f>Gia_VLieu!C10</f>
        <v>Hộp</v>
      </c>
      <c r="D1110" s="66">
        <f>Gia_VLieu!D10</f>
        <v>2500</v>
      </c>
      <c r="E1110" s="53">
        <v>3</v>
      </c>
      <c r="F1110" s="16">
        <f t="shared" si="78"/>
        <v>7500</v>
      </c>
      <c r="H1110" s="10">
        <v>1106</v>
      </c>
    </row>
    <row r="1111" spans="1:8" s="3" customFormat="1">
      <c r="A1111" s="13">
        <v>9</v>
      </c>
      <c r="B1111" s="5" t="s">
        <v>92</v>
      </c>
      <c r="C1111" s="6" t="str">
        <f>Gia_VLieu!C11</f>
        <v>Hộp</v>
      </c>
      <c r="D1111" s="66">
        <f>Gia_VLieu!D11</f>
        <v>2000</v>
      </c>
      <c r="E1111" s="53">
        <v>3</v>
      </c>
      <c r="F1111" s="16">
        <f t="shared" si="78"/>
        <v>6000</v>
      </c>
      <c r="H1111" s="10">
        <v>1107</v>
      </c>
    </row>
    <row r="1112" spans="1:8" s="3" customFormat="1">
      <c r="A1112" s="13">
        <v>10</v>
      </c>
      <c r="B1112" s="5" t="s">
        <v>93</v>
      </c>
      <c r="C1112" s="6" t="str">
        <f>Gia_VLieu!C12</f>
        <v>Tập</v>
      </c>
      <c r="D1112" s="66">
        <f>Gia_VLieu!D12</f>
        <v>8000</v>
      </c>
      <c r="E1112" s="53">
        <v>3</v>
      </c>
      <c r="F1112" s="16">
        <f t="shared" si="78"/>
        <v>24000</v>
      </c>
      <c r="H1112" s="10">
        <v>1108</v>
      </c>
    </row>
    <row r="1113" spans="1:8" s="3" customFormat="1">
      <c r="A1113" s="40">
        <v>11</v>
      </c>
      <c r="B1113" s="41" t="s">
        <v>94</v>
      </c>
      <c r="C1113" s="42" t="str">
        <f>Gia_VLieu!C13</f>
        <v>Cái</v>
      </c>
      <c r="D1113" s="67">
        <f>Gia_VLieu!D13</f>
        <v>15000</v>
      </c>
      <c r="E1113" s="54">
        <v>9</v>
      </c>
      <c r="F1113" s="38">
        <f>D1113*E1113</f>
        <v>135000</v>
      </c>
      <c r="H1113" s="10">
        <v>1109</v>
      </c>
    </row>
    <row r="1114" spans="1:8" s="33" customFormat="1">
      <c r="A1114" s="31" t="e">
        <f>#REF!</f>
        <v>#REF!</v>
      </c>
      <c r="B1114" s="32" t="e">
        <f>#REF!</f>
        <v>#REF!</v>
      </c>
      <c r="C1114" s="15"/>
      <c r="D1114" s="70"/>
      <c r="E1114" s="45"/>
      <c r="F1114" s="18" t="e">
        <f>F1115+F1127</f>
        <v>#REF!</v>
      </c>
      <c r="H1114" s="10">
        <v>1110</v>
      </c>
    </row>
    <row r="1115" spans="1:8" s="33" customFormat="1" ht="31.5">
      <c r="A1115" s="31" t="s">
        <v>64</v>
      </c>
      <c r="B1115" s="32" t="s">
        <v>73</v>
      </c>
      <c r="C1115" s="15"/>
      <c r="D1115" s="127">
        <f>Gia_VLieu!D$14</f>
        <v>1.08</v>
      </c>
      <c r="E1115" s="45"/>
      <c r="F1115" s="18" t="e">
        <f>SUM(F1116:F1126)*D1115</f>
        <v>#REF!</v>
      </c>
      <c r="H1115" s="10">
        <v>1111</v>
      </c>
    </row>
    <row r="1116" spans="1:8" s="3" customFormat="1">
      <c r="A1116" s="13">
        <v>1</v>
      </c>
      <c r="B1116" s="5" t="s">
        <v>85</v>
      </c>
      <c r="C1116" s="6" t="str">
        <f>Gia_VLieu!C4</f>
        <v>Gram</v>
      </c>
      <c r="D1116" s="66">
        <f>Gia_VLieu!D4</f>
        <v>45000</v>
      </c>
      <c r="E1116" s="53">
        <v>3</v>
      </c>
      <c r="F1116" s="16">
        <f>D1116*E1116</f>
        <v>135000</v>
      </c>
      <c r="H1116" s="10">
        <v>1112</v>
      </c>
    </row>
    <row r="1117" spans="1:8" s="3" customFormat="1">
      <c r="A1117" s="13">
        <v>2</v>
      </c>
      <c r="B1117" s="5" t="s">
        <v>86</v>
      </c>
      <c r="C1117" s="6" t="str">
        <f>Gia_VLieu!C5</f>
        <v>Hộp</v>
      </c>
      <c r="D1117" s="66">
        <f>Gia_VLieu!D5</f>
        <v>1450000</v>
      </c>
      <c r="E1117" s="53">
        <v>0.16</v>
      </c>
      <c r="F1117" s="16">
        <f t="shared" ref="F1117:F1125" si="79">D1117*E1117</f>
        <v>232000</v>
      </c>
      <c r="H1117" s="10">
        <v>1113</v>
      </c>
    </row>
    <row r="1118" spans="1:8" s="3" customFormat="1">
      <c r="A1118" s="13">
        <v>3</v>
      </c>
      <c r="B1118" s="5" t="s">
        <v>87</v>
      </c>
      <c r="C1118" s="6" t="e">
        <f>Gia_VLieu!#REF!</f>
        <v>#REF!</v>
      </c>
      <c r="D1118" s="66" t="e">
        <f>Gia_VLieu!#REF!</f>
        <v>#REF!</v>
      </c>
      <c r="E1118" s="53">
        <v>0.15</v>
      </c>
      <c r="F1118" s="16" t="e">
        <f t="shared" si="79"/>
        <v>#REF!</v>
      </c>
      <c r="H1118" s="10">
        <v>1114</v>
      </c>
    </row>
    <row r="1119" spans="1:8" s="3" customFormat="1">
      <c r="A1119" s="13">
        <v>4</v>
      </c>
      <c r="B1119" s="5" t="s">
        <v>88</v>
      </c>
      <c r="C1119" s="6" t="str">
        <f>Gia_VLieu!C6</f>
        <v>Quyển</v>
      </c>
      <c r="D1119" s="66">
        <f>Gia_VLieu!D6</f>
        <v>10000</v>
      </c>
      <c r="E1119" s="53">
        <v>12</v>
      </c>
      <c r="F1119" s="16">
        <f t="shared" si="79"/>
        <v>120000</v>
      </c>
      <c r="H1119" s="10">
        <v>1115</v>
      </c>
    </row>
    <row r="1120" spans="1:8" s="3" customFormat="1">
      <c r="A1120" s="13">
        <v>5</v>
      </c>
      <c r="B1120" s="5" t="s">
        <v>22</v>
      </c>
      <c r="C1120" s="6" t="str">
        <f>Gia_VLieu!C7</f>
        <v>Cái</v>
      </c>
      <c r="D1120" s="66">
        <f>Gia_VLieu!D7</f>
        <v>2000</v>
      </c>
      <c r="E1120" s="53">
        <v>20</v>
      </c>
      <c r="F1120" s="16">
        <f t="shared" si="79"/>
        <v>40000</v>
      </c>
      <c r="H1120" s="10">
        <v>1116</v>
      </c>
    </row>
    <row r="1121" spans="1:8" s="3" customFormat="1">
      <c r="A1121" s="13">
        <v>6</v>
      </c>
      <c r="B1121" s="5" t="s">
        <v>89</v>
      </c>
      <c r="C1121" s="6" t="str">
        <f>Gia_VLieu!C8</f>
        <v>Cái</v>
      </c>
      <c r="D1121" s="66">
        <f>Gia_VLieu!D8</f>
        <v>8000</v>
      </c>
      <c r="E1121" s="53">
        <v>5</v>
      </c>
      <c r="F1121" s="16">
        <f t="shared" si="79"/>
        <v>40000</v>
      </c>
      <c r="H1121" s="10">
        <v>1117</v>
      </c>
    </row>
    <row r="1122" spans="1:8" s="3" customFormat="1">
      <c r="A1122" s="13">
        <v>7</v>
      </c>
      <c r="B1122" s="5" t="s">
        <v>90</v>
      </c>
      <c r="C1122" s="6" t="str">
        <f>Gia_VLieu!C9</f>
        <v>Cái</v>
      </c>
      <c r="D1122" s="66">
        <f>Gia_VLieu!D9</f>
        <v>10000</v>
      </c>
      <c r="E1122" s="53">
        <v>4</v>
      </c>
      <c r="F1122" s="16">
        <f t="shared" si="79"/>
        <v>40000</v>
      </c>
      <c r="H1122" s="10">
        <v>1118</v>
      </c>
    </row>
    <row r="1123" spans="1:8" s="3" customFormat="1">
      <c r="A1123" s="13">
        <v>8</v>
      </c>
      <c r="B1123" s="5" t="s">
        <v>91</v>
      </c>
      <c r="C1123" s="6" t="str">
        <f>Gia_VLieu!C10</f>
        <v>Hộp</v>
      </c>
      <c r="D1123" s="66">
        <f>Gia_VLieu!D10</f>
        <v>2500</v>
      </c>
      <c r="E1123" s="53">
        <v>3</v>
      </c>
      <c r="F1123" s="16">
        <f t="shared" si="79"/>
        <v>7500</v>
      </c>
      <c r="H1123" s="10">
        <v>1119</v>
      </c>
    </row>
    <row r="1124" spans="1:8" s="3" customFormat="1">
      <c r="A1124" s="13">
        <v>9</v>
      </c>
      <c r="B1124" s="5" t="s">
        <v>92</v>
      </c>
      <c r="C1124" s="6" t="str">
        <f>Gia_VLieu!C11</f>
        <v>Hộp</v>
      </c>
      <c r="D1124" s="66">
        <f>Gia_VLieu!D11</f>
        <v>2000</v>
      </c>
      <c r="E1124" s="53">
        <v>3</v>
      </c>
      <c r="F1124" s="16">
        <f t="shared" si="79"/>
        <v>6000</v>
      </c>
      <c r="H1124" s="10">
        <v>1120</v>
      </c>
    </row>
    <row r="1125" spans="1:8" s="3" customFormat="1">
      <c r="A1125" s="13">
        <v>10</v>
      </c>
      <c r="B1125" s="5" t="s">
        <v>93</v>
      </c>
      <c r="C1125" s="6" t="str">
        <f>Gia_VLieu!C12</f>
        <v>Tập</v>
      </c>
      <c r="D1125" s="66">
        <f>Gia_VLieu!D12</f>
        <v>8000</v>
      </c>
      <c r="E1125" s="53">
        <v>4</v>
      </c>
      <c r="F1125" s="16">
        <f t="shared" si="79"/>
        <v>32000</v>
      </c>
      <c r="H1125" s="10">
        <v>1121</v>
      </c>
    </row>
    <row r="1126" spans="1:8" s="3" customFormat="1">
      <c r="A1126" s="40">
        <v>11</v>
      </c>
      <c r="B1126" s="41" t="s">
        <v>94</v>
      </c>
      <c r="C1126" s="42" t="str">
        <f>Gia_VLieu!C13</f>
        <v>Cái</v>
      </c>
      <c r="D1126" s="67">
        <f>Gia_VLieu!D13</f>
        <v>15000</v>
      </c>
      <c r="E1126" s="54">
        <v>10</v>
      </c>
      <c r="F1126" s="38">
        <f>D1126*E1126</f>
        <v>150000</v>
      </c>
      <c r="H1126" s="10">
        <v>1122</v>
      </c>
    </row>
    <row r="1127" spans="1:8" s="33" customFormat="1" ht="47.25">
      <c r="A1127" s="31" t="s">
        <v>98</v>
      </c>
      <c r="B1127" s="32" t="s">
        <v>100</v>
      </c>
      <c r="C1127" s="15"/>
      <c r="D1127" s="127">
        <f>Gia_VLieu!D$14</f>
        <v>1.08</v>
      </c>
      <c r="E1127" s="45"/>
      <c r="F1127" s="18" t="e">
        <f>SUM(F1128:F1138)*D1127</f>
        <v>#REF!</v>
      </c>
      <c r="H1127" s="10">
        <v>1123</v>
      </c>
    </row>
    <row r="1128" spans="1:8" s="3" customFormat="1">
      <c r="A1128" s="13">
        <v>1</v>
      </c>
      <c r="B1128" s="5" t="s">
        <v>85</v>
      </c>
      <c r="C1128" s="6" t="str">
        <f>Gia_VLieu!C4</f>
        <v>Gram</v>
      </c>
      <c r="D1128" s="66">
        <f>Gia_VLieu!D4</f>
        <v>45000</v>
      </c>
      <c r="E1128" s="53">
        <v>1</v>
      </c>
      <c r="F1128" s="16">
        <f>D1128*E1128</f>
        <v>45000</v>
      </c>
      <c r="H1128" s="10">
        <v>1124</v>
      </c>
    </row>
    <row r="1129" spans="1:8" s="3" customFormat="1">
      <c r="A1129" s="13">
        <v>2</v>
      </c>
      <c r="B1129" s="5" t="s">
        <v>86</v>
      </c>
      <c r="C1129" s="6" t="str">
        <f>Gia_VLieu!C5</f>
        <v>Hộp</v>
      </c>
      <c r="D1129" s="66">
        <f>Gia_VLieu!D5</f>
        <v>1450000</v>
      </c>
      <c r="E1129" s="53">
        <v>0.05</v>
      </c>
      <c r="F1129" s="16">
        <f t="shared" ref="F1129:F1137" si="80">D1129*E1129</f>
        <v>72500</v>
      </c>
      <c r="H1129" s="10">
        <v>1125</v>
      </c>
    </row>
    <row r="1130" spans="1:8" s="3" customFormat="1">
      <c r="A1130" s="13">
        <v>3</v>
      </c>
      <c r="B1130" s="5" t="s">
        <v>87</v>
      </c>
      <c r="C1130" s="6" t="e">
        <f>Gia_VLieu!#REF!</f>
        <v>#REF!</v>
      </c>
      <c r="D1130" s="66" t="e">
        <f>Gia_VLieu!#REF!</f>
        <v>#REF!</v>
      </c>
      <c r="E1130" s="53">
        <v>0.05</v>
      </c>
      <c r="F1130" s="16" t="e">
        <f t="shared" si="80"/>
        <v>#REF!</v>
      </c>
      <c r="H1130" s="10">
        <v>1126</v>
      </c>
    </row>
    <row r="1131" spans="1:8" s="3" customFormat="1">
      <c r="A1131" s="13">
        <v>4</v>
      </c>
      <c r="B1131" s="5" t="s">
        <v>88</v>
      </c>
      <c r="C1131" s="6" t="str">
        <f>Gia_VLieu!C6</f>
        <v>Quyển</v>
      </c>
      <c r="D1131" s="66">
        <f>Gia_VLieu!D6</f>
        <v>10000</v>
      </c>
      <c r="E1131" s="53">
        <v>18</v>
      </c>
      <c r="F1131" s="16">
        <f t="shared" si="80"/>
        <v>180000</v>
      </c>
      <c r="H1131" s="10">
        <v>1127</v>
      </c>
    </row>
    <row r="1132" spans="1:8" s="3" customFormat="1">
      <c r="A1132" s="13">
        <v>5</v>
      </c>
      <c r="B1132" s="5" t="s">
        <v>22</v>
      </c>
      <c r="C1132" s="6" t="str">
        <f>Gia_VLieu!C7</f>
        <v>Cái</v>
      </c>
      <c r="D1132" s="66">
        <f>Gia_VLieu!D7</f>
        <v>2000</v>
      </c>
      <c r="E1132" s="53">
        <v>18</v>
      </c>
      <c r="F1132" s="16">
        <f t="shared" si="80"/>
        <v>36000</v>
      </c>
      <c r="H1132" s="10">
        <v>1128</v>
      </c>
    </row>
    <row r="1133" spans="1:8" s="3" customFormat="1">
      <c r="A1133" s="13">
        <v>6</v>
      </c>
      <c r="B1133" s="5" t="s">
        <v>89</v>
      </c>
      <c r="C1133" s="6" t="str">
        <f>Gia_VLieu!C8</f>
        <v>Cái</v>
      </c>
      <c r="D1133" s="66">
        <f>Gia_VLieu!D8</f>
        <v>8000</v>
      </c>
      <c r="E1133" s="53">
        <v>6</v>
      </c>
      <c r="F1133" s="16">
        <f t="shared" si="80"/>
        <v>48000</v>
      </c>
      <c r="H1133" s="10">
        <v>1129</v>
      </c>
    </row>
    <row r="1134" spans="1:8" s="3" customFormat="1">
      <c r="A1134" s="13">
        <v>7</v>
      </c>
      <c r="B1134" s="5" t="s">
        <v>90</v>
      </c>
      <c r="C1134" s="6" t="str">
        <f>Gia_VLieu!C9</f>
        <v>Cái</v>
      </c>
      <c r="D1134" s="66">
        <f>Gia_VLieu!D9</f>
        <v>10000</v>
      </c>
      <c r="E1134" s="53">
        <v>5</v>
      </c>
      <c r="F1134" s="16">
        <f t="shared" si="80"/>
        <v>50000</v>
      </c>
      <c r="H1134" s="10">
        <v>1130</v>
      </c>
    </row>
    <row r="1135" spans="1:8" s="3" customFormat="1">
      <c r="A1135" s="13">
        <v>8</v>
      </c>
      <c r="B1135" s="5" t="s">
        <v>91</v>
      </c>
      <c r="C1135" s="6" t="str">
        <f>Gia_VLieu!C10</f>
        <v>Hộp</v>
      </c>
      <c r="D1135" s="66">
        <f>Gia_VLieu!D10</f>
        <v>2500</v>
      </c>
      <c r="E1135" s="53">
        <v>4</v>
      </c>
      <c r="F1135" s="16">
        <f t="shared" si="80"/>
        <v>10000</v>
      </c>
      <c r="H1135" s="10">
        <v>1131</v>
      </c>
    </row>
    <row r="1136" spans="1:8" s="3" customFormat="1">
      <c r="A1136" s="13">
        <v>9</v>
      </c>
      <c r="B1136" s="5" t="s">
        <v>92</v>
      </c>
      <c r="C1136" s="6" t="str">
        <f>Gia_VLieu!C11</f>
        <v>Hộp</v>
      </c>
      <c r="D1136" s="66">
        <f>Gia_VLieu!D11</f>
        <v>2000</v>
      </c>
      <c r="E1136" s="53">
        <v>3</v>
      </c>
      <c r="F1136" s="16">
        <f t="shared" si="80"/>
        <v>6000</v>
      </c>
      <c r="H1136" s="10">
        <v>1132</v>
      </c>
    </row>
    <row r="1137" spans="1:8" s="3" customFormat="1">
      <c r="A1137" s="13">
        <v>10</v>
      </c>
      <c r="B1137" s="5" t="s">
        <v>93</v>
      </c>
      <c r="C1137" s="6" t="str">
        <f>Gia_VLieu!C12</f>
        <v>Tập</v>
      </c>
      <c r="D1137" s="66">
        <f>Gia_VLieu!D12</f>
        <v>8000</v>
      </c>
      <c r="E1137" s="53">
        <v>3</v>
      </c>
      <c r="F1137" s="16">
        <f t="shared" si="80"/>
        <v>24000</v>
      </c>
      <c r="H1137" s="10">
        <v>1133</v>
      </c>
    </row>
    <row r="1138" spans="1:8" s="3" customFormat="1">
      <c r="A1138" s="40">
        <v>11</v>
      </c>
      <c r="B1138" s="41" t="s">
        <v>94</v>
      </c>
      <c r="C1138" s="42" t="str">
        <f>Gia_VLieu!C13</f>
        <v>Cái</v>
      </c>
      <c r="D1138" s="67">
        <f>Gia_VLieu!D13</f>
        <v>15000</v>
      </c>
      <c r="E1138" s="54">
        <v>12</v>
      </c>
      <c r="F1138" s="38">
        <f>D1138*E1138</f>
        <v>180000</v>
      </c>
      <c r="H1138" s="10">
        <v>1134</v>
      </c>
    </row>
    <row r="1139" spans="1:8" s="14" customFormat="1">
      <c r="A1139" s="12" t="e">
        <f>#REF!</f>
        <v>#REF!</v>
      </c>
      <c r="B1139" s="8" t="e">
        <f>#REF!</f>
        <v>#REF!</v>
      </c>
      <c r="C1139" s="7"/>
      <c r="D1139" s="72"/>
      <c r="E1139" s="48"/>
      <c r="F1139" s="17"/>
      <c r="H1139" s="10">
        <v>1135</v>
      </c>
    </row>
    <row r="1140" spans="1:8" s="33" customFormat="1">
      <c r="A1140" s="31" t="e">
        <f>#REF!</f>
        <v>#REF!</v>
      </c>
      <c r="B1140" s="32" t="e">
        <f>#REF!</f>
        <v>#REF!</v>
      </c>
      <c r="C1140" s="15"/>
      <c r="D1140" s="127">
        <f>Gia_VLieu!D$14</f>
        <v>1.08</v>
      </c>
      <c r="E1140" s="45"/>
      <c r="F1140" s="18" t="e">
        <f>SUM(F1141:F1151)*D1140</f>
        <v>#REF!</v>
      </c>
      <c r="H1140" s="10">
        <v>1136</v>
      </c>
    </row>
    <row r="1141" spans="1:8" s="3" customFormat="1">
      <c r="A1141" s="13">
        <v>1</v>
      </c>
      <c r="B1141" s="5" t="s">
        <v>85</v>
      </c>
      <c r="C1141" s="6" t="str">
        <f>Gia_VLieu!C4</f>
        <v>Gram</v>
      </c>
      <c r="D1141" s="66">
        <f>Gia_VLieu!D4</f>
        <v>45000</v>
      </c>
      <c r="E1141" s="53">
        <v>1.2</v>
      </c>
      <c r="F1141" s="16">
        <f>D1141*E1141</f>
        <v>54000</v>
      </c>
      <c r="H1141" s="10">
        <v>1137</v>
      </c>
    </row>
    <row r="1142" spans="1:8" s="3" customFormat="1">
      <c r="A1142" s="13">
        <v>2</v>
      </c>
      <c r="B1142" s="5" t="s">
        <v>86</v>
      </c>
      <c r="C1142" s="6" t="str">
        <f>Gia_VLieu!C5</f>
        <v>Hộp</v>
      </c>
      <c r="D1142" s="66">
        <f>Gia_VLieu!D5</f>
        <v>1450000</v>
      </c>
      <c r="E1142" s="53">
        <v>0.25</v>
      </c>
      <c r="F1142" s="16">
        <f t="shared" ref="F1142:F1150" si="81">D1142*E1142</f>
        <v>362500</v>
      </c>
      <c r="H1142" s="10">
        <v>1138</v>
      </c>
    </row>
    <row r="1143" spans="1:8" s="3" customFormat="1">
      <c r="A1143" s="13">
        <v>3</v>
      </c>
      <c r="B1143" s="5" t="s">
        <v>87</v>
      </c>
      <c r="C1143" s="6" t="e">
        <f>Gia_VLieu!#REF!</f>
        <v>#REF!</v>
      </c>
      <c r="D1143" s="66" t="e">
        <f>Gia_VLieu!#REF!</f>
        <v>#REF!</v>
      </c>
      <c r="E1143" s="53">
        <v>0.15</v>
      </c>
      <c r="F1143" s="16" t="e">
        <f t="shared" si="81"/>
        <v>#REF!</v>
      </c>
      <c r="H1143" s="10">
        <v>1139</v>
      </c>
    </row>
    <row r="1144" spans="1:8" s="3" customFormat="1">
      <c r="A1144" s="13">
        <v>4</v>
      </c>
      <c r="B1144" s="5" t="s">
        <v>88</v>
      </c>
      <c r="C1144" s="6" t="str">
        <f>Gia_VLieu!C6</f>
        <v>Quyển</v>
      </c>
      <c r="D1144" s="66">
        <f>Gia_VLieu!D6</f>
        <v>10000</v>
      </c>
      <c r="E1144" s="53">
        <v>4</v>
      </c>
      <c r="F1144" s="16">
        <f t="shared" si="81"/>
        <v>40000</v>
      </c>
      <c r="H1144" s="10">
        <v>1140</v>
      </c>
    </row>
    <row r="1145" spans="1:8" s="3" customFormat="1">
      <c r="A1145" s="13">
        <v>5</v>
      </c>
      <c r="B1145" s="5" t="s">
        <v>22</v>
      </c>
      <c r="C1145" s="6" t="str">
        <f>Gia_VLieu!C7</f>
        <v>Cái</v>
      </c>
      <c r="D1145" s="66">
        <f>Gia_VLieu!D7</f>
        <v>2000</v>
      </c>
      <c r="E1145" s="53">
        <v>6</v>
      </c>
      <c r="F1145" s="16">
        <f t="shared" si="81"/>
        <v>12000</v>
      </c>
      <c r="H1145" s="10">
        <v>1141</v>
      </c>
    </row>
    <row r="1146" spans="1:8" s="3" customFormat="1">
      <c r="A1146" s="13">
        <v>6</v>
      </c>
      <c r="B1146" s="5" t="s">
        <v>89</v>
      </c>
      <c r="C1146" s="6" t="str">
        <f>Gia_VLieu!C8</f>
        <v>Cái</v>
      </c>
      <c r="D1146" s="66">
        <f>Gia_VLieu!D8</f>
        <v>8000</v>
      </c>
      <c r="E1146" s="53">
        <v>2</v>
      </c>
      <c r="F1146" s="16">
        <f t="shared" si="81"/>
        <v>16000</v>
      </c>
      <c r="H1146" s="10">
        <v>1142</v>
      </c>
    </row>
    <row r="1147" spans="1:8" s="3" customFormat="1">
      <c r="A1147" s="13">
        <v>7</v>
      </c>
      <c r="B1147" s="5" t="s">
        <v>90</v>
      </c>
      <c r="C1147" s="6" t="str">
        <f>Gia_VLieu!C9</f>
        <v>Cái</v>
      </c>
      <c r="D1147" s="66">
        <f>Gia_VLieu!D9</f>
        <v>10000</v>
      </c>
      <c r="E1147" s="53">
        <v>2</v>
      </c>
      <c r="F1147" s="16">
        <f t="shared" si="81"/>
        <v>20000</v>
      </c>
      <c r="H1147" s="10">
        <v>1143</v>
      </c>
    </row>
    <row r="1148" spans="1:8" s="3" customFormat="1">
      <c r="A1148" s="13">
        <v>8</v>
      </c>
      <c r="B1148" s="5" t="s">
        <v>91</v>
      </c>
      <c r="C1148" s="6" t="str">
        <f>Gia_VLieu!C10</f>
        <v>Hộp</v>
      </c>
      <c r="D1148" s="66">
        <f>Gia_VLieu!D10</f>
        <v>2500</v>
      </c>
      <c r="E1148" s="53">
        <v>1.5</v>
      </c>
      <c r="F1148" s="16">
        <f t="shared" si="81"/>
        <v>3750</v>
      </c>
      <c r="H1148" s="10">
        <v>1144</v>
      </c>
    </row>
    <row r="1149" spans="1:8" s="3" customFormat="1">
      <c r="A1149" s="13">
        <v>9</v>
      </c>
      <c r="B1149" s="5" t="s">
        <v>92</v>
      </c>
      <c r="C1149" s="6" t="str">
        <f>Gia_VLieu!C11</f>
        <v>Hộp</v>
      </c>
      <c r="D1149" s="66">
        <f>Gia_VLieu!D11</f>
        <v>2000</v>
      </c>
      <c r="E1149" s="53">
        <v>1.2</v>
      </c>
      <c r="F1149" s="16">
        <f t="shared" si="81"/>
        <v>2400</v>
      </c>
      <c r="H1149" s="10">
        <v>1145</v>
      </c>
    </row>
    <row r="1150" spans="1:8" s="3" customFormat="1">
      <c r="A1150" s="13">
        <v>10</v>
      </c>
      <c r="B1150" s="5" t="s">
        <v>93</v>
      </c>
      <c r="C1150" s="6" t="str">
        <f>Gia_VLieu!C12</f>
        <v>Tập</v>
      </c>
      <c r="D1150" s="66">
        <f>Gia_VLieu!D12</f>
        <v>8000</v>
      </c>
      <c r="E1150" s="53">
        <v>1.6</v>
      </c>
      <c r="F1150" s="16">
        <f t="shared" si="81"/>
        <v>12800</v>
      </c>
      <c r="H1150" s="10">
        <v>1146</v>
      </c>
    </row>
    <row r="1151" spans="1:8" s="3" customFormat="1">
      <c r="A1151" s="40">
        <v>11</v>
      </c>
      <c r="B1151" s="41" t="s">
        <v>94</v>
      </c>
      <c r="C1151" s="42" t="str">
        <f>Gia_VLieu!C13</f>
        <v>Cái</v>
      </c>
      <c r="D1151" s="67">
        <f>Gia_VLieu!D13</f>
        <v>15000</v>
      </c>
      <c r="E1151" s="54">
        <v>2</v>
      </c>
      <c r="F1151" s="38">
        <f>D1151*E1151</f>
        <v>30000</v>
      </c>
      <c r="H1151" s="10">
        <v>1147</v>
      </c>
    </row>
    <row r="1152" spans="1:8" s="33" customFormat="1">
      <c r="A1152" s="31" t="e">
        <f>#REF!</f>
        <v>#REF!</v>
      </c>
      <c r="B1152" s="32" t="e">
        <f>#REF!</f>
        <v>#REF!</v>
      </c>
      <c r="C1152" s="15"/>
      <c r="D1152" s="127">
        <f>Gia_VLieu!D$14</f>
        <v>1.08</v>
      </c>
      <c r="E1152" s="45"/>
      <c r="F1152" s="18" t="e">
        <f>SUM(F1153:F1163)*D1152</f>
        <v>#REF!</v>
      </c>
      <c r="H1152" s="10">
        <v>1148</v>
      </c>
    </row>
    <row r="1153" spans="1:8" s="3" customFormat="1">
      <c r="A1153" s="13">
        <v>1</v>
      </c>
      <c r="B1153" s="5" t="s">
        <v>85</v>
      </c>
      <c r="C1153" s="6" t="str">
        <f>Gia_VLieu!C4</f>
        <v>Gram</v>
      </c>
      <c r="D1153" s="66">
        <f>Gia_VLieu!D4</f>
        <v>45000</v>
      </c>
      <c r="E1153" s="53">
        <v>3.6</v>
      </c>
      <c r="F1153" s="16">
        <f>D1153*E1153</f>
        <v>162000</v>
      </c>
      <c r="H1153" s="10">
        <v>1149</v>
      </c>
    </row>
    <row r="1154" spans="1:8" s="3" customFormat="1">
      <c r="A1154" s="13">
        <v>2</v>
      </c>
      <c r="B1154" s="5" t="s">
        <v>86</v>
      </c>
      <c r="C1154" s="6" t="str">
        <f>Gia_VLieu!C5</f>
        <v>Hộp</v>
      </c>
      <c r="D1154" s="66">
        <f>Gia_VLieu!D5</f>
        <v>1450000</v>
      </c>
      <c r="E1154" s="53">
        <v>1.6</v>
      </c>
      <c r="F1154" s="16">
        <f t="shared" ref="F1154:F1162" si="82">D1154*E1154</f>
        <v>2320000</v>
      </c>
      <c r="H1154" s="10">
        <v>1150</v>
      </c>
    </row>
    <row r="1155" spans="1:8" s="3" customFormat="1">
      <c r="A1155" s="13">
        <v>3</v>
      </c>
      <c r="B1155" s="5" t="s">
        <v>87</v>
      </c>
      <c r="C1155" s="6" t="e">
        <f>Gia_VLieu!#REF!</f>
        <v>#REF!</v>
      </c>
      <c r="D1155" s="66" t="e">
        <f>Gia_VLieu!#REF!</f>
        <v>#REF!</v>
      </c>
      <c r="E1155" s="53">
        <v>1.2</v>
      </c>
      <c r="F1155" s="16" t="e">
        <f t="shared" si="82"/>
        <v>#REF!</v>
      </c>
      <c r="H1155" s="10">
        <v>1151</v>
      </c>
    </row>
    <row r="1156" spans="1:8" s="3" customFormat="1">
      <c r="A1156" s="13">
        <v>4</v>
      </c>
      <c r="B1156" s="5" t="s">
        <v>88</v>
      </c>
      <c r="C1156" s="6" t="str">
        <f>Gia_VLieu!C6</f>
        <v>Quyển</v>
      </c>
      <c r="D1156" s="66">
        <f>Gia_VLieu!D6</f>
        <v>10000</v>
      </c>
      <c r="E1156" s="53">
        <v>12</v>
      </c>
      <c r="F1156" s="16">
        <f t="shared" si="82"/>
        <v>120000</v>
      </c>
      <c r="H1156" s="10">
        <v>1152</v>
      </c>
    </row>
    <row r="1157" spans="1:8" s="3" customFormat="1">
      <c r="A1157" s="13">
        <v>5</v>
      </c>
      <c r="B1157" s="5" t="s">
        <v>22</v>
      </c>
      <c r="C1157" s="6" t="str">
        <f>Gia_VLieu!C7</f>
        <v>Cái</v>
      </c>
      <c r="D1157" s="66">
        <f>Gia_VLieu!D7</f>
        <v>2000</v>
      </c>
      <c r="E1157" s="53">
        <v>16</v>
      </c>
      <c r="F1157" s="16">
        <f t="shared" si="82"/>
        <v>32000</v>
      </c>
      <c r="H1157" s="10">
        <v>1153</v>
      </c>
    </row>
    <row r="1158" spans="1:8" s="3" customFormat="1">
      <c r="A1158" s="13">
        <v>6</v>
      </c>
      <c r="B1158" s="5" t="s">
        <v>89</v>
      </c>
      <c r="C1158" s="6" t="str">
        <f>Gia_VLieu!C8</f>
        <v>Cái</v>
      </c>
      <c r="D1158" s="66">
        <f>Gia_VLieu!D8</f>
        <v>8000</v>
      </c>
      <c r="E1158" s="53">
        <v>8</v>
      </c>
      <c r="F1158" s="16">
        <f t="shared" si="82"/>
        <v>64000</v>
      </c>
      <c r="H1158" s="10">
        <v>1154</v>
      </c>
    </row>
    <row r="1159" spans="1:8" s="3" customFormat="1">
      <c r="A1159" s="13">
        <v>7</v>
      </c>
      <c r="B1159" s="5" t="s">
        <v>90</v>
      </c>
      <c r="C1159" s="6" t="str">
        <f>Gia_VLieu!C9</f>
        <v>Cái</v>
      </c>
      <c r="D1159" s="66">
        <f>Gia_VLieu!D9</f>
        <v>10000</v>
      </c>
      <c r="E1159" s="53">
        <v>6</v>
      </c>
      <c r="F1159" s="16">
        <f t="shared" si="82"/>
        <v>60000</v>
      </c>
      <c r="H1159" s="10">
        <v>1155</v>
      </c>
    </row>
    <row r="1160" spans="1:8" s="3" customFormat="1">
      <c r="A1160" s="13">
        <v>8</v>
      </c>
      <c r="B1160" s="5" t="s">
        <v>91</v>
      </c>
      <c r="C1160" s="6" t="str">
        <f>Gia_VLieu!C10</f>
        <v>Hộp</v>
      </c>
      <c r="D1160" s="66">
        <f>Gia_VLieu!D10</f>
        <v>2500</v>
      </c>
      <c r="E1160" s="53">
        <v>4</v>
      </c>
      <c r="F1160" s="16">
        <f t="shared" si="82"/>
        <v>10000</v>
      </c>
      <c r="H1160" s="10">
        <v>1156</v>
      </c>
    </row>
    <row r="1161" spans="1:8" s="3" customFormat="1">
      <c r="A1161" s="13">
        <v>9</v>
      </c>
      <c r="B1161" s="5" t="s">
        <v>92</v>
      </c>
      <c r="C1161" s="6" t="str">
        <f>Gia_VLieu!C11</f>
        <v>Hộp</v>
      </c>
      <c r="D1161" s="66">
        <f>Gia_VLieu!D11</f>
        <v>2000</v>
      </c>
      <c r="E1161" s="53">
        <v>5</v>
      </c>
      <c r="F1161" s="16">
        <f t="shared" si="82"/>
        <v>10000</v>
      </c>
      <c r="H1161" s="10">
        <v>1157</v>
      </c>
    </row>
    <row r="1162" spans="1:8" s="3" customFormat="1">
      <c r="A1162" s="13">
        <v>10</v>
      </c>
      <c r="B1162" s="5" t="s">
        <v>93</v>
      </c>
      <c r="C1162" s="6" t="str">
        <f>Gia_VLieu!C12</f>
        <v>Tập</v>
      </c>
      <c r="D1162" s="66">
        <f>Gia_VLieu!D12</f>
        <v>8000</v>
      </c>
      <c r="E1162" s="53">
        <v>6</v>
      </c>
      <c r="F1162" s="16">
        <f t="shared" si="82"/>
        <v>48000</v>
      </c>
      <c r="H1162" s="10">
        <v>1158</v>
      </c>
    </row>
    <row r="1163" spans="1:8" s="3" customFormat="1">
      <c r="A1163" s="40">
        <v>11</v>
      </c>
      <c r="B1163" s="41" t="s">
        <v>94</v>
      </c>
      <c r="C1163" s="42" t="str">
        <f>Gia_VLieu!C13</f>
        <v>Cái</v>
      </c>
      <c r="D1163" s="67">
        <f>Gia_VLieu!D13</f>
        <v>15000</v>
      </c>
      <c r="E1163" s="54">
        <v>9</v>
      </c>
      <c r="F1163" s="38">
        <f>D1163*E1163</f>
        <v>135000</v>
      </c>
      <c r="H1163" s="10">
        <v>1159</v>
      </c>
    </row>
    <row r="1164" spans="1:8" s="33" customFormat="1">
      <c r="A1164" s="31" t="e">
        <f>#REF!</f>
        <v>#REF!</v>
      </c>
      <c r="B1164" s="32" t="e">
        <f>#REF!</f>
        <v>#REF!</v>
      </c>
      <c r="C1164" s="15"/>
      <c r="D1164" s="70"/>
      <c r="E1164" s="45"/>
      <c r="F1164" s="18"/>
      <c r="H1164" s="10">
        <v>1160</v>
      </c>
    </row>
    <row r="1165" spans="1:8" s="14" customFormat="1">
      <c r="A1165" s="12" t="e">
        <f>#REF!</f>
        <v>#REF!</v>
      </c>
      <c r="B1165" s="8" t="e">
        <f>#REF!</f>
        <v>#REF!</v>
      </c>
      <c r="C1165" s="7"/>
      <c r="D1165" s="72"/>
      <c r="E1165" s="48"/>
      <c r="F1165" s="17"/>
      <c r="H1165" s="10">
        <v>1161</v>
      </c>
    </row>
    <row r="1166" spans="1:8" s="33" customFormat="1">
      <c r="A1166" s="31" t="e">
        <f>#REF!</f>
        <v>#REF!</v>
      </c>
      <c r="B1166" s="32" t="e">
        <f>#REF!</f>
        <v>#REF!</v>
      </c>
      <c r="C1166" s="15"/>
      <c r="D1166" s="70"/>
      <c r="E1166" s="45"/>
      <c r="F1166" s="18"/>
      <c r="H1166" s="10">
        <v>1162</v>
      </c>
    </row>
    <row r="1167" spans="1:8" s="33" customFormat="1">
      <c r="A1167" s="31" t="e">
        <f>#REF!</f>
        <v>#REF!</v>
      </c>
      <c r="B1167" s="32" t="e">
        <f>#REF!</f>
        <v>#REF!</v>
      </c>
      <c r="C1167" s="15"/>
      <c r="D1167" s="127">
        <f>Gia_VLieu!D$14</f>
        <v>1.08</v>
      </c>
      <c r="E1167" s="45"/>
      <c r="F1167" s="18" t="e">
        <f>SUM(F1168:F1178)*D1167</f>
        <v>#REF!</v>
      </c>
      <c r="H1167" s="10">
        <v>1163</v>
      </c>
    </row>
    <row r="1168" spans="1:8" s="3" customFormat="1">
      <c r="A1168" s="13">
        <v>1</v>
      </c>
      <c r="B1168" s="5" t="s">
        <v>85</v>
      </c>
      <c r="C1168" s="6" t="str">
        <f>Gia_VLieu!C4</f>
        <v>Gram</v>
      </c>
      <c r="D1168" s="66">
        <f>Gia_VLieu!D4</f>
        <v>45000</v>
      </c>
      <c r="E1168" s="53">
        <v>2E-3</v>
      </c>
      <c r="F1168" s="16">
        <f>D1168*E1168</f>
        <v>90</v>
      </c>
      <c r="H1168" s="10">
        <v>1164</v>
      </c>
    </row>
    <row r="1169" spans="1:8" s="3" customFormat="1">
      <c r="A1169" s="13">
        <v>2</v>
      </c>
      <c r="B1169" s="5" t="s">
        <v>86</v>
      </c>
      <c r="C1169" s="6" t="str">
        <f>Gia_VLieu!C5</f>
        <v>Hộp</v>
      </c>
      <c r="D1169" s="66">
        <f>Gia_VLieu!D5</f>
        <v>1450000</v>
      </c>
      <c r="E1169" s="53">
        <v>1E-3</v>
      </c>
      <c r="F1169" s="16">
        <f t="shared" ref="F1169:F1177" si="83">D1169*E1169</f>
        <v>1450</v>
      </c>
      <c r="H1169" s="10">
        <v>1165</v>
      </c>
    </row>
    <row r="1170" spans="1:8" s="3" customFormat="1">
      <c r="A1170" s="13">
        <v>3</v>
      </c>
      <c r="B1170" s="5" t="s">
        <v>87</v>
      </c>
      <c r="C1170" s="6" t="e">
        <f>Gia_VLieu!#REF!</f>
        <v>#REF!</v>
      </c>
      <c r="D1170" s="66" t="e">
        <f>Gia_VLieu!#REF!</f>
        <v>#REF!</v>
      </c>
      <c r="E1170" s="53">
        <v>0</v>
      </c>
      <c r="F1170" s="16" t="e">
        <f t="shared" si="83"/>
        <v>#REF!</v>
      </c>
      <c r="H1170" s="10">
        <v>1166</v>
      </c>
    </row>
    <row r="1171" spans="1:8" s="3" customFormat="1">
      <c r="A1171" s="13">
        <v>4</v>
      </c>
      <c r="B1171" s="5" t="s">
        <v>88</v>
      </c>
      <c r="C1171" s="6" t="str">
        <f>Gia_VLieu!C6</f>
        <v>Quyển</v>
      </c>
      <c r="D1171" s="66">
        <f>Gia_VLieu!D6</f>
        <v>10000</v>
      </c>
      <c r="E1171" s="53">
        <v>0.05</v>
      </c>
      <c r="F1171" s="16">
        <f t="shared" si="83"/>
        <v>500</v>
      </c>
      <c r="H1171" s="10">
        <v>1167</v>
      </c>
    </row>
    <row r="1172" spans="1:8" s="3" customFormat="1">
      <c r="A1172" s="13">
        <v>5</v>
      </c>
      <c r="B1172" s="5" t="s">
        <v>22</v>
      </c>
      <c r="C1172" s="6" t="str">
        <f>Gia_VLieu!C7</f>
        <v>Cái</v>
      </c>
      <c r="D1172" s="66">
        <f>Gia_VLieu!D7</f>
        <v>2000</v>
      </c>
      <c r="E1172" s="53">
        <v>8.0000000000000002E-3</v>
      </c>
      <c r="F1172" s="16">
        <f t="shared" si="83"/>
        <v>16</v>
      </c>
      <c r="H1172" s="10">
        <v>1168</v>
      </c>
    </row>
    <row r="1173" spans="1:8" s="3" customFormat="1">
      <c r="A1173" s="13">
        <v>6</v>
      </c>
      <c r="B1173" s="5" t="s">
        <v>89</v>
      </c>
      <c r="C1173" s="6" t="str">
        <f>Gia_VLieu!C8</f>
        <v>Cái</v>
      </c>
      <c r="D1173" s="66">
        <f>Gia_VLieu!D8</f>
        <v>8000</v>
      </c>
      <c r="E1173" s="53">
        <v>6.0000000000000001E-3</v>
      </c>
      <c r="F1173" s="16">
        <f t="shared" si="83"/>
        <v>48</v>
      </c>
      <c r="H1173" s="10">
        <v>1169</v>
      </c>
    </row>
    <row r="1174" spans="1:8" s="3" customFormat="1">
      <c r="A1174" s="13">
        <v>7</v>
      </c>
      <c r="B1174" s="5" t="s">
        <v>90</v>
      </c>
      <c r="C1174" s="6" t="str">
        <f>Gia_VLieu!C9</f>
        <v>Cái</v>
      </c>
      <c r="D1174" s="66">
        <f>Gia_VLieu!D9</f>
        <v>10000</v>
      </c>
      <c r="E1174" s="53">
        <v>6.0000000000000001E-3</v>
      </c>
      <c r="F1174" s="16">
        <f t="shared" si="83"/>
        <v>60</v>
      </c>
      <c r="H1174" s="10">
        <v>1170</v>
      </c>
    </row>
    <row r="1175" spans="1:8" s="3" customFormat="1">
      <c r="A1175" s="13">
        <v>8</v>
      </c>
      <c r="B1175" s="5" t="s">
        <v>91</v>
      </c>
      <c r="C1175" s="6" t="str">
        <f>Gia_VLieu!C10</f>
        <v>Hộp</v>
      </c>
      <c r="D1175" s="66">
        <f>Gia_VLieu!D10</f>
        <v>2500</v>
      </c>
      <c r="E1175" s="53">
        <v>0.01</v>
      </c>
      <c r="F1175" s="16">
        <f t="shared" si="83"/>
        <v>25</v>
      </c>
      <c r="H1175" s="10">
        <v>1171</v>
      </c>
    </row>
    <row r="1176" spans="1:8" s="3" customFormat="1">
      <c r="A1176" s="13">
        <v>9</v>
      </c>
      <c r="B1176" s="5" t="s">
        <v>92</v>
      </c>
      <c r="C1176" s="6" t="str">
        <f>Gia_VLieu!C11</f>
        <v>Hộp</v>
      </c>
      <c r="D1176" s="66">
        <f>Gia_VLieu!D11</f>
        <v>2000</v>
      </c>
      <c r="E1176" s="53">
        <v>0.01</v>
      </c>
      <c r="F1176" s="16">
        <f t="shared" si="83"/>
        <v>20</v>
      </c>
      <c r="H1176" s="10">
        <v>1172</v>
      </c>
    </row>
    <row r="1177" spans="1:8" s="3" customFormat="1">
      <c r="A1177" s="13">
        <v>10</v>
      </c>
      <c r="B1177" s="5" t="s">
        <v>93</v>
      </c>
      <c r="C1177" s="6" t="str">
        <f>Gia_VLieu!C12</f>
        <v>Tập</v>
      </c>
      <c r="D1177" s="66">
        <f>Gia_VLieu!D12</f>
        <v>8000</v>
      </c>
      <c r="E1177" s="53">
        <v>5.0000000000000001E-3</v>
      </c>
      <c r="F1177" s="16">
        <f t="shared" si="83"/>
        <v>40</v>
      </c>
      <c r="H1177" s="10">
        <v>1173</v>
      </c>
    </row>
    <row r="1178" spans="1:8" s="3" customFormat="1">
      <c r="A1178" s="40">
        <v>11</v>
      </c>
      <c r="B1178" s="41" t="s">
        <v>94</v>
      </c>
      <c r="C1178" s="42" t="str">
        <f>Gia_VLieu!C13</f>
        <v>Cái</v>
      </c>
      <c r="D1178" s="67">
        <f>Gia_VLieu!D13</f>
        <v>15000</v>
      </c>
      <c r="E1178" s="54">
        <v>7.0000000000000001E-3</v>
      </c>
      <c r="F1178" s="38">
        <f>D1178*E1178</f>
        <v>105</v>
      </c>
      <c r="H1178" s="10">
        <v>1174</v>
      </c>
    </row>
    <row r="1179" spans="1:8" s="33" customFormat="1">
      <c r="A1179" s="31" t="e">
        <f>#REF!</f>
        <v>#REF!</v>
      </c>
      <c r="B1179" s="32" t="e">
        <f>#REF!</f>
        <v>#REF!</v>
      </c>
      <c r="C1179" s="15"/>
      <c r="D1179" s="127">
        <f>Gia_VLieu!D$14</f>
        <v>1.08</v>
      </c>
      <c r="E1179" s="45"/>
      <c r="F1179" s="18" t="e">
        <f>SUM(F1180:F1190)*D1179</f>
        <v>#REF!</v>
      </c>
      <c r="H1179" s="10">
        <v>1175</v>
      </c>
    </row>
    <row r="1180" spans="1:8" s="3" customFormat="1">
      <c r="A1180" s="13">
        <v>1</v>
      </c>
      <c r="B1180" s="5" t="s">
        <v>85</v>
      </c>
      <c r="C1180" s="6" t="str">
        <f>Gia_VLieu!C4</f>
        <v>Gram</v>
      </c>
      <c r="D1180" s="66">
        <f>Gia_VLieu!D4</f>
        <v>45000</v>
      </c>
      <c r="E1180" s="53">
        <v>2E-3</v>
      </c>
      <c r="F1180" s="16">
        <f>D1180*E1180</f>
        <v>90</v>
      </c>
      <c r="H1180" s="10">
        <v>1176</v>
      </c>
    </row>
    <row r="1181" spans="1:8" s="3" customFormat="1">
      <c r="A1181" s="13">
        <v>2</v>
      </c>
      <c r="B1181" s="5" t="s">
        <v>86</v>
      </c>
      <c r="C1181" s="6" t="str">
        <f>Gia_VLieu!C5</f>
        <v>Hộp</v>
      </c>
      <c r="D1181" s="66">
        <f>Gia_VLieu!D5</f>
        <v>1450000</v>
      </c>
      <c r="E1181" s="53">
        <v>1E-3</v>
      </c>
      <c r="F1181" s="16">
        <f t="shared" ref="F1181:F1189" si="84">D1181*E1181</f>
        <v>1450</v>
      </c>
      <c r="H1181" s="10">
        <v>1177</v>
      </c>
    </row>
    <row r="1182" spans="1:8" s="3" customFormat="1">
      <c r="A1182" s="13">
        <v>3</v>
      </c>
      <c r="B1182" s="5" t="s">
        <v>87</v>
      </c>
      <c r="C1182" s="6" t="e">
        <f>Gia_VLieu!#REF!</f>
        <v>#REF!</v>
      </c>
      <c r="D1182" s="66" t="e">
        <f>Gia_VLieu!#REF!</f>
        <v>#REF!</v>
      </c>
      <c r="E1182" s="53">
        <v>0</v>
      </c>
      <c r="F1182" s="16" t="e">
        <f t="shared" si="84"/>
        <v>#REF!</v>
      </c>
      <c r="H1182" s="10">
        <v>1178</v>
      </c>
    </row>
    <row r="1183" spans="1:8" s="3" customFormat="1">
      <c r="A1183" s="13">
        <v>4</v>
      </c>
      <c r="B1183" s="5" t="s">
        <v>88</v>
      </c>
      <c r="C1183" s="6" t="str">
        <f>Gia_VLieu!C6</f>
        <v>Quyển</v>
      </c>
      <c r="D1183" s="66">
        <f>Gia_VLieu!D6</f>
        <v>10000</v>
      </c>
      <c r="E1183" s="53">
        <v>0.05</v>
      </c>
      <c r="F1183" s="16">
        <f t="shared" si="84"/>
        <v>500</v>
      </c>
      <c r="H1183" s="10">
        <v>1179</v>
      </c>
    </row>
    <row r="1184" spans="1:8" s="3" customFormat="1">
      <c r="A1184" s="13">
        <v>5</v>
      </c>
      <c r="B1184" s="5" t="s">
        <v>22</v>
      </c>
      <c r="C1184" s="6" t="str">
        <f>Gia_VLieu!C7</f>
        <v>Cái</v>
      </c>
      <c r="D1184" s="66">
        <f>Gia_VLieu!D7</f>
        <v>2000</v>
      </c>
      <c r="E1184" s="53">
        <v>8.0000000000000002E-3</v>
      </c>
      <c r="F1184" s="16">
        <f t="shared" si="84"/>
        <v>16</v>
      </c>
      <c r="H1184" s="10">
        <v>1180</v>
      </c>
    </row>
    <row r="1185" spans="1:8" s="3" customFormat="1">
      <c r="A1185" s="13">
        <v>6</v>
      </c>
      <c r="B1185" s="5" t="s">
        <v>89</v>
      </c>
      <c r="C1185" s="6" t="str">
        <f>Gia_VLieu!C8</f>
        <v>Cái</v>
      </c>
      <c r="D1185" s="66">
        <f>Gia_VLieu!D8</f>
        <v>8000</v>
      </c>
      <c r="E1185" s="53">
        <v>6.0000000000000001E-3</v>
      </c>
      <c r="F1185" s="16">
        <f t="shared" si="84"/>
        <v>48</v>
      </c>
      <c r="H1185" s="10">
        <v>1181</v>
      </c>
    </row>
    <row r="1186" spans="1:8" s="3" customFormat="1">
      <c r="A1186" s="13">
        <v>7</v>
      </c>
      <c r="B1186" s="5" t="s">
        <v>90</v>
      </c>
      <c r="C1186" s="6" t="str">
        <f>Gia_VLieu!C9</f>
        <v>Cái</v>
      </c>
      <c r="D1186" s="66">
        <f>Gia_VLieu!D9</f>
        <v>10000</v>
      </c>
      <c r="E1186" s="53">
        <v>6.0000000000000001E-3</v>
      </c>
      <c r="F1186" s="16">
        <f t="shared" si="84"/>
        <v>60</v>
      </c>
      <c r="H1186" s="10">
        <v>1182</v>
      </c>
    </row>
    <row r="1187" spans="1:8" s="3" customFormat="1">
      <c r="A1187" s="13">
        <v>8</v>
      </c>
      <c r="B1187" s="5" t="s">
        <v>91</v>
      </c>
      <c r="C1187" s="6" t="str">
        <f>Gia_VLieu!C10</f>
        <v>Hộp</v>
      </c>
      <c r="D1187" s="66">
        <f>Gia_VLieu!D10</f>
        <v>2500</v>
      </c>
      <c r="E1187" s="53">
        <v>0.01</v>
      </c>
      <c r="F1187" s="16">
        <f t="shared" si="84"/>
        <v>25</v>
      </c>
      <c r="H1187" s="10">
        <v>1183</v>
      </c>
    </row>
    <row r="1188" spans="1:8" s="3" customFormat="1">
      <c r="A1188" s="13">
        <v>9</v>
      </c>
      <c r="B1188" s="5" t="s">
        <v>92</v>
      </c>
      <c r="C1188" s="6" t="str">
        <f>Gia_VLieu!C11</f>
        <v>Hộp</v>
      </c>
      <c r="D1188" s="66">
        <f>Gia_VLieu!D11</f>
        <v>2000</v>
      </c>
      <c r="E1188" s="53">
        <v>0.01</v>
      </c>
      <c r="F1188" s="16">
        <f t="shared" si="84"/>
        <v>20</v>
      </c>
      <c r="H1188" s="10">
        <v>1184</v>
      </c>
    </row>
    <row r="1189" spans="1:8" s="3" customFormat="1">
      <c r="A1189" s="13">
        <v>10</v>
      </c>
      <c r="B1189" s="5" t="s">
        <v>93</v>
      </c>
      <c r="C1189" s="6" t="str">
        <f>Gia_VLieu!C12</f>
        <v>Tập</v>
      </c>
      <c r="D1189" s="66">
        <f>Gia_VLieu!D12</f>
        <v>8000</v>
      </c>
      <c r="E1189" s="53">
        <v>5.0000000000000001E-3</v>
      </c>
      <c r="F1189" s="16">
        <f t="shared" si="84"/>
        <v>40</v>
      </c>
      <c r="H1189" s="10">
        <v>1185</v>
      </c>
    </row>
    <row r="1190" spans="1:8" s="3" customFormat="1">
      <c r="A1190" s="40">
        <v>11</v>
      </c>
      <c r="B1190" s="41" t="s">
        <v>94</v>
      </c>
      <c r="C1190" s="42" t="str">
        <f>Gia_VLieu!C13</f>
        <v>Cái</v>
      </c>
      <c r="D1190" s="67">
        <f>Gia_VLieu!D13</f>
        <v>15000</v>
      </c>
      <c r="E1190" s="54">
        <v>7.0000000000000001E-3</v>
      </c>
      <c r="F1190" s="38">
        <f>D1190*E1190</f>
        <v>105</v>
      </c>
      <c r="H1190" s="10">
        <v>1186</v>
      </c>
    </row>
    <row r="1191" spans="1:8" s="33" customFormat="1">
      <c r="A1191" s="31" t="e">
        <f>#REF!</f>
        <v>#REF!</v>
      </c>
      <c r="B1191" s="32" t="e">
        <f>#REF!</f>
        <v>#REF!</v>
      </c>
      <c r="C1191" s="15"/>
      <c r="D1191" s="70"/>
      <c r="E1191" s="45"/>
      <c r="F1191" s="18"/>
      <c r="H1191" s="10">
        <v>1187</v>
      </c>
    </row>
    <row r="1192" spans="1:8" s="33" customFormat="1">
      <c r="A1192" s="31" t="e">
        <f>#REF!</f>
        <v>#REF!</v>
      </c>
      <c r="B1192" s="32" t="e">
        <f>#REF!</f>
        <v>#REF!</v>
      </c>
      <c r="C1192" s="15"/>
      <c r="D1192" s="127">
        <f>Gia_VLieu!D$14</f>
        <v>1.08</v>
      </c>
      <c r="E1192" s="45"/>
      <c r="F1192" s="18" t="e">
        <f>SUM(F1193:F1203)*D1192</f>
        <v>#REF!</v>
      </c>
      <c r="H1192" s="10">
        <v>1188</v>
      </c>
    </row>
    <row r="1193" spans="1:8" s="3" customFormat="1">
      <c r="A1193" s="13">
        <v>1</v>
      </c>
      <c r="B1193" s="5" t="s">
        <v>85</v>
      </c>
      <c r="C1193" s="6" t="str">
        <f>Gia_VLieu!C4</f>
        <v>Gram</v>
      </c>
      <c r="D1193" s="66">
        <f>Gia_VLieu!D4</f>
        <v>45000</v>
      </c>
      <c r="E1193" s="53">
        <v>2E-3</v>
      </c>
      <c r="F1193" s="16">
        <f>D1193*E1193</f>
        <v>90</v>
      </c>
      <c r="H1193" s="10">
        <v>1189</v>
      </c>
    </row>
    <row r="1194" spans="1:8" s="3" customFormat="1">
      <c r="A1194" s="13">
        <v>2</v>
      </c>
      <c r="B1194" s="5" t="s">
        <v>86</v>
      </c>
      <c r="C1194" s="6" t="str">
        <f>Gia_VLieu!C5</f>
        <v>Hộp</v>
      </c>
      <c r="D1194" s="66">
        <f>Gia_VLieu!D5</f>
        <v>1450000</v>
      </c>
      <c r="E1194" s="53">
        <v>1E-3</v>
      </c>
      <c r="F1194" s="16">
        <f t="shared" ref="F1194:F1202" si="85">D1194*E1194</f>
        <v>1450</v>
      </c>
      <c r="H1194" s="10">
        <v>1190</v>
      </c>
    </row>
    <row r="1195" spans="1:8" s="3" customFormat="1">
      <c r="A1195" s="13">
        <v>3</v>
      </c>
      <c r="B1195" s="5" t="s">
        <v>87</v>
      </c>
      <c r="C1195" s="6" t="e">
        <f>Gia_VLieu!#REF!</f>
        <v>#REF!</v>
      </c>
      <c r="D1195" s="66" t="e">
        <f>Gia_VLieu!#REF!</f>
        <v>#REF!</v>
      </c>
      <c r="E1195" s="53">
        <v>0</v>
      </c>
      <c r="F1195" s="16" t="e">
        <f t="shared" si="85"/>
        <v>#REF!</v>
      </c>
      <c r="H1195" s="10">
        <v>1191</v>
      </c>
    </row>
    <row r="1196" spans="1:8" s="3" customFormat="1">
      <c r="A1196" s="13">
        <v>4</v>
      </c>
      <c r="B1196" s="5" t="s">
        <v>88</v>
      </c>
      <c r="C1196" s="6" t="str">
        <f>Gia_VLieu!C6</f>
        <v>Quyển</v>
      </c>
      <c r="D1196" s="66">
        <f>Gia_VLieu!D6</f>
        <v>10000</v>
      </c>
      <c r="E1196" s="53">
        <v>0.05</v>
      </c>
      <c r="F1196" s="16">
        <f t="shared" si="85"/>
        <v>500</v>
      </c>
      <c r="H1196" s="10">
        <v>1192</v>
      </c>
    </row>
    <row r="1197" spans="1:8" s="3" customFormat="1">
      <c r="A1197" s="13">
        <v>5</v>
      </c>
      <c r="B1197" s="5" t="s">
        <v>22</v>
      </c>
      <c r="C1197" s="6" t="str">
        <f>Gia_VLieu!C7</f>
        <v>Cái</v>
      </c>
      <c r="D1197" s="66">
        <f>Gia_VLieu!D7</f>
        <v>2000</v>
      </c>
      <c r="E1197" s="53">
        <v>8.0000000000000002E-3</v>
      </c>
      <c r="F1197" s="16">
        <f t="shared" si="85"/>
        <v>16</v>
      </c>
      <c r="H1197" s="10">
        <v>1193</v>
      </c>
    </row>
    <row r="1198" spans="1:8" s="3" customFormat="1">
      <c r="A1198" s="13">
        <v>6</v>
      </c>
      <c r="B1198" s="5" t="s">
        <v>89</v>
      </c>
      <c r="C1198" s="6" t="str">
        <f>Gia_VLieu!C8</f>
        <v>Cái</v>
      </c>
      <c r="D1198" s="66">
        <f>Gia_VLieu!D8</f>
        <v>8000</v>
      </c>
      <c r="E1198" s="53">
        <v>6.0000000000000001E-3</v>
      </c>
      <c r="F1198" s="16">
        <f t="shared" si="85"/>
        <v>48</v>
      </c>
      <c r="H1198" s="10">
        <v>1194</v>
      </c>
    </row>
    <row r="1199" spans="1:8" s="3" customFormat="1">
      <c r="A1199" s="13">
        <v>7</v>
      </c>
      <c r="B1199" s="5" t="s">
        <v>90</v>
      </c>
      <c r="C1199" s="6" t="str">
        <f>Gia_VLieu!C9</f>
        <v>Cái</v>
      </c>
      <c r="D1199" s="66">
        <f>Gia_VLieu!D9</f>
        <v>10000</v>
      </c>
      <c r="E1199" s="53">
        <v>6.0000000000000001E-3</v>
      </c>
      <c r="F1199" s="16">
        <f t="shared" si="85"/>
        <v>60</v>
      </c>
      <c r="H1199" s="10">
        <v>1195</v>
      </c>
    </row>
    <row r="1200" spans="1:8" s="3" customFormat="1">
      <c r="A1200" s="13">
        <v>8</v>
      </c>
      <c r="B1200" s="5" t="s">
        <v>91</v>
      </c>
      <c r="C1200" s="6" t="str">
        <f>Gia_VLieu!C10</f>
        <v>Hộp</v>
      </c>
      <c r="D1200" s="66">
        <f>Gia_VLieu!D10</f>
        <v>2500</v>
      </c>
      <c r="E1200" s="53">
        <v>0.01</v>
      </c>
      <c r="F1200" s="16">
        <f t="shared" si="85"/>
        <v>25</v>
      </c>
      <c r="H1200" s="10">
        <v>1196</v>
      </c>
    </row>
    <row r="1201" spans="1:8" s="3" customFormat="1">
      <c r="A1201" s="13">
        <v>9</v>
      </c>
      <c r="B1201" s="5" t="s">
        <v>92</v>
      </c>
      <c r="C1201" s="6" t="str">
        <f>Gia_VLieu!C11</f>
        <v>Hộp</v>
      </c>
      <c r="D1201" s="66">
        <f>Gia_VLieu!D11</f>
        <v>2000</v>
      </c>
      <c r="E1201" s="53">
        <v>0.01</v>
      </c>
      <c r="F1201" s="16">
        <f t="shared" si="85"/>
        <v>20</v>
      </c>
      <c r="H1201" s="10">
        <v>1197</v>
      </c>
    </row>
    <row r="1202" spans="1:8" s="3" customFormat="1">
      <c r="A1202" s="13">
        <v>10</v>
      </c>
      <c r="B1202" s="5" t="s">
        <v>93</v>
      </c>
      <c r="C1202" s="6" t="str">
        <f>Gia_VLieu!C12</f>
        <v>Tập</v>
      </c>
      <c r="D1202" s="66">
        <f>Gia_VLieu!D12</f>
        <v>8000</v>
      </c>
      <c r="E1202" s="53">
        <v>5.0000000000000001E-3</v>
      </c>
      <c r="F1202" s="16">
        <f t="shared" si="85"/>
        <v>40</v>
      </c>
      <c r="H1202" s="10">
        <v>1198</v>
      </c>
    </row>
    <row r="1203" spans="1:8" s="3" customFormat="1">
      <c r="A1203" s="40">
        <v>11</v>
      </c>
      <c r="B1203" s="41" t="s">
        <v>94</v>
      </c>
      <c r="C1203" s="42" t="str">
        <f>Gia_VLieu!C13</f>
        <v>Cái</v>
      </c>
      <c r="D1203" s="67">
        <f>Gia_VLieu!D13</f>
        <v>15000</v>
      </c>
      <c r="E1203" s="54">
        <v>7.0000000000000001E-3</v>
      </c>
      <c r="F1203" s="38">
        <f>D1203*E1203</f>
        <v>105</v>
      </c>
      <c r="H1203" s="10">
        <v>1199</v>
      </c>
    </row>
    <row r="1204" spans="1:8" s="33" customFormat="1">
      <c r="A1204" s="31" t="e">
        <f>#REF!</f>
        <v>#REF!</v>
      </c>
      <c r="B1204" s="32" t="e">
        <f>#REF!</f>
        <v>#REF!</v>
      </c>
      <c r="C1204" s="15"/>
      <c r="D1204" s="127">
        <f>Gia_VLieu!D$14</f>
        <v>1.08</v>
      </c>
      <c r="E1204" s="45"/>
      <c r="F1204" s="18" t="e">
        <f>SUM(F1205:F1215)*D1204</f>
        <v>#REF!</v>
      </c>
      <c r="H1204" s="10">
        <v>1200</v>
      </c>
    </row>
    <row r="1205" spans="1:8" s="3" customFormat="1">
      <c r="A1205" s="13">
        <v>1</v>
      </c>
      <c r="B1205" s="5" t="s">
        <v>85</v>
      </c>
      <c r="C1205" s="6" t="str">
        <f>Gia_VLieu!C4</f>
        <v>Gram</v>
      </c>
      <c r="D1205" s="66">
        <f>Gia_VLieu!D4</f>
        <v>45000</v>
      </c>
      <c r="E1205" s="53">
        <v>2E-3</v>
      </c>
      <c r="F1205" s="16">
        <f>D1205*E1205</f>
        <v>90</v>
      </c>
      <c r="H1205" s="10">
        <v>1201</v>
      </c>
    </row>
    <row r="1206" spans="1:8" s="3" customFormat="1">
      <c r="A1206" s="13">
        <v>2</v>
      </c>
      <c r="B1206" s="5" t="s">
        <v>86</v>
      </c>
      <c r="C1206" s="6" t="str">
        <f>Gia_VLieu!C5</f>
        <v>Hộp</v>
      </c>
      <c r="D1206" s="66">
        <f>Gia_VLieu!D5</f>
        <v>1450000</v>
      </c>
      <c r="E1206" s="53">
        <v>1E-3</v>
      </c>
      <c r="F1206" s="16">
        <f t="shared" ref="F1206:F1214" si="86">D1206*E1206</f>
        <v>1450</v>
      </c>
      <c r="H1206" s="10">
        <v>1202</v>
      </c>
    </row>
    <row r="1207" spans="1:8" s="3" customFormat="1">
      <c r="A1207" s="13">
        <v>3</v>
      </c>
      <c r="B1207" s="5" t="s">
        <v>87</v>
      </c>
      <c r="C1207" s="6" t="e">
        <f>Gia_VLieu!#REF!</f>
        <v>#REF!</v>
      </c>
      <c r="D1207" s="66" t="e">
        <f>Gia_VLieu!#REF!</f>
        <v>#REF!</v>
      </c>
      <c r="E1207" s="53">
        <v>0</v>
      </c>
      <c r="F1207" s="16" t="e">
        <f t="shared" si="86"/>
        <v>#REF!</v>
      </c>
      <c r="H1207" s="10">
        <v>1203</v>
      </c>
    </row>
    <row r="1208" spans="1:8" s="3" customFormat="1">
      <c r="A1208" s="13">
        <v>4</v>
      </c>
      <c r="B1208" s="5" t="s">
        <v>88</v>
      </c>
      <c r="C1208" s="6" t="str">
        <f>Gia_VLieu!C6</f>
        <v>Quyển</v>
      </c>
      <c r="D1208" s="66">
        <f>Gia_VLieu!D6</f>
        <v>10000</v>
      </c>
      <c r="E1208" s="53">
        <v>0.05</v>
      </c>
      <c r="F1208" s="16">
        <f t="shared" si="86"/>
        <v>500</v>
      </c>
      <c r="H1208" s="10">
        <v>1204</v>
      </c>
    </row>
    <row r="1209" spans="1:8" s="3" customFormat="1">
      <c r="A1209" s="13">
        <v>5</v>
      </c>
      <c r="B1209" s="5" t="s">
        <v>22</v>
      </c>
      <c r="C1209" s="6" t="str">
        <f>Gia_VLieu!C7</f>
        <v>Cái</v>
      </c>
      <c r="D1209" s="66">
        <f>Gia_VLieu!D7</f>
        <v>2000</v>
      </c>
      <c r="E1209" s="53">
        <v>8.0000000000000002E-3</v>
      </c>
      <c r="F1209" s="16">
        <f t="shared" si="86"/>
        <v>16</v>
      </c>
      <c r="H1209" s="10">
        <v>1205</v>
      </c>
    </row>
    <row r="1210" spans="1:8" s="3" customFormat="1">
      <c r="A1210" s="13">
        <v>6</v>
      </c>
      <c r="B1210" s="5" t="s">
        <v>89</v>
      </c>
      <c r="C1210" s="6" t="str">
        <f>Gia_VLieu!C8</f>
        <v>Cái</v>
      </c>
      <c r="D1210" s="66">
        <f>Gia_VLieu!D8</f>
        <v>8000</v>
      </c>
      <c r="E1210" s="53">
        <v>6.0000000000000001E-3</v>
      </c>
      <c r="F1210" s="16">
        <f t="shared" si="86"/>
        <v>48</v>
      </c>
      <c r="H1210" s="10">
        <v>1206</v>
      </c>
    </row>
    <row r="1211" spans="1:8" s="3" customFormat="1">
      <c r="A1211" s="13">
        <v>7</v>
      </c>
      <c r="B1211" s="5" t="s">
        <v>90</v>
      </c>
      <c r="C1211" s="6" t="str">
        <f>Gia_VLieu!C9</f>
        <v>Cái</v>
      </c>
      <c r="D1211" s="66">
        <f>Gia_VLieu!D9</f>
        <v>10000</v>
      </c>
      <c r="E1211" s="53">
        <v>6.0000000000000001E-3</v>
      </c>
      <c r="F1211" s="16">
        <f t="shared" si="86"/>
        <v>60</v>
      </c>
      <c r="H1211" s="10">
        <v>1207</v>
      </c>
    </row>
    <row r="1212" spans="1:8" s="3" customFormat="1">
      <c r="A1212" s="13">
        <v>8</v>
      </c>
      <c r="B1212" s="5" t="s">
        <v>91</v>
      </c>
      <c r="C1212" s="6" t="str">
        <f>Gia_VLieu!C10</f>
        <v>Hộp</v>
      </c>
      <c r="D1212" s="66">
        <f>Gia_VLieu!D10</f>
        <v>2500</v>
      </c>
      <c r="E1212" s="53">
        <v>0.01</v>
      </c>
      <c r="F1212" s="16">
        <f t="shared" si="86"/>
        <v>25</v>
      </c>
      <c r="H1212" s="10">
        <v>1208</v>
      </c>
    </row>
    <row r="1213" spans="1:8" s="3" customFormat="1">
      <c r="A1213" s="13">
        <v>9</v>
      </c>
      <c r="B1213" s="5" t="s">
        <v>92</v>
      </c>
      <c r="C1213" s="6" t="str">
        <f>Gia_VLieu!C11</f>
        <v>Hộp</v>
      </c>
      <c r="D1213" s="66">
        <f>Gia_VLieu!D11</f>
        <v>2000</v>
      </c>
      <c r="E1213" s="53">
        <v>0.01</v>
      </c>
      <c r="F1213" s="16">
        <f t="shared" si="86"/>
        <v>20</v>
      </c>
      <c r="H1213" s="10">
        <v>1209</v>
      </c>
    </row>
    <row r="1214" spans="1:8" s="3" customFormat="1">
      <c r="A1214" s="13">
        <v>10</v>
      </c>
      <c r="B1214" s="5" t="s">
        <v>93</v>
      </c>
      <c r="C1214" s="6" t="str">
        <f>Gia_VLieu!C12</f>
        <v>Tập</v>
      </c>
      <c r="D1214" s="66">
        <f>Gia_VLieu!D12</f>
        <v>8000</v>
      </c>
      <c r="E1214" s="53">
        <v>5.0000000000000001E-3</v>
      </c>
      <c r="F1214" s="16">
        <f t="shared" si="86"/>
        <v>40</v>
      </c>
      <c r="H1214" s="10">
        <v>1210</v>
      </c>
    </row>
    <row r="1215" spans="1:8" s="3" customFormat="1">
      <c r="A1215" s="40">
        <v>11</v>
      </c>
      <c r="B1215" s="41" t="s">
        <v>94</v>
      </c>
      <c r="C1215" s="42" t="str">
        <f>Gia_VLieu!C13</f>
        <v>Cái</v>
      </c>
      <c r="D1215" s="67">
        <f>Gia_VLieu!D13</f>
        <v>15000</v>
      </c>
      <c r="E1215" s="54">
        <v>7.0000000000000001E-3</v>
      </c>
      <c r="F1215" s="38">
        <f>D1215*E1215</f>
        <v>105</v>
      </c>
      <c r="H1215" s="10">
        <v>1211</v>
      </c>
    </row>
    <row r="1216" spans="1:8" s="33" customFormat="1">
      <c r="A1216" s="31" t="e">
        <f>#REF!</f>
        <v>#REF!</v>
      </c>
      <c r="B1216" s="32" t="e">
        <f>#REF!</f>
        <v>#REF!</v>
      </c>
      <c r="C1216" s="15"/>
      <c r="D1216" s="127">
        <f>Gia_VLieu!D$14</f>
        <v>1.08</v>
      </c>
      <c r="E1216" s="45"/>
      <c r="F1216" s="18" t="e">
        <f>SUM(F1217:F1227)*D1216</f>
        <v>#REF!</v>
      </c>
      <c r="H1216" s="10">
        <v>1212</v>
      </c>
    </row>
    <row r="1217" spans="1:8" s="3" customFormat="1">
      <c r="A1217" s="13">
        <v>1</v>
      </c>
      <c r="B1217" s="5" t="s">
        <v>85</v>
      </c>
      <c r="C1217" s="6" t="str">
        <f>Gia_VLieu!C4</f>
        <v>Gram</v>
      </c>
      <c r="D1217" s="66">
        <f>Gia_VLieu!D4</f>
        <v>45000</v>
      </c>
      <c r="E1217" s="53">
        <v>2E-3</v>
      </c>
      <c r="F1217" s="16">
        <f>D1217*E1217</f>
        <v>90</v>
      </c>
      <c r="H1217" s="10">
        <v>1213</v>
      </c>
    </row>
    <row r="1218" spans="1:8" s="3" customFormat="1">
      <c r="A1218" s="13">
        <v>2</v>
      </c>
      <c r="B1218" s="5" t="s">
        <v>86</v>
      </c>
      <c r="C1218" s="6" t="str">
        <f>Gia_VLieu!C5</f>
        <v>Hộp</v>
      </c>
      <c r="D1218" s="66">
        <f>Gia_VLieu!D5</f>
        <v>1450000</v>
      </c>
      <c r="E1218" s="53">
        <v>1E-3</v>
      </c>
      <c r="F1218" s="16">
        <f t="shared" ref="F1218:F1226" si="87">D1218*E1218</f>
        <v>1450</v>
      </c>
      <c r="H1218" s="10">
        <v>1214</v>
      </c>
    </row>
    <row r="1219" spans="1:8" s="3" customFormat="1">
      <c r="A1219" s="13">
        <v>3</v>
      </c>
      <c r="B1219" s="5" t="s">
        <v>87</v>
      </c>
      <c r="C1219" s="6" t="e">
        <f>Gia_VLieu!#REF!</f>
        <v>#REF!</v>
      </c>
      <c r="D1219" s="66" t="e">
        <f>Gia_VLieu!#REF!</f>
        <v>#REF!</v>
      </c>
      <c r="E1219" s="53">
        <v>0</v>
      </c>
      <c r="F1219" s="16" t="e">
        <f t="shared" si="87"/>
        <v>#REF!</v>
      </c>
      <c r="H1219" s="10">
        <v>1215</v>
      </c>
    </row>
    <row r="1220" spans="1:8" s="3" customFormat="1">
      <c r="A1220" s="13">
        <v>4</v>
      </c>
      <c r="B1220" s="5" t="s">
        <v>88</v>
      </c>
      <c r="C1220" s="6" t="str">
        <f>Gia_VLieu!C6</f>
        <v>Quyển</v>
      </c>
      <c r="D1220" s="66">
        <f>Gia_VLieu!D6</f>
        <v>10000</v>
      </c>
      <c r="E1220" s="53">
        <v>0.05</v>
      </c>
      <c r="F1220" s="16">
        <f t="shared" si="87"/>
        <v>500</v>
      </c>
      <c r="H1220" s="10">
        <v>1216</v>
      </c>
    </row>
    <row r="1221" spans="1:8" s="3" customFormat="1">
      <c r="A1221" s="13">
        <v>5</v>
      </c>
      <c r="B1221" s="5" t="s">
        <v>22</v>
      </c>
      <c r="C1221" s="6" t="str">
        <f>Gia_VLieu!C7</f>
        <v>Cái</v>
      </c>
      <c r="D1221" s="66">
        <f>Gia_VLieu!D7</f>
        <v>2000</v>
      </c>
      <c r="E1221" s="53">
        <v>8.0000000000000002E-3</v>
      </c>
      <c r="F1221" s="16">
        <f t="shared" si="87"/>
        <v>16</v>
      </c>
      <c r="H1221" s="10">
        <v>1217</v>
      </c>
    </row>
    <row r="1222" spans="1:8" s="3" customFormat="1">
      <c r="A1222" s="13">
        <v>6</v>
      </c>
      <c r="B1222" s="5" t="s">
        <v>89</v>
      </c>
      <c r="C1222" s="6" t="str">
        <f>Gia_VLieu!C8</f>
        <v>Cái</v>
      </c>
      <c r="D1222" s="66">
        <f>Gia_VLieu!D8</f>
        <v>8000</v>
      </c>
      <c r="E1222" s="53">
        <v>6.0000000000000001E-3</v>
      </c>
      <c r="F1222" s="16">
        <f t="shared" si="87"/>
        <v>48</v>
      </c>
      <c r="H1222" s="10">
        <v>1218</v>
      </c>
    </row>
    <row r="1223" spans="1:8" s="3" customFormat="1">
      <c r="A1223" s="13">
        <v>7</v>
      </c>
      <c r="B1223" s="5" t="s">
        <v>90</v>
      </c>
      <c r="C1223" s="6" t="str">
        <f>Gia_VLieu!C9</f>
        <v>Cái</v>
      </c>
      <c r="D1223" s="66">
        <f>Gia_VLieu!D9</f>
        <v>10000</v>
      </c>
      <c r="E1223" s="53">
        <v>6.0000000000000001E-3</v>
      </c>
      <c r="F1223" s="16">
        <f t="shared" si="87"/>
        <v>60</v>
      </c>
      <c r="H1223" s="10">
        <v>1219</v>
      </c>
    </row>
    <row r="1224" spans="1:8" s="3" customFormat="1">
      <c r="A1224" s="13">
        <v>8</v>
      </c>
      <c r="B1224" s="5" t="s">
        <v>91</v>
      </c>
      <c r="C1224" s="6" t="str">
        <f>Gia_VLieu!C10</f>
        <v>Hộp</v>
      </c>
      <c r="D1224" s="66">
        <f>Gia_VLieu!D10</f>
        <v>2500</v>
      </c>
      <c r="E1224" s="53">
        <v>0.01</v>
      </c>
      <c r="F1224" s="16">
        <f t="shared" si="87"/>
        <v>25</v>
      </c>
      <c r="H1224" s="10">
        <v>1220</v>
      </c>
    </row>
    <row r="1225" spans="1:8" s="3" customFormat="1">
      <c r="A1225" s="13">
        <v>9</v>
      </c>
      <c r="B1225" s="5" t="s">
        <v>92</v>
      </c>
      <c r="C1225" s="6" t="str">
        <f>Gia_VLieu!C11</f>
        <v>Hộp</v>
      </c>
      <c r="D1225" s="66">
        <f>Gia_VLieu!D11</f>
        <v>2000</v>
      </c>
      <c r="E1225" s="53">
        <v>0.01</v>
      </c>
      <c r="F1225" s="16">
        <f t="shared" si="87"/>
        <v>20</v>
      </c>
      <c r="H1225" s="10">
        <v>1221</v>
      </c>
    </row>
    <row r="1226" spans="1:8" s="3" customFormat="1">
      <c r="A1226" s="13">
        <v>10</v>
      </c>
      <c r="B1226" s="5" t="s">
        <v>93</v>
      </c>
      <c r="C1226" s="6" t="str">
        <f>Gia_VLieu!C12</f>
        <v>Tập</v>
      </c>
      <c r="D1226" s="66">
        <f>Gia_VLieu!D12</f>
        <v>8000</v>
      </c>
      <c r="E1226" s="53">
        <v>5.0000000000000001E-3</v>
      </c>
      <c r="F1226" s="16">
        <f t="shared" si="87"/>
        <v>40</v>
      </c>
      <c r="H1226" s="10">
        <v>1222</v>
      </c>
    </row>
    <row r="1227" spans="1:8" s="3" customFormat="1">
      <c r="A1227" s="40">
        <v>11</v>
      </c>
      <c r="B1227" s="41" t="s">
        <v>94</v>
      </c>
      <c r="C1227" s="42" t="str">
        <f>Gia_VLieu!C13</f>
        <v>Cái</v>
      </c>
      <c r="D1227" s="67">
        <f>Gia_VLieu!D13</f>
        <v>15000</v>
      </c>
      <c r="E1227" s="54">
        <v>7.0000000000000001E-3</v>
      </c>
      <c r="F1227" s="38">
        <f>D1227*E1227</f>
        <v>105</v>
      </c>
      <c r="H1227" s="10">
        <v>1223</v>
      </c>
    </row>
    <row r="1228" spans="1:8" s="33" customFormat="1">
      <c r="A1228" s="31" t="e">
        <f>#REF!</f>
        <v>#REF!</v>
      </c>
      <c r="B1228" s="32" t="e">
        <f>#REF!</f>
        <v>#REF!</v>
      </c>
      <c r="C1228" s="15"/>
      <c r="D1228" s="127">
        <f>Gia_VLieu!D$14</f>
        <v>1.08</v>
      </c>
      <c r="E1228" s="45"/>
      <c r="F1228" s="18" t="e">
        <f>SUM(F1229:F1239)*D1228</f>
        <v>#REF!</v>
      </c>
      <c r="H1228" s="10">
        <v>1224</v>
      </c>
    </row>
    <row r="1229" spans="1:8" s="3" customFormat="1">
      <c r="A1229" s="13">
        <v>1</v>
      </c>
      <c r="B1229" s="5" t="s">
        <v>85</v>
      </c>
      <c r="C1229" s="6" t="str">
        <f>Gia_VLieu!C4</f>
        <v>Gram</v>
      </c>
      <c r="D1229" s="66">
        <f>Gia_VLieu!D4</f>
        <v>45000</v>
      </c>
      <c r="E1229" s="53">
        <v>2E-3</v>
      </c>
      <c r="F1229" s="16">
        <f>D1229*E1229</f>
        <v>90</v>
      </c>
      <c r="H1229" s="10">
        <v>1225</v>
      </c>
    </row>
    <row r="1230" spans="1:8" s="3" customFormat="1">
      <c r="A1230" s="13">
        <v>2</v>
      </c>
      <c r="B1230" s="5" t="s">
        <v>86</v>
      </c>
      <c r="C1230" s="6" t="str">
        <f>Gia_VLieu!C5</f>
        <v>Hộp</v>
      </c>
      <c r="D1230" s="66">
        <f>Gia_VLieu!D5</f>
        <v>1450000</v>
      </c>
      <c r="E1230" s="53">
        <v>1E-3</v>
      </c>
      <c r="F1230" s="16">
        <f t="shared" ref="F1230:F1238" si="88">D1230*E1230</f>
        <v>1450</v>
      </c>
      <c r="H1230" s="10">
        <v>1226</v>
      </c>
    </row>
    <row r="1231" spans="1:8" s="3" customFormat="1">
      <c r="A1231" s="13">
        <v>3</v>
      </c>
      <c r="B1231" s="5" t="s">
        <v>87</v>
      </c>
      <c r="C1231" s="6" t="e">
        <f>Gia_VLieu!#REF!</f>
        <v>#REF!</v>
      </c>
      <c r="D1231" s="66" t="e">
        <f>Gia_VLieu!#REF!</f>
        <v>#REF!</v>
      </c>
      <c r="E1231" s="53">
        <v>0</v>
      </c>
      <c r="F1231" s="16" t="e">
        <f t="shared" si="88"/>
        <v>#REF!</v>
      </c>
      <c r="H1231" s="10">
        <v>1227</v>
      </c>
    </row>
    <row r="1232" spans="1:8" s="3" customFormat="1">
      <c r="A1232" s="13">
        <v>4</v>
      </c>
      <c r="B1232" s="5" t="s">
        <v>88</v>
      </c>
      <c r="C1232" s="6" t="str">
        <f>Gia_VLieu!C6</f>
        <v>Quyển</v>
      </c>
      <c r="D1232" s="66">
        <f>Gia_VLieu!D6</f>
        <v>10000</v>
      </c>
      <c r="E1232" s="53">
        <v>0.05</v>
      </c>
      <c r="F1232" s="16">
        <f t="shared" si="88"/>
        <v>500</v>
      </c>
      <c r="H1232" s="10">
        <v>1228</v>
      </c>
    </row>
    <row r="1233" spans="1:8" s="3" customFormat="1">
      <c r="A1233" s="13">
        <v>5</v>
      </c>
      <c r="B1233" s="5" t="s">
        <v>22</v>
      </c>
      <c r="C1233" s="6" t="str">
        <f>Gia_VLieu!C7</f>
        <v>Cái</v>
      </c>
      <c r="D1233" s="66">
        <f>Gia_VLieu!D7</f>
        <v>2000</v>
      </c>
      <c r="E1233" s="53">
        <v>8.0000000000000002E-3</v>
      </c>
      <c r="F1233" s="16">
        <f t="shared" si="88"/>
        <v>16</v>
      </c>
      <c r="H1233" s="10">
        <v>1229</v>
      </c>
    </row>
    <row r="1234" spans="1:8" s="3" customFormat="1">
      <c r="A1234" s="13">
        <v>6</v>
      </c>
      <c r="B1234" s="5" t="s">
        <v>89</v>
      </c>
      <c r="C1234" s="6" t="str">
        <f>Gia_VLieu!C8</f>
        <v>Cái</v>
      </c>
      <c r="D1234" s="66">
        <f>Gia_VLieu!D8</f>
        <v>8000</v>
      </c>
      <c r="E1234" s="53">
        <v>6.0000000000000001E-3</v>
      </c>
      <c r="F1234" s="16">
        <f t="shared" si="88"/>
        <v>48</v>
      </c>
      <c r="H1234" s="10">
        <v>1230</v>
      </c>
    </row>
    <row r="1235" spans="1:8" s="3" customFormat="1">
      <c r="A1235" s="13">
        <v>7</v>
      </c>
      <c r="B1235" s="5" t="s">
        <v>90</v>
      </c>
      <c r="C1235" s="6" t="str">
        <f>Gia_VLieu!C9</f>
        <v>Cái</v>
      </c>
      <c r="D1235" s="66">
        <f>Gia_VLieu!D9</f>
        <v>10000</v>
      </c>
      <c r="E1235" s="53">
        <v>6.0000000000000001E-3</v>
      </c>
      <c r="F1235" s="16">
        <f t="shared" si="88"/>
        <v>60</v>
      </c>
      <c r="H1235" s="10">
        <v>1231</v>
      </c>
    </row>
    <row r="1236" spans="1:8" s="3" customFormat="1">
      <c r="A1236" s="13">
        <v>8</v>
      </c>
      <c r="B1236" s="5" t="s">
        <v>91</v>
      </c>
      <c r="C1236" s="6" t="str">
        <f>Gia_VLieu!C10</f>
        <v>Hộp</v>
      </c>
      <c r="D1236" s="66">
        <f>Gia_VLieu!D10</f>
        <v>2500</v>
      </c>
      <c r="E1236" s="53">
        <v>0.01</v>
      </c>
      <c r="F1236" s="16">
        <f t="shared" si="88"/>
        <v>25</v>
      </c>
      <c r="H1236" s="10">
        <v>1232</v>
      </c>
    </row>
    <row r="1237" spans="1:8" s="3" customFormat="1">
      <c r="A1237" s="13">
        <v>9</v>
      </c>
      <c r="B1237" s="5" t="s">
        <v>92</v>
      </c>
      <c r="C1237" s="6" t="str">
        <f>Gia_VLieu!C11</f>
        <v>Hộp</v>
      </c>
      <c r="D1237" s="66">
        <f>Gia_VLieu!D11</f>
        <v>2000</v>
      </c>
      <c r="E1237" s="53">
        <v>0.01</v>
      </c>
      <c r="F1237" s="16">
        <f t="shared" si="88"/>
        <v>20</v>
      </c>
      <c r="H1237" s="10">
        <v>1233</v>
      </c>
    </row>
    <row r="1238" spans="1:8" s="3" customFormat="1">
      <c r="A1238" s="13">
        <v>10</v>
      </c>
      <c r="B1238" s="5" t="s">
        <v>93</v>
      </c>
      <c r="C1238" s="6" t="str">
        <f>Gia_VLieu!C12</f>
        <v>Tập</v>
      </c>
      <c r="D1238" s="66">
        <f>Gia_VLieu!D12</f>
        <v>8000</v>
      </c>
      <c r="E1238" s="53">
        <v>5.0000000000000001E-3</v>
      </c>
      <c r="F1238" s="16">
        <f t="shared" si="88"/>
        <v>40</v>
      </c>
      <c r="H1238" s="10">
        <v>1234</v>
      </c>
    </row>
    <row r="1239" spans="1:8" s="3" customFormat="1">
      <c r="A1239" s="40">
        <v>11</v>
      </c>
      <c r="B1239" s="41" t="s">
        <v>94</v>
      </c>
      <c r="C1239" s="42" t="str">
        <f>Gia_VLieu!C13</f>
        <v>Cái</v>
      </c>
      <c r="D1239" s="67">
        <f>Gia_VLieu!D13</f>
        <v>15000</v>
      </c>
      <c r="E1239" s="54">
        <v>7.0000000000000001E-3</v>
      </c>
      <c r="F1239" s="38">
        <f>D1239*E1239</f>
        <v>105</v>
      </c>
      <c r="H1239" s="10">
        <v>1235</v>
      </c>
    </row>
    <row r="1240" spans="1:8" s="14" customFormat="1">
      <c r="A1240" s="12" t="e">
        <f>#REF!</f>
        <v>#REF!</v>
      </c>
      <c r="B1240" s="8" t="e">
        <f>#REF!</f>
        <v>#REF!</v>
      </c>
      <c r="C1240" s="7"/>
      <c r="D1240" s="72"/>
      <c r="E1240" s="48"/>
      <c r="F1240" s="17"/>
      <c r="H1240" s="10">
        <v>1236</v>
      </c>
    </row>
    <row r="1241" spans="1:8" s="33" customFormat="1">
      <c r="A1241" s="31" t="e">
        <f>#REF!</f>
        <v>#REF!</v>
      </c>
      <c r="B1241" s="32" t="e">
        <f>#REF!</f>
        <v>#REF!</v>
      </c>
      <c r="C1241" s="15"/>
      <c r="D1241" s="70"/>
      <c r="E1241" s="45"/>
      <c r="F1241" s="18"/>
      <c r="H1241" s="10">
        <v>1237</v>
      </c>
    </row>
    <row r="1242" spans="1:8" s="3" customFormat="1">
      <c r="A1242" s="13" t="e">
        <f>#REF!</f>
        <v>#REF!</v>
      </c>
      <c r="B1242" s="5" t="e">
        <f>#REF!</f>
        <v>#REF!</v>
      </c>
      <c r="C1242" s="6"/>
      <c r="D1242" s="66"/>
      <c r="E1242" s="30"/>
      <c r="F1242" s="16"/>
      <c r="H1242" s="10">
        <v>1238</v>
      </c>
    </row>
    <row r="1243" spans="1:8" s="3" customFormat="1">
      <c r="A1243" s="13" t="e">
        <f>#REF!</f>
        <v>#REF!</v>
      </c>
      <c r="B1243" s="5" t="e">
        <f>#REF!</f>
        <v>#REF!</v>
      </c>
      <c r="C1243" s="6"/>
      <c r="D1243" s="66"/>
      <c r="E1243" s="30"/>
      <c r="F1243" s="16" t="e">
        <f>F1167</f>
        <v>#REF!</v>
      </c>
      <c r="H1243" s="10">
        <v>1239</v>
      </c>
    </row>
    <row r="1244" spans="1:8" s="3" customFormat="1">
      <c r="A1244" s="13" t="e">
        <f>#REF!</f>
        <v>#REF!</v>
      </c>
      <c r="B1244" s="5" t="e">
        <f>#REF!</f>
        <v>#REF!</v>
      </c>
      <c r="C1244" s="6"/>
      <c r="D1244" s="66"/>
      <c r="E1244" s="30"/>
      <c r="F1244" s="16" t="e">
        <f>F1179</f>
        <v>#REF!</v>
      </c>
      <c r="H1244" s="10">
        <v>1240</v>
      </c>
    </row>
    <row r="1245" spans="1:8" s="3" customFormat="1">
      <c r="A1245" s="13" t="e">
        <f>#REF!</f>
        <v>#REF!</v>
      </c>
      <c r="B1245" s="5" t="e">
        <f>#REF!</f>
        <v>#REF!</v>
      </c>
      <c r="C1245" s="6"/>
      <c r="D1245" s="66"/>
      <c r="E1245" s="30"/>
      <c r="F1245" s="16"/>
      <c r="H1245" s="10">
        <v>1241</v>
      </c>
    </row>
    <row r="1246" spans="1:8" s="3" customFormat="1">
      <c r="A1246" s="13" t="e">
        <f>#REF!</f>
        <v>#REF!</v>
      </c>
      <c r="B1246" s="5" t="e">
        <f>#REF!</f>
        <v>#REF!</v>
      </c>
      <c r="C1246" s="6"/>
      <c r="D1246" s="66"/>
      <c r="E1246" s="30"/>
      <c r="F1246" s="16" t="e">
        <f>F1204</f>
        <v>#REF!</v>
      </c>
      <c r="H1246" s="10">
        <v>1242</v>
      </c>
    </row>
    <row r="1247" spans="1:8" s="3" customFormat="1">
      <c r="A1247" s="13" t="e">
        <f>#REF!</f>
        <v>#REF!</v>
      </c>
      <c r="B1247" s="5" t="e">
        <f>#REF!</f>
        <v>#REF!</v>
      </c>
      <c r="C1247" s="6"/>
      <c r="D1247" s="66"/>
      <c r="E1247" s="30"/>
      <c r="F1247" s="16" t="e">
        <f>F1204</f>
        <v>#REF!</v>
      </c>
      <c r="H1247" s="10">
        <v>1243</v>
      </c>
    </row>
    <row r="1248" spans="1:8" s="3" customFormat="1">
      <c r="A1248" s="13" t="e">
        <f>#REF!</f>
        <v>#REF!</v>
      </c>
      <c r="B1248" s="5" t="e">
        <f>#REF!</f>
        <v>#REF!</v>
      </c>
      <c r="C1248" s="6"/>
      <c r="D1248" s="66"/>
      <c r="E1248" s="30"/>
      <c r="F1248" s="16" t="e">
        <f>F1216</f>
        <v>#REF!</v>
      </c>
      <c r="H1248" s="10">
        <v>1244</v>
      </c>
    </row>
    <row r="1249" spans="1:8" s="3" customFormat="1">
      <c r="A1249" s="40" t="e">
        <f>#REF!</f>
        <v>#REF!</v>
      </c>
      <c r="B1249" s="41" t="e">
        <f>#REF!</f>
        <v>#REF!</v>
      </c>
      <c r="C1249" s="42"/>
      <c r="D1249" s="67"/>
      <c r="E1249" s="46"/>
      <c r="F1249" s="38" t="e">
        <f>F1228</f>
        <v>#REF!</v>
      </c>
      <c r="H1249" s="10">
        <v>1245</v>
      </c>
    </row>
    <row r="1250" spans="1:8" s="33" customFormat="1">
      <c r="A1250" s="55" t="e">
        <f>#REF!</f>
        <v>#REF!</v>
      </c>
      <c r="B1250" s="56" t="e">
        <f>#REF!</f>
        <v>#REF!</v>
      </c>
      <c r="C1250" s="57"/>
      <c r="D1250" s="74"/>
      <c r="E1250" s="58"/>
      <c r="F1250" s="39"/>
      <c r="H1250" s="10">
        <v>1246</v>
      </c>
    </row>
    <row r="1251" spans="1:8" s="3" customFormat="1">
      <c r="A1251" s="13" t="e">
        <f>#REF!</f>
        <v>#REF!</v>
      </c>
      <c r="B1251" s="5" t="e">
        <f>#REF!</f>
        <v>#REF!</v>
      </c>
      <c r="C1251" s="6"/>
      <c r="D1251" s="66"/>
      <c r="E1251" s="30"/>
      <c r="F1251" s="16"/>
      <c r="H1251" s="10">
        <v>1247</v>
      </c>
    </row>
    <row r="1252" spans="1:8" s="3" customFormat="1">
      <c r="A1252" s="13" t="e">
        <f>#REF!</f>
        <v>#REF!</v>
      </c>
      <c r="B1252" s="5" t="e">
        <f>#REF!</f>
        <v>#REF!</v>
      </c>
      <c r="C1252" s="6"/>
      <c r="D1252" s="66"/>
      <c r="E1252" s="30"/>
      <c r="F1252" s="16" t="e">
        <f>F1243</f>
        <v>#REF!</v>
      </c>
      <c r="H1252" s="10">
        <v>1248</v>
      </c>
    </row>
    <row r="1253" spans="1:8" s="3" customFormat="1">
      <c r="A1253" s="13" t="e">
        <f>#REF!</f>
        <v>#REF!</v>
      </c>
      <c r="B1253" s="5" t="e">
        <f>#REF!</f>
        <v>#REF!</v>
      </c>
      <c r="C1253" s="6"/>
      <c r="D1253" s="66"/>
      <c r="E1253" s="30"/>
      <c r="F1253" s="16" t="e">
        <f>F1244</f>
        <v>#REF!</v>
      </c>
      <c r="H1253" s="10">
        <v>1249</v>
      </c>
    </row>
    <row r="1254" spans="1:8" s="3" customFormat="1">
      <c r="A1254" s="13" t="e">
        <f>#REF!</f>
        <v>#REF!</v>
      </c>
      <c r="B1254" s="5" t="e">
        <f>#REF!</f>
        <v>#REF!</v>
      </c>
      <c r="C1254" s="6"/>
      <c r="D1254" s="66"/>
      <c r="E1254" s="30"/>
      <c r="F1254" s="16" t="e">
        <f>F1248</f>
        <v>#REF!</v>
      </c>
      <c r="H1254" s="10">
        <v>1250</v>
      </c>
    </row>
    <row r="1255" spans="1:8" s="3" customFormat="1">
      <c r="A1255" s="13" t="e">
        <f>#REF!</f>
        <v>#REF!</v>
      </c>
      <c r="B1255" s="5" t="e">
        <f>#REF!</f>
        <v>#REF!</v>
      </c>
      <c r="C1255" s="6"/>
      <c r="D1255" s="66"/>
      <c r="E1255" s="30"/>
      <c r="F1255" s="16"/>
      <c r="H1255" s="10">
        <v>1251</v>
      </c>
    </row>
    <row r="1256" spans="1:8" s="3" customFormat="1">
      <c r="A1256" s="13" t="e">
        <f>#REF!</f>
        <v>#REF!</v>
      </c>
      <c r="B1256" s="5" t="e">
        <f>#REF!</f>
        <v>#REF!</v>
      </c>
      <c r="C1256" s="6"/>
      <c r="D1256" s="66"/>
      <c r="E1256" s="30"/>
      <c r="F1256" s="16" t="e">
        <f>F1246</f>
        <v>#REF!</v>
      </c>
      <c r="H1256" s="10">
        <v>1252</v>
      </c>
    </row>
    <row r="1257" spans="1:8" s="3" customFormat="1">
      <c r="A1257" s="13" t="e">
        <f>#REF!</f>
        <v>#REF!</v>
      </c>
      <c r="B1257" s="5" t="e">
        <f>#REF!</f>
        <v>#REF!</v>
      </c>
      <c r="C1257" s="6"/>
      <c r="D1257" s="66"/>
      <c r="E1257" s="30"/>
      <c r="F1257" s="16" t="e">
        <f>F1247</f>
        <v>#REF!</v>
      </c>
      <c r="H1257" s="10">
        <v>1253</v>
      </c>
    </row>
    <row r="1258" spans="1:8" s="3" customFormat="1">
      <c r="A1258" s="40" t="e">
        <f>#REF!</f>
        <v>#REF!</v>
      </c>
      <c r="B1258" s="41" t="e">
        <f>#REF!</f>
        <v>#REF!</v>
      </c>
      <c r="C1258" s="42"/>
      <c r="D1258" s="67"/>
      <c r="E1258" s="46"/>
      <c r="F1258" s="38" t="e">
        <f>F1249</f>
        <v>#REF!</v>
      </c>
      <c r="H1258" s="10">
        <v>1254</v>
      </c>
    </row>
    <row r="1259" spans="1:8" s="33" customFormat="1">
      <c r="A1259" s="55" t="e">
        <f>#REF!</f>
        <v>#REF!</v>
      </c>
      <c r="B1259" s="56" t="e">
        <f>#REF!</f>
        <v>#REF!</v>
      </c>
      <c r="C1259" s="57"/>
      <c r="D1259" s="127">
        <f>Gia_VLieu!D$14</f>
        <v>1.08</v>
      </c>
      <c r="E1259" s="45"/>
      <c r="F1259" s="18" t="e">
        <f>SUM(F1260:F1270)*D1259</f>
        <v>#REF!</v>
      </c>
      <c r="H1259" s="10">
        <v>1255</v>
      </c>
    </row>
    <row r="1260" spans="1:8" s="3" customFormat="1">
      <c r="A1260" s="13">
        <v>1</v>
      </c>
      <c r="B1260" s="5" t="s">
        <v>85</v>
      </c>
      <c r="C1260" s="6" t="str">
        <f>Gia_VLieu!C4</f>
        <v>Gram</v>
      </c>
      <c r="D1260" s="66">
        <f>Gia_VLieu!D4</f>
        <v>45000</v>
      </c>
      <c r="E1260" s="53">
        <v>2.5</v>
      </c>
      <c r="F1260" s="16">
        <f>D1260*E1260</f>
        <v>112500</v>
      </c>
      <c r="H1260" s="10">
        <v>1256</v>
      </c>
    </row>
    <row r="1261" spans="1:8" s="3" customFormat="1">
      <c r="A1261" s="13">
        <v>2</v>
      </c>
      <c r="B1261" s="5" t="s">
        <v>86</v>
      </c>
      <c r="C1261" s="6" t="str">
        <f>Gia_VLieu!C5</f>
        <v>Hộp</v>
      </c>
      <c r="D1261" s="66">
        <f>Gia_VLieu!D5</f>
        <v>1450000</v>
      </c>
      <c r="E1261" s="53">
        <v>1.2</v>
      </c>
      <c r="F1261" s="16">
        <f t="shared" ref="F1261:F1269" si="89">D1261*E1261</f>
        <v>1740000</v>
      </c>
      <c r="H1261" s="10">
        <v>1257</v>
      </c>
    </row>
    <row r="1262" spans="1:8" s="3" customFormat="1">
      <c r="A1262" s="13">
        <v>3</v>
      </c>
      <c r="B1262" s="5" t="s">
        <v>87</v>
      </c>
      <c r="C1262" s="6" t="e">
        <f>Gia_VLieu!#REF!</f>
        <v>#REF!</v>
      </c>
      <c r="D1262" s="66" t="e">
        <f>Gia_VLieu!#REF!</f>
        <v>#REF!</v>
      </c>
      <c r="E1262" s="53">
        <v>0.6</v>
      </c>
      <c r="F1262" s="16" t="e">
        <f t="shared" si="89"/>
        <v>#REF!</v>
      </c>
      <c r="H1262" s="10">
        <v>1258</v>
      </c>
    </row>
    <row r="1263" spans="1:8" s="3" customFormat="1">
      <c r="A1263" s="13">
        <v>4</v>
      </c>
      <c r="B1263" s="5" t="s">
        <v>88</v>
      </c>
      <c r="C1263" s="6" t="str">
        <f>Gia_VLieu!C6</f>
        <v>Quyển</v>
      </c>
      <c r="D1263" s="66">
        <f>Gia_VLieu!D6</f>
        <v>10000</v>
      </c>
      <c r="E1263" s="53">
        <v>4</v>
      </c>
      <c r="F1263" s="16">
        <f t="shared" si="89"/>
        <v>40000</v>
      </c>
      <c r="H1263" s="10">
        <v>1259</v>
      </c>
    </row>
    <row r="1264" spans="1:8" s="3" customFormat="1">
      <c r="A1264" s="13">
        <v>5</v>
      </c>
      <c r="B1264" s="5" t="s">
        <v>22</v>
      </c>
      <c r="C1264" s="6" t="str">
        <f>Gia_VLieu!C7</f>
        <v>Cái</v>
      </c>
      <c r="D1264" s="66">
        <f>Gia_VLieu!D7</f>
        <v>2000</v>
      </c>
      <c r="E1264" s="53">
        <v>6</v>
      </c>
      <c r="F1264" s="16">
        <f t="shared" si="89"/>
        <v>12000</v>
      </c>
      <c r="H1264" s="10">
        <v>1260</v>
      </c>
    </row>
    <row r="1265" spans="1:8" s="3" customFormat="1">
      <c r="A1265" s="13">
        <v>6</v>
      </c>
      <c r="B1265" s="5" t="s">
        <v>89</v>
      </c>
      <c r="C1265" s="6" t="str">
        <f>Gia_VLieu!C8</f>
        <v>Cái</v>
      </c>
      <c r="D1265" s="66">
        <f>Gia_VLieu!D8</f>
        <v>8000</v>
      </c>
      <c r="E1265" s="53">
        <v>3</v>
      </c>
      <c r="F1265" s="16">
        <f t="shared" si="89"/>
        <v>24000</v>
      </c>
      <c r="H1265" s="10">
        <v>1261</v>
      </c>
    </row>
    <row r="1266" spans="1:8" s="3" customFormat="1">
      <c r="A1266" s="13">
        <v>7</v>
      </c>
      <c r="B1266" s="5" t="s">
        <v>90</v>
      </c>
      <c r="C1266" s="6" t="str">
        <f>Gia_VLieu!C9</f>
        <v>Cái</v>
      </c>
      <c r="D1266" s="66">
        <f>Gia_VLieu!D9</f>
        <v>10000</v>
      </c>
      <c r="E1266" s="53">
        <v>2</v>
      </c>
      <c r="F1266" s="16">
        <f t="shared" si="89"/>
        <v>20000</v>
      </c>
      <c r="H1266" s="10">
        <v>1262</v>
      </c>
    </row>
    <row r="1267" spans="1:8" s="3" customFormat="1">
      <c r="A1267" s="13">
        <v>8</v>
      </c>
      <c r="B1267" s="5" t="s">
        <v>91</v>
      </c>
      <c r="C1267" s="6" t="str">
        <f>Gia_VLieu!C10</f>
        <v>Hộp</v>
      </c>
      <c r="D1267" s="66">
        <f>Gia_VLieu!D10</f>
        <v>2500</v>
      </c>
      <c r="E1267" s="53">
        <v>1</v>
      </c>
      <c r="F1267" s="16">
        <f t="shared" si="89"/>
        <v>2500</v>
      </c>
      <c r="H1267" s="10">
        <v>1263</v>
      </c>
    </row>
    <row r="1268" spans="1:8" s="3" customFormat="1">
      <c r="A1268" s="13">
        <v>9</v>
      </c>
      <c r="B1268" s="5" t="s">
        <v>92</v>
      </c>
      <c r="C1268" s="6" t="str">
        <f>Gia_VLieu!C11</f>
        <v>Hộp</v>
      </c>
      <c r="D1268" s="66">
        <f>Gia_VLieu!D11</f>
        <v>2000</v>
      </c>
      <c r="E1268" s="53">
        <v>2</v>
      </c>
      <c r="F1268" s="16">
        <f t="shared" si="89"/>
        <v>4000</v>
      </c>
      <c r="H1268" s="10">
        <v>1264</v>
      </c>
    </row>
    <row r="1269" spans="1:8" s="3" customFormat="1">
      <c r="A1269" s="13">
        <v>10</v>
      </c>
      <c r="B1269" s="5" t="s">
        <v>93</v>
      </c>
      <c r="C1269" s="6" t="str">
        <f>Gia_VLieu!C12</f>
        <v>Tập</v>
      </c>
      <c r="D1269" s="66">
        <f>Gia_VLieu!D12</f>
        <v>8000</v>
      </c>
      <c r="E1269" s="53">
        <v>2</v>
      </c>
      <c r="F1269" s="16">
        <f t="shared" si="89"/>
        <v>16000</v>
      </c>
      <c r="H1269" s="10">
        <v>1265</v>
      </c>
    </row>
    <row r="1270" spans="1:8" s="3" customFormat="1">
      <c r="A1270" s="40">
        <v>11</v>
      </c>
      <c r="B1270" s="41" t="s">
        <v>94</v>
      </c>
      <c r="C1270" s="42" t="str">
        <f>Gia_VLieu!C13</f>
        <v>Cái</v>
      </c>
      <c r="D1270" s="67">
        <f>Gia_VLieu!D13</f>
        <v>15000</v>
      </c>
      <c r="E1270" s="54">
        <v>3</v>
      </c>
      <c r="F1270" s="38">
        <f>D1270*E1270</f>
        <v>45000</v>
      </c>
      <c r="H1270" s="10">
        <v>1266</v>
      </c>
    </row>
    <row r="1271" spans="1:8" s="14" customFormat="1">
      <c r="A1271" s="12" t="e">
        <f>#REF!</f>
        <v>#REF!</v>
      </c>
      <c r="B1271" s="8" t="e">
        <f>#REF!</f>
        <v>#REF!</v>
      </c>
      <c r="C1271" s="7"/>
      <c r="D1271" s="72"/>
      <c r="E1271" s="48"/>
      <c r="F1271" s="17"/>
      <c r="H1271" s="10">
        <v>1267</v>
      </c>
    </row>
    <row r="1272" spans="1:8" s="33" customFormat="1">
      <c r="A1272" s="31" t="e">
        <f>#REF!</f>
        <v>#REF!</v>
      </c>
      <c r="B1272" s="32" t="e">
        <f>#REF!</f>
        <v>#REF!</v>
      </c>
      <c r="C1272" s="15"/>
      <c r="D1272" s="70"/>
      <c r="E1272" s="45"/>
      <c r="F1272" s="18" t="e">
        <f>F1274</f>
        <v>#REF!</v>
      </c>
      <c r="H1272" s="10">
        <v>1268</v>
      </c>
    </row>
    <row r="1273" spans="1:8" s="3" customFormat="1">
      <c r="A1273" s="13" t="e">
        <f>#REF!</f>
        <v>#REF!</v>
      </c>
      <c r="B1273" s="5" t="e">
        <f>#REF!</f>
        <v>#REF!</v>
      </c>
      <c r="C1273" s="6"/>
      <c r="D1273" s="66"/>
      <c r="E1273" s="30"/>
      <c r="F1273" s="16" t="e">
        <f>F1274</f>
        <v>#REF!</v>
      </c>
      <c r="H1273" s="10">
        <v>1269</v>
      </c>
    </row>
    <row r="1274" spans="1:8" s="3" customFormat="1">
      <c r="A1274" s="13" t="e">
        <f>#REF!</f>
        <v>#REF!</v>
      </c>
      <c r="B1274" s="5" t="e">
        <f>#REF!</f>
        <v>#REF!</v>
      </c>
      <c r="C1274" s="6"/>
      <c r="D1274" s="127">
        <f>Gia_VLieu!D$14</f>
        <v>1.08</v>
      </c>
      <c r="E1274" s="45"/>
      <c r="F1274" s="18" t="e">
        <f>SUM(F1275:F1285)*D1274</f>
        <v>#REF!</v>
      </c>
      <c r="H1274" s="10">
        <v>1270</v>
      </c>
    </row>
    <row r="1275" spans="1:8" s="3" customFormat="1">
      <c r="A1275" s="13">
        <v>1</v>
      </c>
      <c r="B1275" s="5" t="s">
        <v>85</v>
      </c>
      <c r="C1275" s="6" t="str">
        <f>Gia_VLieu!C4</f>
        <v>Gram</v>
      </c>
      <c r="D1275" s="66">
        <f>Gia_VLieu!D4</f>
        <v>45000</v>
      </c>
      <c r="E1275" s="53">
        <v>1E-3</v>
      </c>
      <c r="F1275" s="16">
        <f>D1275*E1275</f>
        <v>45</v>
      </c>
      <c r="H1275" s="10">
        <v>1271</v>
      </c>
    </row>
    <row r="1276" spans="1:8" s="3" customFormat="1">
      <c r="A1276" s="13">
        <v>2</v>
      </c>
      <c r="B1276" s="5" t="s">
        <v>86</v>
      </c>
      <c r="C1276" s="6" t="str">
        <f>Gia_VLieu!C5</f>
        <v>Hộp</v>
      </c>
      <c r="D1276" s="66">
        <f>Gia_VLieu!D5</f>
        <v>1450000</v>
      </c>
      <c r="E1276" s="53">
        <v>1E-3</v>
      </c>
      <c r="F1276" s="16">
        <f t="shared" ref="F1276:F1284" si="90">D1276*E1276</f>
        <v>1450</v>
      </c>
      <c r="H1276" s="10">
        <v>1272</v>
      </c>
    </row>
    <row r="1277" spans="1:8" s="3" customFormat="1">
      <c r="A1277" s="13">
        <v>3</v>
      </c>
      <c r="B1277" s="5" t="s">
        <v>87</v>
      </c>
      <c r="C1277" s="6" t="e">
        <f>Gia_VLieu!#REF!</f>
        <v>#REF!</v>
      </c>
      <c r="D1277" s="66" t="e">
        <f>Gia_VLieu!#REF!</f>
        <v>#REF!</v>
      </c>
      <c r="E1277" s="53">
        <v>1E-3</v>
      </c>
      <c r="F1277" s="16" t="e">
        <f t="shared" si="90"/>
        <v>#REF!</v>
      </c>
      <c r="H1277" s="10">
        <v>1273</v>
      </c>
    </row>
    <row r="1278" spans="1:8" s="3" customFormat="1">
      <c r="A1278" s="13">
        <v>4</v>
      </c>
      <c r="B1278" s="5" t="s">
        <v>88</v>
      </c>
      <c r="C1278" s="6" t="str">
        <f>Gia_VLieu!C6</f>
        <v>Quyển</v>
      </c>
      <c r="D1278" s="66">
        <f>Gia_VLieu!D6</f>
        <v>10000</v>
      </c>
      <c r="E1278" s="53">
        <v>2E-3</v>
      </c>
      <c r="F1278" s="16">
        <f t="shared" si="90"/>
        <v>20</v>
      </c>
      <c r="H1278" s="10">
        <v>1274</v>
      </c>
    </row>
    <row r="1279" spans="1:8" s="3" customFormat="1">
      <c r="A1279" s="13">
        <v>5</v>
      </c>
      <c r="B1279" s="5" t="s">
        <v>22</v>
      </c>
      <c r="C1279" s="6" t="str">
        <f>Gia_VLieu!C7</f>
        <v>Cái</v>
      </c>
      <c r="D1279" s="66">
        <f>Gia_VLieu!D7</f>
        <v>2000</v>
      </c>
      <c r="E1279" s="53">
        <v>0.01</v>
      </c>
      <c r="F1279" s="16">
        <f t="shared" si="90"/>
        <v>20</v>
      </c>
      <c r="H1279" s="10">
        <v>1275</v>
      </c>
    </row>
    <row r="1280" spans="1:8" s="3" customFormat="1">
      <c r="A1280" s="13">
        <v>6</v>
      </c>
      <c r="B1280" s="5" t="s">
        <v>89</v>
      </c>
      <c r="C1280" s="6" t="str">
        <f>Gia_VLieu!C8</f>
        <v>Cái</v>
      </c>
      <c r="D1280" s="66">
        <f>Gia_VLieu!D8</f>
        <v>8000</v>
      </c>
      <c r="E1280" s="53">
        <v>1E-3</v>
      </c>
      <c r="F1280" s="16">
        <f t="shared" si="90"/>
        <v>8</v>
      </c>
      <c r="H1280" s="10">
        <v>1276</v>
      </c>
    </row>
    <row r="1281" spans="1:8" s="3" customFormat="1">
      <c r="A1281" s="13">
        <v>7</v>
      </c>
      <c r="B1281" s="5" t="s">
        <v>90</v>
      </c>
      <c r="C1281" s="6" t="str">
        <f>Gia_VLieu!C9</f>
        <v>Cái</v>
      </c>
      <c r="D1281" s="66">
        <f>Gia_VLieu!D9</f>
        <v>10000</v>
      </c>
      <c r="E1281" s="53">
        <v>1E-3</v>
      </c>
      <c r="F1281" s="16">
        <f t="shared" si="90"/>
        <v>10</v>
      </c>
      <c r="H1281" s="10">
        <v>1277</v>
      </c>
    </row>
    <row r="1282" spans="1:8" s="3" customFormat="1">
      <c r="A1282" s="13">
        <v>8</v>
      </c>
      <c r="B1282" s="5" t="s">
        <v>91</v>
      </c>
      <c r="C1282" s="6" t="str">
        <f>Gia_VLieu!C10</f>
        <v>Hộp</v>
      </c>
      <c r="D1282" s="66">
        <f>Gia_VLieu!D10</f>
        <v>2500</v>
      </c>
      <c r="E1282" s="53">
        <v>1E-3</v>
      </c>
      <c r="F1282" s="16">
        <f t="shared" si="90"/>
        <v>2.5</v>
      </c>
      <c r="H1282" s="10">
        <v>1278</v>
      </c>
    </row>
    <row r="1283" spans="1:8" s="3" customFormat="1">
      <c r="A1283" s="13">
        <v>9</v>
      </c>
      <c r="B1283" s="5" t="s">
        <v>92</v>
      </c>
      <c r="C1283" s="6" t="str">
        <f>Gia_VLieu!C11</f>
        <v>Hộp</v>
      </c>
      <c r="D1283" s="66">
        <f>Gia_VLieu!D11</f>
        <v>2000</v>
      </c>
      <c r="E1283" s="53">
        <v>1E-3</v>
      </c>
      <c r="F1283" s="16">
        <f t="shared" si="90"/>
        <v>2</v>
      </c>
      <c r="H1283" s="10">
        <v>1279</v>
      </c>
    </row>
    <row r="1284" spans="1:8" s="3" customFormat="1">
      <c r="A1284" s="13">
        <v>10</v>
      </c>
      <c r="B1284" s="5" t="s">
        <v>93</v>
      </c>
      <c r="C1284" s="6" t="str">
        <f>Gia_VLieu!C12</f>
        <v>Tập</v>
      </c>
      <c r="D1284" s="66">
        <f>Gia_VLieu!D12</f>
        <v>8000</v>
      </c>
      <c r="E1284" s="53">
        <v>3.0000000000000001E-3</v>
      </c>
      <c r="F1284" s="16">
        <f t="shared" si="90"/>
        <v>24</v>
      </c>
      <c r="H1284" s="10">
        <v>1280</v>
      </c>
    </row>
    <row r="1285" spans="1:8" s="3" customFormat="1">
      <c r="A1285" s="40">
        <v>11</v>
      </c>
      <c r="B1285" s="41" t="s">
        <v>94</v>
      </c>
      <c r="C1285" s="42" t="str">
        <f>Gia_VLieu!C13</f>
        <v>Cái</v>
      </c>
      <c r="D1285" s="67">
        <f>Gia_VLieu!D13</f>
        <v>15000</v>
      </c>
      <c r="E1285" s="54">
        <v>1E-3</v>
      </c>
      <c r="F1285" s="38">
        <f>D1285*E1285</f>
        <v>15</v>
      </c>
      <c r="H1285" s="10">
        <v>1281</v>
      </c>
    </row>
    <row r="1286" spans="1:8" s="33" customFormat="1">
      <c r="A1286" s="31" t="e">
        <f>#REF!</f>
        <v>#REF!</v>
      </c>
      <c r="B1286" s="32" t="e">
        <f>#REF!</f>
        <v>#REF!</v>
      </c>
      <c r="C1286" s="15"/>
      <c r="D1286" s="127">
        <f>Gia_VLieu!D$14</f>
        <v>1.08</v>
      </c>
      <c r="E1286" s="45"/>
      <c r="F1286" s="18" t="e">
        <f>SUM(F1287:F1297)*D1286</f>
        <v>#REF!</v>
      </c>
      <c r="H1286" s="10">
        <v>1282</v>
      </c>
    </row>
    <row r="1287" spans="1:8" s="3" customFormat="1">
      <c r="A1287" s="13">
        <v>1</v>
      </c>
      <c r="B1287" s="5" t="s">
        <v>85</v>
      </c>
      <c r="C1287" s="6" t="str">
        <f>Gia_VLieu!C4</f>
        <v>Gram</v>
      </c>
      <c r="D1287" s="66">
        <f>Gia_VLieu!D4</f>
        <v>45000</v>
      </c>
      <c r="E1287" s="53">
        <v>1E-3</v>
      </c>
      <c r="F1287" s="16">
        <f>D1287*E1287</f>
        <v>45</v>
      </c>
      <c r="H1287" s="10">
        <v>1283</v>
      </c>
    </row>
    <row r="1288" spans="1:8" s="3" customFormat="1">
      <c r="A1288" s="13">
        <v>2</v>
      </c>
      <c r="B1288" s="5" t="s">
        <v>86</v>
      </c>
      <c r="C1288" s="6" t="str">
        <f>Gia_VLieu!C5</f>
        <v>Hộp</v>
      </c>
      <c r="D1288" s="66">
        <f>Gia_VLieu!D5</f>
        <v>1450000</v>
      </c>
      <c r="E1288" s="53">
        <v>1E-3</v>
      </c>
      <c r="F1288" s="16">
        <f t="shared" ref="F1288:F1296" si="91">D1288*E1288</f>
        <v>1450</v>
      </c>
      <c r="H1288" s="10">
        <v>1284</v>
      </c>
    </row>
    <row r="1289" spans="1:8" s="3" customFormat="1">
      <c r="A1289" s="13">
        <v>3</v>
      </c>
      <c r="B1289" s="5" t="s">
        <v>87</v>
      </c>
      <c r="C1289" s="6" t="e">
        <f>Gia_VLieu!#REF!</f>
        <v>#REF!</v>
      </c>
      <c r="D1289" s="66" t="e">
        <f>Gia_VLieu!#REF!</f>
        <v>#REF!</v>
      </c>
      <c r="E1289" s="53">
        <v>1E-3</v>
      </c>
      <c r="F1289" s="16" t="e">
        <f t="shared" si="91"/>
        <v>#REF!</v>
      </c>
      <c r="H1289" s="10">
        <v>1285</v>
      </c>
    </row>
    <row r="1290" spans="1:8" s="3" customFormat="1">
      <c r="A1290" s="13">
        <v>4</v>
      </c>
      <c r="B1290" s="5" t="s">
        <v>88</v>
      </c>
      <c r="C1290" s="6" t="str">
        <f>Gia_VLieu!C6</f>
        <v>Quyển</v>
      </c>
      <c r="D1290" s="66">
        <f>Gia_VLieu!D6</f>
        <v>10000</v>
      </c>
      <c r="E1290" s="53">
        <v>1E-3</v>
      </c>
      <c r="F1290" s="16">
        <f t="shared" si="91"/>
        <v>10</v>
      </c>
      <c r="H1290" s="10">
        <v>1286</v>
      </c>
    </row>
    <row r="1291" spans="1:8" s="3" customFormat="1">
      <c r="A1291" s="13">
        <v>5</v>
      </c>
      <c r="B1291" s="5" t="s">
        <v>22</v>
      </c>
      <c r="C1291" s="6" t="str">
        <f>Gia_VLieu!C7</f>
        <v>Cái</v>
      </c>
      <c r="D1291" s="66">
        <f>Gia_VLieu!D7</f>
        <v>2000</v>
      </c>
      <c r="E1291" s="53">
        <v>5.0000000000000001E-3</v>
      </c>
      <c r="F1291" s="16">
        <f t="shared" si="91"/>
        <v>10</v>
      </c>
      <c r="H1291" s="10">
        <v>1287</v>
      </c>
    </row>
    <row r="1292" spans="1:8" s="3" customFormat="1">
      <c r="A1292" s="13">
        <v>6</v>
      </c>
      <c r="B1292" s="5" t="s">
        <v>89</v>
      </c>
      <c r="C1292" s="6" t="str">
        <f>Gia_VLieu!C8</f>
        <v>Cái</v>
      </c>
      <c r="D1292" s="66">
        <f>Gia_VLieu!D8</f>
        <v>8000</v>
      </c>
      <c r="E1292" s="53">
        <v>1E-3</v>
      </c>
      <c r="F1292" s="16">
        <f t="shared" si="91"/>
        <v>8</v>
      </c>
      <c r="H1292" s="10">
        <v>1288</v>
      </c>
    </row>
    <row r="1293" spans="1:8" s="3" customFormat="1">
      <c r="A1293" s="13">
        <v>7</v>
      </c>
      <c r="B1293" s="5" t="s">
        <v>90</v>
      </c>
      <c r="C1293" s="6" t="str">
        <f>Gia_VLieu!C9</f>
        <v>Cái</v>
      </c>
      <c r="D1293" s="66">
        <f>Gia_VLieu!D9</f>
        <v>10000</v>
      </c>
      <c r="E1293" s="53">
        <v>1E-3</v>
      </c>
      <c r="F1293" s="16">
        <f t="shared" si="91"/>
        <v>10</v>
      </c>
      <c r="H1293" s="10">
        <v>1289</v>
      </c>
    </row>
    <row r="1294" spans="1:8" s="3" customFormat="1">
      <c r="A1294" s="13">
        <v>8</v>
      </c>
      <c r="B1294" s="5" t="s">
        <v>91</v>
      </c>
      <c r="C1294" s="6" t="str">
        <f>Gia_VLieu!C10</f>
        <v>Hộp</v>
      </c>
      <c r="D1294" s="66">
        <f>Gia_VLieu!D10</f>
        <v>2500</v>
      </c>
      <c r="E1294" s="53">
        <v>1E-3</v>
      </c>
      <c r="F1294" s="16">
        <f t="shared" si="91"/>
        <v>2.5</v>
      </c>
      <c r="H1294" s="10">
        <v>1290</v>
      </c>
    </row>
    <row r="1295" spans="1:8" s="3" customFormat="1">
      <c r="A1295" s="13">
        <v>9</v>
      </c>
      <c r="B1295" s="5" t="s">
        <v>92</v>
      </c>
      <c r="C1295" s="6" t="str">
        <f>Gia_VLieu!C11</f>
        <v>Hộp</v>
      </c>
      <c r="D1295" s="66">
        <f>Gia_VLieu!D11</f>
        <v>2000</v>
      </c>
      <c r="E1295" s="53">
        <v>1E-3</v>
      </c>
      <c r="F1295" s="16">
        <f t="shared" si="91"/>
        <v>2</v>
      </c>
      <c r="H1295" s="10">
        <v>1291</v>
      </c>
    </row>
    <row r="1296" spans="1:8" s="3" customFormat="1">
      <c r="A1296" s="13">
        <v>10</v>
      </c>
      <c r="B1296" s="5" t="s">
        <v>93</v>
      </c>
      <c r="C1296" s="6" t="str">
        <f>Gia_VLieu!C12</f>
        <v>Tập</v>
      </c>
      <c r="D1296" s="66">
        <f>Gia_VLieu!D12</f>
        <v>8000</v>
      </c>
      <c r="E1296" s="53">
        <v>2E-3</v>
      </c>
      <c r="F1296" s="16">
        <f t="shared" si="91"/>
        <v>16</v>
      </c>
      <c r="H1296" s="10">
        <v>1292</v>
      </c>
    </row>
    <row r="1297" spans="1:8" s="3" customFormat="1">
      <c r="A1297" s="40">
        <v>11</v>
      </c>
      <c r="B1297" s="41" t="s">
        <v>94</v>
      </c>
      <c r="C1297" s="42" t="str">
        <f>Gia_VLieu!C13</f>
        <v>Cái</v>
      </c>
      <c r="D1297" s="67">
        <f>Gia_VLieu!D13</f>
        <v>15000</v>
      </c>
      <c r="E1297" s="54">
        <v>1E-3</v>
      </c>
      <c r="F1297" s="38">
        <f>D1297*E1297</f>
        <v>15</v>
      </c>
      <c r="H1297" s="10">
        <v>1293</v>
      </c>
    </row>
    <row r="1298" spans="1:8" s="33" customFormat="1">
      <c r="A1298" s="31" t="e">
        <f>#REF!</f>
        <v>#REF!</v>
      </c>
      <c r="B1298" s="32" t="e">
        <f>#REF!</f>
        <v>#REF!</v>
      </c>
      <c r="C1298" s="15"/>
      <c r="D1298" s="70"/>
      <c r="E1298" s="45"/>
      <c r="F1298" s="18"/>
      <c r="H1298" s="10">
        <v>1294</v>
      </c>
    </row>
    <row r="1299" spans="1:8" s="3" customFormat="1">
      <c r="A1299" s="40" t="e">
        <f>#REF!</f>
        <v>#REF!</v>
      </c>
      <c r="B1299" s="41" t="e">
        <f>#REF!</f>
        <v>#REF!</v>
      </c>
      <c r="C1299" s="42"/>
      <c r="D1299" s="67"/>
      <c r="E1299" s="46"/>
      <c r="F1299" s="38"/>
      <c r="H1299" s="10">
        <v>1295</v>
      </c>
    </row>
    <row r="1300" spans="1:8" s="14" customFormat="1">
      <c r="A1300" s="35" t="e">
        <f>#REF!</f>
        <v>#REF!</v>
      </c>
      <c r="B1300" s="36" t="e">
        <f>#REF!</f>
        <v>#REF!</v>
      </c>
      <c r="C1300" s="37"/>
      <c r="D1300" s="71"/>
      <c r="E1300" s="47"/>
      <c r="F1300" s="28"/>
      <c r="H1300" s="10">
        <v>1296</v>
      </c>
    </row>
    <row r="1301" spans="1:8" s="33" customFormat="1">
      <c r="A1301" s="31" t="e">
        <f>#REF!</f>
        <v>#REF!</v>
      </c>
      <c r="B1301" s="32" t="e">
        <f>#REF!</f>
        <v>#REF!</v>
      </c>
      <c r="C1301" s="15"/>
      <c r="D1301" s="127">
        <f>Gia_VLieu!D$14</f>
        <v>1.08</v>
      </c>
      <c r="E1301" s="45"/>
      <c r="F1301" s="18" t="e">
        <f>SUM(F1302:F1312)*D1301</f>
        <v>#REF!</v>
      </c>
      <c r="H1301" s="10">
        <v>1297</v>
      </c>
    </row>
    <row r="1302" spans="1:8" s="3" customFormat="1">
      <c r="A1302" s="13">
        <v>1</v>
      </c>
      <c r="B1302" s="5" t="s">
        <v>85</v>
      </c>
      <c r="C1302" s="6" t="str">
        <f>Gia_VLieu!C4</f>
        <v>Gram</v>
      </c>
      <c r="D1302" s="66">
        <f>Gia_VLieu!D4</f>
        <v>45000</v>
      </c>
      <c r="E1302" s="53">
        <v>10</v>
      </c>
      <c r="F1302" s="16">
        <f>D1302*E1302</f>
        <v>450000</v>
      </c>
      <c r="H1302" s="10">
        <v>1298</v>
      </c>
    </row>
    <row r="1303" spans="1:8" s="3" customFormat="1">
      <c r="A1303" s="13">
        <v>2</v>
      </c>
      <c r="B1303" s="5" t="s">
        <v>86</v>
      </c>
      <c r="C1303" s="6" t="str">
        <f>Gia_VLieu!C5</f>
        <v>Hộp</v>
      </c>
      <c r="D1303" s="66">
        <f>Gia_VLieu!D5</f>
        <v>1450000</v>
      </c>
      <c r="E1303" s="53">
        <v>0.5</v>
      </c>
      <c r="F1303" s="16">
        <f t="shared" ref="F1303:F1311" si="92">D1303*E1303</f>
        <v>725000</v>
      </c>
      <c r="H1303" s="10">
        <v>1299</v>
      </c>
    </row>
    <row r="1304" spans="1:8" s="3" customFormat="1">
      <c r="A1304" s="13">
        <v>3</v>
      </c>
      <c r="B1304" s="5" t="s">
        <v>87</v>
      </c>
      <c r="C1304" s="6" t="e">
        <f>Gia_VLieu!#REF!</f>
        <v>#REF!</v>
      </c>
      <c r="D1304" s="66" t="e">
        <f>Gia_VLieu!#REF!</f>
        <v>#REF!</v>
      </c>
      <c r="E1304" s="53">
        <v>0.4</v>
      </c>
      <c r="F1304" s="16" t="e">
        <f t="shared" si="92"/>
        <v>#REF!</v>
      </c>
      <c r="H1304" s="10">
        <v>1300</v>
      </c>
    </row>
    <row r="1305" spans="1:8" s="3" customFormat="1">
      <c r="A1305" s="13">
        <v>4</v>
      </c>
      <c r="B1305" s="5" t="s">
        <v>88</v>
      </c>
      <c r="C1305" s="6" t="str">
        <f>Gia_VLieu!C6</f>
        <v>Quyển</v>
      </c>
      <c r="D1305" s="66">
        <f>Gia_VLieu!D6</f>
        <v>10000</v>
      </c>
      <c r="E1305" s="53">
        <v>30</v>
      </c>
      <c r="F1305" s="16">
        <f t="shared" si="92"/>
        <v>300000</v>
      </c>
      <c r="H1305" s="10">
        <v>1301</v>
      </c>
    </row>
    <row r="1306" spans="1:8" s="3" customFormat="1">
      <c r="A1306" s="13">
        <v>5</v>
      </c>
      <c r="B1306" s="5" t="s">
        <v>22</v>
      </c>
      <c r="C1306" s="6" t="str">
        <f>Gia_VLieu!C7</f>
        <v>Cái</v>
      </c>
      <c r="D1306" s="66">
        <f>Gia_VLieu!D7</f>
        <v>2000</v>
      </c>
      <c r="E1306" s="53">
        <v>32</v>
      </c>
      <c r="F1306" s="16">
        <f t="shared" si="92"/>
        <v>64000</v>
      </c>
      <c r="H1306" s="10">
        <v>1302</v>
      </c>
    </row>
    <row r="1307" spans="1:8" s="3" customFormat="1">
      <c r="A1307" s="13">
        <v>6</v>
      </c>
      <c r="B1307" s="5" t="s">
        <v>89</v>
      </c>
      <c r="C1307" s="6" t="str">
        <f>Gia_VLieu!C8</f>
        <v>Cái</v>
      </c>
      <c r="D1307" s="66">
        <f>Gia_VLieu!D8</f>
        <v>8000</v>
      </c>
      <c r="E1307" s="53">
        <v>15</v>
      </c>
      <c r="F1307" s="16">
        <f t="shared" si="92"/>
        <v>120000</v>
      </c>
      <c r="H1307" s="10">
        <v>1303</v>
      </c>
    </row>
    <row r="1308" spans="1:8" s="3" customFormat="1">
      <c r="A1308" s="13">
        <v>7</v>
      </c>
      <c r="B1308" s="5" t="s">
        <v>90</v>
      </c>
      <c r="C1308" s="6" t="str">
        <f>Gia_VLieu!C9</f>
        <v>Cái</v>
      </c>
      <c r="D1308" s="66">
        <f>Gia_VLieu!D9</f>
        <v>10000</v>
      </c>
      <c r="E1308" s="53">
        <v>15</v>
      </c>
      <c r="F1308" s="16">
        <f t="shared" si="92"/>
        <v>150000</v>
      </c>
      <c r="H1308" s="10">
        <v>1304</v>
      </c>
    </row>
    <row r="1309" spans="1:8" s="3" customFormat="1">
      <c r="A1309" s="13">
        <v>8</v>
      </c>
      <c r="B1309" s="5" t="s">
        <v>91</v>
      </c>
      <c r="C1309" s="6" t="str">
        <f>Gia_VLieu!C10</f>
        <v>Hộp</v>
      </c>
      <c r="D1309" s="66">
        <f>Gia_VLieu!D10</f>
        <v>2500</v>
      </c>
      <c r="E1309" s="53">
        <v>10</v>
      </c>
      <c r="F1309" s="16">
        <f t="shared" si="92"/>
        <v>25000</v>
      </c>
      <c r="H1309" s="10">
        <v>1305</v>
      </c>
    </row>
    <row r="1310" spans="1:8" s="3" customFormat="1">
      <c r="A1310" s="13">
        <v>9</v>
      </c>
      <c r="B1310" s="5" t="s">
        <v>92</v>
      </c>
      <c r="C1310" s="6" t="str">
        <f>Gia_VLieu!C11</f>
        <v>Hộp</v>
      </c>
      <c r="D1310" s="66">
        <f>Gia_VLieu!D11</f>
        <v>2000</v>
      </c>
      <c r="E1310" s="53">
        <v>8</v>
      </c>
      <c r="F1310" s="16">
        <f t="shared" si="92"/>
        <v>16000</v>
      </c>
      <c r="H1310" s="10">
        <v>1306</v>
      </c>
    </row>
    <row r="1311" spans="1:8" s="3" customFormat="1">
      <c r="A1311" s="13">
        <v>10</v>
      </c>
      <c r="B1311" s="5" t="s">
        <v>93</v>
      </c>
      <c r="C1311" s="6" t="str">
        <f>Gia_VLieu!C12</f>
        <v>Tập</v>
      </c>
      <c r="D1311" s="66">
        <f>Gia_VLieu!D12</f>
        <v>8000</v>
      </c>
      <c r="E1311" s="53">
        <v>10</v>
      </c>
      <c r="F1311" s="16">
        <f t="shared" si="92"/>
        <v>80000</v>
      </c>
      <c r="H1311" s="10">
        <v>1307</v>
      </c>
    </row>
    <row r="1312" spans="1:8" s="3" customFormat="1">
      <c r="A1312" s="40">
        <v>11</v>
      </c>
      <c r="B1312" s="41" t="s">
        <v>94</v>
      </c>
      <c r="C1312" s="42" t="str">
        <f>Gia_VLieu!C13</f>
        <v>Cái</v>
      </c>
      <c r="D1312" s="67">
        <f>Gia_VLieu!D13</f>
        <v>15000</v>
      </c>
      <c r="E1312" s="54">
        <v>20</v>
      </c>
      <c r="F1312" s="38">
        <f>D1312*E1312</f>
        <v>300000</v>
      </c>
      <c r="H1312" s="10">
        <v>1308</v>
      </c>
    </row>
    <row r="1313" spans="1:8" s="33" customFormat="1">
      <c r="A1313" s="31" t="e">
        <f>#REF!</f>
        <v>#REF!</v>
      </c>
      <c r="B1313" s="32" t="e">
        <f>#REF!</f>
        <v>#REF!</v>
      </c>
      <c r="C1313" s="15"/>
      <c r="D1313" s="127">
        <f>Gia_VLieu!D$14</f>
        <v>1.08</v>
      </c>
      <c r="E1313" s="45"/>
      <c r="F1313" s="18" t="e">
        <f>SUM(F1314:F1324)*D1313</f>
        <v>#REF!</v>
      </c>
      <c r="H1313" s="10">
        <v>1309</v>
      </c>
    </row>
    <row r="1314" spans="1:8" s="3" customFormat="1">
      <c r="A1314" s="13">
        <v>1</v>
      </c>
      <c r="B1314" s="5" t="s">
        <v>85</v>
      </c>
      <c r="C1314" s="6" t="str">
        <f>Gia_VLieu!C4</f>
        <v>Gram</v>
      </c>
      <c r="D1314" s="66">
        <f>Gia_VLieu!D4</f>
        <v>45000</v>
      </c>
      <c r="E1314" s="53">
        <v>2</v>
      </c>
      <c r="F1314" s="16">
        <f>D1314*E1314</f>
        <v>90000</v>
      </c>
      <c r="H1314" s="10">
        <v>1310</v>
      </c>
    </row>
    <row r="1315" spans="1:8" s="3" customFormat="1">
      <c r="A1315" s="13">
        <v>2</v>
      </c>
      <c r="B1315" s="5" t="s">
        <v>86</v>
      </c>
      <c r="C1315" s="6" t="str">
        <f>Gia_VLieu!C5</f>
        <v>Hộp</v>
      </c>
      <c r="D1315" s="66">
        <f>Gia_VLieu!D5</f>
        <v>1450000</v>
      </c>
      <c r="E1315" s="53">
        <v>0.1</v>
      </c>
      <c r="F1315" s="16">
        <f t="shared" ref="F1315:F1323" si="93">D1315*E1315</f>
        <v>145000</v>
      </c>
      <c r="H1315" s="10">
        <v>1311</v>
      </c>
    </row>
    <row r="1316" spans="1:8" s="3" customFormat="1">
      <c r="A1316" s="13">
        <v>3</v>
      </c>
      <c r="B1316" s="5" t="s">
        <v>87</v>
      </c>
      <c r="C1316" s="6" t="e">
        <f>Gia_VLieu!#REF!</f>
        <v>#REF!</v>
      </c>
      <c r="D1316" s="66" t="e">
        <f>Gia_VLieu!#REF!</f>
        <v>#REF!</v>
      </c>
      <c r="E1316" s="53">
        <v>0.05</v>
      </c>
      <c r="F1316" s="16" t="e">
        <f t="shared" si="93"/>
        <v>#REF!</v>
      </c>
      <c r="H1316" s="10">
        <v>1312</v>
      </c>
    </row>
    <row r="1317" spans="1:8" s="3" customFormat="1">
      <c r="A1317" s="13">
        <v>4</v>
      </c>
      <c r="B1317" s="5" t="s">
        <v>88</v>
      </c>
      <c r="C1317" s="6" t="str">
        <f>Gia_VLieu!C6</f>
        <v>Quyển</v>
      </c>
      <c r="D1317" s="66">
        <f>Gia_VLieu!D6</f>
        <v>10000</v>
      </c>
      <c r="E1317" s="53">
        <v>25</v>
      </c>
      <c r="F1317" s="16">
        <f t="shared" si="93"/>
        <v>250000</v>
      </c>
      <c r="H1317" s="10">
        <v>1313</v>
      </c>
    </row>
    <row r="1318" spans="1:8" s="3" customFormat="1">
      <c r="A1318" s="13">
        <v>5</v>
      </c>
      <c r="B1318" s="5" t="s">
        <v>22</v>
      </c>
      <c r="C1318" s="6" t="str">
        <f>Gia_VLieu!C7</f>
        <v>Cái</v>
      </c>
      <c r="D1318" s="66">
        <f>Gia_VLieu!D7</f>
        <v>2000</v>
      </c>
      <c r="E1318" s="53">
        <v>30</v>
      </c>
      <c r="F1318" s="16">
        <f t="shared" si="93"/>
        <v>60000</v>
      </c>
      <c r="H1318" s="10">
        <v>1314</v>
      </c>
    </row>
    <row r="1319" spans="1:8" s="3" customFormat="1">
      <c r="A1319" s="13">
        <v>6</v>
      </c>
      <c r="B1319" s="5" t="s">
        <v>89</v>
      </c>
      <c r="C1319" s="6" t="str">
        <f>Gia_VLieu!C8</f>
        <v>Cái</v>
      </c>
      <c r="D1319" s="66">
        <f>Gia_VLieu!D8</f>
        <v>8000</v>
      </c>
      <c r="E1319" s="53">
        <v>14</v>
      </c>
      <c r="F1319" s="16">
        <f t="shared" si="93"/>
        <v>112000</v>
      </c>
      <c r="H1319" s="10">
        <v>1315</v>
      </c>
    </row>
    <row r="1320" spans="1:8" s="3" customFormat="1">
      <c r="A1320" s="13">
        <v>7</v>
      </c>
      <c r="B1320" s="5" t="s">
        <v>90</v>
      </c>
      <c r="C1320" s="6" t="str">
        <f>Gia_VLieu!C9</f>
        <v>Cái</v>
      </c>
      <c r="D1320" s="66">
        <f>Gia_VLieu!D9</f>
        <v>10000</v>
      </c>
      <c r="E1320" s="53">
        <v>14</v>
      </c>
      <c r="F1320" s="16">
        <f t="shared" si="93"/>
        <v>140000</v>
      </c>
      <c r="H1320" s="10">
        <v>1316</v>
      </c>
    </row>
    <row r="1321" spans="1:8" s="3" customFormat="1">
      <c r="A1321" s="13">
        <v>8</v>
      </c>
      <c r="B1321" s="5" t="s">
        <v>91</v>
      </c>
      <c r="C1321" s="6" t="str">
        <f>Gia_VLieu!C10</f>
        <v>Hộp</v>
      </c>
      <c r="D1321" s="66">
        <f>Gia_VLieu!D10</f>
        <v>2500</v>
      </c>
      <c r="E1321" s="53">
        <v>8</v>
      </c>
      <c r="F1321" s="16">
        <f t="shared" si="93"/>
        <v>20000</v>
      </c>
      <c r="H1321" s="10">
        <v>1317</v>
      </c>
    </row>
    <row r="1322" spans="1:8" s="3" customFormat="1">
      <c r="A1322" s="13">
        <v>9</v>
      </c>
      <c r="B1322" s="5" t="s">
        <v>92</v>
      </c>
      <c r="C1322" s="6" t="str">
        <f>Gia_VLieu!C11</f>
        <v>Hộp</v>
      </c>
      <c r="D1322" s="66">
        <f>Gia_VLieu!D11</f>
        <v>2000</v>
      </c>
      <c r="E1322" s="53">
        <v>6</v>
      </c>
      <c r="F1322" s="16">
        <f t="shared" si="93"/>
        <v>12000</v>
      </c>
      <c r="H1322" s="10">
        <v>1318</v>
      </c>
    </row>
    <row r="1323" spans="1:8" s="3" customFormat="1">
      <c r="A1323" s="13">
        <v>10</v>
      </c>
      <c r="B1323" s="5" t="s">
        <v>93</v>
      </c>
      <c r="C1323" s="6" t="str">
        <f>Gia_VLieu!C12</f>
        <v>Tập</v>
      </c>
      <c r="D1323" s="66">
        <f>Gia_VLieu!D12</f>
        <v>8000</v>
      </c>
      <c r="E1323" s="53">
        <v>6</v>
      </c>
      <c r="F1323" s="16">
        <f t="shared" si="93"/>
        <v>48000</v>
      </c>
      <c r="H1323" s="10">
        <v>1319</v>
      </c>
    </row>
    <row r="1324" spans="1:8" s="3" customFormat="1">
      <c r="A1324" s="40">
        <v>11</v>
      </c>
      <c r="B1324" s="41" t="s">
        <v>94</v>
      </c>
      <c r="C1324" s="42" t="str">
        <f>Gia_VLieu!C13</f>
        <v>Cái</v>
      </c>
      <c r="D1324" s="67">
        <f>Gia_VLieu!D13</f>
        <v>15000</v>
      </c>
      <c r="E1324" s="54">
        <v>15</v>
      </c>
      <c r="F1324" s="38">
        <f>D1324*E1324</f>
        <v>225000</v>
      </c>
      <c r="H1324" s="10">
        <v>1320</v>
      </c>
    </row>
    <row r="1325" spans="1:8" s="14" customFormat="1">
      <c r="A1325" s="12" t="e">
        <f>#REF!</f>
        <v>#REF!</v>
      </c>
      <c r="B1325" s="8" t="e">
        <f>#REF!</f>
        <v>#REF!</v>
      </c>
      <c r="C1325" s="7"/>
      <c r="D1325" s="72"/>
      <c r="E1325" s="48"/>
      <c r="F1325" s="17"/>
      <c r="H1325" s="10">
        <v>1321</v>
      </c>
    </row>
    <row r="1326" spans="1:8" s="3" customFormat="1">
      <c r="A1326" s="13" t="e">
        <f>#REF!</f>
        <v>#REF!</v>
      </c>
      <c r="B1326" s="5" t="e">
        <f>#REF!</f>
        <v>#REF!</v>
      </c>
      <c r="C1326" s="6"/>
      <c r="D1326" s="127">
        <f>Gia_VLieu!D$14</f>
        <v>1.08</v>
      </c>
      <c r="E1326" s="45"/>
      <c r="F1326" s="18" t="e">
        <f>SUM(F1327:F1337)*D1326</f>
        <v>#REF!</v>
      </c>
      <c r="H1326" s="10">
        <v>1322</v>
      </c>
    </row>
    <row r="1327" spans="1:8" s="3" customFormat="1">
      <c r="A1327" s="13">
        <v>1</v>
      </c>
      <c r="B1327" s="5" t="s">
        <v>85</v>
      </c>
      <c r="C1327" s="6" t="str">
        <f>Gia_VLieu!C4</f>
        <v>Gram</v>
      </c>
      <c r="D1327" s="66">
        <f>Gia_VLieu!D4</f>
        <v>45000</v>
      </c>
      <c r="E1327" s="53">
        <v>40</v>
      </c>
      <c r="F1327" s="16">
        <f>D1327*E1327</f>
        <v>1800000</v>
      </c>
      <c r="H1327" s="10">
        <v>1323</v>
      </c>
    </row>
    <row r="1328" spans="1:8" s="3" customFormat="1">
      <c r="A1328" s="13">
        <v>2</v>
      </c>
      <c r="B1328" s="5" t="s">
        <v>86</v>
      </c>
      <c r="C1328" s="6" t="str">
        <f>Gia_VLieu!C5</f>
        <v>Hộp</v>
      </c>
      <c r="D1328" s="66">
        <f>Gia_VLieu!D5</f>
        <v>1450000</v>
      </c>
      <c r="E1328" s="53">
        <v>3.5</v>
      </c>
      <c r="F1328" s="16">
        <f t="shared" ref="F1328:F1336" si="94">D1328*E1328</f>
        <v>5075000</v>
      </c>
      <c r="H1328" s="10">
        <v>1324</v>
      </c>
    </row>
    <row r="1329" spans="1:8" s="3" customFormat="1">
      <c r="A1329" s="13">
        <v>3</v>
      </c>
      <c r="B1329" s="5" t="s">
        <v>87</v>
      </c>
      <c r="C1329" s="6" t="e">
        <f>Gia_VLieu!#REF!</f>
        <v>#REF!</v>
      </c>
      <c r="D1329" s="66" t="e">
        <f>Gia_VLieu!#REF!</f>
        <v>#REF!</v>
      </c>
      <c r="E1329" s="53">
        <v>1.2</v>
      </c>
      <c r="F1329" s="16" t="e">
        <f t="shared" si="94"/>
        <v>#REF!</v>
      </c>
      <c r="H1329" s="10">
        <v>1325</v>
      </c>
    </row>
    <row r="1330" spans="1:8" s="3" customFormat="1">
      <c r="A1330" s="13">
        <v>4</v>
      </c>
      <c r="B1330" s="5" t="s">
        <v>88</v>
      </c>
      <c r="C1330" s="6" t="str">
        <f>Gia_VLieu!C6</f>
        <v>Quyển</v>
      </c>
      <c r="D1330" s="66">
        <f>Gia_VLieu!D6</f>
        <v>10000</v>
      </c>
      <c r="E1330" s="53">
        <v>35</v>
      </c>
      <c r="F1330" s="16">
        <f t="shared" si="94"/>
        <v>350000</v>
      </c>
      <c r="H1330" s="10">
        <v>1326</v>
      </c>
    </row>
    <row r="1331" spans="1:8" s="3" customFormat="1">
      <c r="A1331" s="13">
        <v>5</v>
      </c>
      <c r="B1331" s="5" t="s">
        <v>22</v>
      </c>
      <c r="C1331" s="6" t="str">
        <f>Gia_VLieu!C7</f>
        <v>Cái</v>
      </c>
      <c r="D1331" s="66">
        <f>Gia_VLieu!D7</f>
        <v>2000</v>
      </c>
      <c r="E1331" s="53">
        <v>50</v>
      </c>
      <c r="F1331" s="16">
        <f t="shared" si="94"/>
        <v>100000</v>
      </c>
      <c r="H1331" s="10">
        <v>1327</v>
      </c>
    </row>
    <row r="1332" spans="1:8" s="3" customFormat="1">
      <c r="A1332" s="13">
        <v>6</v>
      </c>
      <c r="B1332" s="5" t="s">
        <v>89</v>
      </c>
      <c r="C1332" s="6" t="str">
        <f>Gia_VLieu!C8</f>
        <v>Cái</v>
      </c>
      <c r="D1332" s="66">
        <f>Gia_VLieu!D8</f>
        <v>8000</v>
      </c>
      <c r="E1332" s="53">
        <v>40</v>
      </c>
      <c r="F1332" s="16">
        <f t="shared" si="94"/>
        <v>320000</v>
      </c>
      <c r="H1332" s="10">
        <v>1328</v>
      </c>
    </row>
    <row r="1333" spans="1:8" s="3" customFormat="1">
      <c r="A1333" s="13">
        <v>7</v>
      </c>
      <c r="B1333" s="5" t="s">
        <v>90</v>
      </c>
      <c r="C1333" s="6" t="str">
        <f>Gia_VLieu!C9</f>
        <v>Cái</v>
      </c>
      <c r="D1333" s="66">
        <f>Gia_VLieu!D9</f>
        <v>10000</v>
      </c>
      <c r="E1333" s="53">
        <v>40</v>
      </c>
      <c r="F1333" s="16">
        <f t="shared" si="94"/>
        <v>400000</v>
      </c>
      <c r="H1333" s="10">
        <v>1329</v>
      </c>
    </row>
    <row r="1334" spans="1:8" s="3" customFormat="1">
      <c r="A1334" s="13">
        <v>8</v>
      </c>
      <c r="B1334" s="5" t="s">
        <v>91</v>
      </c>
      <c r="C1334" s="6" t="str">
        <f>Gia_VLieu!C10</f>
        <v>Hộp</v>
      </c>
      <c r="D1334" s="66">
        <f>Gia_VLieu!D10</f>
        <v>2500</v>
      </c>
      <c r="E1334" s="53">
        <v>35</v>
      </c>
      <c r="F1334" s="16">
        <f t="shared" si="94"/>
        <v>87500</v>
      </c>
      <c r="H1334" s="10">
        <v>1330</v>
      </c>
    </row>
    <row r="1335" spans="1:8" s="3" customFormat="1">
      <c r="A1335" s="13">
        <v>9</v>
      </c>
      <c r="B1335" s="5" t="s">
        <v>92</v>
      </c>
      <c r="C1335" s="6" t="str">
        <f>Gia_VLieu!C11</f>
        <v>Hộp</v>
      </c>
      <c r="D1335" s="66">
        <f>Gia_VLieu!D11</f>
        <v>2000</v>
      </c>
      <c r="E1335" s="53">
        <v>21</v>
      </c>
      <c r="F1335" s="16">
        <f t="shared" si="94"/>
        <v>42000</v>
      </c>
      <c r="H1335" s="10">
        <v>1331</v>
      </c>
    </row>
    <row r="1336" spans="1:8" s="3" customFormat="1">
      <c r="A1336" s="13">
        <v>10</v>
      </c>
      <c r="B1336" s="5" t="s">
        <v>93</v>
      </c>
      <c r="C1336" s="6" t="str">
        <f>Gia_VLieu!C12</f>
        <v>Tập</v>
      </c>
      <c r="D1336" s="66">
        <f>Gia_VLieu!D12</f>
        <v>8000</v>
      </c>
      <c r="E1336" s="53">
        <v>25</v>
      </c>
      <c r="F1336" s="16">
        <f t="shared" si="94"/>
        <v>200000</v>
      </c>
      <c r="H1336" s="10">
        <v>1332</v>
      </c>
    </row>
    <row r="1337" spans="1:8" s="3" customFormat="1">
      <c r="A1337" s="40">
        <v>11</v>
      </c>
      <c r="B1337" s="41" t="s">
        <v>94</v>
      </c>
      <c r="C1337" s="42" t="str">
        <f>Gia_VLieu!C13</f>
        <v>Cái</v>
      </c>
      <c r="D1337" s="67">
        <f>Gia_VLieu!D13</f>
        <v>15000</v>
      </c>
      <c r="E1337" s="54">
        <v>32</v>
      </c>
      <c r="F1337" s="38">
        <f>D1337*E1337</f>
        <v>480000</v>
      </c>
      <c r="H1337" s="10">
        <v>1333</v>
      </c>
    </row>
    <row r="1338" spans="1:8" s="14" customFormat="1">
      <c r="A1338" s="12" t="e">
        <f>#REF!</f>
        <v>#REF!</v>
      </c>
      <c r="B1338" s="8" t="e">
        <f>#REF!</f>
        <v>#REF!</v>
      </c>
      <c r="C1338" s="7"/>
      <c r="D1338" s="72"/>
      <c r="E1338" s="48"/>
      <c r="F1338" s="17"/>
      <c r="H1338" s="10">
        <v>1334</v>
      </c>
    </row>
    <row r="1339" spans="1:8" s="33" customFormat="1">
      <c r="A1339" s="31" t="e">
        <f>#REF!</f>
        <v>#REF!</v>
      </c>
      <c r="B1339" s="32" t="e">
        <f>#REF!</f>
        <v>#REF!</v>
      </c>
      <c r="C1339" s="15"/>
      <c r="D1339" s="70"/>
      <c r="E1339" s="45"/>
      <c r="F1339" s="18"/>
      <c r="H1339" s="10">
        <v>1335</v>
      </c>
    </row>
    <row r="1340" spans="1:8" s="33" customFormat="1">
      <c r="A1340" s="31" t="e">
        <f>#REF!</f>
        <v>#REF!</v>
      </c>
      <c r="B1340" s="32" t="e">
        <f>#REF!</f>
        <v>#REF!</v>
      </c>
      <c r="C1340" s="15"/>
      <c r="D1340" s="70"/>
      <c r="E1340" s="45"/>
      <c r="F1340" s="18"/>
      <c r="H1340" s="10">
        <v>1336</v>
      </c>
    </row>
    <row r="1341" spans="1:8" s="14" customFormat="1">
      <c r="A1341" s="12" t="e">
        <f>#REF!</f>
        <v>#REF!</v>
      </c>
      <c r="B1341" s="8" t="e">
        <f>#REF!</f>
        <v>#REF!</v>
      </c>
      <c r="C1341" s="7"/>
      <c r="D1341" s="72"/>
      <c r="E1341" s="48"/>
      <c r="F1341" s="17"/>
      <c r="H1341" s="10">
        <v>1337</v>
      </c>
    </row>
    <row r="1342" spans="1:8" s="33" customFormat="1">
      <c r="A1342" s="31" t="e">
        <f>#REF!</f>
        <v>#REF!</v>
      </c>
      <c r="B1342" s="32" t="e">
        <f>#REF!</f>
        <v>#REF!</v>
      </c>
      <c r="C1342" s="15"/>
      <c r="D1342" s="70"/>
      <c r="E1342" s="45"/>
      <c r="F1342" s="18" t="e">
        <f>F1345</f>
        <v>#REF!</v>
      </c>
      <c r="H1342" s="10">
        <v>1338</v>
      </c>
    </row>
    <row r="1343" spans="1:8" s="3" customFormat="1">
      <c r="A1343" s="13" t="e">
        <f>#REF!</f>
        <v>#REF!</v>
      </c>
      <c r="B1343" s="5" t="e">
        <f>#REF!</f>
        <v>#REF!</v>
      </c>
      <c r="C1343" s="6"/>
      <c r="D1343" s="66"/>
      <c r="E1343" s="30"/>
      <c r="F1343" s="16" t="e">
        <f>F1345</f>
        <v>#REF!</v>
      </c>
      <c r="H1343" s="10">
        <v>1339</v>
      </c>
    </row>
    <row r="1344" spans="1:8" s="3" customFormat="1">
      <c r="A1344" s="13" t="e">
        <f>#REF!</f>
        <v>#REF!</v>
      </c>
      <c r="B1344" s="5" t="e">
        <f>#REF!</f>
        <v>#REF!</v>
      </c>
      <c r="C1344" s="6"/>
      <c r="D1344" s="66"/>
      <c r="E1344" s="30"/>
      <c r="F1344" s="16" t="e">
        <f>F1345</f>
        <v>#REF!</v>
      </c>
      <c r="H1344" s="10">
        <v>1340</v>
      </c>
    </row>
    <row r="1345" spans="1:8" s="3" customFormat="1">
      <c r="A1345" s="13" t="e">
        <f>#REF!</f>
        <v>#REF!</v>
      </c>
      <c r="B1345" s="5" t="e">
        <f>#REF!</f>
        <v>#REF!</v>
      </c>
      <c r="C1345" s="6"/>
      <c r="D1345" s="127">
        <f>Gia_VLieu!D$14</f>
        <v>1.08</v>
      </c>
      <c r="E1345" s="45"/>
      <c r="F1345" s="18" t="e">
        <f>SUM(F1346:F1356)*D1345</f>
        <v>#REF!</v>
      </c>
      <c r="H1345" s="10">
        <v>1341</v>
      </c>
    </row>
    <row r="1346" spans="1:8" s="3" customFormat="1">
      <c r="A1346" s="13">
        <v>1</v>
      </c>
      <c r="B1346" s="5" t="s">
        <v>85</v>
      </c>
      <c r="C1346" s="6" t="str">
        <f>Gia_VLieu!C4</f>
        <v>Gram</v>
      </c>
      <c r="D1346" s="66">
        <f>Gia_VLieu!D4</f>
        <v>45000</v>
      </c>
      <c r="E1346" s="53">
        <v>5</v>
      </c>
      <c r="F1346" s="16">
        <f>D1346*E1346</f>
        <v>225000</v>
      </c>
      <c r="H1346" s="10">
        <v>1342</v>
      </c>
    </row>
    <row r="1347" spans="1:8" s="3" customFormat="1">
      <c r="A1347" s="13">
        <v>2</v>
      </c>
      <c r="B1347" s="5" t="s">
        <v>86</v>
      </c>
      <c r="C1347" s="6" t="str">
        <f>Gia_VLieu!C5</f>
        <v>Hộp</v>
      </c>
      <c r="D1347" s="66">
        <f>Gia_VLieu!D5</f>
        <v>1450000</v>
      </c>
      <c r="E1347" s="53">
        <v>0.02</v>
      </c>
      <c r="F1347" s="16">
        <f t="shared" ref="F1347:F1355" si="95">D1347*E1347</f>
        <v>29000</v>
      </c>
      <c r="H1347" s="10">
        <v>1343</v>
      </c>
    </row>
    <row r="1348" spans="1:8" s="3" customFormat="1">
      <c r="A1348" s="13">
        <v>3</v>
      </c>
      <c r="B1348" s="5" t="s">
        <v>87</v>
      </c>
      <c r="C1348" s="6" t="e">
        <f>Gia_VLieu!#REF!</f>
        <v>#REF!</v>
      </c>
      <c r="D1348" s="66" t="e">
        <f>Gia_VLieu!#REF!</f>
        <v>#REF!</v>
      </c>
      <c r="E1348" s="53">
        <v>0.01</v>
      </c>
      <c r="F1348" s="16" t="e">
        <f t="shared" si="95"/>
        <v>#REF!</v>
      </c>
      <c r="H1348" s="10">
        <v>1344</v>
      </c>
    </row>
    <row r="1349" spans="1:8" s="3" customFormat="1">
      <c r="A1349" s="13">
        <v>4</v>
      </c>
      <c r="B1349" s="5" t="s">
        <v>88</v>
      </c>
      <c r="C1349" s="6" t="str">
        <f>Gia_VLieu!C6</f>
        <v>Quyển</v>
      </c>
      <c r="D1349" s="66">
        <f>Gia_VLieu!D6</f>
        <v>10000</v>
      </c>
      <c r="E1349" s="53">
        <v>5</v>
      </c>
      <c r="F1349" s="16">
        <f t="shared" si="95"/>
        <v>50000</v>
      </c>
      <c r="H1349" s="10">
        <v>1345</v>
      </c>
    </row>
    <row r="1350" spans="1:8" s="3" customFormat="1">
      <c r="A1350" s="13">
        <v>5</v>
      </c>
      <c r="B1350" s="5" t="s">
        <v>22</v>
      </c>
      <c r="C1350" s="6" t="str">
        <f>Gia_VLieu!C7</f>
        <v>Cái</v>
      </c>
      <c r="D1350" s="66">
        <f>Gia_VLieu!D7</f>
        <v>2000</v>
      </c>
      <c r="E1350" s="53">
        <v>11</v>
      </c>
      <c r="F1350" s="16">
        <f t="shared" si="95"/>
        <v>22000</v>
      </c>
      <c r="H1350" s="10">
        <v>1346</v>
      </c>
    </row>
    <row r="1351" spans="1:8" s="3" customFormat="1">
      <c r="A1351" s="13">
        <v>6</v>
      </c>
      <c r="B1351" s="5" t="s">
        <v>89</v>
      </c>
      <c r="C1351" s="6" t="str">
        <f>Gia_VLieu!C8</f>
        <v>Cái</v>
      </c>
      <c r="D1351" s="66">
        <f>Gia_VLieu!D8</f>
        <v>8000</v>
      </c>
      <c r="E1351" s="53">
        <v>40</v>
      </c>
      <c r="F1351" s="16">
        <f t="shared" si="95"/>
        <v>320000</v>
      </c>
      <c r="H1351" s="10">
        <v>1347</v>
      </c>
    </row>
    <row r="1352" spans="1:8" s="3" customFormat="1">
      <c r="A1352" s="13">
        <v>7</v>
      </c>
      <c r="B1352" s="5" t="s">
        <v>90</v>
      </c>
      <c r="C1352" s="6" t="str">
        <f>Gia_VLieu!C9</f>
        <v>Cái</v>
      </c>
      <c r="D1352" s="66">
        <f>Gia_VLieu!D9</f>
        <v>10000</v>
      </c>
      <c r="E1352" s="53">
        <v>40</v>
      </c>
      <c r="F1352" s="16">
        <f t="shared" si="95"/>
        <v>400000</v>
      </c>
      <c r="H1352" s="10">
        <v>1348</v>
      </c>
    </row>
    <row r="1353" spans="1:8" s="3" customFormat="1">
      <c r="A1353" s="13">
        <v>8</v>
      </c>
      <c r="B1353" s="5" t="s">
        <v>91</v>
      </c>
      <c r="C1353" s="6" t="str">
        <f>Gia_VLieu!C10</f>
        <v>Hộp</v>
      </c>
      <c r="D1353" s="66">
        <f>Gia_VLieu!D10</f>
        <v>2500</v>
      </c>
      <c r="E1353" s="53">
        <v>8</v>
      </c>
      <c r="F1353" s="16">
        <f t="shared" si="95"/>
        <v>20000</v>
      </c>
      <c r="H1353" s="10">
        <v>1349</v>
      </c>
    </row>
    <row r="1354" spans="1:8" s="3" customFormat="1">
      <c r="A1354" s="13">
        <v>9</v>
      </c>
      <c r="B1354" s="5" t="s">
        <v>92</v>
      </c>
      <c r="C1354" s="6" t="str">
        <f>Gia_VLieu!C11</f>
        <v>Hộp</v>
      </c>
      <c r="D1354" s="66">
        <f>Gia_VLieu!D11</f>
        <v>2000</v>
      </c>
      <c r="E1354" s="53">
        <v>4</v>
      </c>
      <c r="F1354" s="16">
        <f t="shared" si="95"/>
        <v>8000</v>
      </c>
      <c r="H1354" s="10">
        <v>1350</v>
      </c>
    </row>
    <row r="1355" spans="1:8" s="3" customFormat="1">
      <c r="A1355" s="13">
        <v>10</v>
      </c>
      <c r="B1355" s="5" t="s">
        <v>93</v>
      </c>
      <c r="C1355" s="6" t="str">
        <f>Gia_VLieu!C12</f>
        <v>Tập</v>
      </c>
      <c r="D1355" s="66">
        <f>Gia_VLieu!D12</f>
        <v>8000</v>
      </c>
      <c r="E1355" s="53">
        <v>5</v>
      </c>
      <c r="F1355" s="16">
        <f t="shared" si="95"/>
        <v>40000</v>
      </c>
      <c r="H1355" s="10">
        <v>1351</v>
      </c>
    </row>
    <row r="1356" spans="1:8" s="3" customFormat="1">
      <c r="A1356" s="40">
        <v>11</v>
      </c>
      <c r="B1356" s="41" t="s">
        <v>94</v>
      </c>
      <c r="C1356" s="42" t="str">
        <f>Gia_VLieu!C13</f>
        <v>Cái</v>
      </c>
      <c r="D1356" s="67">
        <f>Gia_VLieu!D13</f>
        <v>15000</v>
      </c>
      <c r="E1356" s="54">
        <v>3.78</v>
      </c>
      <c r="F1356" s="38">
        <f>D1356*E1356</f>
        <v>56700</v>
      </c>
      <c r="H1356" s="10">
        <v>1352</v>
      </c>
    </row>
    <row r="1357" spans="1:8" s="33" customFormat="1">
      <c r="A1357" s="31" t="e">
        <f>#REF!</f>
        <v>#REF!</v>
      </c>
      <c r="B1357" s="32" t="e">
        <f>#REF!</f>
        <v>#REF!</v>
      </c>
      <c r="C1357" s="15"/>
      <c r="D1357" s="127">
        <f>Gia_VLieu!D$14</f>
        <v>1.08</v>
      </c>
      <c r="E1357" s="45"/>
      <c r="F1357" s="18" t="e">
        <f>SUM(F1358:F1368)*D1357</f>
        <v>#REF!</v>
      </c>
      <c r="H1357" s="10">
        <v>1353</v>
      </c>
    </row>
    <row r="1358" spans="1:8" s="3" customFormat="1">
      <c r="A1358" s="13">
        <v>1</v>
      </c>
      <c r="B1358" s="5" t="s">
        <v>85</v>
      </c>
      <c r="C1358" s="6" t="str">
        <f>Gia_VLieu!C4</f>
        <v>Gram</v>
      </c>
      <c r="D1358" s="66">
        <f>Gia_VLieu!D4</f>
        <v>45000</v>
      </c>
      <c r="E1358" s="53">
        <v>1</v>
      </c>
      <c r="F1358" s="16">
        <f>D1358*E1358</f>
        <v>45000</v>
      </c>
      <c r="H1358" s="10">
        <v>1354</v>
      </c>
    </row>
    <row r="1359" spans="1:8" s="3" customFormat="1">
      <c r="A1359" s="13">
        <v>2</v>
      </c>
      <c r="B1359" s="5" t="s">
        <v>86</v>
      </c>
      <c r="C1359" s="6" t="str">
        <f>Gia_VLieu!C5</f>
        <v>Hộp</v>
      </c>
      <c r="D1359" s="66">
        <f>Gia_VLieu!D5</f>
        <v>1450000</v>
      </c>
      <c r="E1359" s="53">
        <v>0.01</v>
      </c>
      <c r="F1359" s="16">
        <f t="shared" ref="F1359:F1367" si="96">D1359*E1359</f>
        <v>14500</v>
      </c>
      <c r="H1359" s="10">
        <v>1355</v>
      </c>
    </row>
    <row r="1360" spans="1:8" s="3" customFormat="1">
      <c r="A1360" s="13">
        <v>3</v>
      </c>
      <c r="B1360" s="5" t="s">
        <v>87</v>
      </c>
      <c r="C1360" s="6" t="e">
        <f>Gia_VLieu!#REF!</f>
        <v>#REF!</v>
      </c>
      <c r="D1360" s="66" t="e">
        <f>Gia_VLieu!#REF!</f>
        <v>#REF!</v>
      </c>
      <c r="E1360" s="53">
        <v>0.01</v>
      </c>
      <c r="F1360" s="16" t="e">
        <f t="shared" si="96"/>
        <v>#REF!</v>
      </c>
      <c r="H1360" s="10">
        <v>1356</v>
      </c>
    </row>
    <row r="1361" spans="1:8" s="3" customFormat="1">
      <c r="A1361" s="13">
        <v>4</v>
      </c>
      <c r="B1361" s="5" t="s">
        <v>88</v>
      </c>
      <c r="C1361" s="6" t="str">
        <f>Gia_VLieu!C6</f>
        <v>Quyển</v>
      </c>
      <c r="D1361" s="66">
        <f>Gia_VLieu!D6</f>
        <v>10000</v>
      </c>
      <c r="E1361" s="53">
        <v>4</v>
      </c>
      <c r="F1361" s="16">
        <f t="shared" si="96"/>
        <v>40000</v>
      </c>
      <c r="H1361" s="10">
        <v>1357</v>
      </c>
    </row>
    <row r="1362" spans="1:8" s="3" customFormat="1">
      <c r="A1362" s="13">
        <v>5</v>
      </c>
      <c r="B1362" s="5" t="s">
        <v>22</v>
      </c>
      <c r="C1362" s="6" t="str">
        <f>Gia_VLieu!C7</f>
        <v>Cái</v>
      </c>
      <c r="D1362" s="66">
        <f>Gia_VLieu!D7</f>
        <v>2000</v>
      </c>
      <c r="E1362" s="53">
        <v>6</v>
      </c>
      <c r="F1362" s="16">
        <f t="shared" si="96"/>
        <v>12000</v>
      </c>
      <c r="H1362" s="10">
        <v>1358</v>
      </c>
    </row>
    <row r="1363" spans="1:8" s="3" customFormat="1">
      <c r="A1363" s="13">
        <v>6</v>
      </c>
      <c r="B1363" s="5" t="s">
        <v>89</v>
      </c>
      <c r="C1363" s="6" t="str">
        <f>Gia_VLieu!C8</f>
        <v>Cái</v>
      </c>
      <c r="D1363" s="66">
        <f>Gia_VLieu!D8</f>
        <v>8000</v>
      </c>
      <c r="E1363" s="53">
        <v>40</v>
      </c>
      <c r="F1363" s="16">
        <f t="shared" si="96"/>
        <v>320000</v>
      </c>
      <c r="H1363" s="10">
        <v>1359</v>
      </c>
    </row>
    <row r="1364" spans="1:8" s="3" customFormat="1">
      <c r="A1364" s="13">
        <v>7</v>
      </c>
      <c r="B1364" s="5" t="s">
        <v>90</v>
      </c>
      <c r="C1364" s="6" t="str">
        <f>Gia_VLieu!C9</f>
        <v>Cái</v>
      </c>
      <c r="D1364" s="66">
        <f>Gia_VLieu!D9</f>
        <v>10000</v>
      </c>
      <c r="E1364" s="53">
        <v>40</v>
      </c>
      <c r="F1364" s="16">
        <f t="shared" si="96"/>
        <v>400000</v>
      </c>
      <c r="H1364" s="10">
        <v>1360</v>
      </c>
    </row>
    <row r="1365" spans="1:8" s="3" customFormat="1">
      <c r="A1365" s="13">
        <v>8</v>
      </c>
      <c r="B1365" s="5" t="s">
        <v>91</v>
      </c>
      <c r="C1365" s="6" t="str">
        <f>Gia_VLieu!C10</f>
        <v>Hộp</v>
      </c>
      <c r="D1365" s="66">
        <f>Gia_VLieu!D10</f>
        <v>2500</v>
      </c>
      <c r="E1365" s="53">
        <v>6</v>
      </c>
      <c r="F1365" s="16">
        <f t="shared" si="96"/>
        <v>15000</v>
      </c>
      <c r="H1365" s="10">
        <v>1361</v>
      </c>
    </row>
    <row r="1366" spans="1:8" s="3" customFormat="1">
      <c r="A1366" s="13">
        <v>9</v>
      </c>
      <c r="B1366" s="5" t="s">
        <v>92</v>
      </c>
      <c r="C1366" s="6" t="str">
        <f>Gia_VLieu!C11</f>
        <v>Hộp</v>
      </c>
      <c r="D1366" s="66">
        <f>Gia_VLieu!D11</f>
        <v>2000</v>
      </c>
      <c r="E1366" s="53">
        <v>3</v>
      </c>
      <c r="F1366" s="16">
        <f t="shared" si="96"/>
        <v>6000</v>
      </c>
      <c r="H1366" s="10">
        <v>1362</v>
      </c>
    </row>
    <row r="1367" spans="1:8" s="3" customFormat="1">
      <c r="A1367" s="13">
        <v>10</v>
      </c>
      <c r="B1367" s="5" t="s">
        <v>93</v>
      </c>
      <c r="C1367" s="6" t="str">
        <f>Gia_VLieu!C12</f>
        <v>Tập</v>
      </c>
      <c r="D1367" s="66">
        <f>Gia_VLieu!D12</f>
        <v>8000</v>
      </c>
      <c r="E1367" s="53">
        <v>4</v>
      </c>
      <c r="F1367" s="16">
        <f t="shared" si="96"/>
        <v>32000</v>
      </c>
      <c r="H1367" s="10">
        <v>1363</v>
      </c>
    </row>
    <row r="1368" spans="1:8" s="3" customFormat="1">
      <c r="A1368" s="40">
        <v>11</v>
      </c>
      <c r="B1368" s="41" t="s">
        <v>94</v>
      </c>
      <c r="C1368" s="42" t="str">
        <f>Gia_VLieu!C13</f>
        <v>Cái</v>
      </c>
      <c r="D1368" s="67">
        <f>Gia_VLieu!D13</f>
        <v>15000</v>
      </c>
      <c r="E1368" s="54">
        <v>20</v>
      </c>
      <c r="F1368" s="38">
        <f>D1368*E1368</f>
        <v>300000</v>
      </c>
      <c r="H1368" s="10">
        <v>1364</v>
      </c>
    </row>
    <row r="1369" spans="1:8" s="33" customFormat="1">
      <c r="A1369" s="31" t="e">
        <f>#REF!</f>
        <v>#REF!</v>
      </c>
      <c r="B1369" s="32" t="e">
        <f>#REF!</f>
        <v>#REF!</v>
      </c>
      <c r="C1369" s="15"/>
      <c r="D1369" s="70"/>
      <c r="E1369" s="45"/>
      <c r="F1369" s="18"/>
      <c r="H1369" s="10">
        <v>1365</v>
      </c>
    </row>
    <row r="1370" spans="1:8" s="3" customFormat="1">
      <c r="A1370" s="13" t="e">
        <f>#REF!</f>
        <v>#REF!</v>
      </c>
      <c r="B1370" s="5" t="e">
        <f>#REF!</f>
        <v>#REF!</v>
      </c>
      <c r="C1370" s="6"/>
      <c r="D1370" s="127">
        <f>Gia_VLieu!D$14</f>
        <v>1.08</v>
      </c>
      <c r="E1370" s="45"/>
      <c r="F1370" s="18" t="e">
        <f>SUM(F1371:F1381)*D1370</f>
        <v>#REF!</v>
      </c>
      <c r="H1370" s="10">
        <v>1366</v>
      </c>
    </row>
    <row r="1371" spans="1:8" s="3" customFormat="1">
      <c r="A1371" s="13">
        <v>1</v>
      </c>
      <c r="B1371" s="5" t="s">
        <v>85</v>
      </c>
      <c r="C1371" s="6" t="str">
        <f>Gia_VLieu!C4</f>
        <v>Gram</v>
      </c>
      <c r="D1371" s="66">
        <f>Gia_VLieu!D4</f>
        <v>45000</v>
      </c>
      <c r="E1371" s="53">
        <v>0.5</v>
      </c>
      <c r="F1371" s="16">
        <f>D1371*E1371</f>
        <v>22500</v>
      </c>
      <c r="H1371" s="10">
        <v>1367</v>
      </c>
    </row>
    <row r="1372" spans="1:8" s="3" customFormat="1">
      <c r="A1372" s="13">
        <v>2</v>
      </c>
      <c r="B1372" s="5" t="s">
        <v>86</v>
      </c>
      <c r="C1372" s="6" t="str">
        <f>Gia_VLieu!C5</f>
        <v>Hộp</v>
      </c>
      <c r="D1372" s="66">
        <f>Gia_VLieu!D5</f>
        <v>1450000</v>
      </c>
      <c r="E1372" s="53">
        <v>0.01</v>
      </c>
      <c r="F1372" s="16">
        <f t="shared" ref="F1372:F1380" si="97">D1372*E1372</f>
        <v>14500</v>
      </c>
      <c r="H1372" s="10">
        <v>1368</v>
      </c>
    </row>
    <row r="1373" spans="1:8" s="3" customFormat="1">
      <c r="A1373" s="13">
        <v>3</v>
      </c>
      <c r="B1373" s="5" t="s">
        <v>87</v>
      </c>
      <c r="C1373" s="6" t="e">
        <f>Gia_VLieu!#REF!</f>
        <v>#REF!</v>
      </c>
      <c r="D1373" s="66" t="e">
        <f>Gia_VLieu!#REF!</f>
        <v>#REF!</v>
      </c>
      <c r="E1373" s="53">
        <v>0.01</v>
      </c>
      <c r="F1373" s="16" t="e">
        <f t="shared" si="97"/>
        <v>#REF!</v>
      </c>
      <c r="H1373" s="10">
        <v>1369</v>
      </c>
    </row>
    <row r="1374" spans="1:8" s="3" customFormat="1">
      <c r="A1374" s="13">
        <v>4</v>
      </c>
      <c r="B1374" s="5" t="s">
        <v>88</v>
      </c>
      <c r="C1374" s="6" t="str">
        <f>Gia_VLieu!C6</f>
        <v>Quyển</v>
      </c>
      <c r="D1374" s="66">
        <f>Gia_VLieu!D6</f>
        <v>10000</v>
      </c>
      <c r="E1374" s="53">
        <v>2</v>
      </c>
      <c r="F1374" s="16">
        <f t="shared" si="97"/>
        <v>20000</v>
      </c>
      <c r="H1374" s="10">
        <v>1370</v>
      </c>
    </row>
    <row r="1375" spans="1:8" s="3" customFormat="1">
      <c r="A1375" s="13">
        <v>5</v>
      </c>
      <c r="B1375" s="5" t="s">
        <v>22</v>
      </c>
      <c r="C1375" s="6" t="str">
        <f>Gia_VLieu!C7</f>
        <v>Cái</v>
      </c>
      <c r="D1375" s="66">
        <f>Gia_VLieu!D7</f>
        <v>2000</v>
      </c>
      <c r="E1375" s="53">
        <v>3</v>
      </c>
      <c r="F1375" s="16">
        <f t="shared" si="97"/>
        <v>6000</v>
      </c>
      <c r="H1375" s="10">
        <v>1371</v>
      </c>
    </row>
    <row r="1376" spans="1:8" s="3" customFormat="1">
      <c r="A1376" s="13">
        <v>6</v>
      </c>
      <c r="B1376" s="5" t="s">
        <v>89</v>
      </c>
      <c r="C1376" s="6" t="str">
        <f>Gia_VLieu!C8</f>
        <v>Cái</v>
      </c>
      <c r="D1376" s="66">
        <f>Gia_VLieu!D8</f>
        <v>8000</v>
      </c>
      <c r="E1376" s="53">
        <v>20</v>
      </c>
      <c r="F1376" s="16">
        <f t="shared" si="97"/>
        <v>160000</v>
      </c>
      <c r="H1376" s="10">
        <v>1372</v>
      </c>
    </row>
    <row r="1377" spans="1:8" s="3" customFormat="1">
      <c r="A1377" s="13">
        <v>7</v>
      </c>
      <c r="B1377" s="5" t="s">
        <v>90</v>
      </c>
      <c r="C1377" s="6" t="str">
        <f>Gia_VLieu!C9</f>
        <v>Cái</v>
      </c>
      <c r="D1377" s="66">
        <f>Gia_VLieu!D9</f>
        <v>10000</v>
      </c>
      <c r="E1377" s="53">
        <v>20</v>
      </c>
      <c r="F1377" s="16">
        <f t="shared" si="97"/>
        <v>200000</v>
      </c>
      <c r="H1377" s="10">
        <v>1373</v>
      </c>
    </row>
    <row r="1378" spans="1:8" s="3" customFormat="1">
      <c r="A1378" s="13">
        <v>8</v>
      </c>
      <c r="B1378" s="5" t="s">
        <v>91</v>
      </c>
      <c r="C1378" s="6" t="str">
        <f>Gia_VLieu!C10</f>
        <v>Hộp</v>
      </c>
      <c r="D1378" s="66">
        <f>Gia_VLieu!D10</f>
        <v>2500</v>
      </c>
      <c r="E1378" s="53">
        <v>3</v>
      </c>
      <c r="F1378" s="16">
        <f t="shared" si="97"/>
        <v>7500</v>
      </c>
      <c r="H1378" s="10">
        <v>1374</v>
      </c>
    </row>
    <row r="1379" spans="1:8" s="3" customFormat="1">
      <c r="A1379" s="13">
        <v>9</v>
      </c>
      <c r="B1379" s="5" t="s">
        <v>92</v>
      </c>
      <c r="C1379" s="6" t="str">
        <f>Gia_VLieu!C11</f>
        <v>Hộp</v>
      </c>
      <c r="D1379" s="66">
        <f>Gia_VLieu!D11</f>
        <v>2000</v>
      </c>
      <c r="E1379" s="53">
        <v>1.5</v>
      </c>
      <c r="F1379" s="16">
        <f t="shared" si="97"/>
        <v>3000</v>
      </c>
      <c r="H1379" s="10">
        <v>1375</v>
      </c>
    </row>
    <row r="1380" spans="1:8" s="3" customFormat="1">
      <c r="A1380" s="13">
        <v>10</v>
      </c>
      <c r="B1380" s="5" t="s">
        <v>93</v>
      </c>
      <c r="C1380" s="6" t="str">
        <f>Gia_VLieu!C12</f>
        <v>Tập</v>
      </c>
      <c r="D1380" s="66">
        <f>Gia_VLieu!D12</f>
        <v>8000</v>
      </c>
      <c r="E1380" s="53">
        <v>2</v>
      </c>
      <c r="F1380" s="16">
        <f t="shared" si="97"/>
        <v>16000</v>
      </c>
      <c r="H1380" s="10">
        <v>1376</v>
      </c>
    </row>
    <row r="1381" spans="1:8" s="3" customFormat="1">
      <c r="A1381" s="40">
        <v>11</v>
      </c>
      <c r="B1381" s="41" t="s">
        <v>94</v>
      </c>
      <c r="C1381" s="42" t="str">
        <f>Gia_VLieu!C13</f>
        <v>Cái</v>
      </c>
      <c r="D1381" s="67">
        <f>Gia_VLieu!D13</f>
        <v>15000</v>
      </c>
      <c r="E1381" s="54">
        <v>10</v>
      </c>
      <c r="F1381" s="38">
        <f>D1381*E1381</f>
        <v>150000</v>
      </c>
      <c r="H1381" s="10">
        <v>1377</v>
      </c>
    </row>
    <row r="1382" spans="1:8" s="3" customFormat="1">
      <c r="A1382" s="13" t="e">
        <f>#REF!</f>
        <v>#REF!</v>
      </c>
      <c r="B1382" s="5" t="e">
        <f>#REF!</f>
        <v>#REF!</v>
      </c>
      <c r="C1382" s="6"/>
      <c r="D1382" s="127">
        <f>Gia_VLieu!D$14</f>
        <v>1.08</v>
      </c>
      <c r="E1382" s="45"/>
      <c r="F1382" s="18" t="e">
        <f>SUM(F1383:F1393)*D1382</f>
        <v>#REF!</v>
      </c>
      <c r="H1382" s="10">
        <v>1378</v>
      </c>
    </row>
    <row r="1383" spans="1:8" s="3" customFormat="1">
      <c r="A1383" s="13">
        <v>1</v>
      </c>
      <c r="B1383" s="5" t="s">
        <v>85</v>
      </c>
      <c r="C1383" s="6" t="str">
        <f>Gia_VLieu!C4</f>
        <v>Gram</v>
      </c>
      <c r="D1383" s="66">
        <f>Gia_VLieu!D4</f>
        <v>45000</v>
      </c>
      <c r="E1383" s="53">
        <v>2</v>
      </c>
      <c r="F1383" s="16">
        <f>D1383*E1383</f>
        <v>90000</v>
      </c>
      <c r="H1383" s="10">
        <v>1379</v>
      </c>
    </row>
    <row r="1384" spans="1:8" s="3" customFormat="1">
      <c r="A1384" s="13">
        <v>2</v>
      </c>
      <c r="B1384" s="5" t="s">
        <v>86</v>
      </c>
      <c r="C1384" s="6" t="str">
        <f>Gia_VLieu!C5</f>
        <v>Hộp</v>
      </c>
      <c r="D1384" s="66">
        <f>Gia_VLieu!D5</f>
        <v>1450000</v>
      </c>
      <c r="E1384" s="53">
        <v>0.02</v>
      </c>
      <c r="F1384" s="16">
        <f t="shared" ref="F1384:F1392" si="98">D1384*E1384</f>
        <v>29000</v>
      </c>
      <c r="H1384" s="10">
        <v>1380</v>
      </c>
    </row>
    <row r="1385" spans="1:8" s="3" customFormat="1">
      <c r="A1385" s="13">
        <v>3</v>
      </c>
      <c r="B1385" s="5" t="s">
        <v>87</v>
      </c>
      <c r="C1385" s="6" t="e">
        <f>Gia_VLieu!#REF!</f>
        <v>#REF!</v>
      </c>
      <c r="D1385" s="66" t="e">
        <f>Gia_VLieu!#REF!</f>
        <v>#REF!</v>
      </c>
      <c r="E1385" s="53">
        <v>0.02</v>
      </c>
      <c r="F1385" s="16" t="e">
        <f t="shared" si="98"/>
        <v>#REF!</v>
      </c>
      <c r="H1385" s="10">
        <v>1381</v>
      </c>
    </row>
    <row r="1386" spans="1:8" s="3" customFormat="1">
      <c r="A1386" s="13">
        <v>4</v>
      </c>
      <c r="B1386" s="5" t="s">
        <v>88</v>
      </c>
      <c r="C1386" s="6" t="str">
        <f>Gia_VLieu!C6</f>
        <v>Quyển</v>
      </c>
      <c r="D1386" s="66">
        <f>Gia_VLieu!D6</f>
        <v>10000</v>
      </c>
      <c r="E1386" s="53">
        <v>5</v>
      </c>
      <c r="F1386" s="16">
        <f t="shared" si="98"/>
        <v>50000</v>
      </c>
      <c r="H1386" s="10">
        <v>1382</v>
      </c>
    </row>
    <row r="1387" spans="1:8" s="3" customFormat="1">
      <c r="A1387" s="13">
        <v>5</v>
      </c>
      <c r="B1387" s="5" t="s">
        <v>22</v>
      </c>
      <c r="C1387" s="6" t="str">
        <f>Gia_VLieu!C7</f>
        <v>Cái</v>
      </c>
      <c r="D1387" s="66">
        <f>Gia_VLieu!D7</f>
        <v>2000</v>
      </c>
      <c r="E1387" s="53">
        <v>6</v>
      </c>
      <c r="F1387" s="16">
        <f t="shared" si="98"/>
        <v>12000</v>
      </c>
      <c r="H1387" s="10">
        <v>1383</v>
      </c>
    </row>
    <row r="1388" spans="1:8" s="3" customFormat="1">
      <c r="A1388" s="13">
        <v>6</v>
      </c>
      <c r="B1388" s="5" t="s">
        <v>89</v>
      </c>
      <c r="C1388" s="6" t="str">
        <f>Gia_VLieu!C8</f>
        <v>Cái</v>
      </c>
      <c r="D1388" s="66">
        <f>Gia_VLieu!D8</f>
        <v>8000</v>
      </c>
      <c r="E1388" s="53">
        <v>12</v>
      </c>
      <c r="F1388" s="16">
        <f t="shared" si="98"/>
        <v>96000</v>
      </c>
      <c r="H1388" s="10">
        <v>1384</v>
      </c>
    </row>
    <row r="1389" spans="1:8" s="3" customFormat="1">
      <c r="A1389" s="13">
        <v>7</v>
      </c>
      <c r="B1389" s="5" t="s">
        <v>90</v>
      </c>
      <c r="C1389" s="6" t="str">
        <f>Gia_VLieu!C9</f>
        <v>Cái</v>
      </c>
      <c r="D1389" s="66">
        <f>Gia_VLieu!D9</f>
        <v>10000</v>
      </c>
      <c r="E1389" s="53">
        <v>14</v>
      </c>
      <c r="F1389" s="16">
        <f t="shared" si="98"/>
        <v>140000</v>
      </c>
      <c r="H1389" s="10">
        <v>1385</v>
      </c>
    </row>
    <row r="1390" spans="1:8" s="3" customFormat="1">
      <c r="A1390" s="13">
        <v>8</v>
      </c>
      <c r="B1390" s="5" t="s">
        <v>91</v>
      </c>
      <c r="C1390" s="6" t="str">
        <f>Gia_VLieu!C10</f>
        <v>Hộp</v>
      </c>
      <c r="D1390" s="66">
        <f>Gia_VLieu!D10</f>
        <v>2500</v>
      </c>
      <c r="E1390" s="53">
        <v>4</v>
      </c>
      <c r="F1390" s="16">
        <f t="shared" si="98"/>
        <v>10000</v>
      </c>
      <c r="H1390" s="10">
        <v>1386</v>
      </c>
    </row>
    <row r="1391" spans="1:8" s="3" customFormat="1">
      <c r="A1391" s="13">
        <v>9</v>
      </c>
      <c r="B1391" s="5" t="s">
        <v>92</v>
      </c>
      <c r="C1391" s="6" t="str">
        <f>Gia_VLieu!C11</f>
        <v>Hộp</v>
      </c>
      <c r="D1391" s="66">
        <f>Gia_VLieu!D11</f>
        <v>2000</v>
      </c>
      <c r="E1391" s="53">
        <v>2</v>
      </c>
      <c r="F1391" s="16">
        <f t="shared" si="98"/>
        <v>4000</v>
      </c>
      <c r="H1391" s="10">
        <v>1387</v>
      </c>
    </row>
    <row r="1392" spans="1:8" s="3" customFormat="1">
      <c r="A1392" s="13">
        <v>10</v>
      </c>
      <c r="B1392" s="5" t="s">
        <v>93</v>
      </c>
      <c r="C1392" s="6" t="str">
        <f>Gia_VLieu!C12</f>
        <v>Tập</v>
      </c>
      <c r="D1392" s="66">
        <f>Gia_VLieu!D12</f>
        <v>8000</v>
      </c>
      <c r="E1392" s="53">
        <v>3</v>
      </c>
      <c r="F1392" s="16">
        <f t="shared" si="98"/>
        <v>24000</v>
      </c>
      <c r="H1392" s="10">
        <v>1388</v>
      </c>
    </row>
    <row r="1393" spans="1:8" s="3" customFormat="1">
      <c r="A1393" s="40">
        <v>11</v>
      </c>
      <c r="B1393" s="41" t="s">
        <v>94</v>
      </c>
      <c r="C1393" s="42" t="str">
        <f>Gia_VLieu!C13</f>
        <v>Cái</v>
      </c>
      <c r="D1393" s="67">
        <f>Gia_VLieu!D13</f>
        <v>15000</v>
      </c>
      <c r="E1393" s="54">
        <v>8</v>
      </c>
      <c r="F1393" s="38">
        <f>D1393*E1393</f>
        <v>120000</v>
      </c>
      <c r="H1393" s="10">
        <v>1389</v>
      </c>
    </row>
    <row r="1394" spans="1:8" s="33" customFormat="1">
      <c r="A1394" s="31" t="e">
        <f>#REF!</f>
        <v>#REF!</v>
      </c>
      <c r="B1394" s="32" t="e">
        <f>#REF!</f>
        <v>#REF!</v>
      </c>
      <c r="C1394" s="15"/>
      <c r="D1394" s="70"/>
      <c r="E1394" s="45"/>
      <c r="F1394" s="18"/>
      <c r="H1394" s="10">
        <v>1390</v>
      </c>
    </row>
    <row r="1395" spans="1:8" s="3" customFormat="1">
      <c r="A1395" s="13" t="e">
        <f>#REF!</f>
        <v>#REF!</v>
      </c>
      <c r="B1395" s="5" t="e">
        <f>#REF!</f>
        <v>#REF!</v>
      </c>
      <c r="C1395" s="6"/>
      <c r="D1395" s="66"/>
      <c r="E1395" s="30"/>
      <c r="F1395" s="16"/>
      <c r="H1395" s="10">
        <v>1391</v>
      </c>
    </row>
    <row r="1396" spans="1:8" s="9" customFormat="1">
      <c r="A1396" s="24" t="e">
        <f>#REF!</f>
        <v>#REF!</v>
      </c>
      <c r="B1396" s="113" t="e">
        <f>#REF!</f>
        <v>#REF!</v>
      </c>
      <c r="C1396" s="114"/>
      <c r="D1396" s="114"/>
      <c r="E1396" s="114"/>
      <c r="F1396" s="115"/>
      <c r="H1396" s="10">
        <v>1392</v>
      </c>
    </row>
    <row r="1397" spans="1:8" s="14" customFormat="1">
      <c r="A1397" s="12" t="e">
        <f>#REF!</f>
        <v>#REF!</v>
      </c>
      <c r="B1397" s="8" t="e">
        <f>#REF!</f>
        <v>#REF!</v>
      </c>
      <c r="C1397" s="7"/>
      <c r="D1397" s="72"/>
      <c r="E1397" s="48"/>
      <c r="F1397" s="17"/>
      <c r="H1397" s="10">
        <v>1393</v>
      </c>
    </row>
    <row r="1398" spans="1:8" s="14" customFormat="1">
      <c r="A1398" s="12" t="e">
        <f>#REF!</f>
        <v>#REF!</v>
      </c>
      <c r="B1398" s="8" t="e">
        <f>#REF!</f>
        <v>#REF!</v>
      </c>
      <c r="C1398" s="7"/>
      <c r="D1398" s="127">
        <f>Gia_VLieu!D$14</f>
        <v>1.08</v>
      </c>
      <c r="E1398" s="45"/>
      <c r="F1398" s="18" t="e">
        <f>SUM(F1399:F1409)*D1398</f>
        <v>#REF!</v>
      </c>
      <c r="H1398" s="10">
        <v>1394</v>
      </c>
    </row>
    <row r="1399" spans="1:8" s="3" customFormat="1">
      <c r="A1399" s="13">
        <v>1</v>
      </c>
      <c r="B1399" s="5" t="s">
        <v>85</v>
      </c>
      <c r="C1399" s="6" t="str">
        <f>Gia_VLieu!C4</f>
        <v>Gram</v>
      </c>
      <c r="D1399" s="66">
        <f>Gia_VLieu!D4</f>
        <v>45000</v>
      </c>
      <c r="E1399" s="53">
        <v>0.5</v>
      </c>
      <c r="F1399" s="16">
        <f>D1399*E1399</f>
        <v>22500</v>
      </c>
      <c r="H1399" s="10">
        <v>1395</v>
      </c>
    </row>
    <row r="1400" spans="1:8" s="3" customFormat="1">
      <c r="A1400" s="13">
        <v>2</v>
      </c>
      <c r="B1400" s="5" t="s">
        <v>86</v>
      </c>
      <c r="C1400" s="6" t="str">
        <f>Gia_VLieu!C5</f>
        <v>Hộp</v>
      </c>
      <c r="D1400" s="66">
        <f>Gia_VLieu!D5</f>
        <v>1450000</v>
      </c>
      <c r="E1400" s="53">
        <v>0.05</v>
      </c>
      <c r="F1400" s="16">
        <f t="shared" ref="F1400:F1408" si="99">D1400*E1400</f>
        <v>72500</v>
      </c>
      <c r="H1400" s="10">
        <v>1396</v>
      </c>
    </row>
    <row r="1401" spans="1:8" s="3" customFormat="1">
      <c r="A1401" s="13">
        <v>3</v>
      </c>
      <c r="B1401" s="5" t="s">
        <v>87</v>
      </c>
      <c r="C1401" s="6" t="e">
        <f>Gia_VLieu!#REF!</f>
        <v>#REF!</v>
      </c>
      <c r="D1401" s="66" t="e">
        <f>Gia_VLieu!#REF!</f>
        <v>#REF!</v>
      </c>
      <c r="E1401" s="53">
        <v>0.08</v>
      </c>
      <c r="F1401" s="16" t="e">
        <f t="shared" si="99"/>
        <v>#REF!</v>
      </c>
      <c r="H1401" s="10">
        <v>1397</v>
      </c>
    </row>
    <row r="1402" spans="1:8" s="3" customFormat="1">
      <c r="A1402" s="13">
        <v>4</v>
      </c>
      <c r="B1402" s="5" t="s">
        <v>88</v>
      </c>
      <c r="C1402" s="6" t="str">
        <f>Gia_VLieu!C6</f>
        <v>Quyển</v>
      </c>
      <c r="D1402" s="66">
        <f>Gia_VLieu!D6</f>
        <v>10000</v>
      </c>
      <c r="E1402" s="53">
        <v>4</v>
      </c>
      <c r="F1402" s="16">
        <f t="shared" si="99"/>
        <v>40000</v>
      </c>
      <c r="H1402" s="10">
        <v>1398</v>
      </c>
    </row>
    <row r="1403" spans="1:8" s="3" customFormat="1">
      <c r="A1403" s="13">
        <v>5</v>
      </c>
      <c r="B1403" s="5" t="s">
        <v>22</v>
      </c>
      <c r="C1403" s="6" t="str">
        <f>Gia_VLieu!C7</f>
        <v>Cái</v>
      </c>
      <c r="D1403" s="66">
        <f>Gia_VLieu!D7</f>
        <v>2000</v>
      </c>
      <c r="E1403" s="53">
        <v>6</v>
      </c>
      <c r="F1403" s="16">
        <f t="shared" si="99"/>
        <v>12000</v>
      </c>
      <c r="H1403" s="10">
        <v>1399</v>
      </c>
    </row>
    <row r="1404" spans="1:8" s="3" customFormat="1">
      <c r="A1404" s="13">
        <v>6</v>
      </c>
      <c r="B1404" s="5" t="s">
        <v>89</v>
      </c>
      <c r="C1404" s="6" t="str">
        <f>Gia_VLieu!C8</f>
        <v>Cái</v>
      </c>
      <c r="D1404" s="66">
        <f>Gia_VLieu!D8</f>
        <v>8000</v>
      </c>
      <c r="E1404" s="53">
        <v>2</v>
      </c>
      <c r="F1404" s="16">
        <f t="shared" si="99"/>
        <v>16000</v>
      </c>
      <c r="H1404" s="10">
        <v>1400</v>
      </c>
    </row>
    <row r="1405" spans="1:8" s="3" customFormat="1">
      <c r="A1405" s="13">
        <v>7</v>
      </c>
      <c r="B1405" s="5" t="s">
        <v>90</v>
      </c>
      <c r="C1405" s="6" t="str">
        <f>Gia_VLieu!C9</f>
        <v>Cái</v>
      </c>
      <c r="D1405" s="66">
        <f>Gia_VLieu!D9</f>
        <v>10000</v>
      </c>
      <c r="E1405" s="53">
        <v>2</v>
      </c>
      <c r="F1405" s="16">
        <f t="shared" si="99"/>
        <v>20000</v>
      </c>
      <c r="H1405" s="10">
        <v>1401</v>
      </c>
    </row>
    <row r="1406" spans="1:8" s="3" customFormat="1">
      <c r="A1406" s="13">
        <v>8</v>
      </c>
      <c r="B1406" s="5" t="s">
        <v>91</v>
      </c>
      <c r="C1406" s="6" t="str">
        <f>Gia_VLieu!C10</f>
        <v>Hộp</v>
      </c>
      <c r="D1406" s="66">
        <f>Gia_VLieu!D10</f>
        <v>2500</v>
      </c>
      <c r="E1406" s="53">
        <v>4</v>
      </c>
      <c r="F1406" s="16">
        <f t="shared" si="99"/>
        <v>10000</v>
      </c>
      <c r="H1406" s="10">
        <v>1402</v>
      </c>
    </row>
    <row r="1407" spans="1:8" s="3" customFormat="1">
      <c r="A1407" s="13">
        <v>9</v>
      </c>
      <c r="B1407" s="5" t="s">
        <v>92</v>
      </c>
      <c r="C1407" s="6" t="str">
        <f>Gia_VLieu!C11</f>
        <v>Hộp</v>
      </c>
      <c r="D1407" s="66">
        <f>Gia_VLieu!D11</f>
        <v>2000</v>
      </c>
      <c r="E1407" s="53">
        <v>1.5</v>
      </c>
      <c r="F1407" s="16">
        <f t="shared" si="99"/>
        <v>3000</v>
      </c>
      <c r="H1407" s="10">
        <v>1403</v>
      </c>
    </row>
    <row r="1408" spans="1:8" s="3" customFormat="1">
      <c r="A1408" s="13">
        <v>10</v>
      </c>
      <c r="B1408" s="5" t="s">
        <v>93</v>
      </c>
      <c r="C1408" s="6" t="str">
        <f>Gia_VLieu!C12</f>
        <v>Tập</v>
      </c>
      <c r="D1408" s="66">
        <f>Gia_VLieu!D12</f>
        <v>8000</v>
      </c>
      <c r="E1408" s="53">
        <v>5</v>
      </c>
      <c r="F1408" s="16">
        <f t="shared" si="99"/>
        <v>40000</v>
      </c>
      <c r="H1408" s="10">
        <v>1404</v>
      </c>
    </row>
    <row r="1409" spans="1:8" s="3" customFormat="1">
      <c r="A1409" s="40">
        <v>11</v>
      </c>
      <c r="B1409" s="41" t="s">
        <v>94</v>
      </c>
      <c r="C1409" s="42" t="str">
        <f>Gia_VLieu!C13</f>
        <v>Cái</v>
      </c>
      <c r="D1409" s="67">
        <f>Gia_VLieu!D13</f>
        <v>15000</v>
      </c>
      <c r="E1409" s="54">
        <v>4</v>
      </c>
      <c r="F1409" s="38">
        <f>D1409*E1409</f>
        <v>60000</v>
      </c>
      <c r="H1409" s="10">
        <v>1405</v>
      </c>
    </row>
    <row r="1410" spans="1:8" s="14" customFormat="1">
      <c r="A1410" s="12" t="e">
        <f>#REF!</f>
        <v>#REF!</v>
      </c>
      <c r="B1410" s="8" t="e">
        <f>#REF!</f>
        <v>#REF!</v>
      </c>
      <c r="C1410" s="7"/>
      <c r="D1410" s="72"/>
      <c r="E1410" s="48"/>
      <c r="F1410" s="17"/>
      <c r="H1410" s="10">
        <v>1406</v>
      </c>
    </row>
    <row r="1411" spans="1:8" s="33" customFormat="1">
      <c r="A1411" s="31" t="e">
        <f>#REF!</f>
        <v>#REF!</v>
      </c>
      <c r="B1411" s="32" t="e">
        <f>#REF!</f>
        <v>#REF!</v>
      </c>
      <c r="C1411" s="15"/>
      <c r="D1411" s="127">
        <f>Gia_VLieu!D$14</f>
        <v>1.08</v>
      </c>
      <c r="E1411" s="45"/>
      <c r="F1411" s="18" t="e">
        <f>SUM(F1412:F1422)*D1411</f>
        <v>#REF!</v>
      </c>
      <c r="H1411" s="10">
        <v>1407</v>
      </c>
    </row>
    <row r="1412" spans="1:8" s="3" customFormat="1">
      <c r="A1412" s="13">
        <v>1</v>
      </c>
      <c r="B1412" s="5" t="s">
        <v>85</v>
      </c>
      <c r="C1412" s="6" t="str">
        <f>Gia_VLieu!C4</f>
        <v>Gram</v>
      </c>
      <c r="D1412" s="66">
        <f>Gia_VLieu!D4</f>
        <v>45000</v>
      </c>
      <c r="E1412" s="53">
        <v>1</v>
      </c>
      <c r="F1412" s="16">
        <f>D1412*E1412</f>
        <v>45000</v>
      </c>
      <c r="H1412" s="10">
        <v>1408</v>
      </c>
    </row>
    <row r="1413" spans="1:8" s="3" customFormat="1">
      <c r="A1413" s="13">
        <v>2</v>
      </c>
      <c r="B1413" s="5" t="s">
        <v>86</v>
      </c>
      <c r="C1413" s="6" t="str">
        <f>Gia_VLieu!C5</f>
        <v>Hộp</v>
      </c>
      <c r="D1413" s="66">
        <f>Gia_VLieu!D5</f>
        <v>1450000</v>
      </c>
      <c r="E1413" s="53">
        <v>0.06</v>
      </c>
      <c r="F1413" s="16">
        <f t="shared" ref="F1413:F1421" si="100">D1413*E1413</f>
        <v>87000</v>
      </c>
      <c r="H1413" s="10">
        <v>1409</v>
      </c>
    </row>
    <row r="1414" spans="1:8" s="3" customFormat="1">
      <c r="A1414" s="13">
        <v>3</v>
      </c>
      <c r="B1414" s="5" t="s">
        <v>87</v>
      </c>
      <c r="C1414" s="6" t="e">
        <f>Gia_VLieu!#REF!</f>
        <v>#REF!</v>
      </c>
      <c r="D1414" s="66" t="e">
        <f>Gia_VLieu!#REF!</f>
        <v>#REF!</v>
      </c>
      <c r="E1414" s="53">
        <v>0.05</v>
      </c>
      <c r="F1414" s="16" t="e">
        <f t="shared" si="100"/>
        <v>#REF!</v>
      </c>
      <c r="H1414" s="10">
        <v>1410</v>
      </c>
    </row>
    <row r="1415" spans="1:8" s="3" customFormat="1">
      <c r="A1415" s="13">
        <v>4</v>
      </c>
      <c r="B1415" s="5" t="s">
        <v>88</v>
      </c>
      <c r="C1415" s="6" t="str">
        <f>Gia_VLieu!C6</f>
        <v>Quyển</v>
      </c>
      <c r="D1415" s="66">
        <f>Gia_VLieu!D6</f>
        <v>10000</v>
      </c>
      <c r="E1415" s="53">
        <v>4</v>
      </c>
      <c r="F1415" s="16">
        <f t="shared" si="100"/>
        <v>40000</v>
      </c>
      <c r="H1415" s="10">
        <v>1411</v>
      </c>
    </row>
    <row r="1416" spans="1:8" s="3" customFormat="1">
      <c r="A1416" s="13">
        <v>5</v>
      </c>
      <c r="B1416" s="5" t="s">
        <v>22</v>
      </c>
      <c r="C1416" s="6" t="str">
        <f>Gia_VLieu!C7</f>
        <v>Cái</v>
      </c>
      <c r="D1416" s="66">
        <f>Gia_VLieu!D7</f>
        <v>2000</v>
      </c>
      <c r="E1416" s="53">
        <v>6</v>
      </c>
      <c r="F1416" s="16">
        <f t="shared" si="100"/>
        <v>12000</v>
      </c>
      <c r="H1416" s="10">
        <v>1412</v>
      </c>
    </row>
    <row r="1417" spans="1:8" s="3" customFormat="1">
      <c r="A1417" s="13">
        <v>6</v>
      </c>
      <c r="B1417" s="5" t="s">
        <v>89</v>
      </c>
      <c r="C1417" s="6" t="str">
        <f>Gia_VLieu!C8</f>
        <v>Cái</v>
      </c>
      <c r="D1417" s="66">
        <f>Gia_VLieu!D8</f>
        <v>8000</v>
      </c>
      <c r="E1417" s="53">
        <v>2</v>
      </c>
      <c r="F1417" s="16">
        <f t="shared" si="100"/>
        <v>16000</v>
      </c>
      <c r="H1417" s="10">
        <v>1413</v>
      </c>
    </row>
    <row r="1418" spans="1:8" s="3" customFormat="1">
      <c r="A1418" s="13">
        <v>7</v>
      </c>
      <c r="B1418" s="5" t="s">
        <v>90</v>
      </c>
      <c r="C1418" s="6" t="str">
        <f>Gia_VLieu!C9</f>
        <v>Cái</v>
      </c>
      <c r="D1418" s="66">
        <f>Gia_VLieu!D9</f>
        <v>10000</v>
      </c>
      <c r="E1418" s="53">
        <v>2</v>
      </c>
      <c r="F1418" s="16">
        <f t="shared" si="100"/>
        <v>20000</v>
      </c>
      <c r="H1418" s="10">
        <v>1414</v>
      </c>
    </row>
    <row r="1419" spans="1:8" s="3" customFormat="1">
      <c r="A1419" s="13">
        <v>8</v>
      </c>
      <c r="B1419" s="5" t="s">
        <v>91</v>
      </c>
      <c r="C1419" s="6" t="str">
        <f>Gia_VLieu!C10</f>
        <v>Hộp</v>
      </c>
      <c r="D1419" s="66">
        <f>Gia_VLieu!D10</f>
        <v>2500</v>
      </c>
      <c r="E1419" s="53">
        <v>4</v>
      </c>
      <c r="F1419" s="16">
        <f t="shared" si="100"/>
        <v>10000</v>
      </c>
      <c r="H1419" s="10">
        <v>1415</v>
      </c>
    </row>
    <row r="1420" spans="1:8" s="3" customFormat="1">
      <c r="A1420" s="13">
        <v>9</v>
      </c>
      <c r="B1420" s="5" t="s">
        <v>92</v>
      </c>
      <c r="C1420" s="6" t="str">
        <f>Gia_VLieu!C11</f>
        <v>Hộp</v>
      </c>
      <c r="D1420" s="66">
        <f>Gia_VLieu!D11</f>
        <v>2000</v>
      </c>
      <c r="E1420" s="53">
        <v>1</v>
      </c>
      <c r="F1420" s="16">
        <f t="shared" si="100"/>
        <v>2000</v>
      </c>
      <c r="H1420" s="10">
        <v>1416</v>
      </c>
    </row>
    <row r="1421" spans="1:8" s="3" customFormat="1">
      <c r="A1421" s="13">
        <v>10</v>
      </c>
      <c r="B1421" s="5" t="s">
        <v>93</v>
      </c>
      <c r="C1421" s="6" t="str">
        <f>Gia_VLieu!C12</f>
        <v>Tập</v>
      </c>
      <c r="D1421" s="66">
        <f>Gia_VLieu!D12</f>
        <v>8000</v>
      </c>
      <c r="E1421" s="53">
        <v>3</v>
      </c>
      <c r="F1421" s="16">
        <f t="shared" si="100"/>
        <v>24000</v>
      </c>
      <c r="H1421" s="10">
        <v>1417</v>
      </c>
    </row>
    <row r="1422" spans="1:8" s="3" customFormat="1">
      <c r="A1422" s="40">
        <v>11</v>
      </c>
      <c r="B1422" s="41" t="s">
        <v>94</v>
      </c>
      <c r="C1422" s="42" t="str">
        <f>Gia_VLieu!C13</f>
        <v>Cái</v>
      </c>
      <c r="D1422" s="67">
        <f>Gia_VLieu!D13</f>
        <v>15000</v>
      </c>
      <c r="E1422" s="54">
        <v>5</v>
      </c>
      <c r="F1422" s="38">
        <f>D1422*E1422</f>
        <v>75000</v>
      </c>
      <c r="H1422" s="10">
        <v>1418</v>
      </c>
    </row>
    <row r="1423" spans="1:8" s="33" customFormat="1">
      <c r="A1423" s="31" t="e">
        <f>#REF!</f>
        <v>#REF!</v>
      </c>
      <c r="B1423" s="32" t="e">
        <f>#REF!</f>
        <v>#REF!</v>
      </c>
      <c r="C1423" s="15"/>
      <c r="D1423" s="127">
        <f>Gia_VLieu!D$14</f>
        <v>1.08</v>
      </c>
      <c r="E1423" s="45"/>
      <c r="F1423" s="18" t="e">
        <f>SUM(F1424:F1434)*D1423</f>
        <v>#REF!</v>
      </c>
      <c r="H1423" s="10">
        <v>1419</v>
      </c>
    </row>
    <row r="1424" spans="1:8" s="3" customFormat="1">
      <c r="A1424" s="13">
        <v>1</v>
      </c>
      <c r="B1424" s="5" t="s">
        <v>85</v>
      </c>
      <c r="C1424" s="6" t="str">
        <f>Gia_VLieu!C4</f>
        <v>Gram</v>
      </c>
      <c r="D1424" s="66">
        <f>Gia_VLieu!D4</f>
        <v>45000</v>
      </c>
      <c r="E1424" s="53">
        <v>0.3</v>
      </c>
      <c r="F1424" s="16">
        <f>D1424*E1424</f>
        <v>13500</v>
      </c>
      <c r="H1424" s="10">
        <v>1420</v>
      </c>
    </row>
    <row r="1425" spans="1:8" s="3" customFormat="1">
      <c r="A1425" s="13">
        <v>2</v>
      </c>
      <c r="B1425" s="5" t="s">
        <v>86</v>
      </c>
      <c r="C1425" s="6" t="str">
        <f>Gia_VLieu!C5</f>
        <v>Hộp</v>
      </c>
      <c r="D1425" s="66">
        <f>Gia_VLieu!D5</f>
        <v>1450000</v>
      </c>
      <c r="E1425" s="53">
        <v>0.02</v>
      </c>
      <c r="F1425" s="16">
        <f t="shared" ref="F1425:F1433" si="101">D1425*E1425</f>
        <v>29000</v>
      </c>
      <c r="H1425" s="10">
        <v>1421</v>
      </c>
    </row>
    <row r="1426" spans="1:8" s="3" customFormat="1">
      <c r="A1426" s="13">
        <v>3</v>
      </c>
      <c r="B1426" s="5" t="s">
        <v>87</v>
      </c>
      <c r="C1426" s="6" t="e">
        <f>Gia_VLieu!#REF!</f>
        <v>#REF!</v>
      </c>
      <c r="D1426" s="66" t="e">
        <f>Gia_VLieu!#REF!</f>
        <v>#REF!</v>
      </c>
      <c r="E1426" s="53">
        <v>0.01</v>
      </c>
      <c r="F1426" s="16" t="e">
        <f t="shared" si="101"/>
        <v>#REF!</v>
      </c>
      <c r="H1426" s="10">
        <v>1422</v>
      </c>
    </row>
    <row r="1427" spans="1:8" s="3" customFormat="1">
      <c r="A1427" s="13">
        <v>4</v>
      </c>
      <c r="B1427" s="5" t="s">
        <v>88</v>
      </c>
      <c r="C1427" s="6" t="str">
        <f>Gia_VLieu!C6</f>
        <v>Quyển</v>
      </c>
      <c r="D1427" s="66">
        <f>Gia_VLieu!D6</f>
        <v>10000</v>
      </c>
      <c r="E1427" s="53">
        <v>1</v>
      </c>
      <c r="F1427" s="16">
        <f t="shared" si="101"/>
        <v>10000</v>
      </c>
      <c r="H1427" s="10">
        <v>1423</v>
      </c>
    </row>
    <row r="1428" spans="1:8" s="3" customFormat="1">
      <c r="A1428" s="13">
        <v>5</v>
      </c>
      <c r="B1428" s="5" t="s">
        <v>22</v>
      </c>
      <c r="C1428" s="6" t="str">
        <f>Gia_VLieu!C7</f>
        <v>Cái</v>
      </c>
      <c r="D1428" s="66">
        <f>Gia_VLieu!D7</f>
        <v>2000</v>
      </c>
      <c r="E1428" s="53">
        <v>2</v>
      </c>
      <c r="F1428" s="16">
        <f t="shared" si="101"/>
        <v>4000</v>
      </c>
      <c r="H1428" s="10">
        <v>1424</v>
      </c>
    </row>
    <row r="1429" spans="1:8" s="3" customFormat="1">
      <c r="A1429" s="13">
        <v>6</v>
      </c>
      <c r="B1429" s="5" t="s">
        <v>89</v>
      </c>
      <c r="C1429" s="6" t="str">
        <f>Gia_VLieu!C8</f>
        <v>Cái</v>
      </c>
      <c r="D1429" s="66">
        <f>Gia_VLieu!D8</f>
        <v>8000</v>
      </c>
      <c r="E1429" s="53">
        <v>1</v>
      </c>
      <c r="F1429" s="16">
        <f t="shared" si="101"/>
        <v>8000</v>
      </c>
      <c r="H1429" s="10">
        <v>1425</v>
      </c>
    </row>
    <row r="1430" spans="1:8" s="3" customFormat="1">
      <c r="A1430" s="13">
        <v>7</v>
      </c>
      <c r="B1430" s="5" t="s">
        <v>90</v>
      </c>
      <c r="C1430" s="6" t="str">
        <f>Gia_VLieu!C9</f>
        <v>Cái</v>
      </c>
      <c r="D1430" s="66">
        <f>Gia_VLieu!D9</f>
        <v>10000</v>
      </c>
      <c r="E1430" s="53">
        <v>1</v>
      </c>
      <c r="F1430" s="16">
        <f t="shared" si="101"/>
        <v>10000</v>
      </c>
      <c r="H1430" s="10">
        <v>1426</v>
      </c>
    </row>
    <row r="1431" spans="1:8" s="3" customFormat="1">
      <c r="A1431" s="13">
        <v>8</v>
      </c>
      <c r="B1431" s="5" t="s">
        <v>91</v>
      </c>
      <c r="C1431" s="6" t="str">
        <f>Gia_VLieu!C10</f>
        <v>Hộp</v>
      </c>
      <c r="D1431" s="66">
        <f>Gia_VLieu!D10</f>
        <v>2500</v>
      </c>
      <c r="E1431" s="53">
        <v>1.5</v>
      </c>
      <c r="F1431" s="16">
        <f t="shared" si="101"/>
        <v>3750</v>
      </c>
      <c r="H1431" s="10">
        <v>1427</v>
      </c>
    </row>
    <row r="1432" spans="1:8" s="3" customFormat="1">
      <c r="A1432" s="13">
        <v>9</v>
      </c>
      <c r="B1432" s="5" t="s">
        <v>92</v>
      </c>
      <c r="C1432" s="6" t="str">
        <f>Gia_VLieu!C11</f>
        <v>Hộp</v>
      </c>
      <c r="D1432" s="66">
        <f>Gia_VLieu!D11</f>
        <v>2000</v>
      </c>
      <c r="E1432" s="53">
        <v>0.8</v>
      </c>
      <c r="F1432" s="16">
        <f t="shared" si="101"/>
        <v>1600</v>
      </c>
      <c r="H1432" s="10">
        <v>1428</v>
      </c>
    </row>
    <row r="1433" spans="1:8" s="3" customFormat="1">
      <c r="A1433" s="13">
        <v>10</v>
      </c>
      <c r="B1433" s="5" t="s">
        <v>93</v>
      </c>
      <c r="C1433" s="6" t="str">
        <f>Gia_VLieu!C12</f>
        <v>Tập</v>
      </c>
      <c r="D1433" s="66">
        <f>Gia_VLieu!D12</f>
        <v>8000</v>
      </c>
      <c r="E1433" s="53">
        <v>1.2</v>
      </c>
      <c r="F1433" s="16">
        <f t="shared" si="101"/>
        <v>9600</v>
      </c>
      <c r="H1433" s="10">
        <v>1429</v>
      </c>
    </row>
    <row r="1434" spans="1:8" s="3" customFormat="1">
      <c r="A1434" s="40">
        <v>11</v>
      </c>
      <c r="B1434" s="41" t="s">
        <v>94</v>
      </c>
      <c r="C1434" s="42" t="str">
        <f>Gia_VLieu!C13</f>
        <v>Cái</v>
      </c>
      <c r="D1434" s="67">
        <f>Gia_VLieu!D13</f>
        <v>15000</v>
      </c>
      <c r="E1434" s="54">
        <v>3</v>
      </c>
      <c r="F1434" s="38">
        <f>D1434*E1434</f>
        <v>45000</v>
      </c>
      <c r="H1434" s="10">
        <v>1430</v>
      </c>
    </row>
    <row r="1435" spans="1:8" s="33" customFormat="1">
      <c r="A1435" s="31" t="e">
        <f>#REF!</f>
        <v>#REF!</v>
      </c>
      <c r="B1435" s="32" t="e">
        <f>#REF!</f>
        <v>#REF!</v>
      </c>
      <c r="C1435" s="15"/>
      <c r="D1435" s="127">
        <f>Gia_VLieu!D$14</f>
        <v>1.08</v>
      </c>
      <c r="E1435" s="45"/>
      <c r="F1435" s="18" t="e">
        <f>SUM(F1436:F1446)*D1435</f>
        <v>#REF!</v>
      </c>
      <c r="H1435" s="10">
        <v>1431</v>
      </c>
    </row>
    <row r="1436" spans="1:8" s="3" customFormat="1">
      <c r="A1436" s="13">
        <v>1</v>
      </c>
      <c r="B1436" s="5" t="s">
        <v>85</v>
      </c>
      <c r="C1436" s="6" t="str">
        <f>Gia_VLieu!C4</f>
        <v>Gram</v>
      </c>
      <c r="D1436" s="66">
        <f>Gia_VLieu!D4</f>
        <v>45000</v>
      </c>
      <c r="E1436" s="53">
        <v>0.4</v>
      </c>
      <c r="F1436" s="16">
        <f>D1436*E1436</f>
        <v>18000</v>
      </c>
      <c r="H1436" s="10">
        <v>1432</v>
      </c>
    </row>
    <row r="1437" spans="1:8" s="3" customFormat="1">
      <c r="A1437" s="13">
        <v>2</v>
      </c>
      <c r="B1437" s="5" t="s">
        <v>86</v>
      </c>
      <c r="C1437" s="6" t="str">
        <f>Gia_VLieu!C5</f>
        <v>Hộp</v>
      </c>
      <c r="D1437" s="66">
        <f>Gia_VLieu!D5</f>
        <v>1450000</v>
      </c>
      <c r="E1437" s="53">
        <v>0.01</v>
      </c>
      <c r="F1437" s="16">
        <f t="shared" ref="F1437:F1445" si="102">D1437*E1437</f>
        <v>14500</v>
      </c>
      <c r="H1437" s="10">
        <v>1433</v>
      </c>
    </row>
    <row r="1438" spans="1:8" s="3" customFormat="1">
      <c r="A1438" s="13">
        <v>3</v>
      </c>
      <c r="B1438" s="5" t="s">
        <v>87</v>
      </c>
      <c r="C1438" s="6" t="e">
        <f>Gia_VLieu!#REF!</f>
        <v>#REF!</v>
      </c>
      <c r="D1438" s="66" t="e">
        <f>Gia_VLieu!#REF!</f>
        <v>#REF!</v>
      </c>
      <c r="E1438" s="53">
        <v>0.01</v>
      </c>
      <c r="F1438" s="16" t="e">
        <f t="shared" si="102"/>
        <v>#REF!</v>
      </c>
      <c r="H1438" s="10">
        <v>1434</v>
      </c>
    </row>
    <row r="1439" spans="1:8" s="3" customFormat="1">
      <c r="A1439" s="13">
        <v>4</v>
      </c>
      <c r="B1439" s="5" t="s">
        <v>88</v>
      </c>
      <c r="C1439" s="6" t="str">
        <f>Gia_VLieu!C6</f>
        <v>Quyển</v>
      </c>
      <c r="D1439" s="66">
        <f>Gia_VLieu!D6</f>
        <v>10000</v>
      </c>
      <c r="E1439" s="53">
        <v>2</v>
      </c>
      <c r="F1439" s="16">
        <f t="shared" si="102"/>
        <v>20000</v>
      </c>
      <c r="H1439" s="10">
        <v>1435</v>
      </c>
    </row>
    <row r="1440" spans="1:8" s="3" customFormat="1">
      <c r="A1440" s="13">
        <v>5</v>
      </c>
      <c r="B1440" s="5" t="s">
        <v>22</v>
      </c>
      <c r="C1440" s="6" t="str">
        <f>Gia_VLieu!C7</f>
        <v>Cái</v>
      </c>
      <c r="D1440" s="66">
        <f>Gia_VLieu!D7</f>
        <v>2000</v>
      </c>
      <c r="E1440" s="53">
        <v>3</v>
      </c>
      <c r="F1440" s="16">
        <f t="shared" si="102"/>
        <v>6000</v>
      </c>
      <c r="H1440" s="10">
        <v>1436</v>
      </c>
    </row>
    <row r="1441" spans="1:8" s="3" customFormat="1">
      <c r="A1441" s="13">
        <v>6</v>
      </c>
      <c r="B1441" s="5" t="s">
        <v>89</v>
      </c>
      <c r="C1441" s="6" t="str">
        <f>Gia_VLieu!C8</f>
        <v>Cái</v>
      </c>
      <c r="D1441" s="66">
        <f>Gia_VLieu!D8</f>
        <v>8000</v>
      </c>
      <c r="E1441" s="53">
        <v>1</v>
      </c>
      <c r="F1441" s="16">
        <f t="shared" si="102"/>
        <v>8000</v>
      </c>
      <c r="H1441" s="10">
        <v>1437</v>
      </c>
    </row>
    <row r="1442" spans="1:8" s="3" customFormat="1">
      <c r="A1442" s="13">
        <v>7</v>
      </c>
      <c r="B1442" s="5" t="s">
        <v>90</v>
      </c>
      <c r="C1442" s="6" t="str">
        <f>Gia_VLieu!C9</f>
        <v>Cái</v>
      </c>
      <c r="D1442" s="66">
        <f>Gia_VLieu!D9</f>
        <v>10000</v>
      </c>
      <c r="E1442" s="53">
        <v>1</v>
      </c>
      <c r="F1442" s="16">
        <f t="shared" si="102"/>
        <v>10000</v>
      </c>
      <c r="H1442" s="10">
        <v>1438</v>
      </c>
    </row>
    <row r="1443" spans="1:8" s="3" customFormat="1">
      <c r="A1443" s="13">
        <v>8</v>
      </c>
      <c r="B1443" s="5" t="s">
        <v>91</v>
      </c>
      <c r="C1443" s="6" t="str">
        <f>Gia_VLieu!C10</f>
        <v>Hộp</v>
      </c>
      <c r="D1443" s="66">
        <f>Gia_VLieu!D10</f>
        <v>2500</v>
      </c>
      <c r="E1443" s="53">
        <v>1.8</v>
      </c>
      <c r="F1443" s="16">
        <f t="shared" si="102"/>
        <v>4500</v>
      </c>
      <c r="H1443" s="10">
        <v>1439</v>
      </c>
    </row>
    <row r="1444" spans="1:8" s="3" customFormat="1">
      <c r="A1444" s="13">
        <v>9</v>
      </c>
      <c r="B1444" s="5" t="s">
        <v>92</v>
      </c>
      <c r="C1444" s="6" t="str">
        <f>Gia_VLieu!C11</f>
        <v>Hộp</v>
      </c>
      <c r="D1444" s="66">
        <f>Gia_VLieu!D11</f>
        <v>2000</v>
      </c>
      <c r="E1444" s="53">
        <v>0.5</v>
      </c>
      <c r="F1444" s="16">
        <f t="shared" si="102"/>
        <v>1000</v>
      </c>
      <c r="H1444" s="10">
        <v>1440</v>
      </c>
    </row>
    <row r="1445" spans="1:8" s="3" customFormat="1">
      <c r="A1445" s="13">
        <v>10</v>
      </c>
      <c r="B1445" s="5" t="s">
        <v>93</v>
      </c>
      <c r="C1445" s="6" t="str">
        <f>Gia_VLieu!C12</f>
        <v>Tập</v>
      </c>
      <c r="D1445" s="66">
        <f>Gia_VLieu!D12</f>
        <v>8000</v>
      </c>
      <c r="E1445" s="53">
        <v>1.5</v>
      </c>
      <c r="F1445" s="16">
        <f t="shared" si="102"/>
        <v>12000</v>
      </c>
      <c r="H1445" s="10">
        <v>1441</v>
      </c>
    </row>
    <row r="1446" spans="1:8" s="3" customFormat="1">
      <c r="A1446" s="40">
        <v>11</v>
      </c>
      <c r="B1446" s="41" t="s">
        <v>94</v>
      </c>
      <c r="C1446" s="42" t="str">
        <f>Gia_VLieu!C13</f>
        <v>Cái</v>
      </c>
      <c r="D1446" s="67">
        <f>Gia_VLieu!D13</f>
        <v>15000</v>
      </c>
      <c r="E1446" s="54">
        <v>3</v>
      </c>
      <c r="F1446" s="38">
        <f>D1446*E1446</f>
        <v>45000</v>
      </c>
      <c r="H1446" s="10">
        <v>1442</v>
      </c>
    </row>
    <row r="1447" spans="1:8" s="33" customFormat="1">
      <c r="A1447" s="31" t="e">
        <f>#REF!</f>
        <v>#REF!</v>
      </c>
      <c r="B1447" s="32" t="e">
        <f>#REF!</f>
        <v>#REF!</v>
      </c>
      <c r="C1447" s="15"/>
      <c r="D1447" s="127">
        <f>Gia_VLieu!D$14</f>
        <v>1.08</v>
      </c>
      <c r="E1447" s="45"/>
      <c r="F1447" s="18" t="e">
        <f>SUM(F1448:F1458)*D1447</f>
        <v>#REF!</v>
      </c>
      <c r="H1447" s="10">
        <v>1443</v>
      </c>
    </row>
    <row r="1448" spans="1:8" s="3" customFormat="1">
      <c r="A1448" s="13">
        <v>1</v>
      </c>
      <c r="B1448" s="5" t="s">
        <v>85</v>
      </c>
      <c r="C1448" s="6" t="str">
        <f>Gia_VLieu!C4</f>
        <v>Gram</v>
      </c>
      <c r="D1448" s="66">
        <f>Gia_VLieu!D4</f>
        <v>45000</v>
      </c>
      <c r="E1448" s="53">
        <v>0.4</v>
      </c>
      <c r="F1448" s="16">
        <f>D1448*E1448</f>
        <v>18000</v>
      </c>
      <c r="H1448" s="10">
        <v>1444</v>
      </c>
    </row>
    <row r="1449" spans="1:8" s="3" customFormat="1">
      <c r="A1449" s="13">
        <v>2</v>
      </c>
      <c r="B1449" s="5" t="s">
        <v>86</v>
      </c>
      <c r="C1449" s="6" t="str">
        <f>Gia_VLieu!C5</f>
        <v>Hộp</v>
      </c>
      <c r="D1449" s="66">
        <f>Gia_VLieu!D5</f>
        <v>1450000</v>
      </c>
      <c r="E1449" s="53">
        <v>0.01</v>
      </c>
      <c r="F1449" s="16">
        <f t="shared" ref="F1449:F1457" si="103">D1449*E1449</f>
        <v>14500</v>
      </c>
      <c r="H1449" s="10">
        <v>1445</v>
      </c>
    </row>
    <row r="1450" spans="1:8" s="3" customFormat="1">
      <c r="A1450" s="13">
        <v>3</v>
      </c>
      <c r="B1450" s="5" t="s">
        <v>87</v>
      </c>
      <c r="C1450" s="6" t="e">
        <f>Gia_VLieu!#REF!</f>
        <v>#REF!</v>
      </c>
      <c r="D1450" s="66" t="e">
        <f>Gia_VLieu!#REF!</f>
        <v>#REF!</v>
      </c>
      <c r="E1450" s="53">
        <v>0.01</v>
      </c>
      <c r="F1450" s="16" t="e">
        <f t="shared" si="103"/>
        <v>#REF!</v>
      </c>
      <c r="H1450" s="10">
        <v>1446</v>
      </c>
    </row>
    <row r="1451" spans="1:8" s="3" customFormat="1">
      <c r="A1451" s="13">
        <v>4</v>
      </c>
      <c r="B1451" s="5" t="s">
        <v>88</v>
      </c>
      <c r="C1451" s="6" t="str">
        <f>Gia_VLieu!C6</f>
        <v>Quyển</v>
      </c>
      <c r="D1451" s="66">
        <f>Gia_VLieu!D6</f>
        <v>10000</v>
      </c>
      <c r="E1451" s="53">
        <v>2</v>
      </c>
      <c r="F1451" s="16">
        <f t="shared" si="103"/>
        <v>20000</v>
      </c>
      <c r="H1451" s="10">
        <v>1447</v>
      </c>
    </row>
    <row r="1452" spans="1:8" s="3" customFormat="1">
      <c r="A1452" s="13">
        <v>5</v>
      </c>
      <c r="B1452" s="5" t="s">
        <v>22</v>
      </c>
      <c r="C1452" s="6" t="str">
        <f>Gia_VLieu!C7</f>
        <v>Cái</v>
      </c>
      <c r="D1452" s="66">
        <f>Gia_VLieu!D7</f>
        <v>2000</v>
      </c>
      <c r="E1452" s="53">
        <v>3</v>
      </c>
      <c r="F1452" s="16">
        <f t="shared" si="103"/>
        <v>6000</v>
      </c>
      <c r="H1452" s="10">
        <v>1448</v>
      </c>
    </row>
    <row r="1453" spans="1:8" s="3" customFormat="1">
      <c r="A1453" s="13">
        <v>6</v>
      </c>
      <c r="B1453" s="5" t="s">
        <v>89</v>
      </c>
      <c r="C1453" s="6" t="str">
        <f>Gia_VLieu!C8</f>
        <v>Cái</v>
      </c>
      <c r="D1453" s="66">
        <f>Gia_VLieu!D8</f>
        <v>8000</v>
      </c>
      <c r="E1453" s="53">
        <v>1</v>
      </c>
      <c r="F1453" s="16">
        <f t="shared" si="103"/>
        <v>8000</v>
      </c>
      <c r="H1453" s="10">
        <v>1449</v>
      </c>
    </row>
    <row r="1454" spans="1:8" s="3" customFormat="1">
      <c r="A1454" s="13">
        <v>7</v>
      </c>
      <c r="B1454" s="5" t="s">
        <v>90</v>
      </c>
      <c r="C1454" s="6" t="str">
        <f>Gia_VLieu!C9</f>
        <v>Cái</v>
      </c>
      <c r="D1454" s="66">
        <f>Gia_VLieu!D9</f>
        <v>10000</v>
      </c>
      <c r="E1454" s="53">
        <v>1</v>
      </c>
      <c r="F1454" s="16">
        <f t="shared" si="103"/>
        <v>10000</v>
      </c>
      <c r="H1454" s="10">
        <v>1450</v>
      </c>
    </row>
    <row r="1455" spans="1:8" s="3" customFormat="1">
      <c r="A1455" s="13">
        <v>8</v>
      </c>
      <c r="B1455" s="5" t="s">
        <v>91</v>
      </c>
      <c r="C1455" s="6" t="str">
        <f>Gia_VLieu!C10</f>
        <v>Hộp</v>
      </c>
      <c r="D1455" s="66">
        <f>Gia_VLieu!D10</f>
        <v>2500</v>
      </c>
      <c r="E1455" s="53">
        <v>1.8</v>
      </c>
      <c r="F1455" s="16">
        <f t="shared" si="103"/>
        <v>4500</v>
      </c>
      <c r="H1455" s="10">
        <v>1451</v>
      </c>
    </row>
    <row r="1456" spans="1:8" s="3" customFormat="1">
      <c r="A1456" s="13">
        <v>9</v>
      </c>
      <c r="B1456" s="5" t="s">
        <v>92</v>
      </c>
      <c r="C1456" s="6" t="str">
        <f>Gia_VLieu!C11</f>
        <v>Hộp</v>
      </c>
      <c r="D1456" s="66">
        <f>Gia_VLieu!D11</f>
        <v>2000</v>
      </c>
      <c r="E1456" s="53">
        <v>0.5</v>
      </c>
      <c r="F1456" s="16">
        <f t="shared" si="103"/>
        <v>1000</v>
      </c>
      <c r="H1456" s="10">
        <v>1452</v>
      </c>
    </row>
    <row r="1457" spans="1:8" s="3" customFormat="1">
      <c r="A1457" s="13">
        <v>10</v>
      </c>
      <c r="B1457" s="5" t="s">
        <v>93</v>
      </c>
      <c r="C1457" s="6" t="str">
        <f>Gia_VLieu!C12</f>
        <v>Tập</v>
      </c>
      <c r="D1457" s="66">
        <f>Gia_VLieu!D12</f>
        <v>8000</v>
      </c>
      <c r="E1457" s="53">
        <v>1.5</v>
      </c>
      <c r="F1457" s="16">
        <f t="shared" si="103"/>
        <v>12000</v>
      </c>
      <c r="H1457" s="10">
        <v>1453</v>
      </c>
    </row>
    <row r="1458" spans="1:8" s="3" customFormat="1">
      <c r="A1458" s="40">
        <v>11</v>
      </c>
      <c r="B1458" s="41" t="s">
        <v>94</v>
      </c>
      <c r="C1458" s="42" t="str">
        <f>Gia_VLieu!C13</f>
        <v>Cái</v>
      </c>
      <c r="D1458" s="67">
        <f>Gia_VLieu!D13</f>
        <v>15000</v>
      </c>
      <c r="E1458" s="54">
        <v>3</v>
      </c>
      <c r="F1458" s="38">
        <f>D1458*E1458</f>
        <v>45000</v>
      </c>
      <c r="H1458" s="10">
        <v>1454</v>
      </c>
    </row>
    <row r="1459" spans="1:8" s="33" customFormat="1">
      <c r="A1459" s="31" t="e">
        <f>#REF!</f>
        <v>#REF!</v>
      </c>
      <c r="B1459" s="32" t="e">
        <f>#REF!</f>
        <v>#REF!</v>
      </c>
      <c r="C1459" s="15"/>
      <c r="D1459" s="127">
        <f>Gia_VLieu!D$14</f>
        <v>1.08</v>
      </c>
      <c r="E1459" s="45"/>
      <c r="F1459" s="18" t="e">
        <f>SUM(F1460:F1470)*D1459</f>
        <v>#REF!</v>
      </c>
      <c r="H1459" s="10">
        <v>1455</v>
      </c>
    </row>
    <row r="1460" spans="1:8" s="3" customFormat="1">
      <c r="A1460" s="13">
        <v>1</v>
      </c>
      <c r="B1460" s="5" t="s">
        <v>85</v>
      </c>
      <c r="C1460" s="6" t="str">
        <f>Gia_VLieu!C4</f>
        <v>Gram</v>
      </c>
      <c r="D1460" s="66">
        <f>Gia_VLieu!D4</f>
        <v>45000</v>
      </c>
      <c r="E1460" s="53">
        <v>0.2</v>
      </c>
      <c r="F1460" s="16">
        <f>D1460*E1460</f>
        <v>9000</v>
      </c>
      <c r="H1460" s="10">
        <v>1456</v>
      </c>
    </row>
    <row r="1461" spans="1:8" s="3" customFormat="1">
      <c r="A1461" s="13">
        <v>2</v>
      </c>
      <c r="B1461" s="5" t="s">
        <v>86</v>
      </c>
      <c r="C1461" s="6" t="str">
        <f>Gia_VLieu!C5</f>
        <v>Hộp</v>
      </c>
      <c r="D1461" s="66">
        <f>Gia_VLieu!D5</f>
        <v>1450000</v>
      </c>
      <c r="E1461" s="53">
        <v>0.01</v>
      </c>
      <c r="F1461" s="16">
        <f t="shared" ref="F1461:F1469" si="104">D1461*E1461</f>
        <v>14500</v>
      </c>
      <c r="H1461" s="10">
        <v>1457</v>
      </c>
    </row>
    <row r="1462" spans="1:8" s="3" customFormat="1">
      <c r="A1462" s="13">
        <v>3</v>
      </c>
      <c r="B1462" s="5" t="s">
        <v>87</v>
      </c>
      <c r="C1462" s="6" t="e">
        <f>Gia_VLieu!#REF!</f>
        <v>#REF!</v>
      </c>
      <c r="D1462" s="66" t="e">
        <f>Gia_VLieu!#REF!</f>
        <v>#REF!</v>
      </c>
      <c r="E1462" s="53">
        <v>0.01</v>
      </c>
      <c r="F1462" s="16" t="e">
        <f t="shared" si="104"/>
        <v>#REF!</v>
      </c>
      <c r="H1462" s="10">
        <v>1458</v>
      </c>
    </row>
    <row r="1463" spans="1:8" s="3" customFormat="1">
      <c r="A1463" s="13">
        <v>4</v>
      </c>
      <c r="B1463" s="5" t="s">
        <v>88</v>
      </c>
      <c r="C1463" s="6" t="str">
        <f>Gia_VLieu!C6</f>
        <v>Quyển</v>
      </c>
      <c r="D1463" s="66">
        <f>Gia_VLieu!D6</f>
        <v>10000</v>
      </c>
      <c r="E1463" s="53">
        <v>1</v>
      </c>
      <c r="F1463" s="16">
        <f t="shared" si="104"/>
        <v>10000</v>
      </c>
      <c r="H1463" s="10">
        <v>1459</v>
      </c>
    </row>
    <row r="1464" spans="1:8" s="3" customFormat="1">
      <c r="A1464" s="13">
        <v>5</v>
      </c>
      <c r="B1464" s="5" t="s">
        <v>22</v>
      </c>
      <c r="C1464" s="6" t="str">
        <f>Gia_VLieu!C7</f>
        <v>Cái</v>
      </c>
      <c r="D1464" s="66">
        <f>Gia_VLieu!D7</f>
        <v>2000</v>
      </c>
      <c r="E1464" s="53">
        <v>1.5</v>
      </c>
      <c r="F1464" s="16">
        <f t="shared" si="104"/>
        <v>3000</v>
      </c>
      <c r="H1464" s="10">
        <v>1460</v>
      </c>
    </row>
    <row r="1465" spans="1:8" s="3" customFormat="1">
      <c r="A1465" s="13">
        <v>6</v>
      </c>
      <c r="B1465" s="5" t="s">
        <v>89</v>
      </c>
      <c r="C1465" s="6" t="str">
        <f>Gia_VLieu!C8</f>
        <v>Cái</v>
      </c>
      <c r="D1465" s="66">
        <f>Gia_VLieu!D8</f>
        <v>8000</v>
      </c>
      <c r="E1465" s="53">
        <v>0.5</v>
      </c>
      <c r="F1465" s="16">
        <f t="shared" si="104"/>
        <v>4000</v>
      </c>
      <c r="H1465" s="10">
        <v>1461</v>
      </c>
    </row>
    <row r="1466" spans="1:8" s="3" customFormat="1">
      <c r="A1466" s="13">
        <v>7</v>
      </c>
      <c r="B1466" s="5" t="s">
        <v>90</v>
      </c>
      <c r="C1466" s="6" t="str">
        <f>Gia_VLieu!C9</f>
        <v>Cái</v>
      </c>
      <c r="D1466" s="66">
        <f>Gia_VLieu!D9</f>
        <v>10000</v>
      </c>
      <c r="E1466" s="53">
        <v>0.5</v>
      </c>
      <c r="F1466" s="16">
        <f t="shared" si="104"/>
        <v>5000</v>
      </c>
      <c r="H1466" s="10">
        <v>1462</v>
      </c>
    </row>
    <row r="1467" spans="1:8" s="3" customFormat="1">
      <c r="A1467" s="13">
        <v>8</v>
      </c>
      <c r="B1467" s="5" t="s">
        <v>91</v>
      </c>
      <c r="C1467" s="6" t="str">
        <f>Gia_VLieu!C10</f>
        <v>Hộp</v>
      </c>
      <c r="D1467" s="66">
        <f>Gia_VLieu!D10</f>
        <v>2500</v>
      </c>
      <c r="E1467" s="53">
        <v>0.9</v>
      </c>
      <c r="F1467" s="16">
        <f t="shared" si="104"/>
        <v>2250</v>
      </c>
      <c r="H1467" s="10">
        <v>1463</v>
      </c>
    </row>
    <row r="1468" spans="1:8" s="3" customFormat="1">
      <c r="A1468" s="13">
        <v>9</v>
      </c>
      <c r="B1468" s="5" t="s">
        <v>92</v>
      </c>
      <c r="C1468" s="6" t="str">
        <f>Gia_VLieu!C11</f>
        <v>Hộp</v>
      </c>
      <c r="D1468" s="66">
        <f>Gia_VLieu!D11</f>
        <v>2000</v>
      </c>
      <c r="E1468" s="53">
        <v>0.25</v>
      </c>
      <c r="F1468" s="16">
        <f t="shared" si="104"/>
        <v>500</v>
      </c>
      <c r="H1468" s="10">
        <v>1464</v>
      </c>
    </row>
    <row r="1469" spans="1:8" s="3" customFormat="1">
      <c r="A1469" s="13">
        <v>10</v>
      </c>
      <c r="B1469" s="5" t="s">
        <v>93</v>
      </c>
      <c r="C1469" s="6" t="str">
        <f>Gia_VLieu!C12</f>
        <v>Tập</v>
      </c>
      <c r="D1469" s="66">
        <f>Gia_VLieu!D12</f>
        <v>8000</v>
      </c>
      <c r="E1469" s="53">
        <v>0.75</v>
      </c>
      <c r="F1469" s="16">
        <f t="shared" si="104"/>
        <v>6000</v>
      </c>
      <c r="H1469" s="10">
        <v>1465</v>
      </c>
    </row>
    <row r="1470" spans="1:8" s="3" customFormat="1">
      <c r="A1470" s="40">
        <v>11</v>
      </c>
      <c r="B1470" s="41" t="s">
        <v>94</v>
      </c>
      <c r="C1470" s="42" t="str">
        <f>Gia_VLieu!C13</f>
        <v>Cái</v>
      </c>
      <c r="D1470" s="67">
        <f>Gia_VLieu!D13</f>
        <v>15000</v>
      </c>
      <c r="E1470" s="54">
        <v>1.5</v>
      </c>
      <c r="F1470" s="38">
        <f>D1470*E1470</f>
        <v>22500</v>
      </c>
      <c r="H1470" s="10">
        <v>1466</v>
      </c>
    </row>
    <row r="1471" spans="1:8" s="33" customFormat="1">
      <c r="A1471" s="31" t="e">
        <f>#REF!</f>
        <v>#REF!</v>
      </c>
      <c r="B1471" s="32" t="e">
        <f>#REF!</f>
        <v>#REF!</v>
      </c>
      <c r="C1471" s="15"/>
      <c r="D1471" s="127">
        <f>Gia_VLieu!D$14</f>
        <v>1.08</v>
      </c>
      <c r="E1471" s="45"/>
      <c r="F1471" s="18" t="e">
        <f>SUM(F1472:F1482)*D1471</f>
        <v>#REF!</v>
      </c>
      <c r="H1471" s="10">
        <v>1467</v>
      </c>
    </row>
    <row r="1472" spans="1:8" s="3" customFormat="1">
      <c r="A1472" s="13">
        <v>1</v>
      </c>
      <c r="B1472" s="5" t="s">
        <v>85</v>
      </c>
      <c r="C1472" s="6" t="str">
        <f>Gia_VLieu!C4</f>
        <v>Gram</v>
      </c>
      <c r="D1472" s="66">
        <f>Gia_VLieu!D4</f>
        <v>45000</v>
      </c>
      <c r="E1472" s="53">
        <v>0.2</v>
      </c>
      <c r="F1472" s="16">
        <f>D1472*E1472</f>
        <v>9000</v>
      </c>
      <c r="H1472" s="10">
        <v>1468</v>
      </c>
    </row>
    <row r="1473" spans="1:8" s="3" customFormat="1">
      <c r="A1473" s="13">
        <v>2</v>
      </c>
      <c r="B1473" s="5" t="s">
        <v>86</v>
      </c>
      <c r="C1473" s="6" t="str">
        <f>Gia_VLieu!C5</f>
        <v>Hộp</v>
      </c>
      <c r="D1473" s="66">
        <f>Gia_VLieu!D5</f>
        <v>1450000</v>
      </c>
      <c r="E1473" s="53">
        <v>0.01</v>
      </c>
      <c r="F1473" s="16">
        <f t="shared" ref="F1473:F1481" si="105">D1473*E1473</f>
        <v>14500</v>
      </c>
      <c r="H1473" s="10">
        <v>1469</v>
      </c>
    </row>
    <row r="1474" spans="1:8" s="3" customFormat="1">
      <c r="A1474" s="13">
        <v>3</v>
      </c>
      <c r="B1474" s="5" t="s">
        <v>87</v>
      </c>
      <c r="C1474" s="6" t="e">
        <f>Gia_VLieu!#REF!</f>
        <v>#REF!</v>
      </c>
      <c r="D1474" s="66" t="e">
        <f>Gia_VLieu!#REF!</f>
        <v>#REF!</v>
      </c>
      <c r="E1474" s="53">
        <v>0.01</v>
      </c>
      <c r="F1474" s="16" t="e">
        <f t="shared" si="105"/>
        <v>#REF!</v>
      </c>
      <c r="H1474" s="10">
        <v>1470</v>
      </c>
    </row>
    <row r="1475" spans="1:8" s="3" customFormat="1">
      <c r="A1475" s="13">
        <v>4</v>
      </c>
      <c r="B1475" s="5" t="s">
        <v>88</v>
      </c>
      <c r="C1475" s="6" t="str">
        <f>Gia_VLieu!C6</f>
        <v>Quyển</v>
      </c>
      <c r="D1475" s="66">
        <f>Gia_VLieu!D6</f>
        <v>10000</v>
      </c>
      <c r="E1475" s="53">
        <v>1</v>
      </c>
      <c r="F1475" s="16">
        <f t="shared" si="105"/>
        <v>10000</v>
      </c>
      <c r="H1475" s="10">
        <v>1471</v>
      </c>
    </row>
    <row r="1476" spans="1:8" s="3" customFormat="1">
      <c r="A1476" s="13">
        <v>5</v>
      </c>
      <c r="B1476" s="5" t="s">
        <v>22</v>
      </c>
      <c r="C1476" s="6" t="str">
        <f>Gia_VLieu!C7</f>
        <v>Cái</v>
      </c>
      <c r="D1476" s="66">
        <f>Gia_VLieu!D7</f>
        <v>2000</v>
      </c>
      <c r="E1476" s="53">
        <v>1.5</v>
      </c>
      <c r="F1476" s="16">
        <f t="shared" si="105"/>
        <v>3000</v>
      </c>
      <c r="H1476" s="10">
        <v>1472</v>
      </c>
    </row>
    <row r="1477" spans="1:8" s="3" customFormat="1">
      <c r="A1477" s="13">
        <v>6</v>
      </c>
      <c r="B1477" s="5" t="s">
        <v>89</v>
      </c>
      <c r="C1477" s="6" t="str">
        <f>Gia_VLieu!C8</f>
        <v>Cái</v>
      </c>
      <c r="D1477" s="66">
        <f>Gia_VLieu!D8</f>
        <v>8000</v>
      </c>
      <c r="E1477" s="53">
        <v>0.5</v>
      </c>
      <c r="F1477" s="16">
        <f t="shared" si="105"/>
        <v>4000</v>
      </c>
      <c r="H1477" s="10">
        <v>1473</v>
      </c>
    </row>
    <row r="1478" spans="1:8" s="3" customFormat="1">
      <c r="A1478" s="13">
        <v>7</v>
      </c>
      <c r="B1478" s="5" t="s">
        <v>90</v>
      </c>
      <c r="C1478" s="6" t="str">
        <f>Gia_VLieu!C9</f>
        <v>Cái</v>
      </c>
      <c r="D1478" s="66">
        <f>Gia_VLieu!D9</f>
        <v>10000</v>
      </c>
      <c r="E1478" s="53">
        <v>0.5</v>
      </c>
      <c r="F1478" s="16">
        <f t="shared" si="105"/>
        <v>5000</v>
      </c>
      <c r="H1478" s="10">
        <v>1474</v>
      </c>
    </row>
    <row r="1479" spans="1:8" s="3" customFormat="1">
      <c r="A1479" s="13">
        <v>8</v>
      </c>
      <c r="B1479" s="5" t="s">
        <v>91</v>
      </c>
      <c r="C1479" s="6" t="str">
        <f>Gia_VLieu!C10</f>
        <v>Hộp</v>
      </c>
      <c r="D1479" s="66">
        <f>Gia_VLieu!D10</f>
        <v>2500</v>
      </c>
      <c r="E1479" s="53">
        <v>0.9</v>
      </c>
      <c r="F1479" s="16">
        <f t="shared" si="105"/>
        <v>2250</v>
      </c>
      <c r="H1479" s="10">
        <v>1475</v>
      </c>
    </row>
    <row r="1480" spans="1:8" s="3" customFormat="1">
      <c r="A1480" s="13">
        <v>9</v>
      </c>
      <c r="B1480" s="5" t="s">
        <v>92</v>
      </c>
      <c r="C1480" s="6" t="str">
        <f>Gia_VLieu!C11</f>
        <v>Hộp</v>
      </c>
      <c r="D1480" s="66">
        <f>Gia_VLieu!D11</f>
        <v>2000</v>
      </c>
      <c r="E1480" s="53">
        <v>0.25</v>
      </c>
      <c r="F1480" s="16">
        <f t="shared" si="105"/>
        <v>500</v>
      </c>
      <c r="H1480" s="10">
        <v>1476</v>
      </c>
    </row>
    <row r="1481" spans="1:8" s="3" customFormat="1">
      <c r="A1481" s="13">
        <v>10</v>
      </c>
      <c r="B1481" s="5" t="s">
        <v>93</v>
      </c>
      <c r="C1481" s="6" t="str">
        <f>Gia_VLieu!C12</f>
        <v>Tập</v>
      </c>
      <c r="D1481" s="66">
        <f>Gia_VLieu!D12</f>
        <v>8000</v>
      </c>
      <c r="E1481" s="53">
        <v>0.75</v>
      </c>
      <c r="F1481" s="16">
        <f t="shared" si="105"/>
        <v>6000</v>
      </c>
      <c r="H1481" s="10">
        <v>1477</v>
      </c>
    </row>
    <row r="1482" spans="1:8" s="3" customFormat="1">
      <c r="A1482" s="40">
        <v>11</v>
      </c>
      <c r="B1482" s="41" t="s">
        <v>94</v>
      </c>
      <c r="C1482" s="42" t="str">
        <f>Gia_VLieu!C13</f>
        <v>Cái</v>
      </c>
      <c r="D1482" s="67">
        <f>Gia_VLieu!D13</f>
        <v>15000</v>
      </c>
      <c r="E1482" s="54">
        <v>1.5</v>
      </c>
      <c r="F1482" s="38">
        <f>D1482*E1482</f>
        <v>22500</v>
      </c>
      <c r="H1482" s="10">
        <v>1478</v>
      </c>
    </row>
    <row r="1483" spans="1:8" s="14" customFormat="1">
      <c r="A1483" s="12" t="e">
        <f>#REF!</f>
        <v>#REF!</v>
      </c>
      <c r="B1483" s="8" t="e">
        <f>#REF!</f>
        <v>#REF!</v>
      </c>
      <c r="C1483" s="7"/>
      <c r="D1483" s="72"/>
      <c r="E1483" s="48"/>
      <c r="F1483" s="17"/>
      <c r="H1483" s="10">
        <v>1479</v>
      </c>
    </row>
    <row r="1484" spans="1:8" s="33" customFormat="1">
      <c r="A1484" s="31" t="e">
        <f>#REF!</f>
        <v>#REF!</v>
      </c>
      <c r="B1484" s="32" t="e">
        <f>#REF!</f>
        <v>#REF!</v>
      </c>
      <c r="C1484" s="15"/>
      <c r="D1484" s="70"/>
      <c r="E1484" s="45"/>
      <c r="F1484" s="18"/>
      <c r="H1484" s="10">
        <v>1480</v>
      </c>
    </row>
    <row r="1485" spans="1:8" s="14" customFormat="1">
      <c r="A1485" s="12" t="e">
        <f>#REF!</f>
        <v>#REF!</v>
      </c>
      <c r="B1485" s="8" t="e">
        <f>#REF!</f>
        <v>#REF!</v>
      </c>
      <c r="C1485" s="7"/>
      <c r="D1485" s="127">
        <f>Gia_VLieu!D$14</f>
        <v>1.08</v>
      </c>
      <c r="E1485" s="45"/>
      <c r="F1485" s="18" t="e">
        <f>SUM(F1486:F1496)*D1485</f>
        <v>#REF!</v>
      </c>
      <c r="H1485" s="10">
        <v>1481</v>
      </c>
    </row>
    <row r="1486" spans="1:8" s="3" customFormat="1">
      <c r="A1486" s="13">
        <v>1</v>
      </c>
      <c r="B1486" s="5" t="s">
        <v>85</v>
      </c>
      <c r="C1486" s="6" t="str">
        <f>Gia_VLieu!C4</f>
        <v>Gram</v>
      </c>
      <c r="D1486" s="66">
        <f>Gia_VLieu!D4</f>
        <v>45000</v>
      </c>
      <c r="E1486" s="53">
        <v>0.2</v>
      </c>
      <c r="F1486" s="16">
        <f>D1486*E1486</f>
        <v>9000</v>
      </c>
      <c r="H1486" s="10">
        <v>1482</v>
      </c>
    </row>
    <row r="1487" spans="1:8" s="3" customFormat="1">
      <c r="A1487" s="13">
        <v>2</v>
      </c>
      <c r="B1487" s="5" t="s">
        <v>86</v>
      </c>
      <c r="C1487" s="6" t="str">
        <f>Gia_VLieu!C5</f>
        <v>Hộp</v>
      </c>
      <c r="D1487" s="66">
        <f>Gia_VLieu!D5</f>
        <v>1450000</v>
      </c>
      <c r="E1487" s="53">
        <v>0.04</v>
      </c>
      <c r="F1487" s="16">
        <f t="shared" ref="F1487:F1495" si="106">D1487*E1487</f>
        <v>58000</v>
      </c>
      <c r="H1487" s="10">
        <v>1483</v>
      </c>
    </row>
    <row r="1488" spans="1:8" s="3" customFormat="1">
      <c r="A1488" s="13">
        <v>3</v>
      </c>
      <c r="B1488" s="5" t="s">
        <v>87</v>
      </c>
      <c r="C1488" s="6" t="e">
        <f>Gia_VLieu!#REF!</f>
        <v>#REF!</v>
      </c>
      <c r="D1488" s="66" t="e">
        <f>Gia_VLieu!#REF!</f>
        <v>#REF!</v>
      </c>
      <c r="E1488" s="53">
        <v>0.01</v>
      </c>
      <c r="F1488" s="16" t="e">
        <f t="shared" si="106"/>
        <v>#REF!</v>
      </c>
      <c r="H1488" s="10">
        <v>1484</v>
      </c>
    </row>
    <row r="1489" spans="1:8" s="3" customFormat="1">
      <c r="A1489" s="13">
        <v>4</v>
      </c>
      <c r="B1489" s="5" t="s">
        <v>88</v>
      </c>
      <c r="C1489" s="6" t="str">
        <f>Gia_VLieu!C6</f>
        <v>Quyển</v>
      </c>
      <c r="D1489" s="66">
        <f>Gia_VLieu!D6</f>
        <v>10000</v>
      </c>
      <c r="E1489" s="53">
        <v>3</v>
      </c>
      <c r="F1489" s="16">
        <f t="shared" si="106"/>
        <v>30000</v>
      </c>
      <c r="H1489" s="10">
        <v>1485</v>
      </c>
    </row>
    <row r="1490" spans="1:8" s="3" customFormat="1">
      <c r="A1490" s="13">
        <v>5</v>
      </c>
      <c r="B1490" s="5" t="s">
        <v>22</v>
      </c>
      <c r="C1490" s="6" t="str">
        <f>Gia_VLieu!C7</f>
        <v>Cái</v>
      </c>
      <c r="D1490" s="66">
        <f>Gia_VLieu!D7</f>
        <v>2000</v>
      </c>
      <c r="E1490" s="53">
        <v>4</v>
      </c>
      <c r="F1490" s="16">
        <f t="shared" si="106"/>
        <v>8000</v>
      </c>
      <c r="H1490" s="10">
        <v>1486</v>
      </c>
    </row>
    <row r="1491" spans="1:8" s="3" customFormat="1">
      <c r="A1491" s="13">
        <v>6</v>
      </c>
      <c r="B1491" s="5" t="s">
        <v>89</v>
      </c>
      <c r="C1491" s="6" t="str">
        <f>Gia_VLieu!C8</f>
        <v>Cái</v>
      </c>
      <c r="D1491" s="66">
        <f>Gia_VLieu!D8</f>
        <v>8000</v>
      </c>
      <c r="E1491" s="53">
        <v>1</v>
      </c>
      <c r="F1491" s="16">
        <f t="shared" si="106"/>
        <v>8000</v>
      </c>
      <c r="H1491" s="10">
        <v>1487</v>
      </c>
    </row>
    <row r="1492" spans="1:8" s="3" customFormat="1">
      <c r="A1492" s="13">
        <v>7</v>
      </c>
      <c r="B1492" s="5" t="s">
        <v>90</v>
      </c>
      <c r="C1492" s="6" t="str">
        <f>Gia_VLieu!C9</f>
        <v>Cái</v>
      </c>
      <c r="D1492" s="66">
        <f>Gia_VLieu!D9</f>
        <v>10000</v>
      </c>
      <c r="E1492" s="53">
        <v>1</v>
      </c>
      <c r="F1492" s="16">
        <f t="shared" si="106"/>
        <v>10000</v>
      </c>
      <c r="H1492" s="10">
        <v>1488</v>
      </c>
    </row>
    <row r="1493" spans="1:8" s="3" customFormat="1">
      <c r="A1493" s="13">
        <v>8</v>
      </c>
      <c r="B1493" s="5" t="s">
        <v>91</v>
      </c>
      <c r="C1493" s="6" t="str">
        <f>Gia_VLieu!C10</f>
        <v>Hộp</v>
      </c>
      <c r="D1493" s="66">
        <f>Gia_VLieu!D10</f>
        <v>2500</v>
      </c>
      <c r="E1493" s="53">
        <v>2</v>
      </c>
      <c r="F1493" s="16">
        <f t="shared" si="106"/>
        <v>5000</v>
      </c>
      <c r="H1493" s="10">
        <v>1489</v>
      </c>
    </row>
    <row r="1494" spans="1:8" s="3" customFormat="1">
      <c r="A1494" s="13">
        <v>9</v>
      </c>
      <c r="B1494" s="5" t="s">
        <v>92</v>
      </c>
      <c r="C1494" s="6" t="str">
        <f>Gia_VLieu!C11</f>
        <v>Hộp</v>
      </c>
      <c r="D1494" s="66">
        <f>Gia_VLieu!D11</f>
        <v>2000</v>
      </c>
      <c r="E1494" s="53">
        <v>1</v>
      </c>
      <c r="F1494" s="16">
        <f t="shared" si="106"/>
        <v>2000</v>
      </c>
      <c r="H1494" s="10">
        <v>1490</v>
      </c>
    </row>
    <row r="1495" spans="1:8" s="3" customFormat="1">
      <c r="A1495" s="13">
        <v>10</v>
      </c>
      <c r="B1495" s="5" t="s">
        <v>93</v>
      </c>
      <c r="C1495" s="6" t="str">
        <f>Gia_VLieu!C12</f>
        <v>Tập</v>
      </c>
      <c r="D1495" s="66">
        <f>Gia_VLieu!D12</f>
        <v>8000</v>
      </c>
      <c r="E1495" s="53">
        <v>1.5</v>
      </c>
      <c r="F1495" s="16">
        <f t="shared" si="106"/>
        <v>12000</v>
      </c>
      <c r="H1495" s="10">
        <v>1491</v>
      </c>
    </row>
    <row r="1496" spans="1:8" s="3" customFormat="1">
      <c r="A1496" s="40">
        <v>11</v>
      </c>
      <c r="B1496" s="41" t="s">
        <v>94</v>
      </c>
      <c r="C1496" s="42" t="str">
        <f>Gia_VLieu!C13</f>
        <v>Cái</v>
      </c>
      <c r="D1496" s="67">
        <f>Gia_VLieu!D13</f>
        <v>15000</v>
      </c>
      <c r="E1496" s="54">
        <v>2</v>
      </c>
      <c r="F1496" s="38">
        <f>D1496*E1496</f>
        <v>30000</v>
      </c>
      <c r="H1496" s="10">
        <v>1492</v>
      </c>
    </row>
    <row r="1497" spans="1:8" s="14" customFormat="1">
      <c r="A1497" s="12" t="e">
        <f>#REF!</f>
        <v>#REF!</v>
      </c>
      <c r="B1497" s="8" t="e">
        <f>#REF!</f>
        <v>#REF!</v>
      </c>
      <c r="C1497" s="7"/>
      <c r="D1497" s="72"/>
      <c r="E1497" s="48"/>
      <c r="F1497" s="17"/>
      <c r="H1497" s="10">
        <v>1493</v>
      </c>
    </row>
    <row r="1498" spans="1:8" s="33" customFormat="1">
      <c r="A1498" s="31" t="e">
        <f>#REF!</f>
        <v>#REF!</v>
      </c>
      <c r="B1498" s="32" t="e">
        <f>#REF!</f>
        <v>#REF!</v>
      </c>
      <c r="C1498" s="15"/>
      <c r="D1498" s="127">
        <f>Gia_VLieu!D$14</f>
        <v>1.08</v>
      </c>
      <c r="E1498" s="45"/>
      <c r="F1498" s="18" t="e">
        <f>SUM(F1499:F1509)*D1498</f>
        <v>#REF!</v>
      </c>
      <c r="H1498" s="10">
        <v>1494</v>
      </c>
    </row>
    <row r="1499" spans="1:8" s="3" customFormat="1">
      <c r="A1499" s="13">
        <v>1</v>
      </c>
      <c r="B1499" s="5" t="s">
        <v>85</v>
      </c>
      <c r="C1499" s="6" t="str">
        <f>Gia_VLieu!C4</f>
        <v>Gram</v>
      </c>
      <c r="D1499" s="66">
        <f>Gia_VLieu!D4</f>
        <v>45000</v>
      </c>
      <c r="E1499" s="53">
        <v>0.3</v>
      </c>
      <c r="F1499" s="16">
        <f>D1499*E1499</f>
        <v>13500</v>
      </c>
      <c r="H1499" s="10">
        <v>1495</v>
      </c>
    </row>
    <row r="1500" spans="1:8" s="3" customFormat="1">
      <c r="A1500" s="13">
        <v>2</v>
      </c>
      <c r="B1500" s="5" t="s">
        <v>86</v>
      </c>
      <c r="C1500" s="6" t="str">
        <f>Gia_VLieu!C5</f>
        <v>Hộp</v>
      </c>
      <c r="D1500" s="66">
        <f>Gia_VLieu!D5</f>
        <v>1450000</v>
      </c>
      <c r="E1500" s="53">
        <v>0.06</v>
      </c>
      <c r="F1500" s="16">
        <f t="shared" ref="F1500:F1508" si="107">D1500*E1500</f>
        <v>87000</v>
      </c>
      <c r="H1500" s="10">
        <v>1496</v>
      </c>
    </row>
    <row r="1501" spans="1:8" s="3" customFormat="1">
      <c r="A1501" s="13">
        <v>3</v>
      </c>
      <c r="B1501" s="5" t="s">
        <v>87</v>
      </c>
      <c r="C1501" s="6" t="e">
        <f>Gia_VLieu!#REF!</f>
        <v>#REF!</v>
      </c>
      <c r="D1501" s="66" t="e">
        <f>Gia_VLieu!#REF!</f>
        <v>#REF!</v>
      </c>
      <c r="E1501" s="53">
        <v>0.02</v>
      </c>
      <c r="F1501" s="16" t="e">
        <f t="shared" si="107"/>
        <v>#REF!</v>
      </c>
      <c r="H1501" s="10">
        <v>1497</v>
      </c>
    </row>
    <row r="1502" spans="1:8" s="3" customFormat="1">
      <c r="A1502" s="13">
        <v>4</v>
      </c>
      <c r="B1502" s="5" t="s">
        <v>88</v>
      </c>
      <c r="C1502" s="6" t="str">
        <f>Gia_VLieu!C6</f>
        <v>Quyển</v>
      </c>
      <c r="D1502" s="66">
        <f>Gia_VLieu!D6</f>
        <v>10000</v>
      </c>
      <c r="E1502" s="53">
        <v>4.5</v>
      </c>
      <c r="F1502" s="16">
        <f t="shared" si="107"/>
        <v>45000</v>
      </c>
      <c r="H1502" s="10">
        <v>1498</v>
      </c>
    </row>
    <row r="1503" spans="1:8" s="3" customFormat="1">
      <c r="A1503" s="13">
        <v>5</v>
      </c>
      <c r="B1503" s="5" t="s">
        <v>22</v>
      </c>
      <c r="C1503" s="6" t="str">
        <f>Gia_VLieu!C7</f>
        <v>Cái</v>
      </c>
      <c r="D1503" s="66">
        <f>Gia_VLieu!D7</f>
        <v>2000</v>
      </c>
      <c r="E1503" s="53">
        <v>6</v>
      </c>
      <c r="F1503" s="16">
        <f t="shared" si="107"/>
        <v>12000</v>
      </c>
      <c r="H1503" s="10">
        <v>1499</v>
      </c>
    </row>
    <row r="1504" spans="1:8" s="3" customFormat="1">
      <c r="A1504" s="13">
        <v>6</v>
      </c>
      <c r="B1504" s="5" t="s">
        <v>89</v>
      </c>
      <c r="C1504" s="6" t="str">
        <f>Gia_VLieu!C8</f>
        <v>Cái</v>
      </c>
      <c r="D1504" s="66">
        <f>Gia_VLieu!D8</f>
        <v>8000</v>
      </c>
      <c r="E1504" s="53">
        <v>1.5</v>
      </c>
      <c r="F1504" s="16">
        <f t="shared" si="107"/>
        <v>12000</v>
      </c>
      <c r="H1504" s="10">
        <v>1500</v>
      </c>
    </row>
    <row r="1505" spans="1:8" s="3" customFormat="1">
      <c r="A1505" s="13">
        <v>7</v>
      </c>
      <c r="B1505" s="5" t="s">
        <v>90</v>
      </c>
      <c r="C1505" s="6" t="str">
        <f>Gia_VLieu!C9</f>
        <v>Cái</v>
      </c>
      <c r="D1505" s="66">
        <f>Gia_VLieu!D9</f>
        <v>10000</v>
      </c>
      <c r="E1505" s="53">
        <v>1.5</v>
      </c>
      <c r="F1505" s="16">
        <f t="shared" si="107"/>
        <v>15000</v>
      </c>
      <c r="H1505" s="10">
        <v>1501</v>
      </c>
    </row>
    <row r="1506" spans="1:8" s="3" customFormat="1">
      <c r="A1506" s="13">
        <v>8</v>
      </c>
      <c r="B1506" s="5" t="s">
        <v>91</v>
      </c>
      <c r="C1506" s="6" t="str">
        <f>Gia_VLieu!C10</f>
        <v>Hộp</v>
      </c>
      <c r="D1506" s="66">
        <f>Gia_VLieu!D10</f>
        <v>2500</v>
      </c>
      <c r="E1506" s="53">
        <v>3</v>
      </c>
      <c r="F1506" s="16">
        <f t="shared" si="107"/>
        <v>7500</v>
      </c>
      <c r="H1506" s="10">
        <v>1502</v>
      </c>
    </row>
    <row r="1507" spans="1:8" s="3" customFormat="1">
      <c r="A1507" s="13">
        <v>9</v>
      </c>
      <c r="B1507" s="5" t="s">
        <v>92</v>
      </c>
      <c r="C1507" s="6" t="str">
        <f>Gia_VLieu!C11</f>
        <v>Hộp</v>
      </c>
      <c r="D1507" s="66">
        <f>Gia_VLieu!D11</f>
        <v>2000</v>
      </c>
      <c r="E1507" s="53">
        <v>1.5</v>
      </c>
      <c r="F1507" s="16">
        <f t="shared" si="107"/>
        <v>3000</v>
      </c>
      <c r="H1507" s="10">
        <v>1503</v>
      </c>
    </row>
    <row r="1508" spans="1:8" s="3" customFormat="1">
      <c r="A1508" s="13">
        <v>10</v>
      </c>
      <c r="B1508" s="5" t="s">
        <v>93</v>
      </c>
      <c r="C1508" s="6" t="str">
        <f>Gia_VLieu!C12</f>
        <v>Tập</v>
      </c>
      <c r="D1508" s="66">
        <f>Gia_VLieu!D12</f>
        <v>8000</v>
      </c>
      <c r="E1508" s="53">
        <v>2.25</v>
      </c>
      <c r="F1508" s="16">
        <f t="shared" si="107"/>
        <v>18000</v>
      </c>
      <c r="H1508" s="10">
        <v>1504</v>
      </c>
    </row>
    <row r="1509" spans="1:8" s="3" customFormat="1">
      <c r="A1509" s="40">
        <v>11</v>
      </c>
      <c r="B1509" s="41" t="s">
        <v>94</v>
      </c>
      <c r="C1509" s="42" t="str">
        <f>Gia_VLieu!C13</f>
        <v>Cái</v>
      </c>
      <c r="D1509" s="67">
        <f>Gia_VLieu!D13</f>
        <v>15000</v>
      </c>
      <c r="E1509" s="54">
        <v>3</v>
      </c>
      <c r="F1509" s="38">
        <f>D1509*E1509</f>
        <v>45000</v>
      </c>
      <c r="H1509" s="10">
        <v>1505</v>
      </c>
    </row>
    <row r="1510" spans="1:8" s="33" customFormat="1">
      <c r="A1510" s="31" t="e">
        <f>#REF!</f>
        <v>#REF!</v>
      </c>
      <c r="B1510" s="32" t="e">
        <f>#REF!</f>
        <v>#REF!</v>
      </c>
      <c r="C1510" s="15"/>
      <c r="D1510" s="127">
        <f>Gia_VLieu!D$14</f>
        <v>1.08</v>
      </c>
      <c r="E1510" s="45"/>
      <c r="F1510" s="18" t="e">
        <f>SUM(F1511:F1521)*D1510</f>
        <v>#REF!</v>
      </c>
      <c r="H1510" s="10">
        <v>1506</v>
      </c>
    </row>
    <row r="1511" spans="1:8" s="3" customFormat="1">
      <c r="A1511" s="13">
        <v>1</v>
      </c>
      <c r="B1511" s="5" t="s">
        <v>85</v>
      </c>
      <c r="C1511" s="6" t="str">
        <f>Gia_VLieu!C4</f>
        <v>Gram</v>
      </c>
      <c r="D1511" s="66">
        <f>Gia_VLieu!D4</f>
        <v>45000</v>
      </c>
      <c r="E1511" s="53">
        <v>0.15</v>
      </c>
      <c r="F1511" s="16">
        <f>D1511*E1511</f>
        <v>6750</v>
      </c>
      <c r="H1511" s="10">
        <v>1507</v>
      </c>
    </row>
    <row r="1512" spans="1:8" s="3" customFormat="1">
      <c r="A1512" s="13">
        <v>2</v>
      </c>
      <c r="B1512" s="5" t="s">
        <v>86</v>
      </c>
      <c r="C1512" s="6" t="str">
        <f>Gia_VLieu!C5</f>
        <v>Hộp</v>
      </c>
      <c r="D1512" s="66">
        <f>Gia_VLieu!D5</f>
        <v>1450000</v>
      </c>
      <c r="E1512" s="53">
        <v>0.03</v>
      </c>
      <c r="F1512" s="16">
        <f t="shared" ref="F1512:F1520" si="108">D1512*E1512</f>
        <v>43500</v>
      </c>
      <c r="H1512" s="10">
        <v>1508</v>
      </c>
    </row>
    <row r="1513" spans="1:8" s="3" customFormat="1">
      <c r="A1513" s="13">
        <v>3</v>
      </c>
      <c r="B1513" s="5" t="s">
        <v>87</v>
      </c>
      <c r="C1513" s="6" t="e">
        <f>Gia_VLieu!#REF!</f>
        <v>#REF!</v>
      </c>
      <c r="D1513" s="66" t="e">
        <f>Gia_VLieu!#REF!</f>
        <v>#REF!</v>
      </c>
      <c r="E1513" s="53">
        <v>0.01</v>
      </c>
      <c r="F1513" s="16" t="e">
        <f t="shared" si="108"/>
        <v>#REF!</v>
      </c>
      <c r="H1513" s="10">
        <v>1509</v>
      </c>
    </row>
    <row r="1514" spans="1:8" s="3" customFormat="1">
      <c r="A1514" s="13">
        <v>4</v>
      </c>
      <c r="B1514" s="5" t="s">
        <v>88</v>
      </c>
      <c r="C1514" s="6" t="str">
        <f>Gia_VLieu!C6</f>
        <v>Quyển</v>
      </c>
      <c r="D1514" s="66">
        <f>Gia_VLieu!D6</f>
        <v>10000</v>
      </c>
      <c r="E1514" s="53">
        <v>2.25</v>
      </c>
      <c r="F1514" s="16">
        <f t="shared" si="108"/>
        <v>22500</v>
      </c>
      <c r="H1514" s="10">
        <v>1510</v>
      </c>
    </row>
    <row r="1515" spans="1:8" s="3" customFormat="1">
      <c r="A1515" s="13">
        <v>5</v>
      </c>
      <c r="B1515" s="5" t="s">
        <v>22</v>
      </c>
      <c r="C1515" s="6" t="str">
        <f>Gia_VLieu!C7</f>
        <v>Cái</v>
      </c>
      <c r="D1515" s="66">
        <f>Gia_VLieu!D7</f>
        <v>2000</v>
      </c>
      <c r="E1515" s="53">
        <v>3</v>
      </c>
      <c r="F1515" s="16">
        <f t="shared" si="108"/>
        <v>6000</v>
      </c>
      <c r="H1515" s="10">
        <v>1511</v>
      </c>
    </row>
    <row r="1516" spans="1:8" s="3" customFormat="1">
      <c r="A1516" s="13">
        <v>6</v>
      </c>
      <c r="B1516" s="5" t="s">
        <v>89</v>
      </c>
      <c r="C1516" s="6" t="str">
        <f>Gia_VLieu!C8</f>
        <v>Cái</v>
      </c>
      <c r="D1516" s="66">
        <f>Gia_VLieu!D8</f>
        <v>8000</v>
      </c>
      <c r="E1516" s="53">
        <v>0.75</v>
      </c>
      <c r="F1516" s="16">
        <f t="shared" si="108"/>
        <v>6000</v>
      </c>
      <c r="H1516" s="10">
        <v>1512</v>
      </c>
    </row>
    <row r="1517" spans="1:8" s="3" customFormat="1">
      <c r="A1517" s="13">
        <v>7</v>
      </c>
      <c r="B1517" s="5" t="s">
        <v>90</v>
      </c>
      <c r="C1517" s="6" t="str">
        <f>Gia_VLieu!C9</f>
        <v>Cái</v>
      </c>
      <c r="D1517" s="66">
        <f>Gia_VLieu!D9</f>
        <v>10000</v>
      </c>
      <c r="E1517" s="53">
        <v>0.75</v>
      </c>
      <c r="F1517" s="16">
        <f t="shared" si="108"/>
        <v>7500</v>
      </c>
      <c r="H1517" s="10">
        <v>1513</v>
      </c>
    </row>
    <row r="1518" spans="1:8" s="3" customFormat="1">
      <c r="A1518" s="13">
        <v>8</v>
      </c>
      <c r="B1518" s="5" t="s">
        <v>91</v>
      </c>
      <c r="C1518" s="6" t="str">
        <f>Gia_VLieu!C10</f>
        <v>Hộp</v>
      </c>
      <c r="D1518" s="66">
        <f>Gia_VLieu!D10</f>
        <v>2500</v>
      </c>
      <c r="E1518" s="53">
        <v>1.5</v>
      </c>
      <c r="F1518" s="16">
        <f t="shared" si="108"/>
        <v>3750</v>
      </c>
      <c r="H1518" s="10">
        <v>1514</v>
      </c>
    </row>
    <row r="1519" spans="1:8" s="3" customFormat="1">
      <c r="A1519" s="13">
        <v>9</v>
      </c>
      <c r="B1519" s="5" t="s">
        <v>92</v>
      </c>
      <c r="C1519" s="6" t="str">
        <f>Gia_VLieu!C11</f>
        <v>Hộp</v>
      </c>
      <c r="D1519" s="66">
        <f>Gia_VLieu!D11</f>
        <v>2000</v>
      </c>
      <c r="E1519" s="53">
        <v>0.75</v>
      </c>
      <c r="F1519" s="16">
        <f t="shared" si="108"/>
        <v>1500</v>
      </c>
      <c r="H1519" s="10">
        <v>1515</v>
      </c>
    </row>
    <row r="1520" spans="1:8" s="3" customFormat="1">
      <c r="A1520" s="13">
        <v>10</v>
      </c>
      <c r="B1520" s="5" t="s">
        <v>93</v>
      </c>
      <c r="C1520" s="6" t="str">
        <f>Gia_VLieu!C12</f>
        <v>Tập</v>
      </c>
      <c r="D1520" s="66">
        <f>Gia_VLieu!D12</f>
        <v>8000</v>
      </c>
      <c r="E1520" s="53">
        <v>1.1299999999999999</v>
      </c>
      <c r="F1520" s="16">
        <f t="shared" si="108"/>
        <v>9040</v>
      </c>
      <c r="H1520" s="10">
        <v>1516</v>
      </c>
    </row>
    <row r="1521" spans="1:8" s="3" customFormat="1">
      <c r="A1521" s="40">
        <v>11</v>
      </c>
      <c r="B1521" s="41" t="s">
        <v>94</v>
      </c>
      <c r="C1521" s="42" t="str">
        <f>Gia_VLieu!C13</f>
        <v>Cái</v>
      </c>
      <c r="D1521" s="67">
        <f>Gia_VLieu!D13</f>
        <v>15000</v>
      </c>
      <c r="E1521" s="54">
        <v>1.5</v>
      </c>
      <c r="F1521" s="38">
        <f>D1521*E1521</f>
        <v>22500</v>
      </c>
      <c r="H1521" s="10">
        <v>1517</v>
      </c>
    </row>
    <row r="1522" spans="1:8" s="33" customFormat="1">
      <c r="A1522" s="31" t="e">
        <f>#REF!</f>
        <v>#REF!</v>
      </c>
      <c r="B1522" s="32" t="e">
        <f>#REF!</f>
        <v>#REF!</v>
      </c>
      <c r="C1522" s="15"/>
      <c r="D1522" s="127">
        <f>Gia_VLieu!D$14</f>
        <v>1.08</v>
      </c>
      <c r="E1522" s="45"/>
      <c r="F1522" s="18" t="e">
        <f>SUM(F1523:F1533)*D1522</f>
        <v>#REF!</v>
      </c>
      <c r="H1522" s="10">
        <v>1518</v>
      </c>
    </row>
    <row r="1523" spans="1:8" s="3" customFormat="1">
      <c r="A1523" s="13">
        <v>1</v>
      </c>
      <c r="B1523" s="5" t="s">
        <v>85</v>
      </c>
      <c r="C1523" s="6" t="str">
        <f>Gia_VLieu!C4</f>
        <v>Gram</v>
      </c>
      <c r="D1523" s="66">
        <f>Gia_VLieu!D4</f>
        <v>45000</v>
      </c>
      <c r="E1523" s="53">
        <v>0.2</v>
      </c>
      <c r="F1523" s="16">
        <f>D1523*E1523</f>
        <v>9000</v>
      </c>
      <c r="H1523" s="10">
        <v>1519</v>
      </c>
    </row>
    <row r="1524" spans="1:8" s="3" customFormat="1">
      <c r="A1524" s="13">
        <v>2</v>
      </c>
      <c r="B1524" s="5" t="s">
        <v>86</v>
      </c>
      <c r="C1524" s="6" t="str">
        <f>Gia_VLieu!C5</f>
        <v>Hộp</v>
      </c>
      <c r="D1524" s="66">
        <f>Gia_VLieu!D5</f>
        <v>1450000</v>
      </c>
      <c r="E1524" s="53">
        <v>0.04</v>
      </c>
      <c r="F1524" s="16">
        <f t="shared" ref="F1524:F1532" si="109">D1524*E1524</f>
        <v>58000</v>
      </c>
      <c r="H1524" s="10">
        <v>1520</v>
      </c>
    </row>
    <row r="1525" spans="1:8" s="3" customFormat="1">
      <c r="A1525" s="13">
        <v>3</v>
      </c>
      <c r="B1525" s="5" t="s">
        <v>87</v>
      </c>
      <c r="C1525" s="6" t="e">
        <f>Gia_VLieu!#REF!</f>
        <v>#REF!</v>
      </c>
      <c r="D1525" s="66" t="e">
        <f>Gia_VLieu!#REF!</f>
        <v>#REF!</v>
      </c>
      <c r="E1525" s="53">
        <v>0.01</v>
      </c>
      <c r="F1525" s="16" t="e">
        <f t="shared" si="109"/>
        <v>#REF!</v>
      </c>
      <c r="H1525" s="10">
        <v>1521</v>
      </c>
    </row>
    <row r="1526" spans="1:8" s="3" customFormat="1">
      <c r="A1526" s="13">
        <v>4</v>
      </c>
      <c r="B1526" s="5" t="s">
        <v>88</v>
      </c>
      <c r="C1526" s="6" t="str">
        <f>Gia_VLieu!C6</f>
        <v>Quyển</v>
      </c>
      <c r="D1526" s="66">
        <f>Gia_VLieu!D6</f>
        <v>10000</v>
      </c>
      <c r="E1526" s="53">
        <v>3</v>
      </c>
      <c r="F1526" s="16">
        <f t="shared" si="109"/>
        <v>30000</v>
      </c>
      <c r="H1526" s="10">
        <v>1522</v>
      </c>
    </row>
    <row r="1527" spans="1:8" s="3" customFormat="1">
      <c r="A1527" s="13">
        <v>5</v>
      </c>
      <c r="B1527" s="5" t="s">
        <v>22</v>
      </c>
      <c r="C1527" s="6" t="str">
        <f>Gia_VLieu!C7</f>
        <v>Cái</v>
      </c>
      <c r="D1527" s="66">
        <f>Gia_VLieu!D7</f>
        <v>2000</v>
      </c>
      <c r="E1527" s="53">
        <v>4</v>
      </c>
      <c r="F1527" s="16">
        <f t="shared" si="109"/>
        <v>8000</v>
      </c>
      <c r="H1527" s="10">
        <v>1523</v>
      </c>
    </row>
    <row r="1528" spans="1:8" s="3" customFormat="1">
      <c r="A1528" s="13">
        <v>6</v>
      </c>
      <c r="B1528" s="5" t="s">
        <v>89</v>
      </c>
      <c r="C1528" s="6" t="str">
        <f>Gia_VLieu!C8</f>
        <v>Cái</v>
      </c>
      <c r="D1528" s="66">
        <f>Gia_VLieu!D8</f>
        <v>8000</v>
      </c>
      <c r="E1528" s="53">
        <v>1</v>
      </c>
      <c r="F1528" s="16">
        <f t="shared" si="109"/>
        <v>8000</v>
      </c>
      <c r="H1528" s="10">
        <v>1524</v>
      </c>
    </row>
    <row r="1529" spans="1:8" s="3" customFormat="1">
      <c r="A1529" s="13">
        <v>7</v>
      </c>
      <c r="B1529" s="5" t="s">
        <v>90</v>
      </c>
      <c r="C1529" s="6" t="str">
        <f>Gia_VLieu!C9</f>
        <v>Cái</v>
      </c>
      <c r="D1529" s="66">
        <f>Gia_VLieu!D9</f>
        <v>10000</v>
      </c>
      <c r="E1529" s="53">
        <v>1</v>
      </c>
      <c r="F1529" s="16">
        <f t="shared" si="109"/>
        <v>10000</v>
      </c>
      <c r="H1529" s="10">
        <v>1525</v>
      </c>
    </row>
    <row r="1530" spans="1:8" s="3" customFormat="1">
      <c r="A1530" s="13">
        <v>8</v>
      </c>
      <c r="B1530" s="5" t="s">
        <v>91</v>
      </c>
      <c r="C1530" s="6" t="str">
        <f>Gia_VLieu!C10</f>
        <v>Hộp</v>
      </c>
      <c r="D1530" s="66">
        <f>Gia_VLieu!D10</f>
        <v>2500</v>
      </c>
      <c r="E1530" s="53">
        <v>2</v>
      </c>
      <c r="F1530" s="16">
        <f t="shared" si="109"/>
        <v>5000</v>
      </c>
      <c r="H1530" s="10">
        <v>1526</v>
      </c>
    </row>
    <row r="1531" spans="1:8" s="3" customFormat="1">
      <c r="A1531" s="13">
        <v>9</v>
      </c>
      <c r="B1531" s="5" t="s">
        <v>92</v>
      </c>
      <c r="C1531" s="6" t="str">
        <f>Gia_VLieu!C11</f>
        <v>Hộp</v>
      </c>
      <c r="D1531" s="66">
        <f>Gia_VLieu!D11</f>
        <v>2000</v>
      </c>
      <c r="E1531" s="53">
        <v>1</v>
      </c>
      <c r="F1531" s="16">
        <f t="shared" si="109"/>
        <v>2000</v>
      </c>
      <c r="H1531" s="10">
        <v>1527</v>
      </c>
    </row>
    <row r="1532" spans="1:8" s="3" customFormat="1">
      <c r="A1532" s="13">
        <v>10</v>
      </c>
      <c r="B1532" s="5" t="s">
        <v>93</v>
      </c>
      <c r="C1532" s="6" t="str">
        <f>Gia_VLieu!C12</f>
        <v>Tập</v>
      </c>
      <c r="D1532" s="66">
        <f>Gia_VLieu!D12</f>
        <v>8000</v>
      </c>
      <c r="E1532" s="53">
        <v>1.5</v>
      </c>
      <c r="F1532" s="16">
        <f t="shared" si="109"/>
        <v>12000</v>
      </c>
      <c r="H1532" s="10">
        <v>1528</v>
      </c>
    </row>
    <row r="1533" spans="1:8" s="3" customFormat="1">
      <c r="A1533" s="40">
        <v>11</v>
      </c>
      <c r="B1533" s="41" t="s">
        <v>94</v>
      </c>
      <c r="C1533" s="42" t="str">
        <f>Gia_VLieu!C13</f>
        <v>Cái</v>
      </c>
      <c r="D1533" s="67">
        <f>Gia_VLieu!D13</f>
        <v>15000</v>
      </c>
      <c r="E1533" s="54">
        <v>2</v>
      </c>
      <c r="F1533" s="38">
        <f>D1533*E1533</f>
        <v>30000</v>
      </c>
      <c r="H1533" s="10">
        <v>1529</v>
      </c>
    </row>
    <row r="1534" spans="1:8" s="33" customFormat="1">
      <c r="A1534" s="31" t="e">
        <f>#REF!</f>
        <v>#REF!</v>
      </c>
      <c r="B1534" s="32" t="e">
        <f>#REF!</f>
        <v>#REF!</v>
      </c>
      <c r="C1534" s="15"/>
      <c r="D1534" s="127">
        <f>Gia_VLieu!D$14</f>
        <v>1.08</v>
      </c>
      <c r="E1534" s="45"/>
      <c r="F1534" s="18" t="e">
        <f>SUM(F1535:F1545)*D1534</f>
        <v>#REF!</v>
      </c>
      <c r="H1534" s="10">
        <v>1530</v>
      </c>
    </row>
    <row r="1535" spans="1:8" s="3" customFormat="1">
      <c r="A1535" s="13">
        <v>1</v>
      </c>
      <c r="B1535" s="5" t="s">
        <v>85</v>
      </c>
      <c r="C1535" s="6" t="str">
        <f>Gia_VLieu!C4</f>
        <v>Gram</v>
      </c>
      <c r="D1535" s="66">
        <f>Gia_VLieu!D4</f>
        <v>45000</v>
      </c>
      <c r="E1535" s="53">
        <v>0.2</v>
      </c>
      <c r="F1535" s="16">
        <f>D1535*E1535</f>
        <v>9000</v>
      </c>
      <c r="H1535" s="10">
        <v>1531</v>
      </c>
    </row>
    <row r="1536" spans="1:8" s="3" customFormat="1">
      <c r="A1536" s="13">
        <v>2</v>
      </c>
      <c r="B1536" s="5" t="s">
        <v>86</v>
      </c>
      <c r="C1536" s="6" t="str">
        <f>Gia_VLieu!C5</f>
        <v>Hộp</v>
      </c>
      <c r="D1536" s="66">
        <f>Gia_VLieu!D5</f>
        <v>1450000</v>
      </c>
      <c r="E1536" s="53">
        <v>0.04</v>
      </c>
      <c r="F1536" s="16">
        <f t="shared" ref="F1536:F1544" si="110">D1536*E1536</f>
        <v>58000</v>
      </c>
      <c r="H1536" s="10">
        <v>1532</v>
      </c>
    </row>
    <row r="1537" spans="1:8" s="3" customFormat="1">
      <c r="A1537" s="13">
        <v>3</v>
      </c>
      <c r="B1537" s="5" t="s">
        <v>87</v>
      </c>
      <c r="C1537" s="6" t="e">
        <f>Gia_VLieu!#REF!</f>
        <v>#REF!</v>
      </c>
      <c r="D1537" s="66" t="e">
        <f>Gia_VLieu!#REF!</f>
        <v>#REF!</v>
      </c>
      <c r="E1537" s="53">
        <v>0.01</v>
      </c>
      <c r="F1537" s="16" t="e">
        <f t="shared" si="110"/>
        <v>#REF!</v>
      </c>
      <c r="H1537" s="10">
        <v>1533</v>
      </c>
    </row>
    <row r="1538" spans="1:8" s="3" customFormat="1">
      <c r="A1538" s="13">
        <v>4</v>
      </c>
      <c r="B1538" s="5" t="s">
        <v>88</v>
      </c>
      <c r="C1538" s="6" t="str">
        <f>Gia_VLieu!C6</f>
        <v>Quyển</v>
      </c>
      <c r="D1538" s="66">
        <f>Gia_VLieu!D6</f>
        <v>10000</v>
      </c>
      <c r="E1538" s="53">
        <v>3</v>
      </c>
      <c r="F1538" s="16">
        <f t="shared" si="110"/>
        <v>30000</v>
      </c>
      <c r="H1538" s="10">
        <v>1534</v>
      </c>
    </row>
    <row r="1539" spans="1:8" s="3" customFormat="1">
      <c r="A1539" s="13">
        <v>5</v>
      </c>
      <c r="B1539" s="5" t="s">
        <v>22</v>
      </c>
      <c r="C1539" s="6" t="str">
        <f>Gia_VLieu!C7</f>
        <v>Cái</v>
      </c>
      <c r="D1539" s="66">
        <f>Gia_VLieu!D7</f>
        <v>2000</v>
      </c>
      <c r="E1539" s="53">
        <v>4</v>
      </c>
      <c r="F1539" s="16">
        <f t="shared" si="110"/>
        <v>8000</v>
      </c>
      <c r="H1539" s="10">
        <v>1535</v>
      </c>
    </row>
    <row r="1540" spans="1:8" s="3" customFormat="1">
      <c r="A1540" s="13">
        <v>6</v>
      </c>
      <c r="B1540" s="5" t="s">
        <v>89</v>
      </c>
      <c r="C1540" s="6" t="str">
        <f>Gia_VLieu!C8</f>
        <v>Cái</v>
      </c>
      <c r="D1540" s="66">
        <f>Gia_VLieu!D8</f>
        <v>8000</v>
      </c>
      <c r="E1540" s="53">
        <v>1</v>
      </c>
      <c r="F1540" s="16">
        <f t="shared" si="110"/>
        <v>8000</v>
      </c>
      <c r="H1540" s="10">
        <v>1536</v>
      </c>
    </row>
    <row r="1541" spans="1:8" s="3" customFormat="1">
      <c r="A1541" s="13">
        <v>7</v>
      </c>
      <c r="B1541" s="5" t="s">
        <v>90</v>
      </c>
      <c r="C1541" s="6" t="str">
        <f>Gia_VLieu!C9</f>
        <v>Cái</v>
      </c>
      <c r="D1541" s="66">
        <f>Gia_VLieu!D9</f>
        <v>10000</v>
      </c>
      <c r="E1541" s="53">
        <v>1</v>
      </c>
      <c r="F1541" s="16">
        <f t="shared" si="110"/>
        <v>10000</v>
      </c>
      <c r="H1541" s="10">
        <v>1537</v>
      </c>
    </row>
    <row r="1542" spans="1:8" s="3" customFormat="1">
      <c r="A1542" s="13">
        <v>8</v>
      </c>
      <c r="B1542" s="5" t="s">
        <v>91</v>
      </c>
      <c r="C1542" s="6" t="str">
        <f>Gia_VLieu!C10</f>
        <v>Hộp</v>
      </c>
      <c r="D1542" s="66">
        <f>Gia_VLieu!D10</f>
        <v>2500</v>
      </c>
      <c r="E1542" s="53">
        <v>2</v>
      </c>
      <c r="F1542" s="16">
        <f t="shared" si="110"/>
        <v>5000</v>
      </c>
      <c r="H1542" s="10">
        <v>1538</v>
      </c>
    </row>
    <row r="1543" spans="1:8" s="3" customFormat="1">
      <c r="A1543" s="13">
        <v>9</v>
      </c>
      <c r="B1543" s="5" t="s">
        <v>92</v>
      </c>
      <c r="C1543" s="6" t="str">
        <f>Gia_VLieu!C11</f>
        <v>Hộp</v>
      </c>
      <c r="D1543" s="66">
        <f>Gia_VLieu!D11</f>
        <v>2000</v>
      </c>
      <c r="E1543" s="53">
        <v>1</v>
      </c>
      <c r="F1543" s="16">
        <f t="shared" si="110"/>
        <v>2000</v>
      </c>
      <c r="H1543" s="10">
        <v>1539</v>
      </c>
    </row>
    <row r="1544" spans="1:8" s="3" customFormat="1">
      <c r="A1544" s="13">
        <v>10</v>
      </c>
      <c r="B1544" s="5" t="s">
        <v>93</v>
      </c>
      <c r="C1544" s="6" t="str">
        <f>Gia_VLieu!C12</f>
        <v>Tập</v>
      </c>
      <c r="D1544" s="66">
        <f>Gia_VLieu!D12</f>
        <v>8000</v>
      </c>
      <c r="E1544" s="53">
        <v>1.5</v>
      </c>
      <c r="F1544" s="16">
        <f t="shared" si="110"/>
        <v>12000</v>
      </c>
      <c r="H1544" s="10">
        <v>1540</v>
      </c>
    </row>
    <row r="1545" spans="1:8" s="3" customFormat="1">
      <c r="A1545" s="40">
        <v>11</v>
      </c>
      <c r="B1545" s="41" t="s">
        <v>94</v>
      </c>
      <c r="C1545" s="42" t="str">
        <f>Gia_VLieu!C13</f>
        <v>Cái</v>
      </c>
      <c r="D1545" s="67">
        <f>Gia_VLieu!D13</f>
        <v>15000</v>
      </c>
      <c r="E1545" s="54">
        <v>2</v>
      </c>
      <c r="F1545" s="38">
        <f>D1545*E1545</f>
        <v>30000</v>
      </c>
      <c r="H1545" s="10">
        <v>1541</v>
      </c>
    </row>
    <row r="1546" spans="1:8" s="33" customFormat="1">
      <c r="A1546" s="31" t="e">
        <f>#REF!</f>
        <v>#REF!</v>
      </c>
      <c r="B1546" s="32" t="e">
        <f>#REF!</f>
        <v>#REF!</v>
      </c>
      <c r="C1546" s="15"/>
      <c r="D1546" s="127">
        <f>Gia_VLieu!D$14</f>
        <v>1.08</v>
      </c>
      <c r="E1546" s="45"/>
      <c r="F1546" s="18" t="e">
        <f>SUM(F1547:F1557)*D1546</f>
        <v>#REF!</v>
      </c>
      <c r="H1546" s="10">
        <v>1542</v>
      </c>
    </row>
    <row r="1547" spans="1:8" s="3" customFormat="1">
      <c r="A1547" s="13">
        <v>1</v>
      </c>
      <c r="B1547" s="5" t="s">
        <v>85</v>
      </c>
      <c r="C1547" s="6" t="str">
        <f>Gia_VLieu!C4</f>
        <v>Gram</v>
      </c>
      <c r="D1547" s="66">
        <f>Gia_VLieu!D4</f>
        <v>45000</v>
      </c>
      <c r="E1547" s="53">
        <v>0.1</v>
      </c>
      <c r="F1547" s="16">
        <f>D1547*E1547</f>
        <v>4500</v>
      </c>
      <c r="H1547" s="10">
        <v>1543</v>
      </c>
    </row>
    <row r="1548" spans="1:8" s="3" customFormat="1">
      <c r="A1548" s="13">
        <v>2</v>
      </c>
      <c r="B1548" s="5" t="s">
        <v>86</v>
      </c>
      <c r="C1548" s="6" t="str">
        <f>Gia_VLieu!C5</f>
        <v>Hộp</v>
      </c>
      <c r="D1548" s="66">
        <f>Gia_VLieu!D5</f>
        <v>1450000</v>
      </c>
      <c r="E1548" s="53">
        <v>0.02</v>
      </c>
      <c r="F1548" s="16">
        <f t="shared" ref="F1548:F1556" si="111">D1548*E1548</f>
        <v>29000</v>
      </c>
      <c r="H1548" s="10">
        <v>1544</v>
      </c>
    </row>
    <row r="1549" spans="1:8" s="3" customFormat="1">
      <c r="A1549" s="13">
        <v>3</v>
      </c>
      <c r="B1549" s="5" t="s">
        <v>87</v>
      </c>
      <c r="C1549" s="6" t="e">
        <f>Gia_VLieu!#REF!</f>
        <v>#REF!</v>
      </c>
      <c r="D1549" s="66" t="e">
        <f>Gia_VLieu!#REF!</f>
        <v>#REF!</v>
      </c>
      <c r="E1549" s="53">
        <v>0.01</v>
      </c>
      <c r="F1549" s="16" t="e">
        <f t="shared" si="111"/>
        <v>#REF!</v>
      </c>
      <c r="H1549" s="10">
        <v>1545</v>
      </c>
    </row>
    <row r="1550" spans="1:8" s="3" customFormat="1">
      <c r="A1550" s="13">
        <v>4</v>
      </c>
      <c r="B1550" s="5" t="s">
        <v>88</v>
      </c>
      <c r="C1550" s="6" t="str">
        <f>Gia_VLieu!C6</f>
        <v>Quyển</v>
      </c>
      <c r="D1550" s="66">
        <f>Gia_VLieu!D6</f>
        <v>10000</v>
      </c>
      <c r="E1550" s="53">
        <v>1.5</v>
      </c>
      <c r="F1550" s="16">
        <f t="shared" si="111"/>
        <v>15000</v>
      </c>
      <c r="H1550" s="10">
        <v>1546</v>
      </c>
    </row>
    <row r="1551" spans="1:8" s="3" customFormat="1">
      <c r="A1551" s="13">
        <v>5</v>
      </c>
      <c r="B1551" s="5" t="s">
        <v>22</v>
      </c>
      <c r="C1551" s="6" t="str">
        <f>Gia_VLieu!C7</f>
        <v>Cái</v>
      </c>
      <c r="D1551" s="66">
        <f>Gia_VLieu!D7</f>
        <v>2000</v>
      </c>
      <c r="E1551" s="53">
        <v>2</v>
      </c>
      <c r="F1551" s="16">
        <f t="shared" si="111"/>
        <v>4000</v>
      </c>
      <c r="H1551" s="10">
        <v>1547</v>
      </c>
    </row>
    <row r="1552" spans="1:8" s="3" customFormat="1">
      <c r="A1552" s="13">
        <v>6</v>
      </c>
      <c r="B1552" s="5" t="s">
        <v>89</v>
      </c>
      <c r="C1552" s="6" t="str">
        <f>Gia_VLieu!C8</f>
        <v>Cái</v>
      </c>
      <c r="D1552" s="66">
        <f>Gia_VLieu!D8</f>
        <v>8000</v>
      </c>
      <c r="E1552" s="53">
        <v>0.5</v>
      </c>
      <c r="F1552" s="16">
        <f t="shared" si="111"/>
        <v>4000</v>
      </c>
      <c r="H1552" s="10">
        <v>1548</v>
      </c>
    </row>
    <row r="1553" spans="1:8" s="3" customFormat="1">
      <c r="A1553" s="13">
        <v>7</v>
      </c>
      <c r="B1553" s="5" t="s">
        <v>90</v>
      </c>
      <c r="C1553" s="6" t="str">
        <f>Gia_VLieu!C9</f>
        <v>Cái</v>
      </c>
      <c r="D1553" s="66">
        <f>Gia_VLieu!D9</f>
        <v>10000</v>
      </c>
      <c r="E1553" s="53">
        <v>0.5</v>
      </c>
      <c r="F1553" s="16">
        <f t="shared" si="111"/>
        <v>5000</v>
      </c>
      <c r="H1553" s="10">
        <v>1549</v>
      </c>
    </row>
    <row r="1554" spans="1:8" s="3" customFormat="1">
      <c r="A1554" s="13">
        <v>8</v>
      </c>
      <c r="B1554" s="5" t="s">
        <v>91</v>
      </c>
      <c r="C1554" s="6" t="str">
        <f>Gia_VLieu!C10</f>
        <v>Hộp</v>
      </c>
      <c r="D1554" s="66">
        <f>Gia_VLieu!D10</f>
        <v>2500</v>
      </c>
      <c r="E1554" s="53">
        <v>1</v>
      </c>
      <c r="F1554" s="16">
        <f t="shared" si="111"/>
        <v>2500</v>
      </c>
      <c r="H1554" s="10">
        <v>1550</v>
      </c>
    </row>
    <row r="1555" spans="1:8" s="3" customFormat="1">
      <c r="A1555" s="13">
        <v>9</v>
      </c>
      <c r="B1555" s="5" t="s">
        <v>92</v>
      </c>
      <c r="C1555" s="6" t="str">
        <f>Gia_VLieu!C11</f>
        <v>Hộp</v>
      </c>
      <c r="D1555" s="66">
        <f>Gia_VLieu!D11</f>
        <v>2000</v>
      </c>
      <c r="E1555" s="53">
        <v>0.5</v>
      </c>
      <c r="F1555" s="16">
        <f t="shared" si="111"/>
        <v>1000</v>
      </c>
      <c r="H1555" s="10">
        <v>1551</v>
      </c>
    </row>
    <row r="1556" spans="1:8" s="3" customFormat="1">
      <c r="A1556" s="13">
        <v>10</v>
      </c>
      <c r="B1556" s="5" t="s">
        <v>93</v>
      </c>
      <c r="C1556" s="6" t="str">
        <f>Gia_VLieu!C12</f>
        <v>Tập</v>
      </c>
      <c r="D1556" s="66">
        <f>Gia_VLieu!D12</f>
        <v>8000</v>
      </c>
      <c r="E1556" s="53">
        <v>0.75</v>
      </c>
      <c r="F1556" s="16">
        <f t="shared" si="111"/>
        <v>6000</v>
      </c>
      <c r="H1556" s="10">
        <v>1552</v>
      </c>
    </row>
    <row r="1557" spans="1:8" s="3" customFormat="1">
      <c r="A1557" s="40">
        <v>11</v>
      </c>
      <c r="B1557" s="41" t="s">
        <v>94</v>
      </c>
      <c r="C1557" s="42" t="str">
        <f>Gia_VLieu!C13</f>
        <v>Cái</v>
      </c>
      <c r="D1557" s="67">
        <f>Gia_VLieu!D13</f>
        <v>15000</v>
      </c>
      <c r="E1557" s="54">
        <v>1</v>
      </c>
      <c r="F1557" s="38">
        <f>D1557*E1557</f>
        <v>15000</v>
      </c>
      <c r="H1557" s="10">
        <v>1553</v>
      </c>
    </row>
    <row r="1558" spans="1:8" s="33" customFormat="1">
      <c r="A1558" s="31" t="e">
        <f>#REF!</f>
        <v>#REF!</v>
      </c>
      <c r="B1558" s="32" t="e">
        <f>#REF!</f>
        <v>#REF!</v>
      </c>
      <c r="C1558" s="15"/>
      <c r="D1558" s="127">
        <f>Gia_VLieu!D$14</f>
        <v>1.08</v>
      </c>
      <c r="E1558" s="45"/>
      <c r="F1558" s="18" t="e">
        <f>SUM(F1559:F1569)*D1558</f>
        <v>#REF!</v>
      </c>
      <c r="H1558" s="10">
        <v>1554</v>
      </c>
    </row>
    <row r="1559" spans="1:8" s="3" customFormat="1">
      <c r="A1559" s="13">
        <v>1</v>
      </c>
      <c r="B1559" s="5" t="s">
        <v>85</v>
      </c>
      <c r="C1559" s="6" t="str">
        <f>Gia_VLieu!C4</f>
        <v>Gram</v>
      </c>
      <c r="D1559" s="66">
        <f>Gia_VLieu!D4</f>
        <v>45000</v>
      </c>
      <c r="E1559" s="53">
        <v>0.1</v>
      </c>
      <c r="F1559" s="16">
        <f>D1559*E1559</f>
        <v>4500</v>
      </c>
      <c r="H1559" s="10">
        <v>1555</v>
      </c>
    </row>
    <row r="1560" spans="1:8" s="3" customFormat="1">
      <c r="A1560" s="13">
        <v>2</v>
      </c>
      <c r="B1560" s="5" t="s">
        <v>86</v>
      </c>
      <c r="C1560" s="6" t="str">
        <f>Gia_VLieu!C5</f>
        <v>Hộp</v>
      </c>
      <c r="D1560" s="66">
        <f>Gia_VLieu!D5</f>
        <v>1450000</v>
      </c>
      <c r="E1560" s="53">
        <v>0.02</v>
      </c>
      <c r="F1560" s="16">
        <f t="shared" ref="F1560:F1568" si="112">D1560*E1560</f>
        <v>29000</v>
      </c>
      <c r="H1560" s="10">
        <v>1556</v>
      </c>
    </row>
    <row r="1561" spans="1:8" s="3" customFormat="1">
      <c r="A1561" s="13">
        <v>3</v>
      </c>
      <c r="B1561" s="5" t="s">
        <v>87</v>
      </c>
      <c r="C1561" s="6" t="e">
        <f>Gia_VLieu!#REF!</f>
        <v>#REF!</v>
      </c>
      <c r="D1561" s="66" t="e">
        <f>Gia_VLieu!#REF!</f>
        <v>#REF!</v>
      </c>
      <c r="E1561" s="53">
        <v>0.01</v>
      </c>
      <c r="F1561" s="16" t="e">
        <f t="shared" si="112"/>
        <v>#REF!</v>
      </c>
      <c r="H1561" s="10">
        <v>1557</v>
      </c>
    </row>
    <row r="1562" spans="1:8" s="3" customFormat="1">
      <c r="A1562" s="13">
        <v>4</v>
      </c>
      <c r="B1562" s="5" t="s">
        <v>88</v>
      </c>
      <c r="C1562" s="6" t="str">
        <f>Gia_VLieu!C6</f>
        <v>Quyển</v>
      </c>
      <c r="D1562" s="66">
        <f>Gia_VLieu!D6</f>
        <v>10000</v>
      </c>
      <c r="E1562" s="53">
        <v>1.5</v>
      </c>
      <c r="F1562" s="16">
        <f t="shared" si="112"/>
        <v>15000</v>
      </c>
      <c r="H1562" s="10">
        <v>1558</v>
      </c>
    </row>
    <row r="1563" spans="1:8" s="3" customFormat="1">
      <c r="A1563" s="13">
        <v>5</v>
      </c>
      <c r="B1563" s="5" t="s">
        <v>22</v>
      </c>
      <c r="C1563" s="6" t="str">
        <f>Gia_VLieu!C7</f>
        <v>Cái</v>
      </c>
      <c r="D1563" s="66">
        <f>Gia_VLieu!D7</f>
        <v>2000</v>
      </c>
      <c r="E1563" s="53">
        <v>2</v>
      </c>
      <c r="F1563" s="16">
        <f t="shared" si="112"/>
        <v>4000</v>
      </c>
      <c r="H1563" s="10">
        <v>1559</v>
      </c>
    </row>
    <row r="1564" spans="1:8" s="3" customFormat="1">
      <c r="A1564" s="13">
        <v>6</v>
      </c>
      <c r="B1564" s="5" t="s">
        <v>89</v>
      </c>
      <c r="C1564" s="6" t="str">
        <f>Gia_VLieu!C8</f>
        <v>Cái</v>
      </c>
      <c r="D1564" s="66">
        <f>Gia_VLieu!D8</f>
        <v>8000</v>
      </c>
      <c r="E1564" s="53">
        <v>0.5</v>
      </c>
      <c r="F1564" s="16">
        <f t="shared" si="112"/>
        <v>4000</v>
      </c>
      <c r="H1564" s="10">
        <v>1560</v>
      </c>
    </row>
    <row r="1565" spans="1:8" s="3" customFormat="1">
      <c r="A1565" s="13">
        <v>7</v>
      </c>
      <c r="B1565" s="5" t="s">
        <v>90</v>
      </c>
      <c r="C1565" s="6" t="str">
        <f>Gia_VLieu!C9</f>
        <v>Cái</v>
      </c>
      <c r="D1565" s="66">
        <f>Gia_VLieu!D9</f>
        <v>10000</v>
      </c>
      <c r="E1565" s="53">
        <v>0.5</v>
      </c>
      <c r="F1565" s="16">
        <f t="shared" si="112"/>
        <v>5000</v>
      </c>
      <c r="H1565" s="10">
        <v>1561</v>
      </c>
    </row>
    <row r="1566" spans="1:8" s="3" customFormat="1">
      <c r="A1566" s="13">
        <v>8</v>
      </c>
      <c r="B1566" s="5" t="s">
        <v>91</v>
      </c>
      <c r="C1566" s="6" t="str">
        <f>Gia_VLieu!C10</f>
        <v>Hộp</v>
      </c>
      <c r="D1566" s="66">
        <f>Gia_VLieu!D10</f>
        <v>2500</v>
      </c>
      <c r="E1566" s="53">
        <v>1</v>
      </c>
      <c r="F1566" s="16">
        <f t="shared" si="112"/>
        <v>2500</v>
      </c>
      <c r="H1566" s="10">
        <v>1562</v>
      </c>
    </row>
    <row r="1567" spans="1:8" s="3" customFormat="1">
      <c r="A1567" s="13">
        <v>9</v>
      </c>
      <c r="B1567" s="5" t="s">
        <v>92</v>
      </c>
      <c r="C1567" s="6" t="str">
        <f>Gia_VLieu!C11</f>
        <v>Hộp</v>
      </c>
      <c r="D1567" s="66">
        <f>Gia_VLieu!D11</f>
        <v>2000</v>
      </c>
      <c r="E1567" s="53">
        <v>0.5</v>
      </c>
      <c r="F1567" s="16">
        <f t="shared" si="112"/>
        <v>1000</v>
      </c>
      <c r="H1567" s="10">
        <v>1563</v>
      </c>
    </row>
    <row r="1568" spans="1:8" s="3" customFormat="1">
      <c r="A1568" s="13">
        <v>10</v>
      </c>
      <c r="B1568" s="5" t="s">
        <v>93</v>
      </c>
      <c r="C1568" s="6" t="str">
        <f>Gia_VLieu!C12</f>
        <v>Tập</v>
      </c>
      <c r="D1568" s="66">
        <f>Gia_VLieu!D12</f>
        <v>8000</v>
      </c>
      <c r="E1568" s="53">
        <v>0.75</v>
      </c>
      <c r="F1568" s="16">
        <f t="shared" si="112"/>
        <v>6000</v>
      </c>
      <c r="H1568" s="10">
        <v>1564</v>
      </c>
    </row>
    <row r="1569" spans="1:8" s="3" customFormat="1">
      <c r="A1569" s="40">
        <v>11</v>
      </c>
      <c r="B1569" s="41" t="s">
        <v>94</v>
      </c>
      <c r="C1569" s="42" t="str">
        <f>Gia_VLieu!C13</f>
        <v>Cái</v>
      </c>
      <c r="D1569" s="67">
        <f>Gia_VLieu!D13</f>
        <v>15000</v>
      </c>
      <c r="E1569" s="54">
        <v>1</v>
      </c>
      <c r="F1569" s="38">
        <f>D1569*E1569</f>
        <v>15000</v>
      </c>
      <c r="H1569" s="10">
        <v>1565</v>
      </c>
    </row>
    <row r="1570" spans="1:8" s="33" customFormat="1">
      <c r="A1570" s="31" t="e">
        <f>#REF!</f>
        <v>#REF!</v>
      </c>
      <c r="B1570" s="32" t="e">
        <f>#REF!</f>
        <v>#REF!</v>
      </c>
      <c r="C1570" s="15"/>
      <c r="D1570" s="127">
        <f>Gia_VLieu!D$14</f>
        <v>1.08</v>
      </c>
      <c r="E1570" s="45"/>
      <c r="F1570" s="18" t="e">
        <f>SUM(F1571:F1581)*D1570</f>
        <v>#REF!</v>
      </c>
      <c r="H1570" s="10">
        <v>1566</v>
      </c>
    </row>
    <row r="1571" spans="1:8" s="3" customFormat="1">
      <c r="A1571" s="13">
        <v>1</v>
      </c>
      <c r="B1571" s="5" t="s">
        <v>85</v>
      </c>
      <c r="C1571" s="6" t="str">
        <f>Gia_VLieu!C4</f>
        <v>Gram</v>
      </c>
      <c r="D1571" s="66">
        <f>Gia_VLieu!D4</f>
        <v>45000</v>
      </c>
      <c r="E1571" s="53">
        <v>0.1</v>
      </c>
      <c r="F1571" s="16">
        <f>D1571*E1571</f>
        <v>4500</v>
      </c>
      <c r="H1571" s="10">
        <v>1567</v>
      </c>
    </row>
    <row r="1572" spans="1:8" s="3" customFormat="1">
      <c r="A1572" s="13">
        <v>2</v>
      </c>
      <c r="B1572" s="5" t="s">
        <v>86</v>
      </c>
      <c r="C1572" s="6" t="str">
        <f>Gia_VLieu!C5</f>
        <v>Hộp</v>
      </c>
      <c r="D1572" s="66">
        <f>Gia_VLieu!D5</f>
        <v>1450000</v>
      </c>
      <c r="E1572" s="53">
        <v>0.02</v>
      </c>
      <c r="F1572" s="16">
        <f t="shared" ref="F1572:F1580" si="113">D1572*E1572</f>
        <v>29000</v>
      </c>
      <c r="H1572" s="10">
        <v>1568</v>
      </c>
    </row>
    <row r="1573" spans="1:8" s="3" customFormat="1">
      <c r="A1573" s="13">
        <v>3</v>
      </c>
      <c r="B1573" s="5" t="s">
        <v>87</v>
      </c>
      <c r="C1573" s="6" t="e">
        <f>Gia_VLieu!#REF!</f>
        <v>#REF!</v>
      </c>
      <c r="D1573" s="66" t="e">
        <f>Gia_VLieu!#REF!</f>
        <v>#REF!</v>
      </c>
      <c r="E1573" s="53">
        <v>0.01</v>
      </c>
      <c r="F1573" s="16" t="e">
        <f t="shared" si="113"/>
        <v>#REF!</v>
      </c>
      <c r="H1573" s="10">
        <v>1569</v>
      </c>
    </row>
    <row r="1574" spans="1:8" s="3" customFormat="1">
      <c r="A1574" s="13">
        <v>4</v>
      </c>
      <c r="B1574" s="5" t="s">
        <v>88</v>
      </c>
      <c r="C1574" s="6" t="str">
        <f>Gia_VLieu!C6</f>
        <v>Quyển</v>
      </c>
      <c r="D1574" s="66">
        <f>Gia_VLieu!D6</f>
        <v>10000</v>
      </c>
      <c r="E1574" s="53">
        <v>1.5</v>
      </c>
      <c r="F1574" s="16">
        <f t="shared" si="113"/>
        <v>15000</v>
      </c>
      <c r="H1574" s="10">
        <v>1570</v>
      </c>
    </row>
    <row r="1575" spans="1:8" s="3" customFormat="1">
      <c r="A1575" s="13">
        <v>5</v>
      </c>
      <c r="B1575" s="5" t="s">
        <v>22</v>
      </c>
      <c r="C1575" s="6" t="str">
        <f>Gia_VLieu!C7</f>
        <v>Cái</v>
      </c>
      <c r="D1575" s="66">
        <f>Gia_VLieu!D7</f>
        <v>2000</v>
      </c>
      <c r="E1575" s="53">
        <v>2</v>
      </c>
      <c r="F1575" s="16">
        <f t="shared" si="113"/>
        <v>4000</v>
      </c>
      <c r="H1575" s="10">
        <v>1571</v>
      </c>
    </row>
    <row r="1576" spans="1:8" s="3" customFormat="1">
      <c r="A1576" s="13">
        <v>6</v>
      </c>
      <c r="B1576" s="5" t="s">
        <v>89</v>
      </c>
      <c r="C1576" s="6" t="str">
        <f>Gia_VLieu!C8</f>
        <v>Cái</v>
      </c>
      <c r="D1576" s="66">
        <f>Gia_VLieu!D8</f>
        <v>8000</v>
      </c>
      <c r="E1576" s="53">
        <v>0.5</v>
      </c>
      <c r="F1576" s="16">
        <f t="shared" si="113"/>
        <v>4000</v>
      </c>
      <c r="H1576" s="10">
        <v>1572</v>
      </c>
    </row>
    <row r="1577" spans="1:8" s="3" customFormat="1">
      <c r="A1577" s="13">
        <v>7</v>
      </c>
      <c r="B1577" s="5" t="s">
        <v>90</v>
      </c>
      <c r="C1577" s="6" t="str">
        <f>Gia_VLieu!C9</f>
        <v>Cái</v>
      </c>
      <c r="D1577" s="66">
        <f>Gia_VLieu!D9</f>
        <v>10000</v>
      </c>
      <c r="E1577" s="53">
        <v>0.5</v>
      </c>
      <c r="F1577" s="16">
        <f t="shared" si="113"/>
        <v>5000</v>
      </c>
      <c r="H1577" s="10">
        <v>1573</v>
      </c>
    </row>
    <row r="1578" spans="1:8" s="3" customFormat="1">
      <c r="A1578" s="13">
        <v>8</v>
      </c>
      <c r="B1578" s="5" t="s">
        <v>91</v>
      </c>
      <c r="C1578" s="6" t="str">
        <f>Gia_VLieu!C10</f>
        <v>Hộp</v>
      </c>
      <c r="D1578" s="66">
        <f>Gia_VLieu!D10</f>
        <v>2500</v>
      </c>
      <c r="E1578" s="53">
        <v>1</v>
      </c>
      <c r="F1578" s="16">
        <f t="shared" si="113"/>
        <v>2500</v>
      </c>
      <c r="H1578" s="10">
        <v>1574</v>
      </c>
    </row>
    <row r="1579" spans="1:8" s="3" customFormat="1">
      <c r="A1579" s="13">
        <v>9</v>
      </c>
      <c r="B1579" s="5" t="s">
        <v>92</v>
      </c>
      <c r="C1579" s="6" t="str">
        <f>Gia_VLieu!C11</f>
        <v>Hộp</v>
      </c>
      <c r="D1579" s="66">
        <f>Gia_VLieu!D11</f>
        <v>2000</v>
      </c>
      <c r="E1579" s="53">
        <v>0.5</v>
      </c>
      <c r="F1579" s="16">
        <f t="shared" si="113"/>
        <v>1000</v>
      </c>
      <c r="H1579" s="10">
        <v>1575</v>
      </c>
    </row>
    <row r="1580" spans="1:8" s="3" customFormat="1">
      <c r="A1580" s="13">
        <v>10</v>
      </c>
      <c r="B1580" s="5" t="s">
        <v>93</v>
      </c>
      <c r="C1580" s="6" t="str">
        <f>Gia_VLieu!C12</f>
        <v>Tập</v>
      </c>
      <c r="D1580" s="66">
        <f>Gia_VLieu!D12</f>
        <v>8000</v>
      </c>
      <c r="E1580" s="53">
        <v>0.75</v>
      </c>
      <c r="F1580" s="16">
        <f t="shared" si="113"/>
        <v>6000</v>
      </c>
      <c r="H1580" s="10">
        <v>1576</v>
      </c>
    </row>
    <row r="1581" spans="1:8" s="3" customFormat="1">
      <c r="A1581" s="40">
        <v>11</v>
      </c>
      <c r="B1581" s="41" t="s">
        <v>94</v>
      </c>
      <c r="C1581" s="42" t="str">
        <f>Gia_VLieu!C13</f>
        <v>Cái</v>
      </c>
      <c r="D1581" s="67">
        <f>Gia_VLieu!D13</f>
        <v>15000</v>
      </c>
      <c r="E1581" s="54">
        <v>1</v>
      </c>
      <c r="F1581" s="38">
        <f>D1581*E1581</f>
        <v>15000</v>
      </c>
      <c r="H1581" s="10">
        <v>1577</v>
      </c>
    </row>
    <row r="1582" spans="1:8" s="33" customFormat="1">
      <c r="A1582" s="31" t="e">
        <f>#REF!</f>
        <v>#REF!</v>
      </c>
      <c r="B1582" s="32" t="e">
        <f>#REF!</f>
        <v>#REF!</v>
      </c>
      <c r="C1582" s="15"/>
      <c r="D1582" s="127">
        <f>Gia_VLieu!D$14</f>
        <v>1.08</v>
      </c>
      <c r="E1582" s="45"/>
      <c r="F1582" s="18" t="e">
        <f>SUM(F1583:F1593)*D1582</f>
        <v>#REF!</v>
      </c>
      <c r="H1582" s="10">
        <v>1578</v>
      </c>
    </row>
    <row r="1583" spans="1:8" s="3" customFormat="1">
      <c r="A1583" s="13">
        <v>1</v>
      </c>
      <c r="B1583" s="5" t="s">
        <v>85</v>
      </c>
      <c r="C1583" s="6" t="str">
        <f>Gia_VLieu!C4</f>
        <v>Gram</v>
      </c>
      <c r="D1583" s="66">
        <f>Gia_VLieu!D4</f>
        <v>45000</v>
      </c>
      <c r="E1583" s="53">
        <v>0.1</v>
      </c>
      <c r="F1583" s="16">
        <f>D1583*E1583</f>
        <v>4500</v>
      </c>
      <c r="H1583" s="10">
        <v>1579</v>
      </c>
    </row>
    <row r="1584" spans="1:8" s="3" customFormat="1">
      <c r="A1584" s="13">
        <v>2</v>
      </c>
      <c r="B1584" s="5" t="s">
        <v>86</v>
      </c>
      <c r="C1584" s="6" t="str">
        <f>Gia_VLieu!C5</f>
        <v>Hộp</v>
      </c>
      <c r="D1584" s="66">
        <f>Gia_VLieu!D5</f>
        <v>1450000</v>
      </c>
      <c r="E1584" s="53">
        <v>0.02</v>
      </c>
      <c r="F1584" s="16">
        <f t="shared" ref="F1584:F1592" si="114">D1584*E1584</f>
        <v>29000</v>
      </c>
      <c r="H1584" s="10">
        <v>1580</v>
      </c>
    </row>
    <row r="1585" spans="1:8" s="3" customFormat="1">
      <c r="A1585" s="13">
        <v>3</v>
      </c>
      <c r="B1585" s="5" t="s">
        <v>87</v>
      </c>
      <c r="C1585" s="6" t="e">
        <f>Gia_VLieu!#REF!</f>
        <v>#REF!</v>
      </c>
      <c r="D1585" s="66" t="e">
        <f>Gia_VLieu!#REF!</f>
        <v>#REF!</v>
      </c>
      <c r="E1585" s="53">
        <v>0.01</v>
      </c>
      <c r="F1585" s="16" t="e">
        <f t="shared" si="114"/>
        <v>#REF!</v>
      </c>
      <c r="H1585" s="10">
        <v>1581</v>
      </c>
    </row>
    <row r="1586" spans="1:8" s="3" customFormat="1">
      <c r="A1586" s="13">
        <v>4</v>
      </c>
      <c r="B1586" s="5" t="s">
        <v>88</v>
      </c>
      <c r="C1586" s="6" t="str">
        <f>Gia_VLieu!C6</f>
        <v>Quyển</v>
      </c>
      <c r="D1586" s="66">
        <f>Gia_VLieu!D6</f>
        <v>10000</v>
      </c>
      <c r="E1586" s="53">
        <v>1.5</v>
      </c>
      <c r="F1586" s="16">
        <f t="shared" si="114"/>
        <v>15000</v>
      </c>
      <c r="H1586" s="10">
        <v>1582</v>
      </c>
    </row>
    <row r="1587" spans="1:8" s="3" customFormat="1">
      <c r="A1587" s="13">
        <v>5</v>
      </c>
      <c r="B1587" s="5" t="s">
        <v>22</v>
      </c>
      <c r="C1587" s="6" t="str">
        <f>Gia_VLieu!C7</f>
        <v>Cái</v>
      </c>
      <c r="D1587" s="66">
        <f>Gia_VLieu!D7</f>
        <v>2000</v>
      </c>
      <c r="E1587" s="53">
        <v>2</v>
      </c>
      <c r="F1587" s="16">
        <f t="shared" si="114"/>
        <v>4000</v>
      </c>
      <c r="H1587" s="10">
        <v>1583</v>
      </c>
    </row>
    <row r="1588" spans="1:8" s="3" customFormat="1">
      <c r="A1588" s="13">
        <v>6</v>
      </c>
      <c r="B1588" s="5" t="s">
        <v>89</v>
      </c>
      <c r="C1588" s="6" t="str">
        <f>Gia_VLieu!C8</f>
        <v>Cái</v>
      </c>
      <c r="D1588" s="66">
        <f>Gia_VLieu!D8</f>
        <v>8000</v>
      </c>
      <c r="E1588" s="53">
        <v>0.5</v>
      </c>
      <c r="F1588" s="16">
        <f t="shared" si="114"/>
        <v>4000</v>
      </c>
      <c r="H1588" s="10">
        <v>1584</v>
      </c>
    </row>
    <row r="1589" spans="1:8" s="3" customFormat="1">
      <c r="A1589" s="13">
        <v>7</v>
      </c>
      <c r="B1589" s="5" t="s">
        <v>90</v>
      </c>
      <c r="C1589" s="6" t="str">
        <f>Gia_VLieu!C9</f>
        <v>Cái</v>
      </c>
      <c r="D1589" s="66">
        <f>Gia_VLieu!D9</f>
        <v>10000</v>
      </c>
      <c r="E1589" s="53">
        <v>0.5</v>
      </c>
      <c r="F1589" s="16">
        <f t="shared" si="114"/>
        <v>5000</v>
      </c>
      <c r="H1589" s="10">
        <v>1585</v>
      </c>
    </row>
    <row r="1590" spans="1:8" s="3" customFormat="1">
      <c r="A1590" s="13">
        <v>8</v>
      </c>
      <c r="B1590" s="5" t="s">
        <v>91</v>
      </c>
      <c r="C1590" s="6" t="str">
        <f>Gia_VLieu!C10</f>
        <v>Hộp</v>
      </c>
      <c r="D1590" s="66">
        <f>Gia_VLieu!D10</f>
        <v>2500</v>
      </c>
      <c r="E1590" s="53">
        <v>1</v>
      </c>
      <c r="F1590" s="16">
        <f t="shared" si="114"/>
        <v>2500</v>
      </c>
      <c r="H1590" s="10">
        <v>1586</v>
      </c>
    </row>
    <row r="1591" spans="1:8" s="3" customFormat="1">
      <c r="A1591" s="13">
        <v>9</v>
      </c>
      <c r="B1591" s="5" t="s">
        <v>92</v>
      </c>
      <c r="C1591" s="6" t="str">
        <f>Gia_VLieu!C11</f>
        <v>Hộp</v>
      </c>
      <c r="D1591" s="66">
        <f>Gia_VLieu!D11</f>
        <v>2000</v>
      </c>
      <c r="E1591" s="53">
        <v>0.5</v>
      </c>
      <c r="F1591" s="16">
        <f t="shared" si="114"/>
        <v>1000</v>
      </c>
      <c r="H1591" s="10">
        <v>1587</v>
      </c>
    </row>
    <row r="1592" spans="1:8" s="3" customFormat="1">
      <c r="A1592" s="13">
        <v>10</v>
      </c>
      <c r="B1592" s="5" t="s">
        <v>93</v>
      </c>
      <c r="C1592" s="6" t="str">
        <f>Gia_VLieu!C12</f>
        <v>Tập</v>
      </c>
      <c r="D1592" s="66">
        <f>Gia_VLieu!D12</f>
        <v>8000</v>
      </c>
      <c r="E1592" s="53">
        <v>0.75</v>
      </c>
      <c r="F1592" s="16">
        <f t="shared" si="114"/>
        <v>6000</v>
      </c>
      <c r="H1592" s="10">
        <v>1588</v>
      </c>
    </row>
    <row r="1593" spans="1:8" s="3" customFormat="1">
      <c r="A1593" s="40">
        <v>11</v>
      </c>
      <c r="B1593" s="41" t="s">
        <v>94</v>
      </c>
      <c r="C1593" s="42" t="str">
        <f>Gia_VLieu!C13</f>
        <v>Cái</v>
      </c>
      <c r="D1593" s="67">
        <f>Gia_VLieu!D13</f>
        <v>15000</v>
      </c>
      <c r="E1593" s="54">
        <v>1</v>
      </c>
      <c r="F1593" s="38">
        <f>D1593*E1593</f>
        <v>15000</v>
      </c>
      <c r="H1593" s="10">
        <v>1589</v>
      </c>
    </row>
    <row r="1594" spans="1:8" s="33" customFormat="1">
      <c r="A1594" s="31" t="e">
        <f>#REF!</f>
        <v>#REF!</v>
      </c>
      <c r="B1594" s="32" t="e">
        <f>#REF!</f>
        <v>#REF!</v>
      </c>
      <c r="C1594" s="15"/>
      <c r="D1594" s="70"/>
      <c r="E1594" s="45"/>
      <c r="F1594" s="18"/>
      <c r="H1594" s="10">
        <v>1590</v>
      </c>
    </row>
    <row r="1595" spans="1:8" s="33" customFormat="1">
      <c r="A1595" s="31" t="e">
        <f>#REF!</f>
        <v>#REF!</v>
      </c>
      <c r="B1595" s="32" t="e">
        <f>#REF!</f>
        <v>#REF!</v>
      </c>
      <c r="C1595" s="15"/>
      <c r="D1595" s="127">
        <f>Gia_VLieu!D$14</f>
        <v>1.08</v>
      </c>
      <c r="E1595" s="45"/>
      <c r="F1595" s="18" t="e">
        <f>SUM(F1596:F1606)*D1595</f>
        <v>#REF!</v>
      </c>
      <c r="H1595" s="10">
        <v>1591</v>
      </c>
    </row>
    <row r="1596" spans="1:8" s="3" customFormat="1">
      <c r="A1596" s="13">
        <v>1</v>
      </c>
      <c r="B1596" s="5" t="s">
        <v>85</v>
      </c>
      <c r="C1596" s="6" t="str">
        <f>Gia_VLieu!C4</f>
        <v>Gram</v>
      </c>
      <c r="D1596" s="66">
        <f>Gia_VLieu!D4</f>
        <v>45000</v>
      </c>
      <c r="E1596" s="53">
        <v>0.1</v>
      </c>
      <c r="F1596" s="16">
        <f>D1596*E1596</f>
        <v>4500</v>
      </c>
      <c r="H1596" s="10">
        <v>1592</v>
      </c>
    </row>
    <row r="1597" spans="1:8" s="3" customFormat="1">
      <c r="A1597" s="13">
        <v>2</v>
      </c>
      <c r="B1597" s="5" t="s">
        <v>86</v>
      </c>
      <c r="C1597" s="6" t="str">
        <f>Gia_VLieu!C5</f>
        <v>Hộp</v>
      </c>
      <c r="D1597" s="66">
        <f>Gia_VLieu!D5</f>
        <v>1450000</v>
      </c>
      <c r="E1597" s="53">
        <v>0.02</v>
      </c>
      <c r="F1597" s="16">
        <f t="shared" ref="F1597:F1605" si="115">D1597*E1597</f>
        <v>29000</v>
      </c>
      <c r="H1597" s="10">
        <v>1593</v>
      </c>
    </row>
    <row r="1598" spans="1:8" s="3" customFormat="1">
      <c r="A1598" s="13">
        <v>3</v>
      </c>
      <c r="B1598" s="5" t="s">
        <v>87</v>
      </c>
      <c r="C1598" s="6" t="e">
        <f>Gia_VLieu!#REF!</f>
        <v>#REF!</v>
      </c>
      <c r="D1598" s="66" t="e">
        <f>Gia_VLieu!#REF!</f>
        <v>#REF!</v>
      </c>
      <c r="E1598" s="53">
        <v>0.01</v>
      </c>
      <c r="F1598" s="16" t="e">
        <f t="shared" si="115"/>
        <v>#REF!</v>
      </c>
      <c r="H1598" s="10">
        <v>1594</v>
      </c>
    </row>
    <row r="1599" spans="1:8" s="3" customFormat="1">
      <c r="A1599" s="13">
        <v>4</v>
      </c>
      <c r="B1599" s="5" t="s">
        <v>88</v>
      </c>
      <c r="C1599" s="6" t="str">
        <f>Gia_VLieu!C6</f>
        <v>Quyển</v>
      </c>
      <c r="D1599" s="66">
        <f>Gia_VLieu!D6</f>
        <v>10000</v>
      </c>
      <c r="E1599" s="53">
        <v>1.5</v>
      </c>
      <c r="F1599" s="16">
        <f t="shared" si="115"/>
        <v>15000</v>
      </c>
      <c r="H1599" s="10">
        <v>1595</v>
      </c>
    </row>
    <row r="1600" spans="1:8" s="3" customFormat="1">
      <c r="A1600" s="13">
        <v>5</v>
      </c>
      <c r="B1600" s="5" t="s">
        <v>22</v>
      </c>
      <c r="C1600" s="6" t="str">
        <f>Gia_VLieu!C7</f>
        <v>Cái</v>
      </c>
      <c r="D1600" s="66">
        <f>Gia_VLieu!D7</f>
        <v>2000</v>
      </c>
      <c r="E1600" s="53">
        <v>2</v>
      </c>
      <c r="F1600" s="16">
        <f t="shared" si="115"/>
        <v>4000</v>
      </c>
      <c r="H1600" s="10">
        <v>1596</v>
      </c>
    </row>
    <row r="1601" spans="1:8" s="3" customFormat="1">
      <c r="A1601" s="13">
        <v>6</v>
      </c>
      <c r="B1601" s="5" t="s">
        <v>89</v>
      </c>
      <c r="C1601" s="6" t="str">
        <f>Gia_VLieu!C8</f>
        <v>Cái</v>
      </c>
      <c r="D1601" s="66">
        <f>Gia_VLieu!D8</f>
        <v>8000</v>
      </c>
      <c r="E1601" s="53">
        <v>0.5</v>
      </c>
      <c r="F1601" s="16">
        <f t="shared" si="115"/>
        <v>4000</v>
      </c>
      <c r="H1601" s="10">
        <v>1597</v>
      </c>
    </row>
    <row r="1602" spans="1:8" s="3" customFormat="1">
      <c r="A1602" s="13">
        <v>7</v>
      </c>
      <c r="B1602" s="5" t="s">
        <v>90</v>
      </c>
      <c r="C1602" s="6" t="str">
        <f>Gia_VLieu!C9</f>
        <v>Cái</v>
      </c>
      <c r="D1602" s="66">
        <f>Gia_VLieu!D9</f>
        <v>10000</v>
      </c>
      <c r="E1602" s="53">
        <v>0.5</v>
      </c>
      <c r="F1602" s="16">
        <f t="shared" si="115"/>
        <v>5000</v>
      </c>
      <c r="H1602" s="10">
        <v>1598</v>
      </c>
    </row>
    <row r="1603" spans="1:8" s="3" customFormat="1">
      <c r="A1603" s="13">
        <v>8</v>
      </c>
      <c r="B1603" s="5" t="s">
        <v>91</v>
      </c>
      <c r="C1603" s="6" t="str">
        <f>Gia_VLieu!C10</f>
        <v>Hộp</v>
      </c>
      <c r="D1603" s="66">
        <f>Gia_VLieu!D10</f>
        <v>2500</v>
      </c>
      <c r="E1603" s="53">
        <v>1</v>
      </c>
      <c r="F1603" s="16">
        <f t="shared" si="115"/>
        <v>2500</v>
      </c>
      <c r="H1603" s="10">
        <v>1599</v>
      </c>
    </row>
    <row r="1604" spans="1:8" s="3" customFormat="1">
      <c r="A1604" s="13">
        <v>9</v>
      </c>
      <c r="B1604" s="5" t="s">
        <v>92</v>
      </c>
      <c r="C1604" s="6" t="str">
        <f>Gia_VLieu!C11</f>
        <v>Hộp</v>
      </c>
      <c r="D1604" s="66">
        <f>Gia_VLieu!D11</f>
        <v>2000</v>
      </c>
      <c r="E1604" s="53">
        <v>0.5</v>
      </c>
      <c r="F1604" s="16">
        <f t="shared" si="115"/>
        <v>1000</v>
      </c>
      <c r="H1604" s="10">
        <v>1600</v>
      </c>
    </row>
    <row r="1605" spans="1:8" s="3" customFormat="1">
      <c r="A1605" s="13">
        <v>10</v>
      </c>
      <c r="B1605" s="5" t="s">
        <v>93</v>
      </c>
      <c r="C1605" s="6" t="str">
        <f>Gia_VLieu!C12</f>
        <v>Tập</v>
      </c>
      <c r="D1605" s="66">
        <f>Gia_VLieu!D12</f>
        <v>8000</v>
      </c>
      <c r="E1605" s="53">
        <v>0.75</v>
      </c>
      <c r="F1605" s="16">
        <f t="shared" si="115"/>
        <v>6000</v>
      </c>
      <c r="H1605" s="10">
        <v>1601</v>
      </c>
    </row>
    <row r="1606" spans="1:8" s="3" customFormat="1">
      <c r="A1606" s="40">
        <v>11</v>
      </c>
      <c r="B1606" s="41" t="s">
        <v>94</v>
      </c>
      <c r="C1606" s="42" t="str">
        <f>Gia_VLieu!C13</f>
        <v>Cái</v>
      </c>
      <c r="D1606" s="67">
        <f>Gia_VLieu!D13</f>
        <v>15000</v>
      </c>
      <c r="E1606" s="54">
        <v>1</v>
      </c>
      <c r="F1606" s="38">
        <f>D1606*E1606</f>
        <v>15000</v>
      </c>
      <c r="H1606" s="10">
        <v>1602</v>
      </c>
    </row>
    <row r="1607" spans="1:8" s="33" customFormat="1">
      <c r="A1607" s="31" t="e">
        <f>#REF!</f>
        <v>#REF!</v>
      </c>
      <c r="B1607" s="32" t="e">
        <f>#REF!</f>
        <v>#REF!</v>
      </c>
      <c r="C1607" s="15"/>
      <c r="D1607" s="127">
        <f>Gia_VLieu!D$14</f>
        <v>1.08</v>
      </c>
      <c r="E1607" s="45"/>
      <c r="F1607" s="18" t="e">
        <f>SUM(F1608:F1618)*D1607</f>
        <v>#REF!</v>
      </c>
      <c r="H1607" s="10">
        <v>1603</v>
      </c>
    </row>
    <row r="1608" spans="1:8" s="3" customFormat="1">
      <c r="A1608" s="13">
        <v>1</v>
      </c>
      <c r="B1608" s="5" t="s">
        <v>85</v>
      </c>
      <c r="C1608" s="6" t="str">
        <f>Gia_VLieu!C4</f>
        <v>Gram</v>
      </c>
      <c r="D1608" s="66">
        <f>Gia_VLieu!D4</f>
        <v>45000</v>
      </c>
      <c r="E1608" s="53">
        <v>0.1</v>
      </c>
      <c r="F1608" s="16">
        <f>D1608*E1608</f>
        <v>4500</v>
      </c>
      <c r="H1608" s="10">
        <v>1604</v>
      </c>
    </row>
    <row r="1609" spans="1:8" s="3" customFormat="1">
      <c r="A1609" s="13">
        <v>2</v>
      </c>
      <c r="B1609" s="5" t="s">
        <v>86</v>
      </c>
      <c r="C1609" s="6" t="str">
        <f>Gia_VLieu!C5</f>
        <v>Hộp</v>
      </c>
      <c r="D1609" s="66">
        <f>Gia_VLieu!D5</f>
        <v>1450000</v>
      </c>
      <c r="E1609" s="53">
        <v>0.02</v>
      </c>
      <c r="F1609" s="16">
        <f t="shared" ref="F1609:F1617" si="116">D1609*E1609</f>
        <v>29000</v>
      </c>
      <c r="H1609" s="10">
        <v>1605</v>
      </c>
    </row>
    <row r="1610" spans="1:8" s="3" customFormat="1">
      <c r="A1610" s="13">
        <v>3</v>
      </c>
      <c r="B1610" s="5" t="s">
        <v>87</v>
      </c>
      <c r="C1610" s="6" t="e">
        <f>Gia_VLieu!#REF!</f>
        <v>#REF!</v>
      </c>
      <c r="D1610" s="66" t="e">
        <f>Gia_VLieu!#REF!</f>
        <v>#REF!</v>
      </c>
      <c r="E1610" s="53">
        <v>0.01</v>
      </c>
      <c r="F1610" s="16" t="e">
        <f t="shared" si="116"/>
        <v>#REF!</v>
      </c>
      <c r="H1610" s="10">
        <v>1606</v>
      </c>
    </row>
    <row r="1611" spans="1:8" s="3" customFormat="1">
      <c r="A1611" s="13">
        <v>4</v>
      </c>
      <c r="B1611" s="5" t="s">
        <v>88</v>
      </c>
      <c r="C1611" s="6" t="str">
        <f>Gia_VLieu!C6</f>
        <v>Quyển</v>
      </c>
      <c r="D1611" s="66">
        <f>Gia_VLieu!D6</f>
        <v>10000</v>
      </c>
      <c r="E1611" s="53">
        <v>1.5</v>
      </c>
      <c r="F1611" s="16">
        <f t="shared" si="116"/>
        <v>15000</v>
      </c>
      <c r="H1611" s="10">
        <v>1607</v>
      </c>
    </row>
    <row r="1612" spans="1:8" s="3" customFormat="1">
      <c r="A1612" s="13">
        <v>5</v>
      </c>
      <c r="B1612" s="5" t="s">
        <v>22</v>
      </c>
      <c r="C1612" s="6" t="str">
        <f>Gia_VLieu!C7</f>
        <v>Cái</v>
      </c>
      <c r="D1612" s="66">
        <f>Gia_VLieu!D7</f>
        <v>2000</v>
      </c>
      <c r="E1612" s="53">
        <v>2</v>
      </c>
      <c r="F1612" s="16">
        <f t="shared" si="116"/>
        <v>4000</v>
      </c>
      <c r="H1612" s="10">
        <v>1608</v>
      </c>
    </row>
    <row r="1613" spans="1:8" s="3" customFormat="1">
      <c r="A1613" s="13">
        <v>6</v>
      </c>
      <c r="B1613" s="5" t="s">
        <v>89</v>
      </c>
      <c r="C1613" s="6" t="str">
        <f>Gia_VLieu!C8</f>
        <v>Cái</v>
      </c>
      <c r="D1613" s="66">
        <f>Gia_VLieu!D8</f>
        <v>8000</v>
      </c>
      <c r="E1613" s="53">
        <v>0.5</v>
      </c>
      <c r="F1613" s="16">
        <f t="shared" si="116"/>
        <v>4000</v>
      </c>
      <c r="H1613" s="10">
        <v>1609</v>
      </c>
    </row>
    <row r="1614" spans="1:8" s="3" customFormat="1">
      <c r="A1614" s="13">
        <v>7</v>
      </c>
      <c r="B1614" s="5" t="s">
        <v>90</v>
      </c>
      <c r="C1614" s="6" t="str">
        <f>Gia_VLieu!C9</f>
        <v>Cái</v>
      </c>
      <c r="D1614" s="66">
        <f>Gia_VLieu!D9</f>
        <v>10000</v>
      </c>
      <c r="E1614" s="53">
        <v>0.5</v>
      </c>
      <c r="F1614" s="16">
        <f t="shared" si="116"/>
        <v>5000</v>
      </c>
      <c r="H1614" s="10">
        <v>1610</v>
      </c>
    </row>
    <row r="1615" spans="1:8" s="3" customFormat="1">
      <c r="A1615" s="13">
        <v>8</v>
      </c>
      <c r="B1615" s="5" t="s">
        <v>91</v>
      </c>
      <c r="C1615" s="6" t="str">
        <f>Gia_VLieu!C10</f>
        <v>Hộp</v>
      </c>
      <c r="D1615" s="66">
        <f>Gia_VLieu!D10</f>
        <v>2500</v>
      </c>
      <c r="E1615" s="53">
        <v>1</v>
      </c>
      <c r="F1615" s="16">
        <f t="shared" si="116"/>
        <v>2500</v>
      </c>
      <c r="H1615" s="10">
        <v>1611</v>
      </c>
    </row>
    <row r="1616" spans="1:8" s="3" customFormat="1">
      <c r="A1616" s="13">
        <v>9</v>
      </c>
      <c r="B1616" s="5" t="s">
        <v>92</v>
      </c>
      <c r="C1616" s="6" t="str">
        <f>Gia_VLieu!C11</f>
        <v>Hộp</v>
      </c>
      <c r="D1616" s="66">
        <f>Gia_VLieu!D11</f>
        <v>2000</v>
      </c>
      <c r="E1616" s="53">
        <v>0.5</v>
      </c>
      <c r="F1616" s="16">
        <f t="shared" si="116"/>
        <v>1000</v>
      </c>
      <c r="H1616" s="10">
        <v>1612</v>
      </c>
    </row>
    <row r="1617" spans="1:8" s="3" customFormat="1">
      <c r="A1617" s="13">
        <v>10</v>
      </c>
      <c r="B1617" s="5" t="s">
        <v>93</v>
      </c>
      <c r="C1617" s="6" t="str">
        <f>Gia_VLieu!C12</f>
        <v>Tập</v>
      </c>
      <c r="D1617" s="66">
        <f>Gia_VLieu!D12</f>
        <v>8000</v>
      </c>
      <c r="E1617" s="53">
        <v>0.75</v>
      </c>
      <c r="F1617" s="16">
        <f t="shared" si="116"/>
        <v>6000</v>
      </c>
      <c r="H1617" s="10">
        <v>1613</v>
      </c>
    </row>
    <row r="1618" spans="1:8" s="3" customFormat="1">
      <c r="A1618" s="40">
        <v>11</v>
      </c>
      <c r="B1618" s="41" t="s">
        <v>94</v>
      </c>
      <c r="C1618" s="42" t="str">
        <f>Gia_VLieu!C13</f>
        <v>Cái</v>
      </c>
      <c r="D1618" s="67">
        <f>Gia_VLieu!D13</f>
        <v>15000</v>
      </c>
      <c r="E1618" s="54">
        <v>1</v>
      </c>
      <c r="F1618" s="38">
        <f>D1618*E1618</f>
        <v>15000</v>
      </c>
      <c r="H1618" s="10">
        <v>1614</v>
      </c>
    </row>
    <row r="1619" spans="1:8" s="33" customFormat="1">
      <c r="A1619" s="31" t="e">
        <f>#REF!</f>
        <v>#REF!</v>
      </c>
      <c r="B1619" s="32" t="e">
        <f>#REF!</f>
        <v>#REF!</v>
      </c>
      <c r="C1619" s="15"/>
      <c r="D1619" s="127">
        <f>Gia_VLieu!D$14</f>
        <v>1.08</v>
      </c>
      <c r="E1619" s="45"/>
      <c r="F1619" s="18" t="e">
        <f>SUM(F1620:F1630)*D1619</f>
        <v>#REF!</v>
      </c>
      <c r="H1619" s="10">
        <v>1615</v>
      </c>
    </row>
    <row r="1620" spans="1:8" s="3" customFormat="1">
      <c r="A1620" s="13">
        <v>1</v>
      </c>
      <c r="B1620" s="5" t="s">
        <v>85</v>
      </c>
      <c r="C1620" s="6" t="str">
        <f>Gia_VLieu!C4</f>
        <v>Gram</v>
      </c>
      <c r="D1620" s="66">
        <f>Gia_VLieu!D4</f>
        <v>45000</v>
      </c>
      <c r="E1620" s="53">
        <v>0.1</v>
      </c>
      <c r="F1620" s="16">
        <f>D1620*E1620</f>
        <v>4500</v>
      </c>
      <c r="H1620" s="10">
        <v>1616</v>
      </c>
    </row>
    <row r="1621" spans="1:8" s="3" customFormat="1">
      <c r="A1621" s="13">
        <v>2</v>
      </c>
      <c r="B1621" s="5" t="s">
        <v>86</v>
      </c>
      <c r="C1621" s="6" t="str">
        <f>Gia_VLieu!C5</f>
        <v>Hộp</v>
      </c>
      <c r="D1621" s="66">
        <f>Gia_VLieu!D5</f>
        <v>1450000</v>
      </c>
      <c r="E1621" s="53">
        <v>0.02</v>
      </c>
      <c r="F1621" s="16">
        <f t="shared" ref="F1621:F1629" si="117">D1621*E1621</f>
        <v>29000</v>
      </c>
      <c r="H1621" s="10">
        <v>1617</v>
      </c>
    </row>
    <row r="1622" spans="1:8" s="3" customFormat="1">
      <c r="A1622" s="13">
        <v>3</v>
      </c>
      <c r="B1622" s="5" t="s">
        <v>87</v>
      </c>
      <c r="C1622" s="6" t="e">
        <f>Gia_VLieu!#REF!</f>
        <v>#REF!</v>
      </c>
      <c r="D1622" s="66" t="e">
        <f>Gia_VLieu!#REF!</f>
        <v>#REF!</v>
      </c>
      <c r="E1622" s="53">
        <v>0.01</v>
      </c>
      <c r="F1622" s="16" t="e">
        <f t="shared" si="117"/>
        <v>#REF!</v>
      </c>
      <c r="H1622" s="10">
        <v>1618</v>
      </c>
    </row>
    <row r="1623" spans="1:8" s="3" customFormat="1">
      <c r="A1623" s="13">
        <v>4</v>
      </c>
      <c r="B1623" s="5" t="s">
        <v>88</v>
      </c>
      <c r="C1623" s="6" t="str">
        <f>Gia_VLieu!C6</f>
        <v>Quyển</v>
      </c>
      <c r="D1623" s="66">
        <f>Gia_VLieu!D6</f>
        <v>10000</v>
      </c>
      <c r="E1623" s="53">
        <v>1.5</v>
      </c>
      <c r="F1623" s="16">
        <f t="shared" si="117"/>
        <v>15000</v>
      </c>
      <c r="H1623" s="10">
        <v>1619</v>
      </c>
    </row>
    <row r="1624" spans="1:8" s="3" customFormat="1">
      <c r="A1624" s="13">
        <v>5</v>
      </c>
      <c r="B1624" s="5" t="s">
        <v>22</v>
      </c>
      <c r="C1624" s="6" t="str">
        <f>Gia_VLieu!C7</f>
        <v>Cái</v>
      </c>
      <c r="D1624" s="66">
        <f>Gia_VLieu!D7</f>
        <v>2000</v>
      </c>
      <c r="E1624" s="53">
        <v>2</v>
      </c>
      <c r="F1624" s="16">
        <f t="shared" si="117"/>
        <v>4000</v>
      </c>
      <c r="H1624" s="10">
        <v>1620</v>
      </c>
    </row>
    <row r="1625" spans="1:8" s="3" customFormat="1">
      <c r="A1625" s="13">
        <v>6</v>
      </c>
      <c r="B1625" s="5" t="s">
        <v>89</v>
      </c>
      <c r="C1625" s="6" t="str">
        <f>Gia_VLieu!C8</f>
        <v>Cái</v>
      </c>
      <c r="D1625" s="66">
        <f>Gia_VLieu!D8</f>
        <v>8000</v>
      </c>
      <c r="E1625" s="53">
        <v>0.5</v>
      </c>
      <c r="F1625" s="16">
        <f t="shared" si="117"/>
        <v>4000</v>
      </c>
      <c r="H1625" s="10">
        <v>1621</v>
      </c>
    </row>
    <row r="1626" spans="1:8" s="3" customFormat="1">
      <c r="A1626" s="13">
        <v>7</v>
      </c>
      <c r="B1626" s="5" t="s">
        <v>90</v>
      </c>
      <c r="C1626" s="6" t="str">
        <f>Gia_VLieu!C9</f>
        <v>Cái</v>
      </c>
      <c r="D1626" s="66">
        <f>Gia_VLieu!D9</f>
        <v>10000</v>
      </c>
      <c r="E1626" s="53">
        <v>0.5</v>
      </c>
      <c r="F1626" s="16">
        <f t="shared" si="117"/>
        <v>5000</v>
      </c>
      <c r="H1626" s="10">
        <v>1622</v>
      </c>
    </row>
    <row r="1627" spans="1:8" s="3" customFormat="1">
      <c r="A1627" s="13">
        <v>8</v>
      </c>
      <c r="B1627" s="5" t="s">
        <v>91</v>
      </c>
      <c r="C1627" s="6" t="str">
        <f>Gia_VLieu!C10</f>
        <v>Hộp</v>
      </c>
      <c r="D1627" s="66">
        <f>Gia_VLieu!D10</f>
        <v>2500</v>
      </c>
      <c r="E1627" s="53">
        <v>1</v>
      </c>
      <c r="F1627" s="16">
        <f t="shared" si="117"/>
        <v>2500</v>
      </c>
      <c r="H1627" s="10">
        <v>1623</v>
      </c>
    </row>
    <row r="1628" spans="1:8" s="3" customFormat="1">
      <c r="A1628" s="13">
        <v>9</v>
      </c>
      <c r="B1628" s="5" t="s">
        <v>92</v>
      </c>
      <c r="C1628" s="6" t="str">
        <f>Gia_VLieu!C11</f>
        <v>Hộp</v>
      </c>
      <c r="D1628" s="66">
        <f>Gia_VLieu!D11</f>
        <v>2000</v>
      </c>
      <c r="E1628" s="53">
        <v>0.5</v>
      </c>
      <c r="F1628" s="16">
        <f t="shared" si="117"/>
        <v>1000</v>
      </c>
      <c r="H1628" s="10">
        <v>1624</v>
      </c>
    </row>
    <row r="1629" spans="1:8" s="3" customFormat="1">
      <c r="A1629" s="13">
        <v>10</v>
      </c>
      <c r="B1629" s="5" t="s">
        <v>93</v>
      </c>
      <c r="C1629" s="6" t="str">
        <f>Gia_VLieu!C12</f>
        <v>Tập</v>
      </c>
      <c r="D1629" s="66">
        <f>Gia_VLieu!D12</f>
        <v>8000</v>
      </c>
      <c r="E1629" s="53">
        <v>0.75</v>
      </c>
      <c r="F1629" s="16">
        <f t="shared" si="117"/>
        <v>6000</v>
      </c>
      <c r="H1629" s="10">
        <v>1625</v>
      </c>
    </row>
    <row r="1630" spans="1:8" s="3" customFormat="1">
      <c r="A1630" s="40">
        <v>11</v>
      </c>
      <c r="B1630" s="41" t="s">
        <v>94</v>
      </c>
      <c r="C1630" s="42" t="str">
        <f>Gia_VLieu!C13</f>
        <v>Cái</v>
      </c>
      <c r="D1630" s="67">
        <f>Gia_VLieu!D13</f>
        <v>15000</v>
      </c>
      <c r="E1630" s="54">
        <v>1</v>
      </c>
      <c r="F1630" s="38">
        <f>D1630*E1630</f>
        <v>15000</v>
      </c>
      <c r="H1630" s="10">
        <v>1626</v>
      </c>
    </row>
    <row r="1631" spans="1:8" s="33" customFormat="1">
      <c r="A1631" s="31" t="e">
        <f>#REF!</f>
        <v>#REF!</v>
      </c>
      <c r="B1631" s="32" t="e">
        <f>#REF!</f>
        <v>#REF!</v>
      </c>
      <c r="C1631" s="15"/>
      <c r="D1631" s="127">
        <f>Gia_VLieu!D$14</f>
        <v>1.08</v>
      </c>
      <c r="E1631" s="45"/>
      <c r="F1631" s="18" t="e">
        <f>SUM(F1632:F1642)*D1631</f>
        <v>#REF!</v>
      </c>
      <c r="H1631" s="10">
        <v>1627</v>
      </c>
    </row>
    <row r="1632" spans="1:8" s="3" customFormat="1">
      <c r="A1632" s="13">
        <v>1</v>
      </c>
      <c r="B1632" s="5" t="s">
        <v>85</v>
      </c>
      <c r="C1632" s="6" t="str">
        <f>Gia_VLieu!C4</f>
        <v>Gram</v>
      </c>
      <c r="D1632" s="66">
        <f>Gia_VLieu!D4</f>
        <v>45000</v>
      </c>
      <c r="E1632" s="53">
        <v>0.1</v>
      </c>
      <c r="F1632" s="16">
        <f>D1632*E1632</f>
        <v>4500</v>
      </c>
      <c r="H1632" s="10">
        <v>1628</v>
      </c>
    </row>
    <row r="1633" spans="1:8" s="3" customFormat="1">
      <c r="A1633" s="13">
        <v>2</v>
      </c>
      <c r="B1633" s="5" t="s">
        <v>86</v>
      </c>
      <c r="C1633" s="6" t="str">
        <f>Gia_VLieu!C5</f>
        <v>Hộp</v>
      </c>
      <c r="D1633" s="66">
        <f>Gia_VLieu!D5</f>
        <v>1450000</v>
      </c>
      <c r="E1633" s="53">
        <v>0.02</v>
      </c>
      <c r="F1633" s="16">
        <f t="shared" ref="F1633:F1641" si="118">D1633*E1633</f>
        <v>29000</v>
      </c>
      <c r="H1633" s="10">
        <v>1629</v>
      </c>
    </row>
    <row r="1634" spans="1:8" s="3" customFormat="1">
      <c r="A1634" s="13">
        <v>3</v>
      </c>
      <c r="B1634" s="5" t="s">
        <v>87</v>
      </c>
      <c r="C1634" s="6" t="e">
        <f>Gia_VLieu!#REF!</f>
        <v>#REF!</v>
      </c>
      <c r="D1634" s="66" t="e">
        <f>Gia_VLieu!#REF!</f>
        <v>#REF!</v>
      </c>
      <c r="E1634" s="53">
        <v>0.01</v>
      </c>
      <c r="F1634" s="16" t="e">
        <f t="shared" si="118"/>
        <v>#REF!</v>
      </c>
      <c r="H1634" s="10">
        <v>1630</v>
      </c>
    </row>
    <row r="1635" spans="1:8" s="3" customFormat="1">
      <c r="A1635" s="13">
        <v>4</v>
      </c>
      <c r="B1635" s="5" t="s">
        <v>88</v>
      </c>
      <c r="C1635" s="6" t="str">
        <f>Gia_VLieu!C6</f>
        <v>Quyển</v>
      </c>
      <c r="D1635" s="66">
        <f>Gia_VLieu!D6</f>
        <v>10000</v>
      </c>
      <c r="E1635" s="53">
        <v>1.5</v>
      </c>
      <c r="F1635" s="16">
        <f t="shared" si="118"/>
        <v>15000</v>
      </c>
      <c r="H1635" s="10">
        <v>1631</v>
      </c>
    </row>
    <row r="1636" spans="1:8" s="3" customFormat="1">
      <c r="A1636" s="13">
        <v>5</v>
      </c>
      <c r="B1636" s="5" t="s">
        <v>22</v>
      </c>
      <c r="C1636" s="6" t="str">
        <f>Gia_VLieu!C7</f>
        <v>Cái</v>
      </c>
      <c r="D1636" s="66">
        <f>Gia_VLieu!D7</f>
        <v>2000</v>
      </c>
      <c r="E1636" s="53">
        <v>2</v>
      </c>
      <c r="F1636" s="16">
        <f t="shared" si="118"/>
        <v>4000</v>
      </c>
      <c r="H1636" s="10">
        <v>1632</v>
      </c>
    </row>
    <row r="1637" spans="1:8" s="3" customFormat="1">
      <c r="A1637" s="13">
        <v>6</v>
      </c>
      <c r="B1637" s="5" t="s">
        <v>89</v>
      </c>
      <c r="C1637" s="6" t="str">
        <f>Gia_VLieu!C8</f>
        <v>Cái</v>
      </c>
      <c r="D1637" s="66">
        <f>Gia_VLieu!D8</f>
        <v>8000</v>
      </c>
      <c r="E1637" s="53">
        <v>0.5</v>
      </c>
      <c r="F1637" s="16">
        <f t="shared" si="118"/>
        <v>4000</v>
      </c>
      <c r="H1637" s="10">
        <v>1633</v>
      </c>
    </row>
    <row r="1638" spans="1:8" s="3" customFormat="1">
      <c r="A1638" s="13">
        <v>7</v>
      </c>
      <c r="B1638" s="5" t="s">
        <v>90</v>
      </c>
      <c r="C1638" s="6" t="str">
        <f>Gia_VLieu!C9</f>
        <v>Cái</v>
      </c>
      <c r="D1638" s="66">
        <f>Gia_VLieu!D9</f>
        <v>10000</v>
      </c>
      <c r="E1638" s="53">
        <v>0.5</v>
      </c>
      <c r="F1638" s="16">
        <f t="shared" si="118"/>
        <v>5000</v>
      </c>
      <c r="H1638" s="10">
        <v>1634</v>
      </c>
    </row>
    <row r="1639" spans="1:8" s="3" customFormat="1">
      <c r="A1639" s="13">
        <v>8</v>
      </c>
      <c r="B1639" s="5" t="s">
        <v>91</v>
      </c>
      <c r="C1639" s="6" t="str">
        <f>Gia_VLieu!C10</f>
        <v>Hộp</v>
      </c>
      <c r="D1639" s="66">
        <f>Gia_VLieu!D10</f>
        <v>2500</v>
      </c>
      <c r="E1639" s="53">
        <v>1</v>
      </c>
      <c r="F1639" s="16">
        <f t="shared" si="118"/>
        <v>2500</v>
      </c>
      <c r="H1639" s="10">
        <v>1635</v>
      </c>
    </row>
    <row r="1640" spans="1:8" s="3" customFormat="1">
      <c r="A1640" s="13">
        <v>9</v>
      </c>
      <c r="B1640" s="5" t="s">
        <v>92</v>
      </c>
      <c r="C1640" s="6" t="str">
        <f>Gia_VLieu!C11</f>
        <v>Hộp</v>
      </c>
      <c r="D1640" s="66">
        <f>Gia_VLieu!D11</f>
        <v>2000</v>
      </c>
      <c r="E1640" s="53">
        <v>0.5</v>
      </c>
      <c r="F1640" s="16">
        <f t="shared" si="118"/>
        <v>1000</v>
      </c>
      <c r="H1640" s="10">
        <v>1636</v>
      </c>
    </row>
    <row r="1641" spans="1:8" s="3" customFormat="1">
      <c r="A1641" s="13">
        <v>10</v>
      </c>
      <c r="B1641" s="5" t="s">
        <v>93</v>
      </c>
      <c r="C1641" s="6" t="str">
        <f>Gia_VLieu!C12</f>
        <v>Tập</v>
      </c>
      <c r="D1641" s="66">
        <f>Gia_VLieu!D12</f>
        <v>8000</v>
      </c>
      <c r="E1641" s="53">
        <v>0.75</v>
      </c>
      <c r="F1641" s="16">
        <f t="shared" si="118"/>
        <v>6000</v>
      </c>
      <c r="H1641" s="10">
        <v>1637</v>
      </c>
    </row>
    <row r="1642" spans="1:8" s="3" customFormat="1">
      <c r="A1642" s="40">
        <v>11</v>
      </c>
      <c r="B1642" s="41" t="s">
        <v>94</v>
      </c>
      <c r="C1642" s="42" t="str">
        <f>Gia_VLieu!C13</f>
        <v>Cái</v>
      </c>
      <c r="D1642" s="67">
        <f>Gia_VLieu!D13</f>
        <v>15000</v>
      </c>
      <c r="E1642" s="54">
        <v>1</v>
      </c>
      <c r="F1642" s="38">
        <f>D1642*E1642</f>
        <v>15000</v>
      </c>
      <c r="H1642" s="10">
        <v>1638</v>
      </c>
    </row>
    <row r="1643" spans="1:8" s="33" customFormat="1">
      <c r="A1643" s="31" t="e">
        <f>#REF!</f>
        <v>#REF!</v>
      </c>
      <c r="B1643" s="32" t="e">
        <f>#REF!</f>
        <v>#REF!</v>
      </c>
      <c r="C1643" s="15"/>
      <c r="D1643" s="127">
        <f>Gia_VLieu!D$14</f>
        <v>1.08</v>
      </c>
      <c r="E1643" s="45"/>
      <c r="F1643" s="18" t="e">
        <f>SUM(F1644:F1654)*D1643</f>
        <v>#REF!</v>
      </c>
      <c r="H1643" s="10">
        <v>1639</v>
      </c>
    </row>
    <row r="1644" spans="1:8" s="3" customFormat="1">
      <c r="A1644" s="13">
        <v>1</v>
      </c>
      <c r="B1644" s="5" t="s">
        <v>85</v>
      </c>
      <c r="C1644" s="6" t="str">
        <f>Gia_VLieu!C4</f>
        <v>Gram</v>
      </c>
      <c r="D1644" s="66">
        <f>Gia_VLieu!D4</f>
        <v>45000</v>
      </c>
      <c r="E1644" s="53">
        <v>0.1</v>
      </c>
      <c r="F1644" s="16">
        <f>D1644*E1644</f>
        <v>4500</v>
      </c>
      <c r="H1644" s="10">
        <v>1640</v>
      </c>
    </row>
    <row r="1645" spans="1:8" s="3" customFormat="1">
      <c r="A1645" s="13">
        <v>2</v>
      </c>
      <c r="B1645" s="5" t="s">
        <v>86</v>
      </c>
      <c r="C1645" s="6" t="str">
        <f>Gia_VLieu!C5</f>
        <v>Hộp</v>
      </c>
      <c r="D1645" s="66">
        <f>Gia_VLieu!D5</f>
        <v>1450000</v>
      </c>
      <c r="E1645" s="53">
        <v>0.02</v>
      </c>
      <c r="F1645" s="16">
        <f t="shared" ref="F1645:F1653" si="119">D1645*E1645</f>
        <v>29000</v>
      </c>
      <c r="H1645" s="10">
        <v>1641</v>
      </c>
    </row>
    <row r="1646" spans="1:8" s="3" customFormat="1">
      <c r="A1646" s="13">
        <v>3</v>
      </c>
      <c r="B1646" s="5" t="s">
        <v>87</v>
      </c>
      <c r="C1646" s="6" t="e">
        <f>Gia_VLieu!#REF!</f>
        <v>#REF!</v>
      </c>
      <c r="D1646" s="66" t="e">
        <f>Gia_VLieu!#REF!</f>
        <v>#REF!</v>
      </c>
      <c r="E1646" s="53">
        <v>0.01</v>
      </c>
      <c r="F1646" s="16" t="e">
        <f t="shared" si="119"/>
        <v>#REF!</v>
      </c>
      <c r="H1646" s="10">
        <v>1642</v>
      </c>
    </row>
    <row r="1647" spans="1:8" s="3" customFormat="1">
      <c r="A1647" s="13">
        <v>4</v>
      </c>
      <c r="B1647" s="5" t="s">
        <v>88</v>
      </c>
      <c r="C1647" s="6" t="str">
        <f>Gia_VLieu!C6</f>
        <v>Quyển</v>
      </c>
      <c r="D1647" s="66">
        <f>Gia_VLieu!D6</f>
        <v>10000</v>
      </c>
      <c r="E1647" s="53">
        <v>1.5</v>
      </c>
      <c r="F1647" s="16">
        <f t="shared" si="119"/>
        <v>15000</v>
      </c>
      <c r="H1647" s="10">
        <v>1643</v>
      </c>
    </row>
    <row r="1648" spans="1:8" s="3" customFormat="1">
      <c r="A1648" s="13">
        <v>5</v>
      </c>
      <c r="B1648" s="5" t="s">
        <v>22</v>
      </c>
      <c r="C1648" s="6" t="str">
        <f>Gia_VLieu!C7</f>
        <v>Cái</v>
      </c>
      <c r="D1648" s="66">
        <f>Gia_VLieu!D7</f>
        <v>2000</v>
      </c>
      <c r="E1648" s="53">
        <v>2</v>
      </c>
      <c r="F1648" s="16">
        <f t="shared" si="119"/>
        <v>4000</v>
      </c>
      <c r="H1648" s="10">
        <v>1644</v>
      </c>
    </row>
    <row r="1649" spans="1:8" s="3" customFormat="1">
      <c r="A1649" s="13">
        <v>6</v>
      </c>
      <c r="B1649" s="5" t="s">
        <v>89</v>
      </c>
      <c r="C1649" s="6" t="str">
        <f>Gia_VLieu!C8</f>
        <v>Cái</v>
      </c>
      <c r="D1649" s="66">
        <f>Gia_VLieu!D8</f>
        <v>8000</v>
      </c>
      <c r="E1649" s="53">
        <v>0.5</v>
      </c>
      <c r="F1649" s="16">
        <f t="shared" si="119"/>
        <v>4000</v>
      </c>
      <c r="H1649" s="10">
        <v>1645</v>
      </c>
    </row>
    <row r="1650" spans="1:8" s="3" customFormat="1">
      <c r="A1650" s="13">
        <v>7</v>
      </c>
      <c r="B1650" s="5" t="s">
        <v>90</v>
      </c>
      <c r="C1650" s="6" t="str">
        <f>Gia_VLieu!C9</f>
        <v>Cái</v>
      </c>
      <c r="D1650" s="66">
        <f>Gia_VLieu!D9</f>
        <v>10000</v>
      </c>
      <c r="E1650" s="53">
        <v>0.5</v>
      </c>
      <c r="F1650" s="16">
        <f t="shared" si="119"/>
        <v>5000</v>
      </c>
      <c r="H1650" s="10">
        <v>1646</v>
      </c>
    </row>
    <row r="1651" spans="1:8" s="3" customFormat="1">
      <c r="A1651" s="13">
        <v>8</v>
      </c>
      <c r="B1651" s="5" t="s">
        <v>91</v>
      </c>
      <c r="C1651" s="6" t="str">
        <f>Gia_VLieu!C10</f>
        <v>Hộp</v>
      </c>
      <c r="D1651" s="66">
        <f>Gia_VLieu!D10</f>
        <v>2500</v>
      </c>
      <c r="E1651" s="53">
        <v>1</v>
      </c>
      <c r="F1651" s="16">
        <f t="shared" si="119"/>
        <v>2500</v>
      </c>
      <c r="H1651" s="10">
        <v>1647</v>
      </c>
    </row>
    <row r="1652" spans="1:8" s="3" customFormat="1">
      <c r="A1652" s="13">
        <v>9</v>
      </c>
      <c r="B1652" s="5" t="s">
        <v>92</v>
      </c>
      <c r="C1652" s="6" t="str">
        <f>Gia_VLieu!C11</f>
        <v>Hộp</v>
      </c>
      <c r="D1652" s="66">
        <f>Gia_VLieu!D11</f>
        <v>2000</v>
      </c>
      <c r="E1652" s="53">
        <v>0.5</v>
      </c>
      <c r="F1652" s="16">
        <f t="shared" si="119"/>
        <v>1000</v>
      </c>
      <c r="H1652" s="10">
        <v>1648</v>
      </c>
    </row>
    <row r="1653" spans="1:8" s="3" customFormat="1">
      <c r="A1653" s="13">
        <v>10</v>
      </c>
      <c r="B1653" s="5" t="s">
        <v>93</v>
      </c>
      <c r="C1653" s="6" t="str">
        <f>Gia_VLieu!C12</f>
        <v>Tập</v>
      </c>
      <c r="D1653" s="66">
        <f>Gia_VLieu!D12</f>
        <v>8000</v>
      </c>
      <c r="E1653" s="53">
        <v>0.75</v>
      </c>
      <c r="F1653" s="16">
        <f t="shared" si="119"/>
        <v>6000</v>
      </c>
      <c r="H1653" s="10">
        <v>1649</v>
      </c>
    </row>
    <row r="1654" spans="1:8" s="3" customFormat="1">
      <c r="A1654" s="40">
        <v>11</v>
      </c>
      <c r="B1654" s="41" t="s">
        <v>94</v>
      </c>
      <c r="C1654" s="42" t="str">
        <f>Gia_VLieu!C13</f>
        <v>Cái</v>
      </c>
      <c r="D1654" s="67">
        <f>Gia_VLieu!D13</f>
        <v>15000</v>
      </c>
      <c r="E1654" s="54">
        <v>1</v>
      </c>
      <c r="F1654" s="38">
        <f>D1654*E1654</f>
        <v>15000</v>
      </c>
      <c r="H1654" s="10">
        <v>1650</v>
      </c>
    </row>
    <row r="1655" spans="1:8" s="14" customFormat="1">
      <c r="A1655" s="12" t="e">
        <f>#REF!</f>
        <v>#REF!</v>
      </c>
      <c r="B1655" s="8" t="e">
        <f>#REF!</f>
        <v>#REF!</v>
      </c>
      <c r="C1655" s="7"/>
      <c r="D1655" s="72"/>
      <c r="E1655" s="48"/>
      <c r="F1655" s="17"/>
      <c r="H1655" s="10">
        <v>1651</v>
      </c>
    </row>
    <row r="1656" spans="1:8" s="14" customFormat="1">
      <c r="A1656" s="12" t="e">
        <f>#REF!</f>
        <v>#REF!</v>
      </c>
      <c r="B1656" s="8" t="e">
        <f>#REF!</f>
        <v>#REF!</v>
      </c>
      <c r="C1656" s="7"/>
      <c r="D1656" s="127">
        <f>Gia_VLieu!D$14</f>
        <v>1.08</v>
      </c>
      <c r="E1656" s="45"/>
      <c r="F1656" s="18" t="e">
        <f>SUM(F1657:F1667)*D1656</f>
        <v>#REF!</v>
      </c>
      <c r="H1656" s="10">
        <v>1652</v>
      </c>
    </row>
    <row r="1657" spans="1:8" s="3" customFormat="1">
      <c r="A1657" s="13">
        <v>1</v>
      </c>
      <c r="B1657" s="5" t="s">
        <v>85</v>
      </c>
      <c r="C1657" s="6" t="str">
        <f>Gia_VLieu!C4</f>
        <v>Gram</v>
      </c>
      <c r="D1657" s="66">
        <f>Gia_VLieu!D4</f>
        <v>45000</v>
      </c>
      <c r="E1657" s="53">
        <v>0.5</v>
      </c>
      <c r="F1657" s="16">
        <f>D1657*E1657</f>
        <v>22500</v>
      </c>
      <c r="H1657" s="10">
        <v>1653</v>
      </c>
    </row>
    <row r="1658" spans="1:8" s="3" customFormat="1">
      <c r="A1658" s="13">
        <v>2</v>
      </c>
      <c r="B1658" s="5" t="s">
        <v>86</v>
      </c>
      <c r="C1658" s="6" t="str">
        <f>Gia_VLieu!C5</f>
        <v>Hộp</v>
      </c>
      <c r="D1658" s="66">
        <f>Gia_VLieu!D5</f>
        <v>1450000</v>
      </c>
      <c r="E1658" s="53">
        <v>0.06</v>
      </c>
      <c r="F1658" s="16">
        <f t="shared" ref="F1658:F1666" si="120">D1658*E1658</f>
        <v>87000</v>
      </c>
      <c r="H1658" s="10">
        <v>1654</v>
      </c>
    </row>
    <row r="1659" spans="1:8" s="3" customFormat="1">
      <c r="A1659" s="13">
        <v>3</v>
      </c>
      <c r="B1659" s="5" t="s">
        <v>87</v>
      </c>
      <c r="C1659" s="6" t="e">
        <f>Gia_VLieu!#REF!</f>
        <v>#REF!</v>
      </c>
      <c r="D1659" s="66" t="e">
        <f>Gia_VLieu!#REF!</f>
        <v>#REF!</v>
      </c>
      <c r="E1659" s="53">
        <v>0.08</v>
      </c>
      <c r="F1659" s="16" t="e">
        <f t="shared" si="120"/>
        <v>#REF!</v>
      </c>
      <c r="H1659" s="10">
        <v>1655</v>
      </c>
    </row>
    <row r="1660" spans="1:8" s="3" customFormat="1">
      <c r="A1660" s="13">
        <v>4</v>
      </c>
      <c r="B1660" s="5" t="s">
        <v>88</v>
      </c>
      <c r="C1660" s="6" t="str">
        <f>Gia_VLieu!C6</f>
        <v>Quyển</v>
      </c>
      <c r="D1660" s="66">
        <f>Gia_VLieu!D6</f>
        <v>10000</v>
      </c>
      <c r="E1660" s="53">
        <v>4</v>
      </c>
      <c r="F1660" s="16">
        <f t="shared" si="120"/>
        <v>40000</v>
      </c>
      <c r="H1660" s="10">
        <v>1656</v>
      </c>
    </row>
    <row r="1661" spans="1:8" s="3" customFormat="1">
      <c r="A1661" s="13">
        <v>5</v>
      </c>
      <c r="B1661" s="5" t="s">
        <v>22</v>
      </c>
      <c r="C1661" s="6" t="str">
        <f>Gia_VLieu!C7</f>
        <v>Cái</v>
      </c>
      <c r="D1661" s="66">
        <f>Gia_VLieu!D7</f>
        <v>2000</v>
      </c>
      <c r="E1661" s="53">
        <v>6</v>
      </c>
      <c r="F1661" s="16">
        <f t="shared" si="120"/>
        <v>12000</v>
      </c>
      <c r="H1661" s="10">
        <v>1657</v>
      </c>
    </row>
    <row r="1662" spans="1:8" s="3" customFormat="1">
      <c r="A1662" s="13">
        <v>6</v>
      </c>
      <c r="B1662" s="5" t="s">
        <v>89</v>
      </c>
      <c r="C1662" s="6" t="str">
        <f>Gia_VLieu!C8</f>
        <v>Cái</v>
      </c>
      <c r="D1662" s="66">
        <f>Gia_VLieu!D8</f>
        <v>8000</v>
      </c>
      <c r="E1662" s="53">
        <v>3</v>
      </c>
      <c r="F1662" s="16">
        <f t="shared" si="120"/>
        <v>24000</v>
      </c>
      <c r="H1662" s="10">
        <v>1658</v>
      </c>
    </row>
    <row r="1663" spans="1:8" s="3" customFormat="1">
      <c r="A1663" s="13">
        <v>7</v>
      </c>
      <c r="B1663" s="5" t="s">
        <v>90</v>
      </c>
      <c r="C1663" s="6" t="str">
        <f>Gia_VLieu!C9</f>
        <v>Cái</v>
      </c>
      <c r="D1663" s="66">
        <f>Gia_VLieu!D9</f>
        <v>10000</v>
      </c>
      <c r="E1663" s="53">
        <v>3</v>
      </c>
      <c r="F1663" s="16">
        <f t="shared" si="120"/>
        <v>30000</v>
      </c>
      <c r="H1663" s="10">
        <v>1659</v>
      </c>
    </row>
    <row r="1664" spans="1:8" s="3" customFormat="1">
      <c r="A1664" s="13">
        <v>8</v>
      </c>
      <c r="B1664" s="5" t="s">
        <v>91</v>
      </c>
      <c r="C1664" s="6" t="str">
        <f>Gia_VLieu!C10</f>
        <v>Hộp</v>
      </c>
      <c r="D1664" s="66">
        <f>Gia_VLieu!D10</f>
        <v>2500</v>
      </c>
      <c r="E1664" s="53">
        <v>3</v>
      </c>
      <c r="F1664" s="16">
        <f t="shared" si="120"/>
        <v>7500</v>
      </c>
      <c r="H1664" s="10">
        <v>1660</v>
      </c>
    </row>
    <row r="1665" spans="1:8" s="3" customFormat="1">
      <c r="A1665" s="13">
        <v>9</v>
      </c>
      <c r="B1665" s="5" t="s">
        <v>92</v>
      </c>
      <c r="C1665" s="6" t="str">
        <f>Gia_VLieu!C11</f>
        <v>Hộp</v>
      </c>
      <c r="D1665" s="66">
        <f>Gia_VLieu!D11</f>
        <v>2000</v>
      </c>
      <c r="E1665" s="53">
        <v>2</v>
      </c>
      <c r="F1665" s="16">
        <f t="shared" si="120"/>
        <v>4000</v>
      </c>
      <c r="H1665" s="10">
        <v>1661</v>
      </c>
    </row>
    <row r="1666" spans="1:8" s="3" customFormat="1">
      <c r="A1666" s="13">
        <v>10</v>
      </c>
      <c r="B1666" s="5" t="s">
        <v>93</v>
      </c>
      <c r="C1666" s="6" t="str">
        <f>Gia_VLieu!C12</f>
        <v>Tập</v>
      </c>
      <c r="D1666" s="66">
        <f>Gia_VLieu!D12</f>
        <v>8000</v>
      </c>
      <c r="E1666" s="53">
        <v>2</v>
      </c>
      <c r="F1666" s="16">
        <f t="shared" si="120"/>
        <v>16000</v>
      </c>
      <c r="H1666" s="10">
        <v>1662</v>
      </c>
    </row>
    <row r="1667" spans="1:8" s="3" customFormat="1">
      <c r="A1667" s="40">
        <v>11</v>
      </c>
      <c r="B1667" s="41" t="s">
        <v>94</v>
      </c>
      <c r="C1667" s="42" t="str">
        <f>Gia_VLieu!C13</f>
        <v>Cái</v>
      </c>
      <c r="D1667" s="67">
        <f>Gia_VLieu!D13</f>
        <v>15000</v>
      </c>
      <c r="E1667" s="54">
        <v>4</v>
      </c>
      <c r="F1667" s="38">
        <f>D1667*E1667</f>
        <v>60000</v>
      </c>
      <c r="H1667" s="10">
        <v>1663</v>
      </c>
    </row>
    <row r="1668" spans="1:8" s="14" customFormat="1">
      <c r="A1668" s="12" t="e">
        <f>#REF!</f>
        <v>#REF!</v>
      </c>
      <c r="B1668" s="8" t="e">
        <f>#REF!</f>
        <v>#REF!</v>
      </c>
      <c r="C1668" s="7"/>
      <c r="D1668" s="127">
        <f>Gia_VLieu!D$14</f>
        <v>1.08</v>
      </c>
      <c r="E1668" s="45"/>
      <c r="F1668" s="18" t="e">
        <f>SUM(F1669:F1679)*D1668</f>
        <v>#REF!</v>
      </c>
      <c r="H1668" s="10">
        <v>1664</v>
      </c>
    </row>
    <row r="1669" spans="1:8" s="3" customFormat="1">
      <c r="A1669" s="13">
        <v>1</v>
      </c>
      <c r="B1669" s="5" t="s">
        <v>85</v>
      </c>
      <c r="C1669" s="6" t="str">
        <f>Gia_VLieu!C4</f>
        <v>Gram</v>
      </c>
      <c r="D1669" s="66">
        <f>Gia_VLieu!D4</f>
        <v>45000</v>
      </c>
      <c r="E1669" s="53">
        <v>0.2</v>
      </c>
      <c r="F1669" s="16">
        <f>D1669*E1669</f>
        <v>9000</v>
      </c>
      <c r="H1669" s="10">
        <v>1665</v>
      </c>
    </row>
    <row r="1670" spans="1:8" s="3" customFormat="1">
      <c r="A1670" s="13">
        <v>2</v>
      </c>
      <c r="B1670" s="5" t="s">
        <v>86</v>
      </c>
      <c r="C1670" s="6" t="str">
        <f>Gia_VLieu!C5</f>
        <v>Hộp</v>
      </c>
      <c r="D1670" s="66">
        <f>Gia_VLieu!D5</f>
        <v>1450000</v>
      </c>
      <c r="E1670" s="53">
        <v>0.02</v>
      </c>
      <c r="F1670" s="16">
        <f t="shared" ref="F1670:F1678" si="121">D1670*E1670</f>
        <v>29000</v>
      </c>
      <c r="H1670" s="10">
        <v>1666</v>
      </c>
    </row>
    <row r="1671" spans="1:8" s="3" customFormat="1">
      <c r="A1671" s="13">
        <v>3</v>
      </c>
      <c r="B1671" s="5" t="s">
        <v>87</v>
      </c>
      <c r="C1671" s="6" t="e">
        <f>Gia_VLieu!#REF!</f>
        <v>#REF!</v>
      </c>
      <c r="D1671" s="66" t="e">
        <f>Gia_VLieu!#REF!</f>
        <v>#REF!</v>
      </c>
      <c r="E1671" s="53">
        <v>0.03</v>
      </c>
      <c r="F1671" s="16" t="e">
        <f t="shared" si="121"/>
        <v>#REF!</v>
      </c>
      <c r="H1671" s="10">
        <v>1667</v>
      </c>
    </row>
    <row r="1672" spans="1:8" s="3" customFormat="1">
      <c r="A1672" s="13">
        <v>4</v>
      </c>
      <c r="B1672" s="5" t="s">
        <v>88</v>
      </c>
      <c r="C1672" s="6" t="str">
        <f>Gia_VLieu!C6</f>
        <v>Quyển</v>
      </c>
      <c r="D1672" s="66">
        <f>Gia_VLieu!D6</f>
        <v>10000</v>
      </c>
      <c r="E1672" s="53">
        <v>1.6</v>
      </c>
      <c r="F1672" s="16">
        <f t="shared" si="121"/>
        <v>16000</v>
      </c>
      <c r="H1672" s="10">
        <v>1668</v>
      </c>
    </row>
    <row r="1673" spans="1:8" s="3" customFormat="1">
      <c r="A1673" s="13">
        <v>5</v>
      </c>
      <c r="B1673" s="5" t="s">
        <v>22</v>
      </c>
      <c r="C1673" s="6" t="str">
        <f>Gia_VLieu!C7</f>
        <v>Cái</v>
      </c>
      <c r="D1673" s="66">
        <f>Gia_VLieu!D7</f>
        <v>2000</v>
      </c>
      <c r="E1673" s="53">
        <v>2.4</v>
      </c>
      <c r="F1673" s="16">
        <f t="shared" si="121"/>
        <v>4800</v>
      </c>
      <c r="H1673" s="10">
        <v>1669</v>
      </c>
    </row>
    <row r="1674" spans="1:8" s="3" customFormat="1">
      <c r="A1674" s="13">
        <v>6</v>
      </c>
      <c r="B1674" s="5" t="s">
        <v>89</v>
      </c>
      <c r="C1674" s="6" t="str">
        <f>Gia_VLieu!C8</f>
        <v>Cái</v>
      </c>
      <c r="D1674" s="66">
        <f>Gia_VLieu!D8</f>
        <v>8000</v>
      </c>
      <c r="E1674" s="53">
        <v>1.2</v>
      </c>
      <c r="F1674" s="16">
        <f t="shared" si="121"/>
        <v>9600</v>
      </c>
      <c r="H1674" s="10">
        <v>1670</v>
      </c>
    </row>
    <row r="1675" spans="1:8" s="3" customFormat="1">
      <c r="A1675" s="13">
        <v>7</v>
      </c>
      <c r="B1675" s="5" t="s">
        <v>90</v>
      </c>
      <c r="C1675" s="6" t="str">
        <f>Gia_VLieu!C9</f>
        <v>Cái</v>
      </c>
      <c r="D1675" s="66">
        <f>Gia_VLieu!D9</f>
        <v>10000</v>
      </c>
      <c r="E1675" s="53">
        <v>1.2</v>
      </c>
      <c r="F1675" s="16">
        <f t="shared" si="121"/>
        <v>12000</v>
      </c>
      <c r="H1675" s="10">
        <v>1671</v>
      </c>
    </row>
    <row r="1676" spans="1:8" s="3" customFormat="1">
      <c r="A1676" s="13">
        <v>8</v>
      </c>
      <c r="B1676" s="5" t="s">
        <v>91</v>
      </c>
      <c r="C1676" s="6" t="str">
        <f>Gia_VLieu!C10</f>
        <v>Hộp</v>
      </c>
      <c r="D1676" s="66">
        <f>Gia_VLieu!D10</f>
        <v>2500</v>
      </c>
      <c r="E1676" s="53">
        <v>1.2</v>
      </c>
      <c r="F1676" s="16">
        <f t="shared" si="121"/>
        <v>3000</v>
      </c>
      <c r="H1676" s="10">
        <v>1672</v>
      </c>
    </row>
    <row r="1677" spans="1:8" s="3" customFormat="1">
      <c r="A1677" s="13">
        <v>9</v>
      </c>
      <c r="B1677" s="5" t="s">
        <v>92</v>
      </c>
      <c r="C1677" s="6" t="str">
        <f>Gia_VLieu!C11</f>
        <v>Hộp</v>
      </c>
      <c r="D1677" s="66">
        <f>Gia_VLieu!D11</f>
        <v>2000</v>
      </c>
      <c r="E1677" s="53">
        <v>0.8</v>
      </c>
      <c r="F1677" s="16">
        <f t="shared" si="121"/>
        <v>1600</v>
      </c>
      <c r="H1677" s="10">
        <v>1673</v>
      </c>
    </row>
    <row r="1678" spans="1:8" s="3" customFormat="1">
      <c r="A1678" s="13">
        <v>10</v>
      </c>
      <c r="B1678" s="5" t="s">
        <v>93</v>
      </c>
      <c r="C1678" s="6" t="str">
        <f>Gia_VLieu!C12</f>
        <v>Tập</v>
      </c>
      <c r="D1678" s="66">
        <f>Gia_VLieu!D12</f>
        <v>8000</v>
      </c>
      <c r="E1678" s="53">
        <v>0.8</v>
      </c>
      <c r="F1678" s="16">
        <f t="shared" si="121"/>
        <v>6400</v>
      </c>
      <c r="H1678" s="10">
        <v>1674</v>
      </c>
    </row>
    <row r="1679" spans="1:8" s="3" customFormat="1">
      <c r="A1679" s="40">
        <v>11</v>
      </c>
      <c r="B1679" s="41" t="s">
        <v>94</v>
      </c>
      <c r="C1679" s="42" t="str">
        <f>Gia_VLieu!C13</f>
        <v>Cái</v>
      </c>
      <c r="D1679" s="67">
        <f>Gia_VLieu!D13</f>
        <v>15000</v>
      </c>
      <c r="E1679" s="54">
        <v>1.6</v>
      </c>
      <c r="F1679" s="38">
        <f>D1679*E1679</f>
        <v>24000</v>
      </c>
      <c r="H1679" s="10">
        <v>1675</v>
      </c>
    </row>
    <row r="1680" spans="1:8" s="14" customFormat="1">
      <c r="A1680" s="12" t="e">
        <f>#REF!</f>
        <v>#REF!</v>
      </c>
      <c r="B1680" s="8" t="e">
        <f>#REF!</f>
        <v>#REF!</v>
      </c>
      <c r="C1680" s="7"/>
      <c r="D1680" s="127">
        <f>Gia_VLieu!D$14</f>
        <v>1.08</v>
      </c>
      <c r="E1680" s="45"/>
      <c r="F1680" s="18" t="e">
        <f>SUM(F1681:F1691)*D1680</f>
        <v>#REF!</v>
      </c>
      <c r="H1680" s="10">
        <v>1676</v>
      </c>
    </row>
    <row r="1681" spans="1:8" s="3" customFormat="1">
      <c r="A1681" s="13">
        <v>1</v>
      </c>
      <c r="B1681" s="5" t="s">
        <v>85</v>
      </c>
      <c r="C1681" s="6" t="str">
        <f>Gia_VLieu!C4</f>
        <v>Gram</v>
      </c>
      <c r="D1681" s="66">
        <f>Gia_VLieu!D4</f>
        <v>45000</v>
      </c>
      <c r="E1681" s="53">
        <v>0.25</v>
      </c>
      <c r="F1681" s="16">
        <f>D1681*E1681</f>
        <v>11250</v>
      </c>
      <c r="H1681" s="10">
        <v>1677</v>
      </c>
    </row>
    <row r="1682" spans="1:8" s="3" customFormat="1">
      <c r="A1682" s="13">
        <v>2</v>
      </c>
      <c r="B1682" s="5" t="s">
        <v>86</v>
      </c>
      <c r="C1682" s="6" t="str">
        <f>Gia_VLieu!C5</f>
        <v>Hộp</v>
      </c>
      <c r="D1682" s="66">
        <f>Gia_VLieu!D5</f>
        <v>1450000</v>
      </c>
      <c r="E1682" s="53">
        <v>0.03</v>
      </c>
      <c r="F1682" s="16">
        <f t="shared" ref="F1682:F1690" si="122">D1682*E1682</f>
        <v>43500</v>
      </c>
      <c r="H1682" s="10">
        <v>1678</v>
      </c>
    </row>
    <row r="1683" spans="1:8" s="3" customFormat="1">
      <c r="A1683" s="13">
        <v>3</v>
      </c>
      <c r="B1683" s="5" t="s">
        <v>87</v>
      </c>
      <c r="C1683" s="6" t="e">
        <f>Gia_VLieu!#REF!</f>
        <v>#REF!</v>
      </c>
      <c r="D1683" s="66" t="e">
        <f>Gia_VLieu!#REF!</f>
        <v>#REF!</v>
      </c>
      <c r="E1683" s="53">
        <v>0.04</v>
      </c>
      <c r="F1683" s="16" t="e">
        <f t="shared" si="122"/>
        <v>#REF!</v>
      </c>
      <c r="H1683" s="10">
        <v>1679</v>
      </c>
    </row>
    <row r="1684" spans="1:8" s="3" customFormat="1">
      <c r="A1684" s="13">
        <v>4</v>
      </c>
      <c r="B1684" s="5" t="s">
        <v>88</v>
      </c>
      <c r="C1684" s="6" t="str">
        <f>Gia_VLieu!C6</f>
        <v>Quyển</v>
      </c>
      <c r="D1684" s="66">
        <f>Gia_VLieu!D6</f>
        <v>10000</v>
      </c>
      <c r="E1684" s="53">
        <v>2</v>
      </c>
      <c r="F1684" s="16">
        <f t="shared" si="122"/>
        <v>20000</v>
      </c>
      <c r="H1684" s="10">
        <v>1680</v>
      </c>
    </row>
    <row r="1685" spans="1:8" s="3" customFormat="1">
      <c r="A1685" s="13">
        <v>5</v>
      </c>
      <c r="B1685" s="5" t="s">
        <v>22</v>
      </c>
      <c r="C1685" s="6" t="str">
        <f>Gia_VLieu!C7</f>
        <v>Cái</v>
      </c>
      <c r="D1685" s="66">
        <f>Gia_VLieu!D7</f>
        <v>2000</v>
      </c>
      <c r="E1685" s="53">
        <v>3</v>
      </c>
      <c r="F1685" s="16">
        <f t="shared" si="122"/>
        <v>6000</v>
      </c>
      <c r="H1685" s="10">
        <v>1681</v>
      </c>
    </row>
    <row r="1686" spans="1:8" s="3" customFormat="1">
      <c r="A1686" s="13">
        <v>6</v>
      </c>
      <c r="B1686" s="5" t="s">
        <v>89</v>
      </c>
      <c r="C1686" s="6" t="str">
        <f>Gia_VLieu!C8</f>
        <v>Cái</v>
      </c>
      <c r="D1686" s="66">
        <f>Gia_VLieu!D8</f>
        <v>8000</v>
      </c>
      <c r="E1686" s="53">
        <v>1.5</v>
      </c>
      <c r="F1686" s="16">
        <f t="shared" si="122"/>
        <v>12000</v>
      </c>
      <c r="H1686" s="10">
        <v>1682</v>
      </c>
    </row>
    <row r="1687" spans="1:8" s="3" customFormat="1">
      <c r="A1687" s="13">
        <v>7</v>
      </c>
      <c r="B1687" s="5" t="s">
        <v>90</v>
      </c>
      <c r="C1687" s="6" t="str">
        <f>Gia_VLieu!C9</f>
        <v>Cái</v>
      </c>
      <c r="D1687" s="66">
        <f>Gia_VLieu!D9</f>
        <v>10000</v>
      </c>
      <c r="E1687" s="53">
        <v>1.5</v>
      </c>
      <c r="F1687" s="16">
        <f t="shared" si="122"/>
        <v>15000</v>
      </c>
      <c r="H1687" s="10">
        <v>1683</v>
      </c>
    </row>
    <row r="1688" spans="1:8" s="3" customFormat="1">
      <c r="A1688" s="13">
        <v>8</v>
      </c>
      <c r="B1688" s="5" t="s">
        <v>91</v>
      </c>
      <c r="C1688" s="6" t="str">
        <f>Gia_VLieu!C10</f>
        <v>Hộp</v>
      </c>
      <c r="D1688" s="66">
        <f>Gia_VLieu!D10</f>
        <v>2500</v>
      </c>
      <c r="E1688" s="53">
        <v>1.5</v>
      </c>
      <c r="F1688" s="16">
        <f t="shared" si="122"/>
        <v>3750</v>
      </c>
      <c r="H1688" s="10">
        <v>1684</v>
      </c>
    </row>
    <row r="1689" spans="1:8" s="3" customFormat="1">
      <c r="A1689" s="13">
        <v>9</v>
      </c>
      <c r="B1689" s="5" t="s">
        <v>92</v>
      </c>
      <c r="C1689" s="6" t="str">
        <f>Gia_VLieu!C11</f>
        <v>Hộp</v>
      </c>
      <c r="D1689" s="66">
        <f>Gia_VLieu!D11</f>
        <v>2000</v>
      </c>
      <c r="E1689" s="53">
        <v>1</v>
      </c>
      <c r="F1689" s="16">
        <f t="shared" si="122"/>
        <v>2000</v>
      </c>
      <c r="H1689" s="10">
        <v>1685</v>
      </c>
    </row>
    <row r="1690" spans="1:8" s="3" customFormat="1">
      <c r="A1690" s="13">
        <v>10</v>
      </c>
      <c r="B1690" s="5" t="s">
        <v>93</v>
      </c>
      <c r="C1690" s="6" t="str">
        <f>Gia_VLieu!C12</f>
        <v>Tập</v>
      </c>
      <c r="D1690" s="66">
        <f>Gia_VLieu!D12</f>
        <v>8000</v>
      </c>
      <c r="E1690" s="53">
        <v>1</v>
      </c>
      <c r="F1690" s="16">
        <f t="shared" si="122"/>
        <v>8000</v>
      </c>
      <c r="H1690" s="10">
        <v>1686</v>
      </c>
    </row>
    <row r="1691" spans="1:8" s="3" customFormat="1">
      <c r="A1691" s="13">
        <v>11</v>
      </c>
      <c r="B1691" s="5" t="s">
        <v>94</v>
      </c>
      <c r="C1691" s="6" t="str">
        <f>Gia_VLieu!C13</f>
        <v>Cái</v>
      </c>
      <c r="D1691" s="66">
        <f>Gia_VLieu!D13</f>
        <v>15000</v>
      </c>
      <c r="E1691" s="53">
        <v>2</v>
      </c>
      <c r="F1691" s="16">
        <f>D1691*E1691</f>
        <v>30000</v>
      </c>
      <c r="H1691" s="10">
        <v>1687</v>
      </c>
    </row>
    <row r="1692" spans="1:8" s="3" customFormat="1" ht="16.5" thickBot="1">
      <c r="A1692" s="121"/>
      <c r="B1692" s="122"/>
      <c r="C1692" s="123"/>
      <c r="D1692" s="75"/>
      <c r="E1692" s="128"/>
      <c r="F1692" s="129"/>
      <c r="H1692" s="10"/>
    </row>
  </sheetData>
  <mergeCells count="7">
    <mergeCell ref="A1:F1"/>
    <mergeCell ref="A273:A275"/>
    <mergeCell ref="A288:A290"/>
    <mergeCell ref="A302:A304"/>
    <mergeCell ref="A3:A4"/>
    <mergeCell ref="B3:B4"/>
    <mergeCell ref="C3:C4"/>
  </mergeCells>
  <phoneticPr fontId="104" type="noConversion"/>
  <printOptions horizontalCentered="1"/>
  <pageMargins left="0.5" right="0.25" top="0.5" bottom="0.5"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H14"/>
  <sheetViews>
    <sheetView workbookViewId="0">
      <selection activeCell="F15" sqref="F15"/>
    </sheetView>
  </sheetViews>
  <sheetFormatPr defaultColWidth="9" defaultRowHeight="15"/>
  <cols>
    <col min="1" max="1" width="7.625" style="324" customWidth="1"/>
    <col min="2" max="2" width="19" style="10" customWidth="1"/>
    <col min="3" max="3" width="5.625" style="324" bestFit="1" customWidth="1"/>
    <col min="4" max="4" width="8.625" style="10" customWidth="1"/>
    <col min="5" max="5" width="9.125" style="10" bestFit="1" customWidth="1"/>
    <col min="6" max="6" width="8.625" style="351" customWidth="1"/>
    <col min="7" max="7" width="14.125" style="325" customWidth="1"/>
    <col min="8" max="16384" width="9" style="10"/>
  </cols>
  <sheetData>
    <row r="1" spans="1:8" ht="15.75">
      <c r="A1" s="1181" t="s">
        <v>1012</v>
      </c>
      <c r="B1" s="1181"/>
      <c r="C1" s="1181"/>
      <c r="D1" s="1181"/>
      <c r="E1" s="1181"/>
      <c r="F1" s="1181"/>
      <c r="G1" s="1181"/>
    </row>
    <row r="2" spans="1:8" ht="15.75">
      <c r="A2" s="25"/>
      <c r="B2" s="3"/>
      <c r="C2" s="25"/>
      <c r="D2" s="3"/>
      <c r="E2" s="3"/>
      <c r="F2" s="26"/>
      <c r="G2" s="27" t="s">
        <v>78</v>
      </c>
    </row>
    <row r="3" spans="1:8" s="11" customFormat="1" ht="31.5">
      <c r="A3" s="708" t="s">
        <v>14</v>
      </c>
      <c r="B3" s="708" t="s">
        <v>2</v>
      </c>
      <c r="C3" s="708" t="s">
        <v>21</v>
      </c>
      <c r="D3" s="708" t="s">
        <v>77</v>
      </c>
      <c r="E3" s="708" t="s">
        <v>80</v>
      </c>
      <c r="F3" s="708" t="s">
        <v>16</v>
      </c>
      <c r="G3" s="742" t="s">
        <v>6</v>
      </c>
    </row>
    <row r="4" spans="1:8" ht="15.75">
      <c r="A4" s="590">
        <v>1</v>
      </c>
      <c r="B4" s="591" t="s">
        <v>50</v>
      </c>
      <c r="C4" s="668" t="s">
        <v>556</v>
      </c>
      <c r="D4" s="668">
        <v>12</v>
      </c>
      <c r="E4" s="669">
        <v>20000</v>
      </c>
      <c r="F4" s="670">
        <f t="shared" ref="F4:F13" si="0">E4/D4/26</f>
        <v>64.102564102564102</v>
      </c>
      <c r="G4" s="743" t="s">
        <v>110</v>
      </c>
    </row>
    <row r="5" spans="1:8" ht="15.75">
      <c r="A5" s="590">
        <v>2</v>
      </c>
      <c r="B5" s="591" t="s">
        <v>51</v>
      </c>
      <c r="C5" s="668" t="s">
        <v>556</v>
      </c>
      <c r="D5" s="668">
        <v>12</v>
      </c>
      <c r="E5" s="669">
        <v>2000</v>
      </c>
      <c r="F5" s="670">
        <f t="shared" si="0"/>
        <v>6.4102564102564097</v>
      </c>
      <c r="G5" s="743"/>
    </row>
    <row r="6" spans="1:8" ht="15.75">
      <c r="A6" s="590">
        <v>3</v>
      </c>
      <c r="B6" s="591" t="s">
        <v>52</v>
      </c>
      <c r="C6" s="668" t="s">
        <v>556</v>
      </c>
      <c r="D6" s="668">
        <v>24</v>
      </c>
      <c r="E6" s="669">
        <v>13500</v>
      </c>
      <c r="F6" s="670">
        <f>E6/D6/26</f>
        <v>21.634615384615383</v>
      </c>
      <c r="G6" s="743"/>
    </row>
    <row r="7" spans="1:8" ht="15.75">
      <c r="A7" s="590">
        <v>4</v>
      </c>
      <c r="B7" s="591" t="s">
        <v>53</v>
      </c>
      <c r="C7" s="668" t="s">
        <v>556</v>
      </c>
      <c r="D7" s="668">
        <v>60</v>
      </c>
      <c r="E7" s="669">
        <v>1500000</v>
      </c>
      <c r="F7" s="670">
        <f t="shared" si="0"/>
        <v>961.53846153846155</v>
      </c>
      <c r="G7" s="743"/>
    </row>
    <row r="8" spans="1:8" ht="15.75">
      <c r="A8" s="590">
        <v>5</v>
      </c>
      <c r="B8" s="591" t="s">
        <v>54</v>
      </c>
      <c r="C8" s="668" t="s">
        <v>556</v>
      </c>
      <c r="D8" s="668">
        <v>60</v>
      </c>
      <c r="E8" s="744">
        <v>360000</v>
      </c>
      <c r="F8" s="670">
        <f t="shared" si="0"/>
        <v>230.76923076923077</v>
      </c>
      <c r="G8" s="743"/>
    </row>
    <row r="9" spans="1:8" ht="15.75">
      <c r="A9" s="590">
        <v>6</v>
      </c>
      <c r="B9" s="591" t="s">
        <v>27</v>
      </c>
      <c r="C9" s="668" t="s">
        <v>556</v>
      </c>
      <c r="D9" s="668">
        <v>60</v>
      </c>
      <c r="E9" s="669">
        <v>754000</v>
      </c>
      <c r="F9" s="670">
        <f t="shared" si="0"/>
        <v>483.33333333333331</v>
      </c>
      <c r="G9" s="743"/>
    </row>
    <row r="10" spans="1:8" ht="15.75">
      <c r="A10" s="590">
        <v>7</v>
      </c>
      <c r="B10" s="591" t="s">
        <v>55</v>
      </c>
      <c r="C10" s="668" t="s">
        <v>556</v>
      </c>
      <c r="D10" s="668">
        <v>60</v>
      </c>
      <c r="E10" s="744">
        <v>870000</v>
      </c>
      <c r="F10" s="670">
        <f t="shared" si="0"/>
        <v>557.69230769230774</v>
      </c>
      <c r="G10" s="743"/>
    </row>
    <row r="11" spans="1:8" ht="15.75">
      <c r="A11" s="590">
        <v>8</v>
      </c>
      <c r="B11" s="591" t="s">
        <v>56</v>
      </c>
      <c r="C11" s="668" t="s">
        <v>556</v>
      </c>
      <c r="D11" s="668">
        <v>12</v>
      </c>
      <c r="E11" s="744">
        <v>65000</v>
      </c>
      <c r="F11" s="670">
        <f t="shared" si="0"/>
        <v>208.33333333333334</v>
      </c>
      <c r="G11" s="743"/>
    </row>
    <row r="12" spans="1:8" ht="15.75">
      <c r="A12" s="590">
        <v>9</v>
      </c>
      <c r="B12" s="591" t="s">
        <v>57</v>
      </c>
      <c r="C12" s="668" t="s">
        <v>556</v>
      </c>
      <c r="D12" s="668">
        <v>96</v>
      </c>
      <c r="E12" s="741">
        <v>1000000</v>
      </c>
      <c r="F12" s="670">
        <f t="shared" si="0"/>
        <v>400.64102564102564</v>
      </c>
      <c r="G12" s="743"/>
    </row>
    <row r="13" spans="1:8" ht="15.75">
      <c r="A13" s="590">
        <v>10</v>
      </c>
      <c r="B13" s="591" t="s">
        <v>58</v>
      </c>
      <c r="C13" s="668" t="s">
        <v>556</v>
      </c>
      <c r="D13" s="668">
        <v>96</v>
      </c>
      <c r="E13" s="741">
        <v>200000</v>
      </c>
      <c r="F13" s="670">
        <f t="shared" si="0"/>
        <v>80.128205128205138</v>
      </c>
      <c r="G13" s="743"/>
    </row>
    <row r="14" spans="1:8" ht="15.75">
      <c r="A14" s="590">
        <v>11</v>
      </c>
      <c r="B14" s="591" t="s">
        <v>8</v>
      </c>
      <c r="C14" s="668" t="s">
        <v>907</v>
      </c>
      <c r="D14" s="745">
        <v>1</v>
      </c>
      <c r="E14" s="746">
        <v>1686</v>
      </c>
      <c r="F14" s="669">
        <f>E14*8</f>
        <v>13488</v>
      </c>
      <c r="G14" s="743" t="s">
        <v>101</v>
      </c>
      <c r="H14" s="3"/>
    </row>
  </sheetData>
  <mergeCells count="1">
    <mergeCell ref="A1:G1"/>
  </mergeCells>
  <phoneticPr fontId="104" type="noConversion"/>
  <printOptions horizontalCentered="1"/>
  <pageMargins left="1" right="0.5" top="1" bottom="0.5" header="0.5" footer="0.25"/>
  <pageSetup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3"/>
  </sheetPr>
  <dimension ref="A1:G49"/>
  <sheetViews>
    <sheetView workbookViewId="0">
      <selection activeCell="C6" sqref="C6"/>
    </sheetView>
  </sheetViews>
  <sheetFormatPr defaultColWidth="8" defaultRowHeight="15.75"/>
  <cols>
    <col min="1" max="1" width="4.375" style="131" customWidth="1"/>
    <col min="2" max="2" width="33" style="131" customWidth="1"/>
    <col min="3" max="3" width="8.125" style="130" customWidth="1"/>
    <col min="4" max="4" width="5" style="131" customWidth="1"/>
    <col min="5" max="5" width="8.625" style="131" customWidth="1"/>
    <col min="6" max="6" width="8" style="131" customWidth="1"/>
    <col min="7" max="7" width="32.625" style="131" customWidth="1"/>
    <col min="8" max="16384" width="8" style="131"/>
  </cols>
  <sheetData>
    <row r="1" spans="1:7" ht="15.75" customHeight="1">
      <c r="A1" s="133" t="s">
        <v>113</v>
      </c>
      <c r="B1" s="133"/>
      <c r="C1" s="133"/>
    </row>
    <row r="2" spans="1:7" ht="29.25" customHeight="1">
      <c r="B2" s="134" t="s">
        <v>115</v>
      </c>
      <c r="C2" s="136" t="s">
        <v>269</v>
      </c>
      <c r="D2" s="136" t="s">
        <v>270</v>
      </c>
      <c r="E2" s="164" t="s">
        <v>271</v>
      </c>
      <c r="F2" s="165" t="s">
        <v>272</v>
      </c>
      <c r="G2" s="136" t="s">
        <v>6</v>
      </c>
    </row>
    <row r="3" spans="1:7" ht="20.25" customHeight="1">
      <c r="A3" s="227" t="s">
        <v>10</v>
      </c>
      <c r="B3" s="227" t="s">
        <v>273</v>
      </c>
      <c r="C3" s="166"/>
      <c r="D3" s="166"/>
      <c r="E3" s="136"/>
      <c r="F3" s="135"/>
      <c r="G3" s="136"/>
    </row>
    <row r="4" spans="1:7" ht="19.5" customHeight="1">
      <c r="A4" s="154" t="s">
        <v>15</v>
      </c>
      <c r="B4" s="154" t="s">
        <v>274</v>
      </c>
      <c r="C4" s="228">
        <f>ChitietNhapTin!D32</f>
        <v>0</v>
      </c>
      <c r="D4" s="154"/>
      <c r="E4" s="135"/>
      <c r="F4" s="135"/>
      <c r="G4" s="135"/>
    </row>
    <row r="5" spans="1:7" s="133" customFormat="1" ht="15.75" customHeight="1">
      <c r="A5" s="154" t="s">
        <v>65</v>
      </c>
      <c r="B5" s="154" t="s">
        <v>275</v>
      </c>
      <c r="C5" s="228"/>
      <c r="D5" s="154"/>
      <c r="E5" s="134"/>
      <c r="F5" s="134"/>
      <c r="G5" s="134"/>
    </row>
    <row r="6" spans="1:7" s="133" customFormat="1" ht="15.75" customHeight="1">
      <c r="A6" s="154"/>
      <c r="B6" s="229" t="s">
        <v>276</v>
      </c>
      <c r="C6" s="228">
        <f>ChitietNhapTin!E57</f>
        <v>611</v>
      </c>
      <c r="D6" s="154"/>
      <c r="E6" s="134"/>
      <c r="F6" s="134"/>
      <c r="G6" s="134"/>
    </row>
    <row r="7" spans="1:7" s="133" customFormat="1" ht="15.75" customHeight="1">
      <c r="A7" s="154"/>
      <c r="B7" s="229" t="s">
        <v>277</v>
      </c>
      <c r="C7" s="228">
        <f>ChitietNhapTin!E57+ChitietNhapTin!E70</f>
        <v>620</v>
      </c>
      <c r="D7" s="154"/>
      <c r="E7" s="134"/>
      <c r="F7" s="134"/>
      <c r="G7" s="134"/>
    </row>
    <row r="8" spans="1:7" s="133" customFormat="1" ht="15.75" customHeight="1">
      <c r="A8" s="154"/>
      <c r="B8" s="229" t="s">
        <v>278</v>
      </c>
      <c r="C8" s="228">
        <f>ChitietNhapTin!E57+ChitietNhapTin!E92</f>
        <v>625</v>
      </c>
      <c r="D8" s="154"/>
      <c r="E8" s="134"/>
      <c r="F8" s="134"/>
      <c r="G8" s="134"/>
    </row>
    <row r="9" spans="1:7" s="133" customFormat="1" ht="15.75" customHeight="1">
      <c r="A9" s="154"/>
      <c r="B9" s="229" t="s">
        <v>279</v>
      </c>
      <c r="C9" s="228">
        <f>ChitietNhapTin!E57+ChitietNhapTin!E99</f>
        <v>614</v>
      </c>
      <c r="D9" s="154"/>
      <c r="E9" s="134"/>
      <c r="F9" s="134"/>
      <c r="G9" s="134"/>
    </row>
    <row r="10" spans="1:7" s="133" customFormat="1" ht="15.75" customHeight="1">
      <c r="A10" s="154" t="s">
        <v>71</v>
      </c>
      <c r="B10" s="154" t="s">
        <v>280</v>
      </c>
      <c r="C10" s="228">
        <f>ChitietNhapTin!E81</f>
        <v>7</v>
      </c>
      <c r="D10" s="154"/>
      <c r="E10" s="134"/>
      <c r="F10" s="134"/>
      <c r="G10" s="134"/>
    </row>
    <row r="11" spans="1:7" s="151" customFormat="1" ht="15.75" customHeight="1">
      <c r="A11" s="154" t="s">
        <v>72</v>
      </c>
      <c r="B11" s="154" t="s">
        <v>281</v>
      </c>
      <c r="C11" s="228"/>
      <c r="D11" s="154"/>
      <c r="E11" s="137"/>
      <c r="F11" s="137"/>
      <c r="G11" s="137"/>
    </row>
    <row r="12" spans="1:7" s="151" customFormat="1" ht="15.75" customHeight="1">
      <c r="A12" s="154"/>
      <c r="B12" s="229" t="s">
        <v>282</v>
      </c>
      <c r="C12" s="228">
        <f>ChitietNhapTin!E100</f>
        <v>12</v>
      </c>
      <c r="D12" s="154"/>
      <c r="E12" s="137"/>
      <c r="F12" s="137"/>
      <c r="G12" s="137"/>
    </row>
    <row r="13" spans="1:7" s="151" customFormat="1" ht="15.75" customHeight="1">
      <c r="A13" s="154"/>
      <c r="B13" s="229" t="s">
        <v>283</v>
      </c>
      <c r="C13" s="228">
        <f>ChitietNhapTin!E121</f>
        <v>15</v>
      </c>
      <c r="D13" s="154"/>
      <c r="E13" s="137"/>
      <c r="F13" s="137"/>
      <c r="G13" s="137"/>
    </row>
    <row r="14" spans="1:7" s="151" customFormat="1" ht="15.75" customHeight="1">
      <c r="A14" s="154" t="s">
        <v>76</v>
      </c>
      <c r="B14" s="154" t="s">
        <v>284</v>
      </c>
      <c r="C14" s="228">
        <f>ChitietNhapTin!E141</f>
        <v>9</v>
      </c>
      <c r="D14" s="154"/>
      <c r="E14" s="137"/>
      <c r="F14" s="137"/>
      <c r="G14" s="137"/>
    </row>
    <row r="15" spans="1:7" customFormat="1" ht="15.75" customHeight="1">
      <c r="A15" s="154" t="s">
        <v>285</v>
      </c>
      <c r="B15" s="154" t="s">
        <v>309</v>
      </c>
      <c r="C15" s="228">
        <f>ChitietNhapTin!E174</f>
        <v>8</v>
      </c>
      <c r="D15" s="230"/>
      <c r="G15" s="2" t="s">
        <v>311</v>
      </c>
    </row>
    <row r="16" spans="1:7" customFormat="1" ht="15.75" customHeight="1">
      <c r="A16" s="231"/>
      <c r="B16" s="154" t="s">
        <v>310</v>
      </c>
      <c r="C16" s="232">
        <f>ChitietNhapTin!E188</f>
        <v>13</v>
      </c>
      <c r="D16" s="230"/>
    </row>
    <row r="17" spans="1:7" s="151" customFormat="1" ht="26.25" customHeight="1">
      <c r="D17" s="154"/>
      <c r="E17" s="167">
        <v>3.0699999999999998E-3</v>
      </c>
      <c r="F17" s="168">
        <v>2.3999999999999998E-3</v>
      </c>
      <c r="G17" s="233" t="s">
        <v>312</v>
      </c>
    </row>
    <row r="18" spans="1:7" s="151" customFormat="1" ht="15.75" customHeight="1">
      <c r="A18" s="169" t="s">
        <v>11</v>
      </c>
      <c r="B18" s="170" t="s">
        <v>286</v>
      </c>
      <c r="C18" s="171"/>
      <c r="D18" s="171"/>
      <c r="E18" s="137"/>
      <c r="F18" s="137"/>
      <c r="G18" s="137"/>
    </row>
    <row r="19" spans="1:7" ht="22.5" customHeight="1">
      <c r="A19" s="170" t="s">
        <v>15</v>
      </c>
      <c r="B19" s="170" t="s">
        <v>287</v>
      </c>
      <c r="C19" s="172"/>
      <c r="D19" s="172"/>
      <c r="E19" s="136"/>
      <c r="F19" s="135"/>
      <c r="G19" s="136"/>
    </row>
    <row r="20" spans="1:7" s="133" customFormat="1" ht="15.75" customHeight="1">
      <c r="A20" s="173">
        <v>1.1000000000000001</v>
      </c>
      <c r="B20" s="141" t="s">
        <v>288</v>
      </c>
      <c r="C20" s="138"/>
      <c r="D20" s="138">
        <f>C4+C6+C12+C14</f>
        <v>632</v>
      </c>
      <c r="E20" s="174">
        <f>D20*E17</f>
        <v>1.94024</v>
      </c>
      <c r="F20" s="175">
        <f>D20*F17</f>
        <v>1.5167999999999999</v>
      </c>
      <c r="G20" s="134"/>
    </row>
    <row r="21" spans="1:7" s="133" customFormat="1" ht="15.75" customHeight="1">
      <c r="A21" s="173">
        <v>1.2</v>
      </c>
      <c r="B21" s="141" t="s">
        <v>289</v>
      </c>
      <c r="C21" s="138"/>
      <c r="D21" s="138">
        <f>C4+C7+C12+C14+C15</f>
        <v>649</v>
      </c>
      <c r="E21" s="174">
        <f>D21*E17</f>
        <v>1.9924299999999999</v>
      </c>
      <c r="F21" s="175">
        <f>D21*F17</f>
        <v>1.5575999999999999</v>
      </c>
      <c r="G21" s="134"/>
    </row>
    <row r="22" spans="1:7" s="133" customFormat="1" ht="15.75" customHeight="1">
      <c r="A22" s="173">
        <v>1.3</v>
      </c>
      <c r="B22" s="141" t="s">
        <v>290</v>
      </c>
      <c r="C22" s="138"/>
      <c r="D22" s="138">
        <f>C4+C8+C12+C14</f>
        <v>646</v>
      </c>
      <c r="E22" s="174">
        <f>D22*E17</f>
        <v>1.98322</v>
      </c>
      <c r="F22" s="175">
        <f>D22*F17</f>
        <v>1.5503999999999998</v>
      </c>
      <c r="G22" s="134"/>
    </row>
    <row r="23" spans="1:7" s="133" customFormat="1" ht="15.75" customHeight="1">
      <c r="A23" s="173">
        <v>1.4</v>
      </c>
      <c r="B23" s="141" t="s">
        <v>291</v>
      </c>
      <c r="C23" s="138"/>
      <c r="D23" s="138">
        <f>C4+C9+C12+C14</f>
        <v>635</v>
      </c>
      <c r="E23" s="174">
        <f>D23*E17</f>
        <v>1.9494499999999999</v>
      </c>
      <c r="F23" s="175">
        <f>D23*F17</f>
        <v>1.5239999999999998</v>
      </c>
      <c r="G23" s="134"/>
    </row>
    <row r="24" spans="1:7" s="143" customFormat="1" ht="15.75" customHeight="1">
      <c r="A24" s="170" t="s">
        <v>65</v>
      </c>
      <c r="B24" s="170" t="s">
        <v>292</v>
      </c>
      <c r="C24" s="170"/>
      <c r="D24" s="176">
        <f>C4+C10+C13+C14+C15</f>
        <v>39</v>
      </c>
      <c r="E24" s="177">
        <f>D24*E17</f>
        <v>0.11972999999999999</v>
      </c>
      <c r="F24" s="178">
        <f>D24*F17</f>
        <v>9.3599999999999989E-2</v>
      </c>
      <c r="G24" s="176"/>
    </row>
    <row r="25" spans="1:7" s="143" customFormat="1" ht="15.75" customHeight="1">
      <c r="A25" s="170" t="s">
        <v>71</v>
      </c>
      <c r="B25" s="170" t="s">
        <v>293</v>
      </c>
      <c r="C25" s="170"/>
      <c r="D25" s="179" t="s">
        <v>294</v>
      </c>
      <c r="E25" s="180"/>
      <c r="F25" s="180"/>
      <c r="G25" s="141"/>
    </row>
    <row r="26" spans="1:7" ht="15.75" customHeight="1">
      <c r="A26" s="173">
        <v>3.1</v>
      </c>
      <c r="B26" s="141" t="s">
        <v>295</v>
      </c>
      <c r="C26" s="138"/>
      <c r="D26" s="138"/>
      <c r="E26" s="181"/>
      <c r="F26" s="181"/>
      <c r="G26" s="135"/>
    </row>
    <row r="27" spans="1:7" ht="47.25" customHeight="1">
      <c r="A27" s="173" t="s">
        <v>62</v>
      </c>
      <c r="B27" s="182" t="s">
        <v>296</v>
      </c>
      <c r="C27" s="138">
        <v>11</v>
      </c>
      <c r="D27" s="138">
        <f>D20-C6+C27</f>
        <v>32</v>
      </c>
      <c r="E27" s="174">
        <f>D27*E17</f>
        <v>9.8239999999999994E-2</v>
      </c>
      <c r="F27" s="183">
        <f>D27*F17</f>
        <v>7.6799999999999993E-2</v>
      </c>
      <c r="G27" s="184" t="s">
        <v>297</v>
      </c>
    </row>
    <row r="28" spans="1:7" ht="15.75" customHeight="1">
      <c r="A28" s="173" t="s">
        <v>63</v>
      </c>
      <c r="B28" s="135" t="s">
        <v>298</v>
      </c>
      <c r="C28" s="138"/>
      <c r="D28" s="138">
        <f>D20+C4</f>
        <v>632</v>
      </c>
      <c r="E28" s="174">
        <f>D28*E17</f>
        <v>1.94024</v>
      </c>
      <c r="F28" s="175">
        <f>D28*F17</f>
        <v>1.5167999999999999</v>
      </c>
      <c r="G28" s="135"/>
    </row>
    <row r="29" spans="1:7" ht="15.75" customHeight="1">
      <c r="A29" s="173">
        <v>3.2</v>
      </c>
      <c r="B29" s="141" t="s">
        <v>299</v>
      </c>
      <c r="C29" s="138"/>
      <c r="D29" s="138"/>
      <c r="E29" s="181"/>
      <c r="F29" s="175"/>
      <c r="G29" s="135"/>
    </row>
    <row r="30" spans="1:7" ht="15.75" customHeight="1">
      <c r="A30" s="173" t="s">
        <v>67</v>
      </c>
      <c r="B30" s="135" t="s">
        <v>300</v>
      </c>
      <c r="C30" s="138"/>
      <c r="D30" s="138">
        <f>D21-C6+C27</f>
        <v>49</v>
      </c>
      <c r="E30" s="174">
        <f>D30*E17</f>
        <v>0.15042999999999998</v>
      </c>
      <c r="F30" s="175">
        <f>D30*F17</f>
        <v>0.1176</v>
      </c>
      <c r="G30" s="135"/>
    </row>
    <row r="31" spans="1:7" ht="15.75" customHeight="1">
      <c r="A31" s="173" t="s">
        <v>68</v>
      </c>
      <c r="B31" s="135" t="s">
        <v>301</v>
      </c>
      <c r="C31" s="138"/>
      <c r="D31" s="138">
        <f>D21+C4</f>
        <v>649</v>
      </c>
      <c r="E31" s="174">
        <f>D31*E17</f>
        <v>1.9924299999999999</v>
      </c>
      <c r="F31" s="175">
        <f>D31*F17</f>
        <v>1.5575999999999999</v>
      </c>
      <c r="G31" s="185"/>
    </row>
    <row r="32" spans="1:7" ht="15.75" customHeight="1">
      <c r="A32" s="170" t="s">
        <v>72</v>
      </c>
      <c r="B32" s="170" t="s">
        <v>302</v>
      </c>
      <c r="C32" s="170"/>
      <c r="D32" s="138"/>
      <c r="E32" s="174"/>
      <c r="F32" s="181"/>
      <c r="G32" s="185"/>
    </row>
    <row r="33" spans="1:7" s="133" customFormat="1" ht="15.75" customHeight="1">
      <c r="A33" s="173">
        <v>4.0999999999999996</v>
      </c>
      <c r="B33" s="141" t="s">
        <v>288</v>
      </c>
      <c r="C33" s="138"/>
      <c r="D33" s="138">
        <f>C4+C6</f>
        <v>611</v>
      </c>
      <c r="E33" s="174">
        <f>D33*E17</f>
        <v>1.8757699999999999</v>
      </c>
      <c r="F33" s="175">
        <f>D33*F17</f>
        <v>1.4663999999999999</v>
      </c>
      <c r="G33" s="134"/>
    </row>
    <row r="34" spans="1:7" s="133" customFormat="1" ht="15.75" customHeight="1">
      <c r="A34" s="173" t="s">
        <v>303</v>
      </c>
      <c r="B34" s="141" t="s">
        <v>289</v>
      </c>
      <c r="C34" s="138"/>
      <c r="D34" s="138">
        <f>C4+C7</f>
        <v>620</v>
      </c>
      <c r="E34" s="174">
        <f>D34*E17</f>
        <v>1.9034</v>
      </c>
      <c r="F34" s="175">
        <f>D34*F17</f>
        <v>1.4879999999999998</v>
      </c>
      <c r="G34" s="134"/>
    </row>
    <row r="35" spans="1:7" ht="46.5" customHeight="1">
      <c r="A35" s="170" t="s">
        <v>76</v>
      </c>
      <c r="B35" s="170" t="s">
        <v>304</v>
      </c>
      <c r="C35" s="170"/>
      <c r="D35" s="138"/>
      <c r="E35" s="174"/>
      <c r="F35" s="181"/>
      <c r="G35" s="186" t="s">
        <v>305</v>
      </c>
    </row>
    <row r="36" spans="1:7" s="133" customFormat="1" ht="15.75" customHeight="1">
      <c r="A36" s="173">
        <v>1.1000000000000001</v>
      </c>
      <c r="B36" s="141" t="s">
        <v>288</v>
      </c>
      <c r="C36" s="138"/>
      <c r="D36" s="138">
        <v>4</v>
      </c>
      <c r="E36" s="174">
        <f>D36*E17</f>
        <v>1.2279999999999999E-2</v>
      </c>
      <c r="F36" s="175">
        <f>D36*F17</f>
        <v>9.5999999999999992E-3</v>
      </c>
      <c r="G36" s="134"/>
    </row>
    <row r="37" spans="1:7" s="133" customFormat="1" ht="15.75" customHeight="1">
      <c r="A37" s="173">
        <v>1.2</v>
      </c>
      <c r="B37" s="141" t="s">
        <v>289</v>
      </c>
      <c r="C37" s="138"/>
      <c r="D37" s="138">
        <v>21</v>
      </c>
      <c r="E37" s="174">
        <f>D37*E17</f>
        <v>6.447E-2</v>
      </c>
      <c r="F37" s="175">
        <f>D37*F17</f>
        <v>5.0399999999999993E-2</v>
      </c>
      <c r="G37" s="134"/>
    </row>
    <row r="38" spans="1:7" s="133" customFormat="1" ht="15.75" customHeight="1">
      <c r="A38" s="173"/>
      <c r="B38" s="141"/>
      <c r="C38" s="138"/>
      <c r="D38" s="138"/>
      <c r="E38" s="174"/>
      <c r="F38" s="175"/>
      <c r="G38" s="134"/>
    </row>
    <row r="39" spans="1:7">
      <c r="A39" s="170" t="s">
        <v>285</v>
      </c>
      <c r="B39" s="134" t="s">
        <v>306</v>
      </c>
      <c r="C39" s="140"/>
      <c r="D39" s="135"/>
      <c r="E39" s="135"/>
      <c r="F39" s="135"/>
      <c r="G39" s="135"/>
    </row>
    <row r="40" spans="1:7">
      <c r="A40" s="135"/>
      <c r="B40" s="135" t="s">
        <v>307</v>
      </c>
      <c r="C40" s="140"/>
      <c r="D40" s="135"/>
      <c r="E40" s="135"/>
      <c r="F40" s="135"/>
      <c r="G40" s="135"/>
    </row>
    <row r="41" spans="1:7">
      <c r="A41" s="135"/>
      <c r="B41" s="135" t="s">
        <v>308</v>
      </c>
      <c r="C41" s="140"/>
      <c r="D41" s="135"/>
      <c r="E41" s="135"/>
      <c r="F41" s="135"/>
      <c r="G41" s="135"/>
    </row>
    <row r="42" spans="1:7">
      <c r="A42" s="133" t="s">
        <v>12</v>
      </c>
      <c r="B42" s="133" t="s">
        <v>0</v>
      </c>
    </row>
    <row r="43" spans="1:7">
      <c r="A43" s="133"/>
      <c r="B43" s="133"/>
    </row>
    <row r="44" spans="1:7" ht="15.75" customHeight="1">
      <c r="A44" s="173">
        <v>3.1</v>
      </c>
      <c r="B44" s="141" t="s">
        <v>295</v>
      </c>
      <c r="C44" s="138"/>
      <c r="D44" s="138"/>
      <c r="E44" s="181"/>
      <c r="F44" s="181"/>
      <c r="G44" s="135"/>
    </row>
    <row r="45" spans="1:7" ht="47.25" customHeight="1">
      <c r="A45" s="173" t="s">
        <v>62</v>
      </c>
      <c r="B45" s="182" t="s">
        <v>296</v>
      </c>
      <c r="C45" s="138">
        <v>11</v>
      </c>
      <c r="D45" s="138">
        <f>D36-C23+C45</f>
        <v>15</v>
      </c>
      <c r="E45" s="174"/>
      <c r="F45" s="183">
        <f>D45*F33</f>
        <v>21.995999999999999</v>
      </c>
      <c r="G45" s="184" t="s">
        <v>297</v>
      </c>
    </row>
    <row r="46" spans="1:7" ht="15.75" customHeight="1">
      <c r="A46" s="173" t="s">
        <v>63</v>
      </c>
      <c r="B46" s="135" t="s">
        <v>298</v>
      </c>
      <c r="C46" s="138"/>
      <c r="D46" s="138">
        <f>D36+C21</f>
        <v>4</v>
      </c>
      <c r="E46" s="174"/>
      <c r="F46" s="175">
        <f>D46*F33</f>
        <v>5.8655999999999997</v>
      </c>
      <c r="G46" s="135"/>
    </row>
    <row r="47" spans="1:7" ht="15.75" customHeight="1">
      <c r="A47" s="173">
        <v>3.2</v>
      </c>
      <c r="B47" s="141" t="s">
        <v>299</v>
      </c>
      <c r="C47" s="138"/>
      <c r="D47" s="138"/>
      <c r="E47" s="181"/>
      <c r="F47" s="175"/>
      <c r="G47" s="135"/>
    </row>
    <row r="48" spans="1:7" ht="15.75" customHeight="1">
      <c r="A48" s="173" t="s">
        <v>67</v>
      </c>
      <c r="B48" s="135" t="s">
        <v>300</v>
      </c>
      <c r="C48" s="138"/>
      <c r="D48" s="138">
        <f>D37-C23+C45</f>
        <v>32</v>
      </c>
      <c r="E48" s="174"/>
      <c r="F48" s="175">
        <f>D48*F33</f>
        <v>46.924799999999998</v>
      </c>
      <c r="G48" s="135"/>
    </row>
    <row r="49" spans="1:7" ht="15.75" customHeight="1">
      <c r="A49" s="173" t="s">
        <v>68</v>
      </c>
      <c r="B49" s="135" t="s">
        <v>301</v>
      </c>
      <c r="C49" s="138"/>
      <c r="D49" s="138">
        <f>D37+C21</f>
        <v>21</v>
      </c>
      <c r="E49" s="174"/>
      <c r="F49" s="175">
        <f>D49*F33</f>
        <v>30.7944</v>
      </c>
      <c r="G49" s="185"/>
    </row>
  </sheetData>
  <phoneticPr fontId="104" type="noConversion"/>
  <printOptions horizontalCentered="1"/>
  <pageMargins left="0.5" right="0.5" top="0.75" bottom="0.75" header="0.511811023622047" footer="0.25"/>
  <pageSetup paperSize="9" orientation="portrait" horizontalDpi="360" verticalDpi="36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2"/>
  <sheetViews>
    <sheetView topLeftCell="A99" zoomScale="130" zoomScaleNormal="115" zoomScaleSheetLayoutView="100" workbookViewId="0">
      <selection activeCell="A8" sqref="A8:G75"/>
    </sheetView>
  </sheetViews>
  <sheetFormatPr defaultColWidth="8" defaultRowHeight="15.75"/>
  <cols>
    <col min="1" max="1" width="5" style="249" customWidth="1"/>
    <col min="2" max="4" width="3.375" style="249" customWidth="1"/>
    <col min="5" max="5" width="19.625" style="249" customWidth="1"/>
    <col min="6" max="6" width="24.375" style="249" customWidth="1"/>
    <col min="7" max="7" width="6.625" style="249" customWidth="1"/>
    <col min="8" max="8" width="10.375" style="249" customWidth="1"/>
    <col min="9" max="9" width="13.625" style="249" customWidth="1"/>
    <col min="10" max="10" width="6.375" style="274" hidden="1" customWidth="1"/>
    <col min="11" max="11" width="13" style="249" hidden="1" customWidth="1"/>
    <col min="12" max="12" width="39.625" style="249" customWidth="1"/>
    <col min="13" max="16384" width="8" style="249"/>
  </cols>
  <sheetData>
    <row r="2" spans="1:12" s="238" customFormat="1" ht="24" customHeight="1">
      <c r="A2" s="234"/>
      <c r="B2" s="1287" t="s">
        <v>313</v>
      </c>
      <c r="C2" s="1287"/>
      <c r="D2" s="1287"/>
      <c r="E2" s="1287"/>
      <c r="F2" s="1287"/>
      <c r="G2" s="1287"/>
      <c r="H2" s="1287"/>
      <c r="I2" s="1287"/>
      <c r="J2" s="234"/>
      <c r="K2" s="236"/>
      <c r="L2" s="237"/>
    </row>
    <row r="3" spans="1:12" s="238" customFormat="1" ht="34.5" customHeight="1">
      <c r="A3" s="234"/>
      <c r="B3" s="1291" t="s">
        <v>314</v>
      </c>
      <c r="C3" s="1291"/>
      <c r="D3" s="1291"/>
      <c r="E3" s="1291"/>
      <c r="F3" s="1291"/>
      <c r="G3" s="1291"/>
      <c r="H3" s="1291"/>
      <c r="I3" s="1291"/>
      <c r="J3" s="1291"/>
      <c r="K3" s="1291"/>
      <c r="L3" s="1291"/>
    </row>
    <row r="4" spans="1:12" s="238" customFormat="1" ht="24" customHeight="1">
      <c r="A4" s="239"/>
      <c r="B4" s="1287" t="s">
        <v>315</v>
      </c>
      <c r="C4" s="1287"/>
      <c r="D4" s="1287"/>
      <c r="E4" s="1287"/>
      <c r="F4" s="1287"/>
      <c r="G4" s="235"/>
      <c r="H4" s="235"/>
      <c r="I4" s="235"/>
      <c r="J4" s="239"/>
      <c r="K4" s="236"/>
      <c r="L4" s="236"/>
    </row>
    <row r="5" spans="1:12" s="238" customFormat="1" ht="24.75" customHeight="1">
      <c r="A5" s="1279" t="s">
        <v>316</v>
      </c>
      <c r="B5" s="1279"/>
      <c r="C5" s="1279"/>
      <c r="D5" s="1279"/>
      <c r="E5" s="1279"/>
      <c r="F5" s="1279"/>
      <c r="G5" s="286"/>
      <c r="H5" s="286"/>
      <c r="I5" s="286"/>
      <c r="J5" s="286"/>
    </row>
    <row r="6" spans="1:12" s="238" customFormat="1">
      <c r="A6" s="1288" t="s">
        <v>317</v>
      </c>
      <c r="B6" s="1292" t="s">
        <v>318</v>
      </c>
      <c r="C6" s="1297"/>
      <c r="D6" s="1297"/>
      <c r="E6" s="1293"/>
      <c r="F6" s="1288" t="s">
        <v>319</v>
      </c>
      <c r="G6" s="240"/>
      <c r="H6" s="1292" t="s">
        <v>320</v>
      </c>
      <c r="I6" s="1293"/>
      <c r="J6" s="1288" t="s">
        <v>321</v>
      </c>
      <c r="K6" s="1296" t="s">
        <v>322</v>
      </c>
      <c r="L6" s="1288" t="s">
        <v>323</v>
      </c>
    </row>
    <row r="7" spans="1:12" s="238" customFormat="1" ht="24" customHeight="1">
      <c r="A7" s="1289"/>
      <c r="B7" s="1294"/>
      <c r="C7" s="1279"/>
      <c r="D7" s="1279"/>
      <c r="E7" s="1295"/>
      <c r="F7" s="1289"/>
      <c r="G7" s="241">
        <f>G8</f>
        <v>23</v>
      </c>
      <c r="H7" s="1294"/>
      <c r="I7" s="1295"/>
      <c r="J7" s="1289"/>
      <c r="K7" s="1296"/>
      <c r="L7" s="1289"/>
    </row>
    <row r="8" spans="1:12" s="238" customFormat="1">
      <c r="A8" s="287"/>
      <c r="B8" s="1282" t="s">
        <v>324</v>
      </c>
      <c r="C8" s="1283"/>
      <c r="D8" s="1283"/>
      <c r="E8" s="1283"/>
      <c r="F8" s="288"/>
      <c r="G8" s="288">
        <f>SUM(G9:G17)</f>
        <v>23</v>
      </c>
      <c r="H8" s="289"/>
      <c r="I8" s="289"/>
      <c r="J8" s="289"/>
      <c r="K8" s="289"/>
      <c r="L8" s="290"/>
    </row>
    <row r="9" spans="1:12" ht="31.5" hidden="1">
      <c r="A9" s="242"/>
      <c r="B9" s="243">
        <v>1</v>
      </c>
      <c r="C9" s="1281" t="s">
        <v>325</v>
      </c>
      <c r="D9" s="1281"/>
      <c r="E9" s="1281"/>
      <c r="F9" s="244" t="s">
        <v>326</v>
      </c>
      <c r="G9" s="244">
        <v>1</v>
      </c>
      <c r="H9" s="244" t="s">
        <v>327</v>
      </c>
      <c r="I9" s="245" t="s">
        <v>328</v>
      </c>
      <c r="J9" s="246"/>
      <c r="K9" s="247"/>
      <c r="L9" s="248" t="s">
        <v>329</v>
      </c>
    </row>
    <row r="10" spans="1:12" ht="31.5" hidden="1">
      <c r="A10" s="242"/>
      <c r="B10" s="243">
        <v>2</v>
      </c>
      <c r="C10" s="1281" t="s">
        <v>330</v>
      </c>
      <c r="D10" s="1281"/>
      <c r="E10" s="1281"/>
      <c r="F10" s="244" t="s">
        <v>331</v>
      </c>
      <c r="G10" s="244">
        <v>1</v>
      </c>
      <c r="H10" s="244" t="s">
        <v>327</v>
      </c>
      <c r="I10" s="245" t="s">
        <v>328</v>
      </c>
      <c r="J10" s="246"/>
      <c r="K10" s="247"/>
      <c r="L10" s="248" t="s">
        <v>332</v>
      </c>
    </row>
    <row r="11" spans="1:12" ht="47.25" hidden="1">
      <c r="A11" s="242"/>
      <c r="B11" s="243">
        <v>3</v>
      </c>
      <c r="C11" s="1281" t="s">
        <v>333</v>
      </c>
      <c r="D11" s="1281"/>
      <c r="E11" s="1281"/>
      <c r="F11" s="244" t="s">
        <v>334</v>
      </c>
      <c r="G11" s="244">
        <v>1</v>
      </c>
      <c r="H11" s="244" t="s">
        <v>327</v>
      </c>
      <c r="I11" s="245" t="s">
        <v>328</v>
      </c>
      <c r="J11" s="246"/>
      <c r="K11" s="247"/>
      <c r="L11" s="248" t="s">
        <v>545</v>
      </c>
    </row>
    <row r="12" spans="1:12" ht="31.5" hidden="1">
      <c r="A12" s="242"/>
      <c r="B12" s="243">
        <v>4</v>
      </c>
      <c r="C12" s="1281" t="s">
        <v>335</v>
      </c>
      <c r="D12" s="1281"/>
      <c r="E12" s="1281"/>
      <c r="F12" s="244" t="s">
        <v>336</v>
      </c>
      <c r="G12" s="244">
        <v>1</v>
      </c>
      <c r="H12" s="244" t="s">
        <v>327</v>
      </c>
      <c r="I12" s="245" t="s">
        <v>328</v>
      </c>
      <c r="J12" s="246"/>
      <c r="K12" s="247"/>
      <c r="L12" s="248" t="s">
        <v>337</v>
      </c>
    </row>
    <row r="13" spans="1:12" ht="29.25" hidden="1" customHeight="1">
      <c r="A13" s="242"/>
      <c r="B13" s="243">
        <v>5</v>
      </c>
      <c r="C13" s="1281" t="s">
        <v>338</v>
      </c>
      <c r="D13" s="1281"/>
      <c r="E13" s="1281"/>
      <c r="F13" s="244" t="s">
        <v>339</v>
      </c>
      <c r="G13" s="244">
        <v>1</v>
      </c>
      <c r="H13" s="244" t="s">
        <v>327</v>
      </c>
      <c r="I13" s="245" t="s">
        <v>328</v>
      </c>
      <c r="J13" s="246"/>
      <c r="K13" s="247"/>
      <c r="L13" s="248" t="s">
        <v>340</v>
      </c>
    </row>
    <row r="14" spans="1:12" hidden="1">
      <c r="A14" s="242"/>
      <c r="B14" s="243">
        <v>6</v>
      </c>
      <c r="C14" s="1281" t="s">
        <v>341</v>
      </c>
      <c r="D14" s="1281"/>
      <c r="E14" s="1281"/>
      <c r="F14" s="244" t="s">
        <v>342</v>
      </c>
      <c r="G14" s="244">
        <v>1</v>
      </c>
      <c r="H14" s="244" t="s">
        <v>343</v>
      </c>
      <c r="I14" s="244" t="s">
        <v>344</v>
      </c>
      <c r="J14" s="246"/>
      <c r="K14" s="247"/>
      <c r="L14" s="248" t="s">
        <v>345</v>
      </c>
    </row>
    <row r="15" spans="1:12" hidden="1">
      <c r="A15" s="242"/>
      <c r="B15" s="243">
        <v>7</v>
      </c>
      <c r="C15" s="1281" t="s">
        <v>346</v>
      </c>
      <c r="D15" s="1281"/>
      <c r="E15" s="1281"/>
      <c r="F15" s="244" t="s">
        <v>347</v>
      </c>
      <c r="G15" s="244">
        <f>G46</f>
        <v>15</v>
      </c>
      <c r="H15" s="244"/>
      <c r="I15" s="245"/>
      <c r="J15" s="246"/>
      <c r="K15" s="247"/>
      <c r="L15" s="250" t="s">
        <v>348</v>
      </c>
    </row>
    <row r="16" spans="1:12" ht="31.5" hidden="1">
      <c r="A16" s="242"/>
      <c r="B16" s="243">
        <v>8</v>
      </c>
      <c r="C16" s="1281" t="s">
        <v>349</v>
      </c>
      <c r="D16" s="1281"/>
      <c r="E16" s="1281"/>
      <c r="F16" s="244" t="s">
        <v>350</v>
      </c>
      <c r="G16" s="244">
        <v>1</v>
      </c>
      <c r="H16" s="244" t="s">
        <v>327</v>
      </c>
      <c r="I16" s="245" t="s">
        <v>328</v>
      </c>
      <c r="J16" s="246"/>
      <c r="K16" s="247"/>
      <c r="L16" s="248" t="s">
        <v>351</v>
      </c>
    </row>
    <row r="17" spans="1:13" ht="31.5" hidden="1">
      <c r="A17" s="251"/>
      <c r="B17" s="243">
        <v>9</v>
      </c>
      <c r="C17" s="1290" t="s">
        <v>352</v>
      </c>
      <c r="D17" s="1290"/>
      <c r="E17" s="1290"/>
      <c r="F17" s="252" t="s">
        <v>353</v>
      </c>
      <c r="G17" s="252">
        <v>1</v>
      </c>
      <c r="H17" s="252" t="s">
        <v>327</v>
      </c>
      <c r="I17" s="253" t="s">
        <v>328</v>
      </c>
      <c r="J17" s="254"/>
      <c r="K17" s="255"/>
      <c r="L17" s="256" t="s">
        <v>354</v>
      </c>
    </row>
    <row r="18" spans="1:13" hidden="1">
      <c r="A18" s="275"/>
      <c r="B18" s="276"/>
      <c r="C18" s="277"/>
      <c r="D18" s="277"/>
      <c r="E18" s="277"/>
      <c r="F18" s="277"/>
      <c r="G18" s="277"/>
      <c r="H18" s="277"/>
      <c r="I18" s="278"/>
      <c r="J18" s="279"/>
      <c r="K18" s="280"/>
      <c r="L18" s="281"/>
    </row>
    <row r="19" spans="1:13" s="238" customFormat="1" ht="24.75" customHeight="1">
      <c r="A19" s="1284" t="s">
        <v>355</v>
      </c>
      <c r="B19" s="1285"/>
      <c r="C19" s="1285"/>
      <c r="D19" s="1285"/>
      <c r="E19" s="1285"/>
      <c r="F19" s="1285"/>
      <c r="G19" s="283">
        <f>SUM(G21:G48)</f>
        <v>71</v>
      </c>
      <c r="H19" s="283"/>
      <c r="I19" s="283"/>
      <c r="J19" s="283"/>
      <c r="K19" s="283"/>
      <c r="L19" s="283"/>
      <c r="M19" s="261"/>
    </row>
    <row r="20" spans="1:13" hidden="1">
      <c r="A20" s="262"/>
      <c r="B20" s="1282" t="s">
        <v>356</v>
      </c>
      <c r="C20" s="1283"/>
      <c r="D20" s="1283"/>
      <c r="E20" s="1283"/>
      <c r="F20" s="272"/>
      <c r="G20" s="272">
        <v>2</v>
      </c>
      <c r="H20" s="272"/>
      <c r="I20" s="291"/>
      <c r="J20" s="264"/>
      <c r="K20" s="263"/>
      <c r="L20" s="292"/>
    </row>
    <row r="21" spans="1:13" ht="31.5" hidden="1">
      <c r="A21" s="242"/>
      <c r="B21" s="257"/>
      <c r="C21" s="1281" t="s">
        <v>357</v>
      </c>
      <c r="D21" s="1281"/>
      <c r="E21" s="1281"/>
      <c r="F21" s="244" t="s">
        <v>358</v>
      </c>
      <c r="G21" s="244"/>
      <c r="H21" s="244" t="s">
        <v>327</v>
      </c>
      <c r="I21" s="245" t="s">
        <v>328</v>
      </c>
      <c r="J21" s="246"/>
      <c r="K21" s="247"/>
      <c r="L21" s="248" t="s">
        <v>359</v>
      </c>
    </row>
    <row r="22" spans="1:13" hidden="1">
      <c r="A22" s="242"/>
      <c r="B22" s="257"/>
      <c r="C22" s="1281" t="s">
        <v>360</v>
      </c>
      <c r="D22" s="1281"/>
      <c r="E22" s="1281"/>
      <c r="F22" s="244" t="s">
        <v>361</v>
      </c>
      <c r="G22" s="244"/>
      <c r="H22" s="244" t="s">
        <v>343</v>
      </c>
      <c r="I22" s="244" t="s">
        <v>344</v>
      </c>
      <c r="J22" s="246"/>
      <c r="K22" s="247"/>
      <c r="L22" s="248" t="s">
        <v>362</v>
      </c>
    </row>
    <row r="23" spans="1:13" hidden="1">
      <c r="A23" s="242"/>
      <c r="B23" s="1280" t="s">
        <v>363</v>
      </c>
      <c r="C23" s="1281"/>
      <c r="D23" s="1281"/>
      <c r="E23" s="1281"/>
      <c r="F23" s="244" t="s">
        <v>364</v>
      </c>
      <c r="G23" s="244">
        <v>1</v>
      </c>
      <c r="H23" s="244" t="s">
        <v>327</v>
      </c>
      <c r="I23" s="245" t="s">
        <v>328</v>
      </c>
      <c r="J23" s="246"/>
      <c r="K23" s="247"/>
      <c r="L23" s="248" t="s">
        <v>365</v>
      </c>
    </row>
    <row r="24" spans="1:13" hidden="1">
      <c r="A24" s="242"/>
      <c r="B24" s="1280" t="s">
        <v>366</v>
      </c>
      <c r="C24" s="1281"/>
      <c r="D24" s="1281"/>
      <c r="E24" s="1281"/>
      <c r="F24" s="244" t="s">
        <v>367</v>
      </c>
      <c r="G24" s="244">
        <v>1</v>
      </c>
      <c r="H24" s="244" t="s">
        <v>327</v>
      </c>
      <c r="I24" s="245" t="s">
        <v>328</v>
      </c>
      <c r="J24" s="246"/>
      <c r="K24" s="247"/>
      <c r="L24" s="248" t="s">
        <v>368</v>
      </c>
    </row>
    <row r="25" spans="1:13" ht="31.5" hidden="1">
      <c r="A25" s="242"/>
      <c r="B25" s="1280" t="s">
        <v>369</v>
      </c>
      <c r="C25" s="1281"/>
      <c r="D25" s="1281"/>
      <c r="E25" s="1281"/>
      <c r="F25" s="244" t="s">
        <v>370</v>
      </c>
      <c r="G25" s="244">
        <v>1</v>
      </c>
      <c r="H25" s="244"/>
      <c r="I25" s="245"/>
      <c r="J25" s="246"/>
      <c r="K25" s="247"/>
      <c r="L25" s="248" t="s">
        <v>371</v>
      </c>
    </row>
    <row r="26" spans="1:13" ht="31.5" hidden="1">
      <c r="A26" s="242"/>
      <c r="B26" s="1280" t="s">
        <v>372</v>
      </c>
      <c r="C26" s="1281"/>
      <c r="D26" s="1281"/>
      <c r="E26" s="1281"/>
      <c r="F26" s="244" t="s">
        <v>373</v>
      </c>
      <c r="G26" s="244">
        <v>1</v>
      </c>
      <c r="H26" s="244" t="s">
        <v>327</v>
      </c>
      <c r="I26" s="245" t="s">
        <v>328</v>
      </c>
      <c r="J26" s="246"/>
      <c r="K26" s="247"/>
      <c r="L26" s="248" t="s">
        <v>374</v>
      </c>
    </row>
    <row r="27" spans="1:13" ht="31.5" hidden="1">
      <c r="A27" s="242"/>
      <c r="B27" s="1280" t="s">
        <v>330</v>
      </c>
      <c r="C27" s="1281"/>
      <c r="D27" s="1281"/>
      <c r="E27" s="1281"/>
      <c r="F27" s="244" t="s">
        <v>331</v>
      </c>
      <c r="G27" s="244">
        <v>1</v>
      </c>
      <c r="H27" s="244" t="s">
        <v>327</v>
      </c>
      <c r="I27" s="245" t="s">
        <v>328</v>
      </c>
      <c r="J27" s="246"/>
      <c r="K27" s="247"/>
      <c r="L27" s="248" t="s">
        <v>375</v>
      </c>
    </row>
    <row r="28" spans="1:13" ht="31.5" hidden="1">
      <c r="A28" s="242"/>
      <c r="B28" s="1280" t="s">
        <v>333</v>
      </c>
      <c r="C28" s="1281"/>
      <c r="D28" s="1281"/>
      <c r="E28" s="1281"/>
      <c r="F28" s="244" t="s">
        <v>334</v>
      </c>
      <c r="G28" s="244">
        <v>1</v>
      </c>
      <c r="H28" s="244" t="s">
        <v>327</v>
      </c>
      <c r="I28" s="245" t="s">
        <v>328</v>
      </c>
      <c r="J28" s="246"/>
      <c r="K28" s="247"/>
      <c r="L28" s="248" t="s">
        <v>376</v>
      </c>
    </row>
    <row r="29" spans="1:13" hidden="1">
      <c r="A29" s="242"/>
      <c r="B29" s="1280" t="s">
        <v>377</v>
      </c>
      <c r="C29" s="1281"/>
      <c r="D29" s="1281"/>
      <c r="E29" s="1281"/>
      <c r="F29" s="244" t="s">
        <v>378</v>
      </c>
      <c r="G29" s="244">
        <v>1</v>
      </c>
      <c r="H29" s="244" t="s">
        <v>327</v>
      </c>
      <c r="I29" s="245" t="s">
        <v>328</v>
      </c>
      <c r="J29" s="246"/>
      <c r="K29" s="247"/>
      <c r="L29" s="248" t="s">
        <v>379</v>
      </c>
    </row>
    <row r="30" spans="1:13" hidden="1">
      <c r="A30" s="242"/>
      <c r="B30" s="1280" t="s">
        <v>380</v>
      </c>
      <c r="C30" s="1281"/>
      <c r="D30" s="1281"/>
      <c r="E30" s="1281"/>
      <c r="F30" s="244"/>
      <c r="G30" s="244">
        <v>2</v>
      </c>
      <c r="H30" s="244"/>
      <c r="I30" s="245"/>
      <c r="J30" s="246"/>
      <c r="K30" s="247"/>
      <c r="L30" s="248"/>
    </row>
    <row r="31" spans="1:13" hidden="1">
      <c r="A31" s="242"/>
      <c r="B31" s="257"/>
      <c r="C31" s="1281" t="s">
        <v>381</v>
      </c>
      <c r="D31" s="1281"/>
      <c r="E31" s="1281"/>
      <c r="F31" s="244" t="s">
        <v>382</v>
      </c>
      <c r="G31" s="244"/>
      <c r="H31" s="244" t="s">
        <v>327</v>
      </c>
      <c r="I31" s="245" t="s">
        <v>328</v>
      </c>
      <c r="J31" s="246"/>
      <c r="K31" s="247"/>
      <c r="L31" s="248" t="s">
        <v>383</v>
      </c>
    </row>
    <row r="32" spans="1:13" hidden="1">
      <c r="A32" s="242"/>
      <c r="B32" s="257"/>
      <c r="C32" s="1281" t="s">
        <v>384</v>
      </c>
      <c r="D32" s="1281"/>
      <c r="E32" s="1281"/>
      <c r="F32" s="244" t="s">
        <v>385</v>
      </c>
      <c r="G32" s="244"/>
      <c r="H32" s="244" t="s">
        <v>327</v>
      </c>
      <c r="I32" s="245" t="s">
        <v>328</v>
      </c>
      <c r="J32" s="246"/>
      <c r="K32" s="247"/>
      <c r="L32" s="248" t="s">
        <v>386</v>
      </c>
    </row>
    <row r="33" spans="1:12" hidden="1">
      <c r="A33" s="242"/>
      <c r="B33" s="1280" t="s">
        <v>387</v>
      </c>
      <c r="C33" s="1281"/>
      <c r="D33" s="1281"/>
      <c r="E33" s="1281"/>
      <c r="F33" s="244" t="s">
        <v>388</v>
      </c>
      <c r="G33" s="244">
        <v>3</v>
      </c>
      <c r="H33" s="244"/>
      <c r="I33" s="245"/>
      <c r="J33" s="246"/>
      <c r="K33" s="247"/>
      <c r="L33" s="248"/>
    </row>
    <row r="34" spans="1:12" hidden="1">
      <c r="A34" s="242"/>
      <c r="B34" s="257"/>
      <c r="C34" s="1281" t="s">
        <v>389</v>
      </c>
      <c r="D34" s="1281"/>
      <c r="E34" s="1281"/>
      <c r="F34" s="244" t="s">
        <v>390</v>
      </c>
      <c r="G34" s="244"/>
      <c r="H34" s="244" t="s">
        <v>327</v>
      </c>
      <c r="I34" s="245" t="s">
        <v>328</v>
      </c>
      <c r="J34" s="246"/>
      <c r="K34" s="247"/>
      <c r="L34" s="248" t="s">
        <v>391</v>
      </c>
    </row>
    <row r="35" spans="1:12" hidden="1">
      <c r="A35" s="242"/>
      <c r="B35" s="257"/>
      <c r="C35" s="1281" t="s">
        <v>392</v>
      </c>
      <c r="D35" s="1281"/>
      <c r="E35" s="1281"/>
      <c r="F35" s="244" t="s">
        <v>393</v>
      </c>
      <c r="G35" s="244"/>
      <c r="H35" s="244" t="s">
        <v>327</v>
      </c>
      <c r="I35" s="245" t="s">
        <v>328</v>
      </c>
      <c r="J35" s="246"/>
      <c r="K35" s="247"/>
      <c r="L35" s="248" t="s">
        <v>394</v>
      </c>
    </row>
    <row r="36" spans="1:12" ht="31.5" hidden="1">
      <c r="A36" s="242"/>
      <c r="B36" s="257"/>
      <c r="C36" s="1281" t="s">
        <v>395</v>
      </c>
      <c r="D36" s="1281"/>
      <c r="E36" s="1281"/>
      <c r="F36" s="244" t="s">
        <v>396</v>
      </c>
      <c r="G36" s="244"/>
      <c r="H36" s="244" t="s">
        <v>327</v>
      </c>
      <c r="I36" s="245" t="s">
        <v>328</v>
      </c>
      <c r="J36" s="246"/>
      <c r="K36" s="247"/>
      <c r="L36" s="248" t="s">
        <v>397</v>
      </c>
    </row>
    <row r="37" spans="1:12" hidden="1">
      <c r="A37" s="242"/>
      <c r="B37" s="1280" t="s">
        <v>398</v>
      </c>
      <c r="C37" s="1281"/>
      <c r="D37" s="1281"/>
      <c r="E37" s="1281"/>
      <c r="F37" s="244"/>
      <c r="G37" s="244">
        <v>2</v>
      </c>
      <c r="H37" s="244"/>
      <c r="I37" s="245"/>
      <c r="J37" s="246"/>
      <c r="K37" s="247"/>
      <c r="L37" s="248"/>
    </row>
    <row r="38" spans="1:12" hidden="1">
      <c r="A38" s="242"/>
      <c r="B38" s="257"/>
      <c r="C38" s="1281" t="s">
        <v>399</v>
      </c>
      <c r="D38" s="1281"/>
      <c r="E38" s="1281"/>
      <c r="F38" s="244"/>
      <c r="G38" s="244"/>
      <c r="H38" s="244"/>
      <c r="I38" s="245"/>
      <c r="J38" s="246"/>
      <c r="K38" s="247"/>
      <c r="L38" s="248"/>
    </row>
    <row r="39" spans="1:12" hidden="1">
      <c r="A39" s="242"/>
      <c r="B39" s="257"/>
      <c r="C39" s="244"/>
      <c r="D39" s="1281" t="s">
        <v>399</v>
      </c>
      <c r="E39" s="1281"/>
      <c r="F39" s="244" t="s">
        <v>400</v>
      </c>
      <c r="G39" s="244"/>
      <c r="H39" s="244" t="s">
        <v>327</v>
      </c>
      <c r="I39" s="245" t="s">
        <v>328</v>
      </c>
      <c r="J39" s="246"/>
      <c r="K39" s="247"/>
      <c r="L39" s="248" t="s">
        <v>401</v>
      </c>
    </row>
    <row r="40" spans="1:12" hidden="1">
      <c r="A40" s="242"/>
      <c r="B40" s="1280" t="s">
        <v>402</v>
      </c>
      <c r="C40" s="1281"/>
      <c r="D40" s="1281"/>
      <c r="E40" s="1281"/>
      <c r="F40" s="244"/>
      <c r="G40" s="244">
        <v>1</v>
      </c>
      <c r="H40" s="244"/>
      <c r="I40" s="245"/>
      <c r="J40" s="246"/>
      <c r="K40" s="247"/>
      <c r="L40" s="258"/>
    </row>
    <row r="41" spans="1:12" ht="31.5" hidden="1">
      <c r="A41" s="242"/>
      <c r="B41" s="257"/>
      <c r="C41" s="1281" t="s">
        <v>323</v>
      </c>
      <c r="D41" s="1281"/>
      <c r="E41" s="1281"/>
      <c r="F41" s="244" t="s">
        <v>403</v>
      </c>
      <c r="G41" s="244">
        <v>1</v>
      </c>
      <c r="H41" s="244" t="s">
        <v>327</v>
      </c>
      <c r="I41" s="245" t="s">
        <v>328</v>
      </c>
      <c r="J41" s="246"/>
      <c r="K41" s="247"/>
      <c r="L41" s="248" t="s">
        <v>546</v>
      </c>
    </row>
    <row r="42" spans="1:12" hidden="1">
      <c r="A42" s="242"/>
      <c r="B42" s="257"/>
      <c r="C42" s="1281" t="s">
        <v>404</v>
      </c>
      <c r="D42" s="1281"/>
      <c r="E42" s="1281"/>
      <c r="F42" s="244" t="s">
        <v>405</v>
      </c>
      <c r="G42" s="244">
        <v>4</v>
      </c>
      <c r="H42" s="244"/>
      <c r="I42" s="245"/>
      <c r="J42" s="246"/>
      <c r="K42" s="247"/>
      <c r="L42" s="248"/>
    </row>
    <row r="43" spans="1:12" hidden="1">
      <c r="A43" s="242"/>
      <c r="B43" s="257"/>
      <c r="C43" s="1281" t="s">
        <v>406</v>
      </c>
      <c r="D43" s="1281"/>
      <c r="E43" s="1281"/>
      <c r="F43" s="244" t="s">
        <v>407</v>
      </c>
      <c r="G43" s="244">
        <v>4</v>
      </c>
      <c r="H43" s="244"/>
      <c r="I43" s="245"/>
      <c r="J43" s="246"/>
      <c r="K43" s="247"/>
      <c r="L43" s="248"/>
    </row>
    <row r="44" spans="1:12" hidden="1">
      <c r="A44" s="242"/>
      <c r="B44" s="1280" t="s">
        <v>408</v>
      </c>
      <c r="C44" s="1281"/>
      <c r="D44" s="1281"/>
      <c r="E44" s="1281"/>
      <c r="F44" s="244"/>
      <c r="G44" s="244">
        <v>1</v>
      </c>
      <c r="H44" s="244"/>
      <c r="I44" s="245"/>
      <c r="J44" s="246"/>
      <c r="K44" s="247"/>
      <c r="L44" s="248"/>
    </row>
    <row r="45" spans="1:12" ht="31.5" hidden="1">
      <c r="A45" s="242"/>
      <c r="B45" s="257"/>
      <c r="C45" s="1281" t="s">
        <v>409</v>
      </c>
      <c r="D45" s="1281"/>
      <c r="E45" s="1281"/>
      <c r="F45" s="244" t="s">
        <v>410</v>
      </c>
      <c r="G45" s="244">
        <v>1</v>
      </c>
      <c r="H45" s="244" t="s">
        <v>327</v>
      </c>
      <c r="I45" s="245" t="s">
        <v>328</v>
      </c>
      <c r="J45" s="246"/>
      <c r="K45" s="247"/>
      <c r="L45" s="248" t="s">
        <v>415</v>
      </c>
    </row>
    <row r="46" spans="1:12" hidden="1">
      <c r="A46" s="242"/>
      <c r="B46" s="1280" t="s">
        <v>416</v>
      </c>
      <c r="C46" s="1281"/>
      <c r="D46" s="1281"/>
      <c r="E46" s="1281"/>
      <c r="F46" s="244" t="s">
        <v>417</v>
      </c>
      <c r="G46" s="244">
        <f>G83</f>
        <v>15</v>
      </c>
      <c r="H46" s="244"/>
      <c r="I46" s="245"/>
      <c r="J46" s="246"/>
      <c r="K46" s="247"/>
      <c r="L46" s="248"/>
    </row>
    <row r="47" spans="1:12" hidden="1">
      <c r="A47" s="242"/>
      <c r="B47" s="1280" t="s">
        <v>418</v>
      </c>
      <c r="C47" s="1281"/>
      <c r="D47" s="1281"/>
      <c r="E47" s="1281"/>
      <c r="F47" s="244" t="s">
        <v>417</v>
      </c>
      <c r="G47" s="244">
        <f>G46</f>
        <v>15</v>
      </c>
      <c r="H47" s="244"/>
      <c r="I47" s="245"/>
      <c r="J47" s="246"/>
      <c r="K47" s="247"/>
      <c r="L47" s="248"/>
    </row>
    <row r="48" spans="1:12" hidden="1">
      <c r="A48" s="259"/>
      <c r="B48" s="1314" t="s">
        <v>419</v>
      </c>
      <c r="C48" s="1290"/>
      <c r="D48" s="1290"/>
      <c r="E48" s="1290"/>
      <c r="F48" s="252" t="s">
        <v>417</v>
      </c>
      <c r="G48" s="252">
        <f>G46</f>
        <v>15</v>
      </c>
      <c r="H48" s="252"/>
      <c r="I48" s="253"/>
      <c r="J48" s="254"/>
      <c r="K48" s="255"/>
      <c r="L48" s="256"/>
    </row>
    <row r="49" spans="1:13" s="238" customFormat="1" ht="25.5" customHeight="1">
      <c r="A49" s="1284" t="s">
        <v>420</v>
      </c>
      <c r="B49" s="1285"/>
      <c r="C49" s="1285"/>
      <c r="D49" s="1285"/>
      <c r="E49" s="1285"/>
      <c r="F49" s="1285"/>
      <c r="G49" s="283">
        <f>G50*5</f>
        <v>45</v>
      </c>
      <c r="H49" s="283"/>
      <c r="I49" s="283"/>
      <c r="J49" s="283"/>
      <c r="K49" s="283"/>
      <c r="L49" s="285" t="s">
        <v>552</v>
      </c>
      <c r="M49" s="261"/>
    </row>
    <row r="50" spans="1:13" hidden="1">
      <c r="A50" s="262"/>
      <c r="B50" s="1300" t="s">
        <v>402</v>
      </c>
      <c r="C50" s="1301"/>
      <c r="D50" s="1301"/>
      <c r="E50" s="1301"/>
      <c r="F50" s="263"/>
      <c r="G50" s="263">
        <f>G51+G52+G55+G57+G60</f>
        <v>9</v>
      </c>
      <c r="H50" s="263"/>
      <c r="I50" s="263"/>
      <c r="J50" s="264"/>
      <c r="K50" s="263"/>
      <c r="L50" s="265"/>
    </row>
    <row r="51" spans="1:13" ht="31.5" hidden="1">
      <c r="A51" s="242"/>
      <c r="B51" s="257"/>
      <c r="C51" s="1281" t="s">
        <v>421</v>
      </c>
      <c r="D51" s="1281"/>
      <c r="E51" s="1281"/>
      <c r="F51" s="244" t="s">
        <v>422</v>
      </c>
      <c r="G51" s="244">
        <v>1</v>
      </c>
      <c r="H51" s="244" t="s">
        <v>327</v>
      </c>
      <c r="I51" s="266" t="s">
        <v>328</v>
      </c>
      <c r="J51" s="246"/>
      <c r="K51" s="247"/>
      <c r="L51" s="248" t="s">
        <v>423</v>
      </c>
    </row>
    <row r="52" spans="1:13" ht="31.5" hidden="1">
      <c r="A52" s="242"/>
      <c r="B52" s="257"/>
      <c r="C52" s="1281" t="s">
        <v>424</v>
      </c>
      <c r="D52" s="1281"/>
      <c r="E52" s="1281"/>
      <c r="F52" s="244" t="s">
        <v>425</v>
      </c>
      <c r="G52" s="244">
        <v>2</v>
      </c>
      <c r="H52" s="244" t="s">
        <v>327</v>
      </c>
      <c r="I52" s="266" t="s">
        <v>328</v>
      </c>
      <c r="J52" s="246"/>
      <c r="K52" s="247"/>
      <c r="L52" s="248" t="s">
        <v>426</v>
      </c>
    </row>
    <row r="53" spans="1:13" hidden="1">
      <c r="A53" s="242"/>
      <c r="B53" s="257"/>
      <c r="C53" s="1281" t="s">
        <v>404</v>
      </c>
      <c r="D53" s="1281"/>
      <c r="E53" s="1281"/>
      <c r="F53" s="244" t="s">
        <v>405</v>
      </c>
      <c r="G53" s="244"/>
      <c r="H53" s="244"/>
      <c r="I53" s="245"/>
      <c r="J53" s="246"/>
      <c r="K53" s="247"/>
      <c r="L53" s="248"/>
    </row>
    <row r="54" spans="1:13" hidden="1">
      <c r="A54" s="242"/>
      <c r="B54" s="257"/>
      <c r="C54" s="1281" t="s">
        <v>427</v>
      </c>
      <c r="D54" s="1281"/>
      <c r="E54" s="1281"/>
      <c r="F54" s="244" t="s">
        <v>428</v>
      </c>
      <c r="G54" s="244"/>
      <c r="H54" s="244"/>
      <c r="I54" s="245"/>
      <c r="J54" s="246"/>
      <c r="K54" s="247"/>
      <c r="L54" s="248"/>
    </row>
    <row r="55" spans="1:13" hidden="1">
      <c r="A55" s="242"/>
      <c r="B55" s="1280" t="s">
        <v>180</v>
      </c>
      <c r="C55" s="1281"/>
      <c r="D55" s="1281"/>
      <c r="E55" s="1281"/>
      <c r="F55" s="244"/>
      <c r="G55" s="244">
        <v>1</v>
      </c>
      <c r="H55" s="244"/>
      <c r="I55" s="244"/>
      <c r="J55" s="246"/>
      <c r="K55" s="247"/>
      <c r="L55" s="258"/>
    </row>
    <row r="56" spans="1:13" hidden="1">
      <c r="A56" s="242"/>
      <c r="B56" s="257"/>
      <c r="C56" s="1281" t="s">
        <v>323</v>
      </c>
      <c r="D56" s="1281"/>
      <c r="E56" s="1281"/>
      <c r="F56" s="244" t="s">
        <v>429</v>
      </c>
      <c r="G56" s="244"/>
      <c r="H56" s="244" t="s">
        <v>327</v>
      </c>
      <c r="I56" s="266" t="s">
        <v>328</v>
      </c>
      <c r="J56" s="246"/>
      <c r="K56" s="247"/>
      <c r="L56" s="258" t="s">
        <v>430</v>
      </c>
    </row>
    <row r="57" spans="1:13" hidden="1">
      <c r="A57" s="242"/>
      <c r="B57" s="1280" t="s">
        <v>431</v>
      </c>
      <c r="C57" s="1281"/>
      <c r="D57" s="1281"/>
      <c r="E57" s="1281"/>
      <c r="F57" s="244"/>
      <c r="G57" s="244">
        <v>2</v>
      </c>
      <c r="H57" s="244"/>
      <c r="I57" s="244"/>
      <c r="J57" s="246"/>
      <c r="K57" s="247"/>
      <c r="L57" s="258"/>
    </row>
    <row r="58" spans="1:13" ht="47.25" hidden="1">
      <c r="A58" s="242"/>
      <c r="B58" s="257"/>
      <c r="C58" s="1281" t="s">
        <v>432</v>
      </c>
      <c r="D58" s="1281"/>
      <c r="E58" s="1281"/>
      <c r="F58" s="244" t="s">
        <v>433</v>
      </c>
      <c r="G58" s="244"/>
      <c r="H58" s="244" t="s">
        <v>327</v>
      </c>
      <c r="I58" s="266" t="s">
        <v>328</v>
      </c>
      <c r="J58" s="246"/>
      <c r="K58" s="247"/>
      <c r="L58" s="248" t="s">
        <v>434</v>
      </c>
    </row>
    <row r="59" spans="1:13" ht="31.5" hidden="1">
      <c r="A59" s="242"/>
      <c r="B59" s="257"/>
      <c r="C59" s="1281" t="s">
        <v>435</v>
      </c>
      <c r="D59" s="1281"/>
      <c r="E59" s="1281"/>
      <c r="F59" s="244" t="s">
        <v>436</v>
      </c>
      <c r="G59" s="244"/>
      <c r="H59" s="244" t="s">
        <v>327</v>
      </c>
      <c r="I59" s="266" t="s">
        <v>328</v>
      </c>
      <c r="J59" s="246"/>
      <c r="K59" s="247"/>
      <c r="L59" s="248" t="s">
        <v>437</v>
      </c>
    </row>
    <row r="60" spans="1:13" hidden="1">
      <c r="A60" s="242"/>
      <c r="B60" s="257"/>
      <c r="C60" s="1281" t="s">
        <v>438</v>
      </c>
      <c r="D60" s="1281"/>
      <c r="E60" s="1281"/>
      <c r="F60" s="244"/>
      <c r="G60" s="244">
        <v>3</v>
      </c>
      <c r="H60" s="244"/>
      <c r="I60" s="244"/>
      <c r="J60" s="246"/>
      <c r="K60" s="247"/>
      <c r="L60" s="248"/>
    </row>
    <row r="61" spans="1:13" hidden="1">
      <c r="A61" s="242"/>
      <c r="B61" s="257"/>
      <c r="C61" s="244"/>
      <c r="D61" s="1281" t="s">
        <v>323</v>
      </c>
      <c r="E61" s="1281"/>
      <c r="F61" s="244" t="s">
        <v>439</v>
      </c>
      <c r="G61" s="244"/>
      <c r="H61" s="244" t="s">
        <v>327</v>
      </c>
      <c r="I61" s="266" t="s">
        <v>328</v>
      </c>
      <c r="J61" s="246"/>
      <c r="K61" s="247"/>
      <c r="L61" s="248" t="s">
        <v>440</v>
      </c>
    </row>
    <row r="62" spans="1:13" hidden="1">
      <c r="A62" s="242"/>
      <c r="B62" s="257"/>
      <c r="C62" s="244"/>
      <c r="D62" s="1281" t="s">
        <v>441</v>
      </c>
      <c r="E62" s="1281"/>
      <c r="F62" s="244" t="s">
        <v>442</v>
      </c>
      <c r="G62" s="244"/>
      <c r="H62" s="244" t="s">
        <v>327</v>
      </c>
      <c r="I62" s="266" t="s">
        <v>328</v>
      </c>
      <c r="J62" s="246"/>
      <c r="K62" s="247"/>
      <c r="L62" s="248" t="s">
        <v>443</v>
      </c>
    </row>
    <row r="63" spans="1:13" ht="31.5" hidden="1">
      <c r="A63" s="259"/>
      <c r="B63" s="260"/>
      <c r="C63" s="252"/>
      <c r="D63" s="1290" t="s">
        <v>444</v>
      </c>
      <c r="E63" s="1290"/>
      <c r="F63" s="252" t="s">
        <v>445</v>
      </c>
      <c r="G63" s="252"/>
      <c r="H63" s="252" t="s">
        <v>446</v>
      </c>
      <c r="I63" s="267" t="s">
        <v>447</v>
      </c>
      <c r="J63" s="254"/>
      <c r="K63" s="255"/>
      <c r="L63" s="256" t="s">
        <v>448</v>
      </c>
    </row>
    <row r="64" spans="1:13" s="238" customFormat="1" ht="23.25" customHeight="1">
      <c r="A64" s="1298" t="s">
        <v>449</v>
      </c>
      <c r="B64" s="1299"/>
      <c r="C64" s="1299"/>
      <c r="D64" s="1299"/>
      <c r="E64" s="1299"/>
      <c r="F64" s="1299"/>
      <c r="G64" s="283">
        <v>6</v>
      </c>
      <c r="H64" s="283"/>
      <c r="I64" s="283"/>
      <c r="J64" s="283"/>
      <c r="K64" s="283"/>
      <c r="L64" s="283"/>
      <c r="M64" s="261"/>
    </row>
    <row r="65" spans="1:13" ht="15.75" hidden="1" customHeight="1">
      <c r="A65" s="262"/>
      <c r="B65" s="1300" t="s">
        <v>450</v>
      </c>
      <c r="C65" s="1301"/>
      <c r="D65" s="1301"/>
      <c r="E65" s="1301"/>
      <c r="F65" s="263"/>
      <c r="G65" s="263">
        <v>2</v>
      </c>
      <c r="H65" s="263"/>
      <c r="I65" s="263"/>
      <c r="J65" s="264"/>
      <c r="K65" s="263"/>
      <c r="L65" s="265"/>
    </row>
    <row r="66" spans="1:13" ht="15.75" hidden="1" customHeight="1">
      <c r="A66" s="242"/>
      <c r="B66" s="243"/>
      <c r="C66" s="1308" t="s">
        <v>121</v>
      </c>
      <c r="D66" s="1308"/>
      <c r="E66" s="1308"/>
      <c r="F66" s="247" t="s">
        <v>451</v>
      </c>
      <c r="G66" s="247"/>
      <c r="H66" s="247" t="s">
        <v>327</v>
      </c>
      <c r="I66" s="268" t="s">
        <v>328</v>
      </c>
      <c r="J66" s="246"/>
      <c r="K66" s="247"/>
      <c r="L66" s="248" t="s">
        <v>547</v>
      </c>
    </row>
    <row r="67" spans="1:13" ht="33" hidden="1" customHeight="1">
      <c r="A67" s="242"/>
      <c r="B67" s="257"/>
      <c r="C67" s="1281" t="s">
        <v>352</v>
      </c>
      <c r="D67" s="1281"/>
      <c r="E67" s="1281"/>
      <c r="F67" s="244" t="s">
        <v>452</v>
      </c>
      <c r="G67" s="244"/>
      <c r="H67" s="244" t="s">
        <v>327</v>
      </c>
      <c r="I67" s="266" t="s">
        <v>328</v>
      </c>
      <c r="J67" s="246"/>
      <c r="K67" s="247"/>
      <c r="L67" s="248" t="s">
        <v>453</v>
      </c>
    </row>
    <row r="68" spans="1:13" ht="15.75" hidden="1" customHeight="1">
      <c r="A68" s="242"/>
      <c r="B68" s="1280" t="s">
        <v>454</v>
      </c>
      <c r="C68" s="1281"/>
      <c r="D68" s="1281"/>
      <c r="E68" s="1281"/>
      <c r="F68" s="244"/>
      <c r="G68" s="244">
        <v>4</v>
      </c>
      <c r="H68" s="244"/>
      <c r="I68" s="244"/>
      <c r="J68" s="246"/>
      <c r="K68" s="247"/>
      <c r="L68" s="248"/>
    </row>
    <row r="69" spans="1:13" ht="15.75" hidden="1" customHeight="1">
      <c r="A69" s="242"/>
      <c r="B69" s="257"/>
      <c r="C69" s="1281" t="s">
        <v>455</v>
      </c>
      <c r="D69" s="1281"/>
      <c r="E69" s="1281"/>
      <c r="F69" s="244"/>
      <c r="G69" s="244"/>
      <c r="H69" s="244"/>
      <c r="I69" s="244"/>
      <c r="J69" s="246"/>
      <c r="K69" s="247"/>
      <c r="L69" s="248"/>
    </row>
    <row r="70" spans="1:13" ht="15.75" hidden="1" customHeight="1">
      <c r="A70" s="242"/>
      <c r="B70" s="257"/>
      <c r="C70" s="244"/>
      <c r="D70" s="1281" t="s">
        <v>456</v>
      </c>
      <c r="E70" s="1281"/>
      <c r="F70" s="244" t="s">
        <v>457</v>
      </c>
      <c r="G70" s="244"/>
      <c r="H70" s="244" t="s">
        <v>327</v>
      </c>
      <c r="I70" s="266" t="s">
        <v>328</v>
      </c>
      <c r="J70" s="246"/>
      <c r="K70" s="247"/>
      <c r="L70" s="248" t="s">
        <v>548</v>
      </c>
    </row>
    <row r="71" spans="1:13" ht="15.75" hidden="1" customHeight="1">
      <c r="A71" s="242"/>
      <c r="B71" s="257"/>
      <c r="C71" s="244"/>
      <c r="D71" s="1281" t="s">
        <v>323</v>
      </c>
      <c r="E71" s="1281"/>
      <c r="F71" s="244" t="s">
        <v>403</v>
      </c>
      <c r="G71" s="244"/>
      <c r="H71" s="244" t="s">
        <v>327</v>
      </c>
      <c r="I71" s="266" t="s">
        <v>328</v>
      </c>
      <c r="J71" s="246"/>
      <c r="K71" s="247"/>
      <c r="L71" s="248" t="s">
        <v>549</v>
      </c>
    </row>
    <row r="72" spans="1:13" ht="15.75" hidden="1" customHeight="1">
      <c r="A72" s="242"/>
      <c r="B72" s="257"/>
      <c r="C72" s="1281" t="s">
        <v>458</v>
      </c>
      <c r="D72" s="1281"/>
      <c r="E72" s="1281"/>
      <c r="F72" s="244"/>
      <c r="G72" s="244"/>
      <c r="H72" s="244"/>
      <c r="I72" s="244"/>
      <c r="J72" s="246"/>
      <c r="K72" s="247"/>
      <c r="L72" s="248"/>
    </row>
    <row r="73" spans="1:13" ht="15.75" hidden="1" customHeight="1">
      <c r="A73" s="242"/>
      <c r="B73" s="257"/>
      <c r="C73" s="244"/>
      <c r="D73" s="1281" t="s">
        <v>459</v>
      </c>
      <c r="E73" s="1281"/>
      <c r="F73" s="244" t="s">
        <v>451</v>
      </c>
      <c r="G73" s="244"/>
      <c r="H73" s="244" t="s">
        <v>327</v>
      </c>
      <c r="I73" s="266" t="s">
        <v>328</v>
      </c>
      <c r="J73" s="246"/>
      <c r="K73" s="247"/>
      <c r="L73" s="248" t="s">
        <v>550</v>
      </c>
    </row>
    <row r="74" spans="1:13" ht="33" hidden="1" customHeight="1">
      <c r="A74" s="259"/>
      <c r="B74" s="260"/>
      <c r="C74" s="252"/>
      <c r="D74" s="1290" t="s">
        <v>6</v>
      </c>
      <c r="E74" s="1290"/>
      <c r="F74" s="252" t="s">
        <v>460</v>
      </c>
      <c r="G74" s="252"/>
      <c r="H74" s="252" t="s">
        <v>327</v>
      </c>
      <c r="I74" s="267" t="s">
        <v>328</v>
      </c>
      <c r="J74" s="254"/>
      <c r="K74" s="255"/>
      <c r="L74" s="256" t="s">
        <v>551</v>
      </c>
    </row>
    <row r="75" spans="1:13" s="238" customFormat="1" ht="25.5" customHeight="1">
      <c r="A75" s="1284" t="s">
        <v>461</v>
      </c>
      <c r="B75" s="1285"/>
      <c r="C75" s="1285"/>
      <c r="D75" s="1285"/>
      <c r="E75" s="1285"/>
      <c r="F75" s="1285"/>
      <c r="G75" s="283">
        <v>6</v>
      </c>
      <c r="H75" s="283"/>
      <c r="I75" s="283"/>
      <c r="J75" s="283"/>
      <c r="K75" s="283"/>
      <c r="L75" s="283"/>
      <c r="M75" s="261"/>
    </row>
    <row r="76" spans="1:13" ht="15.75" customHeight="1">
      <c r="A76" s="262"/>
      <c r="B76" s="1300" t="s">
        <v>462</v>
      </c>
      <c r="C76" s="1301"/>
      <c r="D76" s="1301"/>
      <c r="E76" s="1301"/>
      <c r="F76" s="263" t="s">
        <v>463</v>
      </c>
      <c r="G76" s="263"/>
      <c r="H76" s="263" t="s">
        <v>327</v>
      </c>
      <c r="I76" s="269" t="s">
        <v>328</v>
      </c>
      <c r="J76" s="264"/>
      <c r="K76" s="263"/>
      <c r="L76" s="265" t="s">
        <v>464</v>
      </c>
    </row>
    <row r="77" spans="1:13" ht="15.75" customHeight="1">
      <c r="A77" s="242"/>
      <c r="B77" s="1311" t="s">
        <v>465</v>
      </c>
      <c r="C77" s="1303"/>
      <c r="D77" s="1303"/>
      <c r="E77" s="1304"/>
      <c r="F77" s="247"/>
      <c r="G77" s="247"/>
      <c r="H77" s="247"/>
      <c r="I77" s="247"/>
      <c r="J77" s="246"/>
      <c r="K77" s="247"/>
      <c r="L77" s="248"/>
    </row>
    <row r="78" spans="1:13" ht="33.75" customHeight="1">
      <c r="A78" s="242"/>
      <c r="B78" s="243"/>
      <c r="C78" s="1302" t="s">
        <v>466</v>
      </c>
      <c r="D78" s="1303"/>
      <c r="E78" s="1304"/>
      <c r="F78" s="247" t="s">
        <v>358</v>
      </c>
      <c r="G78" s="247"/>
      <c r="H78" s="247" t="s">
        <v>327</v>
      </c>
      <c r="I78" s="268" t="s">
        <v>328</v>
      </c>
      <c r="J78" s="246"/>
      <c r="K78" s="247"/>
      <c r="L78" s="248" t="s">
        <v>467</v>
      </c>
    </row>
    <row r="79" spans="1:13" ht="31.5" customHeight="1">
      <c r="A79" s="242"/>
      <c r="B79" s="243"/>
      <c r="C79" s="1302" t="s">
        <v>204</v>
      </c>
      <c r="D79" s="1303"/>
      <c r="E79" s="1304"/>
      <c r="F79" s="247" t="s">
        <v>361</v>
      </c>
      <c r="G79" s="247"/>
      <c r="H79" s="247" t="s">
        <v>343</v>
      </c>
      <c r="I79" s="247" t="s">
        <v>344</v>
      </c>
      <c r="J79" s="246"/>
      <c r="K79" s="247"/>
      <c r="L79" s="248" t="s">
        <v>468</v>
      </c>
    </row>
    <row r="80" spans="1:13" ht="31.5">
      <c r="A80" s="242"/>
      <c r="B80" s="1307" t="s">
        <v>469</v>
      </c>
      <c r="C80" s="1308"/>
      <c r="D80" s="1308"/>
      <c r="E80" s="1308"/>
      <c r="F80" s="247" t="s">
        <v>470</v>
      </c>
      <c r="G80" s="247"/>
      <c r="H80" s="247" t="s">
        <v>327</v>
      </c>
      <c r="I80" s="268" t="s">
        <v>328</v>
      </c>
      <c r="J80" s="246"/>
      <c r="K80" s="247"/>
      <c r="L80" s="248" t="s">
        <v>471</v>
      </c>
    </row>
    <row r="81" spans="1:13" ht="31.5">
      <c r="A81" s="259"/>
      <c r="B81" s="1305" t="s">
        <v>472</v>
      </c>
      <c r="C81" s="1306"/>
      <c r="D81" s="1306"/>
      <c r="E81" s="1306"/>
      <c r="F81" s="255" t="s">
        <v>473</v>
      </c>
      <c r="G81" s="255"/>
      <c r="H81" s="255" t="s">
        <v>327</v>
      </c>
      <c r="I81" s="270" t="s">
        <v>328</v>
      </c>
      <c r="J81" s="254"/>
      <c r="K81" s="255"/>
      <c r="L81" s="248" t="s">
        <v>474</v>
      </c>
    </row>
    <row r="82" spans="1:13" s="238" customFormat="1" ht="26.25" customHeight="1">
      <c r="A82" s="1309" t="s">
        <v>475</v>
      </c>
      <c r="B82" s="1309"/>
      <c r="C82" s="1309"/>
      <c r="D82" s="1309"/>
      <c r="E82" s="1309"/>
      <c r="F82" s="1309"/>
      <c r="G82" s="1309"/>
      <c r="H82" s="1309"/>
      <c r="I82" s="1309"/>
      <c r="J82" s="1309"/>
      <c r="K82" s="1309"/>
      <c r="L82" s="1310"/>
      <c r="M82" s="261"/>
    </row>
    <row r="83" spans="1:13" s="238" customFormat="1" ht="21.75" customHeight="1">
      <c r="A83" s="1286" t="s">
        <v>476</v>
      </c>
      <c r="B83" s="1286"/>
      <c r="C83" s="1286"/>
      <c r="D83" s="1286"/>
      <c r="E83" s="1286"/>
      <c r="F83" s="1286"/>
      <c r="G83" s="282">
        <f>SUM(G84:G100)</f>
        <v>15</v>
      </c>
      <c r="H83" s="282"/>
      <c r="I83" s="282"/>
      <c r="J83" s="282"/>
      <c r="K83" s="282"/>
      <c r="L83" s="282"/>
      <c r="M83" s="261"/>
    </row>
    <row r="84" spans="1:13" ht="30" customHeight="1">
      <c r="A84" s="271"/>
      <c r="B84" s="1282" t="s">
        <v>477</v>
      </c>
      <c r="C84" s="1283"/>
      <c r="D84" s="1283"/>
      <c r="E84" s="1283"/>
      <c r="F84" s="272" t="s">
        <v>478</v>
      </c>
      <c r="G84" s="272">
        <v>1</v>
      </c>
      <c r="H84" s="272" t="s">
        <v>327</v>
      </c>
      <c r="I84" s="273" t="s">
        <v>328</v>
      </c>
      <c r="J84" s="264"/>
      <c r="K84" s="263"/>
      <c r="L84" s="265" t="s">
        <v>479</v>
      </c>
    </row>
    <row r="85" spans="1:13" ht="31.5">
      <c r="A85" s="242"/>
      <c r="B85" s="1280" t="s">
        <v>480</v>
      </c>
      <c r="C85" s="1281"/>
      <c r="D85" s="1281"/>
      <c r="E85" s="1281"/>
      <c r="F85" s="244" t="s">
        <v>481</v>
      </c>
      <c r="G85" s="244">
        <v>1</v>
      </c>
      <c r="H85" s="244" t="s">
        <v>327</v>
      </c>
      <c r="I85" s="266" t="s">
        <v>328</v>
      </c>
      <c r="J85" s="246"/>
      <c r="K85" s="247"/>
      <c r="L85" s="248" t="s">
        <v>482</v>
      </c>
    </row>
    <row r="86" spans="1:13" ht="31.5">
      <c r="A86" s="242"/>
      <c r="B86" s="1280" t="s">
        <v>483</v>
      </c>
      <c r="C86" s="1281"/>
      <c r="D86" s="1281"/>
      <c r="E86" s="1281"/>
      <c r="F86" s="244" t="s">
        <v>484</v>
      </c>
      <c r="G86" s="244">
        <v>1</v>
      </c>
      <c r="H86" s="244" t="s">
        <v>327</v>
      </c>
      <c r="I86" s="266" t="s">
        <v>328</v>
      </c>
      <c r="J86" s="246"/>
      <c r="K86" s="247"/>
      <c r="L86" s="248" t="s">
        <v>485</v>
      </c>
    </row>
    <row r="87" spans="1:13" ht="31.5">
      <c r="A87" s="242"/>
      <c r="B87" s="1280" t="s">
        <v>486</v>
      </c>
      <c r="C87" s="1281"/>
      <c r="D87" s="1281"/>
      <c r="E87" s="1281"/>
      <c r="F87" s="244" t="s">
        <v>487</v>
      </c>
      <c r="G87" s="244">
        <v>1</v>
      </c>
      <c r="H87" s="244" t="s">
        <v>327</v>
      </c>
      <c r="I87" s="266" t="s">
        <v>328</v>
      </c>
      <c r="J87" s="246"/>
      <c r="K87" s="247"/>
      <c r="L87" s="248" t="s">
        <v>488</v>
      </c>
    </row>
    <row r="88" spans="1:13" ht="15.75" customHeight="1">
      <c r="A88" s="242"/>
      <c r="B88" s="1280" t="s">
        <v>489</v>
      </c>
      <c r="C88" s="1281"/>
      <c r="D88" s="1281"/>
      <c r="E88" s="1281"/>
      <c r="F88" s="244"/>
      <c r="G88" s="244"/>
      <c r="H88" s="244"/>
      <c r="I88" s="244"/>
      <c r="J88" s="246"/>
      <c r="K88" s="247"/>
      <c r="L88" s="258"/>
    </row>
    <row r="89" spans="1:13" ht="15.75" customHeight="1">
      <c r="A89" s="242"/>
      <c r="B89" s="257"/>
      <c r="C89" s="1281" t="s">
        <v>456</v>
      </c>
      <c r="D89" s="1281"/>
      <c r="E89" s="1281"/>
      <c r="F89" s="244"/>
      <c r="G89" s="244">
        <v>1</v>
      </c>
      <c r="H89" s="244"/>
      <c r="I89" s="244"/>
      <c r="J89" s="246"/>
      <c r="K89" s="247"/>
      <c r="L89" s="258"/>
    </row>
    <row r="90" spans="1:13" ht="31.5">
      <c r="A90" s="242"/>
      <c r="B90" s="257"/>
      <c r="C90" s="244"/>
      <c r="D90" s="1281" t="s">
        <v>161</v>
      </c>
      <c r="E90" s="1281"/>
      <c r="F90" s="244" t="s">
        <v>490</v>
      </c>
      <c r="G90" s="244">
        <v>1</v>
      </c>
      <c r="H90" s="244" t="s">
        <v>327</v>
      </c>
      <c r="I90" s="266" t="s">
        <v>328</v>
      </c>
      <c r="J90" s="246"/>
      <c r="K90" s="247"/>
      <c r="L90" s="248" t="s">
        <v>491</v>
      </c>
    </row>
    <row r="91" spans="1:13" ht="31.5">
      <c r="A91" s="242"/>
      <c r="B91" s="257"/>
      <c r="C91" s="244"/>
      <c r="D91" s="1281" t="s">
        <v>323</v>
      </c>
      <c r="E91" s="1281"/>
      <c r="F91" s="244" t="s">
        <v>403</v>
      </c>
      <c r="G91" s="244">
        <v>1</v>
      </c>
      <c r="H91" s="244" t="s">
        <v>327</v>
      </c>
      <c r="I91" s="266" t="s">
        <v>328</v>
      </c>
      <c r="J91" s="246"/>
      <c r="K91" s="247"/>
      <c r="L91" s="248" t="s">
        <v>492</v>
      </c>
    </row>
    <row r="92" spans="1:13">
      <c r="A92" s="242"/>
      <c r="B92" s="257"/>
      <c r="C92" s="1281" t="s">
        <v>493</v>
      </c>
      <c r="D92" s="1281"/>
      <c r="E92" s="1281"/>
      <c r="F92" s="244" t="s">
        <v>494</v>
      </c>
      <c r="G92" s="244">
        <v>1</v>
      </c>
      <c r="H92" s="244" t="s">
        <v>327</v>
      </c>
      <c r="I92" s="266" t="s">
        <v>328</v>
      </c>
      <c r="J92" s="246"/>
      <c r="K92" s="247"/>
      <c r="L92" s="248" t="s">
        <v>495</v>
      </c>
    </row>
    <row r="93" spans="1:13" ht="47.25">
      <c r="A93" s="242"/>
      <c r="B93" s="257"/>
      <c r="C93" s="1281" t="s">
        <v>496</v>
      </c>
      <c r="D93" s="1281"/>
      <c r="E93" s="1281"/>
      <c r="F93" s="244" t="s">
        <v>497</v>
      </c>
      <c r="G93" s="244">
        <v>1</v>
      </c>
      <c r="H93" s="244" t="s">
        <v>327</v>
      </c>
      <c r="I93" s="266" t="s">
        <v>328</v>
      </c>
      <c r="J93" s="246"/>
      <c r="K93" s="247"/>
      <c r="L93" s="248" t="s">
        <v>498</v>
      </c>
    </row>
    <row r="94" spans="1:13" ht="35.25" customHeight="1">
      <c r="A94" s="242"/>
      <c r="B94" s="257"/>
      <c r="C94" s="1281" t="s">
        <v>499</v>
      </c>
      <c r="D94" s="1281"/>
      <c r="E94" s="1281"/>
      <c r="F94" s="244" t="s">
        <v>500</v>
      </c>
      <c r="G94" s="244">
        <v>1</v>
      </c>
      <c r="H94" s="244" t="s">
        <v>327</v>
      </c>
      <c r="I94" s="266" t="s">
        <v>328</v>
      </c>
      <c r="J94" s="246"/>
      <c r="K94" s="247"/>
      <c r="L94" s="248" t="s">
        <v>501</v>
      </c>
    </row>
    <row r="95" spans="1:13" ht="15.75" customHeight="1">
      <c r="A95" s="242"/>
      <c r="B95" s="257"/>
      <c r="C95" s="1281" t="s">
        <v>161</v>
      </c>
      <c r="D95" s="1281"/>
      <c r="E95" s="1281"/>
      <c r="F95" s="244"/>
      <c r="G95" s="244"/>
      <c r="H95" s="244"/>
      <c r="I95" s="266"/>
      <c r="J95" s="246"/>
      <c r="K95" s="247"/>
      <c r="L95" s="248"/>
    </row>
    <row r="96" spans="1:13" ht="15.75" customHeight="1">
      <c r="A96" s="242"/>
      <c r="B96" s="257"/>
      <c r="C96" s="244"/>
      <c r="D96" s="1281" t="s">
        <v>502</v>
      </c>
      <c r="E96" s="1281"/>
      <c r="F96" s="244" t="s">
        <v>503</v>
      </c>
      <c r="G96" s="244">
        <v>1</v>
      </c>
      <c r="H96" s="244" t="s">
        <v>327</v>
      </c>
      <c r="I96" s="266" t="s">
        <v>328</v>
      </c>
      <c r="J96" s="246"/>
      <c r="K96" s="247"/>
      <c r="L96" s="248" t="s">
        <v>504</v>
      </c>
    </row>
    <row r="97" spans="1:13" ht="32.25" customHeight="1">
      <c r="A97" s="242"/>
      <c r="B97" s="257"/>
      <c r="C97" s="244"/>
      <c r="D97" s="1281" t="s">
        <v>74</v>
      </c>
      <c r="E97" s="1281"/>
      <c r="F97" s="244" t="s">
        <v>505</v>
      </c>
      <c r="G97" s="244">
        <v>1</v>
      </c>
      <c r="H97" s="244" t="s">
        <v>327</v>
      </c>
      <c r="I97" s="266" t="s">
        <v>328</v>
      </c>
      <c r="J97" s="246"/>
      <c r="K97" s="247"/>
      <c r="L97" s="248" t="s">
        <v>506</v>
      </c>
    </row>
    <row r="98" spans="1:13" ht="15.75" customHeight="1">
      <c r="A98" s="242"/>
      <c r="B98" s="257"/>
      <c r="C98" s="244"/>
      <c r="D98" s="1281" t="s">
        <v>75</v>
      </c>
      <c r="E98" s="1281"/>
      <c r="F98" s="244" t="s">
        <v>507</v>
      </c>
      <c r="G98" s="244">
        <v>1</v>
      </c>
      <c r="H98" s="244" t="s">
        <v>327</v>
      </c>
      <c r="I98" s="266" t="s">
        <v>328</v>
      </c>
      <c r="J98" s="246"/>
      <c r="K98" s="247"/>
      <c r="L98" s="248" t="s">
        <v>508</v>
      </c>
    </row>
    <row r="99" spans="1:13" ht="15.75" customHeight="1">
      <c r="A99" s="242"/>
      <c r="B99" s="257"/>
      <c r="C99" s="244"/>
      <c r="D99" s="1281" t="s">
        <v>509</v>
      </c>
      <c r="E99" s="1281"/>
      <c r="F99" s="244" t="s">
        <v>510</v>
      </c>
      <c r="G99" s="244">
        <v>1</v>
      </c>
      <c r="H99" s="244" t="s">
        <v>327</v>
      </c>
      <c r="I99" s="266" t="s">
        <v>328</v>
      </c>
      <c r="J99" s="246"/>
      <c r="K99" s="247"/>
      <c r="L99" s="248" t="s">
        <v>511</v>
      </c>
    </row>
    <row r="100" spans="1:13" ht="15.75" customHeight="1">
      <c r="A100" s="259"/>
      <c r="B100" s="260"/>
      <c r="C100" s="252"/>
      <c r="D100" s="1290" t="s">
        <v>512</v>
      </c>
      <c r="E100" s="1290"/>
      <c r="F100" s="252" t="s">
        <v>513</v>
      </c>
      <c r="G100" s="252">
        <v>1</v>
      </c>
      <c r="H100" s="252" t="s">
        <v>327</v>
      </c>
      <c r="I100" s="267" t="s">
        <v>328</v>
      </c>
      <c r="J100" s="254"/>
      <c r="K100" s="255"/>
      <c r="L100" s="256" t="s">
        <v>514</v>
      </c>
    </row>
    <row r="101" spans="1:13" s="238" customFormat="1" ht="28.5" customHeight="1">
      <c r="A101" s="1312" t="s">
        <v>515</v>
      </c>
      <c r="B101" s="1313"/>
      <c r="C101" s="1313"/>
      <c r="D101" s="1313"/>
      <c r="E101" s="1313"/>
      <c r="F101" s="1313"/>
      <c r="G101" s="282">
        <v>4</v>
      </c>
      <c r="H101" s="283"/>
      <c r="I101" s="283"/>
      <c r="J101" s="283"/>
      <c r="K101" s="283"/>
      <c r="L101" s="284"/>
    </row>
    <row r="102" spans="1:13">
      <c r="A102" s="242"/>
      <c r="B102" s="1307" t="s">
        <v>516</v>
      </c>
      <c r="C102" s="1308"/>
      <c r="D102" s="1308"/>
      <c r="E102" s="1308"/>
      <c r="F102" s="247" t="s">
        <v>517</v>
      </c>
      <c r="G102" s="247"/>
      <c r="H102" s="247" t="s">
        <v>518</v>
      </c>
      <c r="I102" s="266" t="s">
        <v>519</v>
      </c>
      <c r="J102" s="246"/>
      <c r="K102" s="247"/>
      <c r="L102" s="248" t="s">
        <v>520</v>
      </c>
    </row>
    <row r="103" spans="1:13">
      <c r="A103" s="242"/>
      <c r="B103" s="1307" t="s">
        <v>521</v>
      </c>
      <c r="C103" s="1308"/>
      <c r="D103" s="1308"/>
      <c r="E103" s="1308"/>
      <c r="F103" s="247" t="s">
        <v>522</v>
      </c>
      <c r="G103" s="247"/>
      <c r="H103" s="247" t="s">
        <v>518</v>
      </c>
      <c r="I103" s="266" t="s">
        <v>519</v>
      </c>
      <c r="J103" s="246"/>
      <c r="K103" s="247"/>
      <c r="L103" s="248" t="s">
        <v>523</v>
      </c>
    </row>
    <row r="104" spans="1:13">
      <c r="A104" s="242"/>
      <c r="B104" s="1307" t="s">
        <v>524</v>
      </c>
      <c r="C104" s="1308"/>
      <c r="D104" s="1308"/>
      <c r="E104" s="1308"/>
      <c r="F104" s="247" t="s">
        <v>525</v>
      </c>
      <c r="G104" s="247"/>
      <c r="H104" s="247" t="s">
        <v>518</v>
      </c>
      <c r="I104" s="266" t="s">
        <v>519</v>
      </c>
      <c r="J104" s="246"/>
      <c r="K104" s="247"/>
      <c r="L104" s="248" t="s">
        <v>526</v>
      </c>
    </row>
    <row r="105" spans="1:13">
      <c r="A105" s="259"/>
      <c r="B105" s="1305" t="s">
        <v>527</v>
      </c>
      <c r="C105" s="1306"/>
      <c r="D105" s="1306"/>
      <c r="E105" s="1306"/>
      <c r="F105" s="255" t="s">
        <v>528</v>
      </c>
      <c r="G105" s="255"/>
      <c r="H105" s="255" t="s">
        <v>518</v>
      </c>
      <c r="I105" s="267" t="s">
        <v>519</v>
      </c>
      <c r="J105" s="254"/>
      <c r="K105" s="255"/>
      <c r="L105" s="256" t="s">
        <v>529</v>
      </c>
    </row>
    <row r="106" spans="1:13" s="238" customFormat="1" ht="27" customHeight="1">
      <c r="A106" s="1312" t="s">
        <v>530</v>
      </c>
      <c r="B106" s="1313"/>
      <c r="C106" s="1313"/>
      <c r="D106" s="1313"/>
      <c r="E106" s="1313"/>
      <c r="F106" s="1313"/>
      <c r="G106" s="282">
        <v>4</v>
      </c>
      <c r="H106" s="283"/>
      <c r="I106" s="283"/>
      <c r="J106" s="283"/>
      <c r="K106" s="283"/>
      <c r="L106" s="283"/>
      <c r="M106" s="261"/>
    </row>
    <row r="107" spans="1:13">
      <c r="A107" s="242"/>
      <c r="B107" s="1300" t="s">
        <v>531</v>
      </c>
      <c r="C107" s="1301"/>
      <c r="D107" s="1301"/>
      <c r="E107" s="1301"/>
      <c r="F107" s="263" t="s">
        <v>532</v>
      </c>
      <c r="G107" s="263"/>
      <c r="H107" s="263" t="s">
        <v>533</v>
      </c>
      <c r="I107" s="273" t="s">
        <v>534</v>
      </c>
      <c r="J107" s="264"/>
      <c r="K107" s="263"/>
      <c r="L107" s="265" t="s">
        <v>535</v>
      </c>
    </row>
    <row r="108" spans="1:13">
      <c r="A108" s="242"/>
      <c r="B108" s="1307" t="s">
        <v>536</v>
      </c>
      <c r="C108" s="1308"/>
      <c r="D108" s="1308"/>
      <c r="E108" s="1308"/>
      <c r="F108" s="247" t="s">
        <v>537</v>
      </c>
      <c r="G108" s="247"/>
      <c r="H108" s="247" t="s">
        <v>533</v>
      </c>
      <c r="I108" s="266" t="s">
        <v>534</v>
      </c>
      <c r="J108" s="246"/>
      <c r="K108" s="247"/>
      <c r="L108" s="248" t="s">
        <v>538</v>
      </c>
    </row>
    <row r="109" spans="1:13">
      <c r="A109" s="242"/>
      <c r="B109" s="1307" t="s">
        <v>539</v>
      </c>
      <c r="C109" s="1308"/>
      <c r="D109" s="1308"/>
      <c r="E109" s="1308"/>
      <c r="F109" s="247" t="s">
        <v>540</v>
      </c>
      <c r="G109" s="247"/>
      <c r="H109" s="247" t="s">
        <v>533</v>
      </c>
      <c r="I109" s="266" t="s">
        <v>534</v>
      </c>
      <c r="J109" s="246"/>
      <c r="K109" s="247"/>
      <c r="L109" s="248" t="s">
        <v>541</v>
      </c>
    </row>
    <row r="110" spans="1:13">
      <c r="A110" s="259"/>
      <c r="B110" s="1305" t="s">
        <v>542</v>
      </c>
      <c r="C110" s="1306"/>
      <c r="D110" s="1306"/>
      <c r="E110" s="1306"/>
      <c r="F110" s="255" t="s">
        <v>543</v>
      </c>
      <c r="G110" s="255"/>
      <c r="H110" s="255" t="s">
        <v>533</v>
      </c>
      <c r="I110" s="267" t="s">
        <v>534</v>
      </c>
      <c r="J110" s="254"/>
      <c r="K110" s="255"/>
      <c r="L110" s="256" t="s">
        <v>544</v>
      </c>
    </row>
    <row r="111" spans="1:13">
      <c r="G111" s="249">
        <f>G8+G19+G49+G64+G75</f>
        <v>151</v>
      </c>
    </row>
    <row r="112" spans="1:13">
      <c r="E112" s="249">
        <f>109-33</f>
        <v>76</v>
      </c>
    </row>
  </sheetData>
  <mergeCells count="113">
    <mergeCell ref="A6:A7"/>
    <mergeCell ref="B27:E27"/>
    <mergeCell ref="D71:E71"/>
    <mergeCell ref="C59:E59"/>
    <mergeCell ref="B55:E55"/>
    <mergeCell ref="B57:E57"/>
    <mergeCell ref="C56:E56"/>
    <mergeCell ref="B50:E50"/>
    <mergeCell ref="C42:E42"/>
    <mergeCell ref="C67:E67"/>
    <mergeCell ref="C54:E54"/>
    <mergeCell ref="B44:E44"/>
    <mergeCell ref="C66:E66"/>
    <mergeCell ref="B48:E48"/>
    <mergeCell ref="C53:E53"/>
    <mergeCell ref="C52:E52"/>
    <mergeCell ref="B46:E46"/>
    <mergeCell ref="C58:E58"/>
    <mergeCell ref="D61:E61"/>
    <mergeCell ref="C60:E60"/>
    <mergeCell ref="C11:E11"/>
    <mergeCell ref="B8:E8"/>
    <mergeCell ref="C43:E43"/>
    <mergeCell ref="B110:E110"/>
    <mergeCell ref="B85:E85"/>
    <mergeCell ref="B80:E80"/>
    <mergeCell ref="B76:E76"/>
    <mergeCell ref="D91:E91"/>
    <mergeCell ref="B107:E107"/>
    <mergeCell ref="D96:E96"/>
    <mergeCell ref="A82:L82"/>
    <mergeCell ref="B77:E77"/>
    <mergeCell ref="B86:E86"/>
    <mergeCell ref="B109:E109"/>
    <mergeCell ref="D99:E99"/>
    <mergeCell ref="B105:E105"/>
    <mergeCell ref="B102:E102"/>
    <mergeCell ref="B103:E103"/>
    <mergeCell ref="D100:E100"/>
    <mergeCell ref="B108:E108"/>
    <mergeCell ref="B104:E104"/>
    <mergeCell ref="A101:F101"/>
    <mergeCell ref="A106:F106"/>
    <mergeCell ref="B87:E87"/>
    <mergeCell ref="B88:E88"/>
    <mergeCell ref="D98:E98"/>
    <mergeCell ref="C78:E78"/>
    <mergeCell ref="C95:E95"/>
    <mergeCell ref="D90:E90"/>
    <mergeCell ref="C92:E92"/>
    <mergeCell ref="D63:E63"/>
    <mergeCell ref="D74:E74"/>
    <mergeCell ref="B68:E68"/>
    <mergeCell ref="C94:E94"/>
    <mergeCell ref="D73:E73"/>
    <mergeCell ref="A64:F64"/>
    <mergeCell ref="D70:E70"/>
    <mergeCell ref="B65:E65"/>
    <mergeCell ref="C72:E72"/>
    <mergeCell ref="A75:F75"/>
    <mergeCell ref="C79:E79"/>
    <mergeCell ref="B81:E81"/>
    <mergeCell ref="B84:E84"/>
    <mergeCell ref="C93:E93"/>
    <mergeCell ref="C69:E69"/>
    <mergeCell ref="D97:E97"/>
    <mergeCell ref="A83:F83"/>
    <mergeCell ref="C89:E89"/>
    <mergeCell ref="B2:I2"/>
    <mergeCell ref="F6:F7"/>
    <mergeCell ref="B30:E30"/>
    <mergeCell ref="C32:E32"/>
    <mergeCell ref="C13:E13"/>
    <mergeCell ref="C15:E15"/>
    <mergeCell ref="C16:E16"/>
    <mergeCell ref="C17:E17"/>
    <mergeCell ref="C38:E38"/>
    <mergeCell ref="A19:F19"/>
    <mergeCell ref="B3:L3"/>
    <mergeCell ref="L6:L7"/>
    <mergeCell ref="C9:E9"/>
    <mergeCell ref="J6:J7"/>
    <mergeCell ref="H6:I7"/>
    <mergeCell ref="K6:K7"/>
    <mergeCell ref="C10:E10"/>
    <mergeCell ref="C12:E12"/>
    <mergeCell ref="B4:F4"/>
    <mergeCell ref="C14:E14"/>
    <mergeCell ref="B6:E7"/>
    <mergeCell ref="A5:F5"/>
    <mergeCell ref="B40:E40"/>
    <mergeCell ref="D62:E62"/>
    <mergeCell ref="B20:E20"/>
    <mergeCell ref="B23:E23"/>
    <mergeCell ref="C35:E35"/>
    <mergeCell ref="B24:E24"/>
    <mergeCell ref="B25:E25"/>
    <mergeCell ref="B29:E29"/>
    <mergeCell ref="C31:E31"/>
    <mergeCell ref="B28:E28"/>
    <mergeCell ref="C22:E22"/>
    <mergeCell ref="B26:E26"/>
    <mergeCell ref="B33:E33"/>
    <mergeCell ref="C21:E21"/>
    <mergeCell ref="D39:E39"/>
    <mergeCell ref="C34:E34"/>
    <mergeCell ref="C51:E51"/>
    <mergeCell ref="B47:E47"/>
    <mergeCell ref="A49:F49"/>
    <mergeCell ref="C45:E45"/>
    <mergeCell ref="C36:E36"/>
    <mergeCell ref="C41:E41"/>
    <mergeCell ref="B37:E37"/>
  </mergeCells>
  <phoneticPr fontId="105" type="noConversion"/>
  <pageMargins left="0.48622047200000001" right="0.23622047244094499" top="0.761811024" bottom="0.511811023622047" header="0.23622047244094499" footer="0.23622047244094499"/>
  <pageSetup paperSize="9" firstPageNumber="4" orientation="landscape" useFirstPageNumber="1"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outlinePr summaryBelow="0"/>
  </sheetPr>
  <dimension ref="A1:H195"/>
  <sheetViews>
    <sheetView workbookViewId="0">
      <selection activeCell="L62" sqref="L62"/>
    </sheetView>
  </sheetViews>
  <sheetFormatPr defaultColWidth="8" defaultRowHeight="15.75" customHeight="1" outlineLevelRow="1"/>
  <cols>
    <col min="1" max="1" width="4.375" style="131" customWidth="1"/>
    <col min="2" max="2" width="32" style="131" customWidth="1"/>
    <col min="3" max="3" width="21.125" style="131" customWidth="1"/>
    <col min="4" max="4" width="6.375" style="131" customWidth="1"/>
    <col min="5" max="5" width="6.625" style="130" customWidth="1"/>
    <col min="6" max="6" width="8.125" style="130" customWidth="1"/>
    <col min="7" max="7" width="28.375" style="131" bestFit="1" customWidth="1"/>
    <col min="8" max="8" width="0" style="131" hidden="1" customWidth="1"/>
    <col min="9" max="16384" width="8" style="131"/>
  </cols>
  <sheetData>
    <row r="1" spans="1:8" ht="15.75" customHeight="1">
      <c r="A1" s="1317" t="s">
        <v>112</v>
      </c>
      <c r="B1" s="1317"/>
      <c r="C1" s="1317"/>
      <c r="D1" s="1317"/>
      <c r="E1" s="1317"/>
      <c r="F1" s="1317"/>
      <c r="G1" s="1317"/>
    </row>
    <row r="2" spans="1:8" ht="15.75" customHeight="1">
      <c r="A2" s="1318" t="s">
        <v>574</v>
      </c>
      <c r="B2" s="1318"/>
      <c r="C2" s="1318"/>
      <c r="D2" s="1318"/>
      <c r="E2" s="1318"/>
      <c r="F2" s="1318"/>
      <c r="G2" s="1318"/>
    </row>
    <row r="3" spans="1:8" ht="15.75" customHeight="1">
      <c r="A3" s="1319" t="s">
        <v>114</v>
      </c>
      <c r="B3" s="1319"/>
      <c r="C3" s="1319"/>
      <c r="D3" s="1319"/>
      <c r="E3" s="1319"/>
      <c r="F3" s="1319"/>
      <c r="G3" s="1319"/>
    </row>
    <row r="4" spans="1:8" ht="15.75" customHeight="1">
      <c r="A4" s="133"/>
    </row>
    <row r="5" spans="1:8" ht="30" customHeight="1">
      <c r="A5" s="134" t="s">
        <v>575</v>
      </c>
      <c r="B5" s="135"/>
      <c r="C5" s="135"/>
      <c r="D5" s="136" t="s">
        <v>116</v>
      </c>
      <c r="E5" s="136" t="s">
        <v>117</v>
      </c>
      <c r="F5" s="136" t="s">
        <v>118</v>
      </c>
      <c r="G5" s="134" t="s">
        <v>6</v>
      </c>
      <c r="H5" s="135"/>
    </row>
    <row r="6" spans="1:8" ht="30" customHeight="1">
      <c r="A6" s="137" t="s">
        <v>15</v>
      </c>
      <c r="B6" s="137" t="s">
        <v>579</v>
      </c>
      <c r="C6" s="131" t="s">
        <v>580</v>
      </c>
      <c r="D6" s="134"/>
      <c r="E6" s="138"/>
      <c r="F6" s="138"/>
      <c r="G6" s="139"/>
      <c r="H6" s="135"/>
    </row>
    <row r="7" spans="1:8" ht="29.25" customHeight="1" outlineLevel="1">
      <c r="A7" s="135" t="s">
        <v>586</v>
      </c>
      <c r="B7" s="137" t="s">
        <v>576</v>
      </c>
      <c r="C7" s="135"/>
      <c r="D7" s="135"/>
      <c r="E7" s="135"/>
      <c r="F7" s="135"/>
      <c r="G7" s="135"/>
      <c r="H7" s="135"/>
    </row>
    <row r="8" spans="1:8" ht="29.25" customHeight="1" outlineLevel="1">
      <c r="A8" s="135">
        <v>1</v>
      </c>
      <c r="B8" s="137"/>
      <c r="C8" s="135" t="s">
        <v>585</v>
      </c>
      <c r="D8" s="135"/>
      <c r="E8" s="135"/>
      <c r="F8" s="135"/>
      <c r="G8" s="135"/>
      <c r="H8" s="135"/>
    </row>
    <row r="9" spans="1:8" ht="29.25" customHeight="1" outlineLevel="1">
      <c r="A9" s="135">
        <v>2</v>
      </c>
      <c r="B9" s="137"/>
      <c r="C9" s="135" t="s">
        <v>582</v>
      </c>
      <c r="D9" s="135">
        <v>1</v>
      </c>
      <c r="E9" s="140">
        <v>0.05</v>
      </c>
      <c r="F9" s="140" t="s">
        <v>119</v>
      </c>
      <c r="G9" s="139" t="s">
        <v>120</v>
      </c>
      <c r="H9" s="135"/>
    </row>
    <row r="10" spans="1:8" ht="29.25" customHeight="1" outlineLevel="1">
      <c r="A10" s="135">
        <v>3</v>
      </c>
      <c r="B10" s="134"/>
      <c r="C10" s="135" t="s">
        <v>583</v>
      </c>
      <c r="D10" s="135"/>
      <c r="E10" s="140"/>
      <c r="F10" s="140"/>
      <c r="G10" s="139"/>
      <c r="H10" s="135"/>
    </row>
    <row r="11" spans="1:8" ht="15.75" customHeight="1" outlineLevel="1">
      <c r="A11" s="135">
        <v>4</v>
      </c>
      <c r="B11" s="135"/>
      <c r="C11" s="135" t="s">
        <v>128</v>
      </c>
      <c r="D11" s="135">
        <v>1</v>
      </c>
      <c r="E11" s="140"/>
      <c r="F11" s="140" t="s">
        <v>119</v>
      </c>
      <c r="G11" s="135"/>
      <c r="H11" s="135"/>
    </row>
    <row r="12" spans="1:8" ht="15.75" customHeight="1" outlineLevel="1">
      <c r="A12" s="135">
        <v>5</v>
      </c>
      <c r="B12" s="135"/>
      <c r="C12" s="135" t="s">
        <v>584</v>
      </c>
      <c r="D12" s="135">
        <v>1</v>
      </c>
      <c r="E12" s="140"/>
      <c r="F12" s="140" t="s">
        <v>119</v>
      </c>
      <c r="G12" s="135"/>
      <c r="H12" s="135"/>
    </row>
    <row r="13" spans="1:8" ht="20.25" customHeight="1" outlineLevel="1">
      <c r="A13" s="135">
        <v>6</v>
      </c>
      <c r="B13" s="135"/>
      <c r="C13" s="135" t="s">
        <v>125</v>
      </c>
      <c r="D13" s="135" t="s">
        <v>12</v>
      </c>
      <c r="E13" s="140"/>
      <c r="F13" s="140">
        <v>0</v>
      </c>
      <c r="G13" s="139"/>
      <c r="H13" s="135"/>
    </row>
    <row r="14" spans="1:8" ht="15.75" customHeight="1" outlineLevel="1">
      <c r="A14" s="135">
        <v>7</v>
      </c>
      <c r="B14" s="135"/>
      <c r="C14" s="135" t="s">
        <v>126</v>
      </c>
      <c r="D14" s="135" t="s">
        <v>12</v>
      </c>
      <c r="E14" s="140"/>
      <c r="F14" s="140">
        <v>0</v>
      </c>
      <c r="G14" s="139"/>
      <c r="H14" s="135"/>
    </row>
    <row r="15" spans="1:8" ht="15.75" customHeight="1" outlineLevel="1">
      <c r="A15" s="135">
        <v>8</v>
      </c>
      <c r="B15" s="135"/>
      <c r="C15" s="135" t="s">
        <v>75</v>
      </c>
      <c r="D15" s="135" t="s">
        <v>12</v>
      </c>
      <c r="E15" s="140"/>
      <c r="F15" s="140">
        <v>0</v>
      </c>
      <c r="G15" s="135"/>
      <c r="H15" s="135"/>
    </row>
    <row r="16" spans="1:8" ht="30" customHeight="1" outlineLevel="1">
      <c r="A16" s="135" t="s">
        <v>587</v>
      </c>
      <c r="B16" s="137" t="s">
        <v>578</v>
      </c>
      <c r="C16" s="135"/>
      <c r="D16" s="135"/>
      <c r="E16" s="140"/>
      <c r="F16" s="140"/>
      <c r="G16" s="139"/>
      <c r="H16" s="135"/>
    </row>
    <row r="17" spans="1:8" ht="15.75" customHeight="1" outlineLevel="1">
      <c r="A17" s="135">
        <v>1</v>
      </c>
      <c r="B17" s="135"/>
      <c r="C17" s="135" t="s">
        <v>129</v>
      </c>
      <c r="D17" s="135">
        <v>1</v>
      </c>
      <c r="E17" s="140"/>
      <c r="F17" s="140" t="s">
        <v>119</v>
      </c>
      <c r="G17" s="135"/>
      <c r="H17" s="135"/>
    </row>
    <row r="18" spans="1:8" ht="15.75" customHeight="1" outlineLevel="1">
      <c r="A18" s="135">
        <v>2</v>
      </c>
      <c r="B18" s="135"/>
      <c r="C18" s="135" t="s">
        <v>128</v>
      </c>
      <c r="D18" s="135">
        <v>1</v>
      </c>
      <c r="E18" s="140"/>
      <c r="F18" s="140" t="s">
        <v>119</v>
      </c>
      <c r="G18" s="135"/>
      <c r="H18" s="135"/>
    </row>
    <row r="19" spans="1:8" ht="15.75" customHeight="1" outlineLevel="1">
      <c r="A19" s="135">
        <v>3</v>
      </c>
      <c r="B19" s="135"/>
      <c r="C19" s="135" t="s">
        <v>577</v>
      </c>
      <c r="D19" s="135">
        <v>1</v>
      </c>
      <c r="E19" s="140"/>
      <c r="F19" s="140" t="s">
        <v>119</v>
      </c>
      <c r="G19" s="135"/>
      <c r="H19" s="135"/>
    </row>
    <row r="20" spans="1:8" ht="15.75" customHeight="1" outlineLevel="1">
      <c r="A20" s="135">
        <v>4</v>
      </c>
      <c r="B20" s="135"/>
      <c r="C20" s="135" t="s">
        <v>125</v>
      </c>
      <c r="D20" s="135">
        <v>1</v>
      </c>
      <c r="E20" s="140"/>
      <c r="F20" s="140">
        <v>0</v>
      </c>
      <c r="G20" s="135"/>
      <c r="H20" s="135"/>
    </row>
    <row r="21" spans="1:8" ht="15.75" customHeight="1" outlineLevel="1">
      <c r="A21" s="135">
        <v>5</v>
      </c>
      <c r="B21" s="135"/>
      <c r="C21" s="135" t="s">
        <v>126</v>
      </c>
      <c r="D21" s="135">
        <v>1</v>
      </c>
      <c r="E21" s="140"/>
      <c r="F21" s="140">
        <v>0</v>
      </c>
      <c r="G21" s="135"/>
      <c r="H21" s="135"/>
    </row>
    <row r="22" spans="1:8" ht="15.75" customHeight="1" outlineLevel="1">
      <c r="A22" s="135">
        <v>6</v>
      </c>
      <c r="B22" s="135"/>
      <c r="C22" s="135" t="s">
        <v>75</v>
      </c>
      <c r="D22" s="135">
        <v>1</v>
      </c>
      <c r="E22" s="140"/>
      <c r="F22" s="140">
        <v>0</v>
      </c>
      <c r="G22" s="135"/>
      <c r="H22" s="135"/>
    </row>
    <row r="23" spans="1:8" ht="15.75" customHeight="1" outlineLevel="1">
      <c r="A23" s="135">
        <v>27</v>
      </c>
      <c r="B23" s="134" t="s">
        <v>581</v>
      </c>
      <c r="C23" s="135"/>
      <c r="D23" s="135"/>
      <c r="E23" s="140"/>
      <c r="F23" s="140"/>
      <c r="G23" s="135"/>
      <c r="H23" s="135"/>
    </row>
    <row r="24" spans="1:8" ht="15.75" customHeight="1" outlineLevel="1">
      <c r="A24" s="135">
        <v>28</v>
      </c>
      <c r="B24" s="135"/>
      <c r="C24" s="135" t="s">
        <v>588</v>
      </c>
      <c r="D24" s="135">
        <v>1</v>
      </c>
      <c r="E24" s="140"/>
      <c r="F24" s="140"/>
      <c r="G24" s="135"/>
      <c r="H24" s="135"/>
    </row>
    <row r="25" spans="1:8" ht="15.75" customHeight="1" outlineLevel="1">
      <c r="A25" s="135">
        <v>29</v>
      </c>
      <c r="B25" s="135"/>
      <c r="C25" s="135" t="s">
        <v>128</v>
      </c>
      <c r="D25" s="135">
        <v>1</v>
      </c>
      <c r="E25" s="140"/>
      <c r="F25" s="140"/>
      <c r="G25" s="135"/>
      <c r="H25" s="135"/>
    </row>
    <row r="26" spans="1:8" ht="15.75" customHeight="1" outlineLevel="1">
      <c r="A26" s="135"/>
      <c r="B26" s="135"/>
      <c r="C26" s="135" t="s">
        <v>125</v>
      </c>
      <c r="D26" s="135">
        <v>1</v>
      </c>
      <c r="E26" s="140"/>
      <c r="F26" s="140">
        <v>0</v>
      </c>
      <c r="G26" s="135"/>
      <c r="H26" s="135"/>
    </row>
    <row r="27" spans="1:8" ht="15.75" customHeight="1" outlineLevel="1">
      <c r="A27" s="135"/>
      <c r="B27" s="135"/>
      <c r="C27" s="135" t="s">
        <v>126</v>
      </c>
      <c r="D27" s="135">
        <v>1</v>
      </c>
      <c r="E27" s="140"/>
      <c r="F27" s="140">
        <v>0</v>
      </c>
      <c r="G27" s="135"/>
      <c r="H27" s="135"/>
    </row>
    <row r="28" spans="1:8" ht="15.75" customHeight="1" outlineLevel="1">
      <c r="A28" s="135"/>
      <c r="B28" s="135"/>
      <c r="C28" s="135" t="s">
        <v>75</v>
      </c>
      <c r="D28" s="135">
        <v>1</v>
      </c>
      <c r="E28" s="140"/>
      <c r="F28" s="140">
        <v>0</v>
      </c>
      <c r="G28" s="135"/>
      <c r="H28" s="135"/>
    </row>
    <row r="29" spans="1:8" ht="15.75" customHeight="1" outlineLevel="1">
      <c r="A29" s="135" t="s">
        <v>65</v>
      </c>
      <c r="B29" s="135" t="s">
        <v>593</v>
      </c>
      <c r="C29" s="135"/>
      <c r="D29" s="135"/>
      <c r="E29" s="140"/>
      <c r="F29" s="140"/>
      <c r="G29" s="135"/>
      <c r="H29" s="135"/>
    </row>
    <row r="30" spans="1:8" ht="15.75" customHeight="1" outlineLevel="1">
      <c r="A30" s="135" t="s">
        <v>594</v>
      </c>
      <c r="B30" s="135" t="s">
        <v>129</v>
      </c>
      <c r="C30" s="135"/>
      <c r="D30" s="135"/>
      <c r="E30" s="140"/>
      <c r="F30" s="140"/>
      <c r="G30" s="135"/>
      <c r="H30" s="135"/>
    </row>
    <row r="31" spans="1:8" ht="15.75" customHeight="1" outlineLevel="1">
      <c r="A31" s="140">
        <v>1</v>
      </c>
      <c r="B31" s="134" t="s">
        <v>590</v>
      </c>
      <c r="C31" s="135"/>
      <c r="D31" s="135">
        <v>1</v>
      </c>
      <c r="E31" s="140">
        <v>11</v>
      </c>
      <c r="F31" s="140" t="s">
        <v>119</v>
      </c>
      <c r="G31" s="135"/>
      <c r="H31" s="135"/>
    </row>
    <row r="32" spans="1:8" s="143" customFormat="1" ht="15.75" customHeight="1">
      <c r="A32" s="349">
        <v>2</v>
      </c>
      <c r="B32" s="348" t="s">
        <v>591</v>
      </c>
      <c r="D32" s="144"/>
      <c r="E32" s="347">
        <v>38</v>
      </c>
      <c r="F32" s="146"/>
      <c r="G32" s="147"/>
      <c r="H32" s="141"/>
    </row>
    <row r="33" spans="1:8" s="133" customFormat="1" ht="15.75" customHeight="1">
      <c r="A33" s="350">
        <v>3</v>
      </c>
      <c r="B33" s="137" t="s">
        <v>592</v>
      </c>
      <c r="C33" s="137"/>
      <c r="D33" s="134"/>
      <c r="E33" s="140">
        <v>6</v>
      </c>
      <c r="F33" s="138"/>
      <c r="G33" s="134"/>
      <c r="H33" s="134"/>
    </row>
    <row r="34" spans="1:8" ht="15.75" customHeight="1" outlineLevel="1">
      <c r="A34" s="135" t="s">
        <v>595</v>
      </c>
      <c r="B34" s="135" t="s">
        <v>596</v>
      </c>
      <c r="C34" s="135"/>
      <c r="D34" s="135"/>
      <c r="E34" s="140"/>
      <c r="F34" s="140"/>
      <c r="G34" s="135"/>
      <c r="H34" s="135"/>
    </row>
    <row r="35" spans="1:8" ht="15.75" customHeight="1" outlineLevel="1">
      <c r="A35" s="135">
        <v>1</v>
      </c>
      <c r="B35" s="135" t="s">
        <v>127</v>
      </c>
      <c r="C35" s="135"/>
      <c r="D35" s="135"/>
      <c r="E35" s="140">
        <v>9</v>
      </c>
      <c r="F35" s="140"/>
      <c r="G35" s="135"/>
      <c r="H35" s="135"/>
    </row>
    <row r="36" spans="1:8" ht="15.75" customHeight="1" outlineLevel="1">
      <c r="A36" s="135">
        <v>2</v>
      </c>
      <c r="B36" s="135" t="s">
        <v>597</v>
      </c>
      <c r="C36" s="135"/>
      <c r="D36" s="135"/>
      <c r="E36" s="140">
        <v>3</v>
      </c>
      <c r="F36" s="140"/>
      <c r="G36" s="135"/>
      <c r="H36" s="135"/>
    </row>
    <row r="37" spans="1:8" ht="15.75" customHeight="1" outlineLevel="1">
      <c r="A37" s="135"/>
      <c r="B37" s="134" t="s">
        <v>37</v>
      </c>
      <c r="C37" s="135"/>
      <c r="D37" s="135"/>
      <c r="E37" s="140">
        <f>E31*(E36+E35)+E32*(E36+E35)+E33*E36</f>
        <v>606</v>
      </c>
      <c r="F37" s="140"/>
      <c r="G37" s="148"/>
      <c r="H37" s="135"/>
    </row>
    <row r="38" spans="1:8" ht="15.75" customHeight="1" outlineLevel="1">
      <c r="A38" s="135"/>
      <c r="B38" s="135"/>
      <c r="C38" s="135"/>
      <c r="D38" s="135"/>
      <c r="E38" s="140"/>
      <c r="F38" s="140"/>
      <c r="G38" s="148"/>
      <c r="H38" s="135"/>
    </row>
    <row r="39" spans="1:8" ht="15.75" customHeight="1" outlineLevel="1">
      <c r="A39" s="135"/>
      <c r="B39" s="135"/>
      <c r="C39" s="135"/>
      <c r="D39" s="135"/>
      <c r="E39" s="140"/>
      <c r="F39" s="140"/>
      <c r="G39" s="148"/>
      <c r="H39" s="135"/>
    </row>
    <row r="40" spans="1:8" ht="15.75" customHeight="1" outlineLevel="1">
      <c r="A40" s="135"/>
      <c r="B40" s="135"/>
      <c r="C40" s="135"/>
      <c r="D40" s="135"/>
      <c r="E40" s="140"/>
      <c r="F40" s="140"/>
      <c r="G40" s="148"/>
      <c r="H40" s="135"/>
    </row>
    <row r="41" spans="1:8" ht="15.75" customHeight="1" outlineLevel="1">
      <c r="A41" s="135"/>
      <c r="B41" s="135"/>
      <c r="C41" s="135"/>
      <c r="D41" s="135"/>
      <c r="E41" s="140"/>
      <c r="F41" s="140"/>
      <c r="G41" s="148"/>
      <c r="H41" s="135"/>
    </row>
    <row r="42" spans="1:8" ht="15.75" customHeight="1" outlineLevel="1">
      <c r="A42" s="135">
        <v>9</v>
      </c>
      <c r="B42" s="135"/>
      <c r="C42" s="135" t="s">
        <v>130</v>
      </c>
      <c r="D42" s="135">
        <v>2</v>
      </c>
      <c r="E42" s="140">
        <v>0</v>
      </c>
      <c r="F42" s="140">
        <v>0</v>
      </c>
      <c r="G42" s="148">
        <v>1</v>
      </c>
      <c r="H42" s="135"/>
    </row>
    <row r="43" spans="1:8" ht="15.75" customHeight="1" outlineLevel="1">
      <c r="A43" s="135">
        <v>10</v>
      </c>
      <c r="B43" s="135" t="s">
        <v>131</v>
      </c>
      <c r="C43" s="135" t="s">
        <v>122</v>
      </c>
      <c r="D43" s="135">
        <v>1</v>
      </c>
      <c r="E43" s="140">
        <v>1</v>
      </c>
      <c r="F43" s="140" t="s">
        <v>119</v>
      </c>
      <c r="G43" s="148"/>
      <c r="H43" s="135"/>
    </row>
    <row r="44" spans="1:8" ht="15.75" customHeight="1" outlineLevel="1">
      <c r="A44" s="135">
        <v>11</v>
      </c>
      <c r="B44" s="135"/>
      <c r="C44" s="135" t="s">
        <v>132</v>
      </c>
      <c r="D44" s="135">
        <v>2</v>
      </c>
      <c r="E44" s="140">
        <v>1</v>
      </c>
      <c r="F44" s="140" t="s">
        <v>119</v>
      </c>
      <c r="G44" s="148"/>
      <c r="H44" s="135"/>
    </row>
    <row r="45" spans="1:8" ht="15.75" customHeight="1" outlineLevel="1">
      <c r="A45" s="135">
        <v>12</v>
      </c>
      <c r="B45" s="135"/>
      <c r="C45" s="135" t="s">
        <v>133</v>
      </c>
      <c r="D45" s="135">
        <v>2</v>
      </c>
      <c r="E45" s="140">
        <v>1</v>
      </c>
      <c r="F45" s="140" t="s">
        <v>119</v>
      </c>
      <c r="G45" s="135"/>
      <c r="H45" s="135"/>
    </row>
    <row r="46" spans="1:8" ht="15.75" customHeight="1" outlineLevel="1">
      <c r="A46" s="135">
        <v>13</v>
      </c>
      <c r="B46" s="135"/>
      <c r="C46" s="135" t="s">
        <v>123</v>
      </c>
      <c r="D46" s="135" t="s">
        <v>12</v>
      </c>
      <c r="E46" s="140">
        <v>1</v>
      </c>
      <c r="F46" s="140">
        <v>0</v>
      </c>
      <c r="G46" s="135"/>
      <c r="H46" s="135"/>
    </row>
    <row r="47" spans="1:8" ht="15.75" customHeight="1" outlineLevel="1">
      <c r="A47" s="135">
        <v>14</v>
      </c>
      <c r="B47" s="135"/>
      <c r="C47" s="135" t="s">
        <v>124</v>
      </c>
      <c r="D47" s="135" t="s">
        <v>12</v>
      </c>
      <c r="E47" s="140">
        <v>1</v>
      </c>
      <c r="F47" s="140">
        <v>0</v>
      </c>
      <c r="G47" s="135"/>
      <c r="H47" s="135"/>
    </row>
    <row r="48" spans="1:8" ht="15.75" customHeight="1" outlineLevel="1">
      <c r="A48" s="135">
        <v>15</v>
      </c>
      <c r="B48" s="135"/>
      <c r="C48" s="135" t="s">
        <v>125</v>
      </c>
      <c r="D48" s="135" t="s">
        <v>12</v>
      </c>
      <c r="E48" s="140">
        <v>0</v>
      </c>
      <c r="F48" s="140">
        <v>0</v>
      </c>
      <c r="G48" s="135"/>
      <c r="H48" s="135"/>
    </row>
    <row r="49" spans="1:8" ht="15.75" customHeight="1" outlineLevel="1">
      <c r="A49" s="135">
        <v>16</v>
      </c>
      <c r="B49" s="135"/>
      <c r="C49" s="135" t="s">
        <v>126</v>
      </c>
      <c r="D49" s="135" t="s">
        <v>12</v>
      </c>
      <c r="E49" s="140">
        <v>0</v>
      </c>
      <c r="F49" s="140">
        <v>0</v>
      </c>
      <c r="G49" s="135"/>
      <c r="H49" s="135"/>
    </row>
    <row r="50" spans="1:8" ht="15.75" customHeight="1" outlineLevel="1">
      <c r="A50" s="135">
        <v>17</v>
      </c>
      <c r="B50" s="135"/>
      <c r="C50" s="135" t="s">
        <v>75</v>
      </c>
      <c r="D50" s="135" t="s">
        <v>12</v>
      </c>
      <c r="E50" s="140">
        <v>0</v>
      </c>
      <c r="F50" s="140">
        <v>0</v>
      </c>
      <c r="G50" s="135"/>
      <c r="H50" s="135"/>
    </row>
    <row r="51" spans="1:8" ht="15.75" customHeight="1" outlineLevel="1">
      <c r="A51" s="135">
        <v>18</v>
      </c>
      <c r="B51" s="135" t="s">
        <v>134</v>
      </c>
      <c r="C51" s="135" t="s">
        <v>134</v>
      </c>
      <c r="D51" s="135" t="s">
        <v>12</v>
      </c>
      <c r="E51" s="140">
        <v>0</v>
      </c>
      <c r="F51" s="140">
        <v>0</v>
      </c>
      <c r="G51" s="135"/>
      <c r="H51" s="135"/>
    </row>
    <row r="52" spans="1:8" ht="15.75" customHeight="1" outlineLevel="1">
      <c r="A52" s="135">
        <v>19</v>
      </c>
      <c r="B52" s="135" t="s">
        <v>135</v>
      </c>
      <c r="C52" s="135" t="s">
        <v>136</v>
      </c>
      <c r="D52" s="135" t="s">
        <v>12</v>
      </c>
      <c r="E52" s="140">
        <v>0</v>
      </c>
      <c r="F52" s="140">
        <v>0</v>
      </c>
      <c r="G52" s="135"/>
      <c r="H52" s="135"/>
    </row>
    <row r="53" spans="1:8" ht="15.75" customHeight="1" outlineLevel="1">
      <c r="A53" s="135">
        <v>20</v>
      </c>
      <c r="B53" s="135"/>
      <c r="C53" s="135" t="s">
        <v>137</v>
      </c>
      <c r="D53" s="135" t="s">
        <v>12</v>
      </c>
      <c r="E53" s="140">
        <v>0</v>
      </c>
      <c r="F53" s="140">
        <v>0</v>
      </c>
      <c r="G53" s="135"/>
      <c r="H53" s="135"/>
    </row>
    <row r="54" spans="1:8" ht="15.75" customHeight="1" outlineLevel="1">
      <c r="A54" s="135">
        <v>21</v>
      </c>
      <c r="B54" s="135"/>
      <c r="C54" s="135" t="s">
        <v>138</v>
      </c>
      <c r="D54" s="135" t="s">
        <v>12</v>
      </c>
      <c r="E54" s="140">
        <v>0</v>
      </c>
      <c r="F54" s="140">
        <v>0</v>
      </c>
      <c r="G54" s="135"/>
      <c r="H54" s="135"/>
    </row>
    <row r="55" spans="1:8" ht="15.75" customHeight="1" outlineLevel="1">
      <c r="A55" s="135">
        <v>22</v>
      </c>
      <c r="B55" s="135"/>
      <c r="C55" s="135" t="s">
        <v>139</v>
      </c>
      <c r="D55" s="135" t="s">
        <v>12</v>
      </c>
      <c r="E55" s="140">
        <v>0</v>
      </c>
      <c r="F55" s="140">
        <v>0</v>
      </c>
      <c r="G55" s="135"/>
      <c r="H55" s="135"/>
    </row>
    <row r="56" spans="1:8" ht="15.75" customHeight="1" outlineLevel="1">
      <c r="A56" s="135">
        <v>23</v>
      </c>
      <c r="B56" s="135"/>
      <c r="C56" s="135" t="s">
        <v>140</v>
      </c>
      <c r="D56" s="135" t="s">
        <v>12</v>
      </c>
      <c r="E56" s="140">
        <v>0</v>
      </c>
      <c r="F56" s="140">
        <v>0</v>
      </c>
      <c r="G56" s="135"/>
      <c r="H56" s="135"/>
    </row>
    <row r="57" spans="1:8" s="143" customFormat="1" ht="15.75" customHeight="1">
      <c r="A57" s="141"/>
      <c r="B57" s="141"/>
      <c r="C57" s="141" t="s">
        <v>141</v>
      </c>
      <c r="D57" s="141"/>
      <c r="E57" s="149">
        <f>SUM(E37:E47)</f>
        <v>611</v>
      </c>
      <c r="F57" s="149"/>
      <c r="G57" s="141"/>
      <c r="H57" s="141"/>
    </row>
    <row r="58" spans="1:8" s="143" customFormat="1" ht="15.75" customHeight="1">
      <c r="A58" s="141"/>
      <c r="B58" s="141"/>
      <c r="C58" s="141" t="s">
        <v>142</v>
      </c>
      <c r="D58" s="141"/>
      <c r="E58" s="149">
        <f>E57+G37+G38+G40+G42</f>
        <v>612</v>
      </c>
      <c r="F58" s="149"/>
      <c r="G58" s="141"/>
      <c r="H58" s="141"/>
    </row>
    <row r="59" spans="1:8" s="151" customFormat="1" ht="15.75" customHeight="1">
      <c r="A59" s="137" t="s">
        <v>71</v>
      </c>
      <c r="B59" s="137"/>
      <c r="C59" s="137" t="s">
        <v>143</v>
      </c>
      <c r="D59" s="137"/>
      <c r="E59" s="150" t="s">
        <v>144</v>
      </c>
      <c r="F59" s="150"/>
      <c r="G59" s="137"/>
      <c r="H59" s="137"/>
    </row>
    <row r="60" spans="1:8" ht="15.75" customHeight="1" outlineLevel="1">
      <c r="A60" s="135">
        <v>1</v>
      </c>
      <c r="B60" s="135" t="s">
        <v>145</v>
      </c>
      <c r="C60" s="135" t="s">
        <v>146</v>
      </c>
      <c r="D60" s="135">
        <v>4</v>
      </c>
      <c r="E60" s="140">
        <v>1</v>
      </c>
      <c r="F60" s="140" t="s">
        <v>119</v>
      </c>
      <c r="G60" s="135"/>
      <c r="H60" s="135"/>
    </row>
    <row r="61" spans="1:8" ht="15.75" customHeight="1" outlineLevel="1">
      <c r="A61" s="135">
        <v>2</v>
      </c>
      <c r="B61" s="135"/>
      <c r="C61" s="135" t="s">
        <v>147</v>
      </c>
      <c r="D61" s="135">
        <v>4</v>
      </c>
      <c r="E61" s="140"/>
      <c r="F61" s="140" t="s">
        <v>119</v>
      </c>
      <c r="G61" s="135"/>
      <c r="H61" s="135"/>
    </row>
    <row r="62" spans="1:8" ht="15.75" customHeight="1" outlineLevel="1">
      <c r="A62" s="135">
        <v>3</v>
      </c>
      <c r="B62" s="135"/>
      <c r="C62" s="135" t="s">
        <v>148</v>
      </c>
      <c r="D62" s="135">
        <v>4</v>
      </c>
      <c r="E62" s="140">
        <v>1</v>
      </c>
      <c r="F62" s="140" t="s">
        <v>119</v>
      </c>
      <c r="G62" s="135"/>
      <c r="H62" s="135"/>
    </row>
    <row r="63" spans="1:8" ht="15.75" customHeight="1" outlineLevel="1">
      <c r="A63" s="135">
        <v>4</v>
      </c>
      <c r="B63" s="135"/>
      <c r="C63" s="135" t="s">
        <v>149</v>
      </c>
      <c r="D63" s="135">
        <v>4</v>
      </c>
      <c r="E63" s="140">
        <v>1</v>
      </c>
      <c r="F63" s="140" t="s">
        <v>119</v>
      </c>
      <c r="G63" s="135"/>
      <c r="H63" s="135"/>
    </row>
    <row r="64" spans="1:8" ht="15.75" customHeight="1" outlineLevel="1">
      <c r="A64" s="135">
        <v>5</v>
      </c>
      <c r="B64" s="135"/>
      <c r="C64" s="135" t="s">
        <v>150</v>
      </c>
      <c r="D64" s="135">
        <v>4</v>
      </c>
      <c r="E64" s="140">
        <v>1</v>
      </c>
      <c r="F64" s="140" t="s">
        <v>119</v>
      </c>
      <c r="G64" s="135"/>
      <c r="H64" s="135"/>
    </row>
    <row r="65" spans="1:8" ht="15.75" customHeight="1" outlineLevel="1">
      <c r="A65" s="135">
        <v>6</v>
      </c>
      <c r="B65" s="135"/>
      <c r="C65" s="135" t="s">
        <v>151</v>
      </c>
      <c r="D65" s="135">
        <v>4</v>
      </c>
      <c r="E65" s="140">
        <v>1</v>
      </c>
      <c r="F65" s="140" t="s">
        <v>119</v>
      </c>
      <c r="G65" s="135"/>
      <c r="H65" s="135"/>
    </row>
    <row r="66" spans="1:8" ht="15.75" customHeight="1" outlineLevel="1">
      <c r="A66" s="135">
        <v>7</v>
      </c>
      <c r="B66" s="135"/>
      <c r="C66" s="135" t="s">
        <v>152</v>
      </c>
      <c r="D66" s="135">
        <v>4</v>
      </c>
      <c r="E66" s="140">
        <v>1</v>
      </c>
      <c r="F66" s="140" t="s">
        <v>119</v>
      </c>
      <c r="G66" s="135"/>
      <c r="H66" s="135"/>
    </row>
    <row r="67" spans="1:8" ht="15.75" customHeight="1" outlineLevel="1">
      <c r="A67" s="135">
        <v>8</v>
      </c>
      <c r="B67" s="135"/>
      <c r="C67" s="135" t="s">
        <v>153</v>
      </c>
      <c r="D67" s="135">
        <v>4</v>
      </c>
      <c r="E67" s="140">
        <v>1</v>
      </c>
      <c r="F67" s="140" t="s">
        <v>119</v>
      </c>
      <c r="G67" s="135"/>
      <c r="H67" s="135"/>
    </row>
    <row r="68" spans="1:8" ht="15.75" customHeight="1" outlineLevel="1">
      <c r="A68" s="135">
        <v>9</v>
      </c>
      <c r="B68" s="135"/>
      <c r="C68" s="135" t="s">
        <v>154</v>
      </c>
      <c r="D68" s="135">
        <v>4</v>
      </c>
      <c r="E68" s="140">
        <v>1</v>
      </c>
      <c r="F68" s="140" t="s">
        <v>119</v>
      </c>
      <c r="G68" s="135"/>
      <c r="H68" s="135"/>
    </row>
    <row r="69" spans="1:8" ht="15.75" customHeight="1" outlineLevel="1">
      <c r="A69" s="135">
        <v>10</v>
      </c>
      <c r="B69" s="135"/>
      <c r="C69" s="135" t="s">
        <v>155</v>
      </c>
      <c r="D69" s="135">
        <v>4</v>
      </c>
      <c r="E69" s="140">
        <v>1</v>
      </c>
      <c r="F69" s="140" t="s">
        <v>119</v>
      </c>
      <c r="G69" s="135"/>
      <c r="H69" s="135"/>
    </row>
    <row r="70" spans="1:8" ht="15.75" customHeight="1" outlineLevel="1">
      <c r="A70" s="135"/>
      <c r="B70" s="142" t="s">
        <v>156</v>
      </c>
      <c r="C70" s="152"/>
      <c r="D70" s="152"/>
      <c r="E70" s="145">
        <f>SUM(E60:E69)</f>
        <v>9</v>
      </c>
      <c r="F70" s="146"/>
      <c r="G70" s="147" t="s">
        <v>157</v>
      </c>
      <c r="H70" s="135"/>
    </row>
    <row r="71" spans="1:8" ht="15.75" customHeight="1" outlineLevel="1">
      <c r="A71" s="135">
        <v>1</v>
      </c>
      <c r="B71" s="153" t="s">
        <v>158</v>
      </c>
      <c r="C71" s="153" t="s">
        <v>159</v>
      </c>
      <c r="D71" s="135">
        <v>4</v>
      </c>
      <c r="E71" s="140">
        <v>1</v>
      </c>
      <c r="F71" s="140" t="s">
        <v>119</v>
      </c>
      <c r="G71" s="135"/>
      <c r="H71" s="135"/>
    </row>
    <row r="72" spans="1:8" ht="15.75" customHeight="1" outlineLevel="1">
      <c r="A72" s="135">
        <v>2</v>
      </c>
      <c r="B72" s="135"/>
      <c r="C72" s="153" t="s">
        <v>160</v>
      </c>
      <c r="D72" s="135">
        <v>4</v>
      </c>
      <c r="E72" s="140">
        <v>1</v>
      </c>
      <c r="F72" s="140" t="s">
        <v>119</v>
      </c>
      <c r="G72" s="135"/>
      <c r="H72" s="135"/>
    </row>
    <row r="73" spans="1:8" ht="15.75" customHeight="1" outlineLevel="1">
      <c r="A73" s="135">
        <v>3</v>
      </c>
      <c r="B73" s="135"/>
      <c r="C73" s="153" t="s">
        <v>149</v>
      </c>
      <c r="D73" s="135">
        <v>4</v>
      </c>
      <c r="E73" s="140">
        <v>1</v>
      </c>
      <c r="F73" s="140" t="s">
        <v>119</v>
      </c>
      <c r="G73" s="135"/>
      <c r="H73" s="135"/>
    </row>
    <row r="74" spans="1:8" ht="15.75" customHeight="1" outlineLevel="1">
      <c r="A74" s="135">
        <v>1</v>
      </c>
      <c r="B74" s="154" t="s">
        <v>161</v>
      </c>
      <c r="C74" s="154" t="s">
        <v>122</v>
      </c>
      <c r="D74" s="135">
        <v>4</v>
      </c>
      <c r="E74" s="140">
        <v>1</v>
      </c>
      <c r="F74" s="140" t="s">
        <v>119</v>
      </c>
      <c r="G74" s="135"/>
      <c r="H74" s="135"/>
    </row>
    <row r="75" spans="1:8" ht="15.75" customHeight="1" outlineLevel="1">
      <c r="A75" s="135">
        <v>2</v>
      </c>
      <c r="B75" s="154"/>
      <c r="C75" s="154" t="s">
        <v>132</v>
      </c>
      <c r="D75" s="135">
        <v>4</v>
      </c>
      <c r="E75" s="140">
        <v>1</v>
      </c>
      <c r="F75" s="140" t="s">
        <v>119</v>
      </c>
      <c r="G75" s="135"/>
      <c r="H75" s="135"/>
    </row>
    <row r="76" spans="1:8" ht="15.75" customHeight="1" outlineLevel="1">
      <c r="A76" s="135">
        <v>3</v>
      </c>
      <c r="B76" s="154"/>
      <c r="C76" s="154" t="s">
        <v>123</v>
      </c>
      <c r="D76" s="135" t="s">
        <v>12</v>
      </c>
      <c r="E76" s="140">
        <v>1</v>
      </c>
      <c r="F76" s="140">
        <v>0</v>
      </c>
      <c r="G76" s="135"/>
      <c r="H76" s="135"/>
    </row>
    <row r="77" spans="1:8" ht="15.75" customHeight="1" outlineLevel="1">
      <c r="A77" s="135">
        <v>4</v>
      </c>
      <c r="B77" s="154"/>
      <c r="C77" s="154" t="s">
        <v>124</v>
      </c>
      <c r="D77" s="135" t="s">
        <v>12</v>
      </c>
      <c r="E77" s="140">
        <v>1</v>
      </c>
      <c r="F77" s="140">
        <v>0</v>
      </c>
      <c r="G77" s="135"/>
      <c r="H77" s="135"/>
    </row>
    <row r="78" spans="1:8" ht="15.75" customHeight="1" outlineLevel="1">
      <c r="A78" s="135">
        <v>5</v>
      </c>
      <c r="B78" s="154"/>
      <c r="C78" s="154" t="s">
        <v>125</v>
      </c>
      <c r="D78" s="135" t="s">
        <v>12</v>
      </c>
      <c r="E78" s="140">
        <v>0</v>
      </c>
      <c r="F78" s="140">
        <v>0</v>
      </c>
      <c r="G78" s="135"/>
      <c r="H78" s="135"/>
    </row>
    <row r="79" spans="1:8" ht="15.75" customHeight="1" outlineLevel="1">
      <c r="A79" s="135">
        <v>6</v>
      </c>
      <c r="B79" s="154"/>
      <c r="C79" s="154" t="s">
        <v>126</v>
      </c>
      <c r="D79" s="135" t="s">
        <v>12</v>
      </c>
      <c r="E79" s="140">
        <v>0</v>
      </c>
      <c r="F79" s="140">
        <v>0</v>
      </c>
      <c r="G79" s="135"/>
      <c r="H79" s="135"/>
    </row>
    <row r="80" spans="1:8" ht="15.75" customHeight="1" outlineLevel="1">
      <c r="A80" s="135">
        <v>7</v>
      </c>
      <c r="B80" s="154"/>
      <c r="C80" s="154" t="s">
        <v>75</v>
      </c>
      <c r="D80" s="135" t="s">
        <v>12</v>
      </c>
      <c r="E80" s="140">
        <v>0</v>
      </c>
      <c r="F80" s="140">
        <v>0</v>
      </c>
      <c r="G80" s="135"/>
      <c r="H80" s="135"/>
    </row>
    <row r="81" spans="1:8" ht="15.75" customHeight="1" outlineLevel="1">
      <c r="A81" s="135"/>
      <c r="B81" s="155" t="s">
        <v>165</v>
      </c>
      <c r="C81" s="147"/>
      <c r="D81" s="147"/>
      <c r="E81" s="156">
        <f>SUM(E71:E77)</f>
        <v>7</v>
      </c>
      <c r="F81" s="146"/>
      <c r="G81" s="152" t="s">
        <v>166</v>
      </c>
      <c r="H81" s="135"/>
    </row>
    <row r="82" spans="1:8" ht="15.75" customHeight="1" outlineLevel="1">
      <c r="A82" s="135">
        <v>1</v>
      </c>
      <c r="B82" s="135" t="s">
        <v>167</v>
      </c>
      <c r="C82" s="135" t="s">
        <v>146</v>
      </c>
      <c r="D82" s="135">
        <v>4</v>
      </c>
      <c r="E82" s="140">
        <v>1</v>
      </c>
      <c r="F82" s="140" t="s">
        <v>119</v>
      </c>
      <c r="G82" s="135"/>
      <c r="H82" s="135"/>
    </row>
    <row r="83" spans="1:8" ht="15.75" customHeight="1" outlineLevel="1">
      <c r="A83" s="135">
        <v>2</v>
      </c>
      <c r="B83" s="135"/>
      <c r="C83" s="135" t="s">
        <v>168</v>
      </c>
      <c r="D83" s="135">
        <v>4</v>
      </c>
      <c r="E83" s="140">
        <v>1</v>
      </c>
      <c r="F83" s="140" t="s">
        <v>119</v>
      </c>
      <c r="G83" s="135"/>
      <c r="H83" s="135"/>
    </row>
    <row r="84" spans="1:8" ht="15.75" customHeight="1" outlineLevel="1">
      <c r="A84" s="135">
        <v>3</v>
      </c>
      <c r="B84" s="135"/>
      <c r="C84" s="135" t="s">
        <v>169</v>
      </c>
      <c r="D84" s="135">
        <v>4</v>
      </c>
      <c r="E84" s="140">
        <v>1</v>
      </c>
      <c r="F84" s="140" t="s">
        <v>119</v>
      </c>
      <c r="G84" s="135"/>
      <c r="H84" s="135"/>
    </row>
    <row r="85" spans="1:8" ht="15.75" customHeight="1" outlineLevel="1">
      <c r="A85" s="135">
        <v>4</v>
      </c>
      <c r="B85" s="135"/>
      <c r="C85" s="135" t="s">
        <v>170</v>
      </c>
      <c r="D85" s="135">
        <v>4</v>
      </c>
      <c r="E85" s="140">
        <v>1</v>
      </c>
      <c r="F85" s="140" t="s">
        <v>119</v>
      </c>
      <c r="G85" s="135"/>
      <c r="H85" s="135"/>
    </row>
    <row r="86" spans="1:8" ht="15.75" customHeight="1" outlineLevel="1">
      <c r="A86" s="135">
        <v>5</v>
      </c>
      <c r="B86" s="135"/>
      <c r="C86" s="135" t="s">
        <v>149</v>
      </c>
      <c r="D86" s="135">
        <v>4</v>
      </c>
      <c r="E86" s="140">
        <v>1</v>
      </c>
      <c r="F86" s="140" t="s">
        <v>119</v>
      </c>
      <c r="G86" s="135"/>
      <c r="H86" s="135"/>
    </row>
    <row r="87" spans="1:8" ht="15.75" customHeight="1" outlineLevel="1">
      <c r="A87" s="135">
        <v>6</v>
      </c>
      <c r="B87" s="135"/>
      <c r="C87" s="135" t="s">
        <v>160</v>
      </c>
      <c r="D87" s="135">
        <v>4</v>
      </c>
      <c r="E87" s="140">
        <v>1</v>
      </c>
      <c r="F87" s="140" t="s">
        <v>119</v>
      </c>
      <c r="G87" s="135"/>
      <c r="H87" s="135"/>
    </row>
    <row r="88" spans="1:8" ht="15.75" customHeight="1" outlineLevel="1">
      <c r="A88" s="135">
        <v>7</v>
      </c>
      <c r="B88" s="135"/>
      <c r="C88" s="135" t="s">
        <v>171</v>
      </c>
      <c r="D88" s="135">
        <v>4</v>
      </c>
      <c r="E88" s="140">
        <v>1</v>
      </c>
      <c r="F88" s="140" t="s">
        <v>119</v>
      </c>
      <c r="G88" s="135"/>
      <c r="H88" s="135"/>
    </row>
    <row r="89" spans="1:8" ht="15.75" customHeight="1" outlineLevel="1">
      <c r="A89" s="135">
        <v>8</v>
      </c>
      <c r="B89" s="135"/>
      <c r="C89" s="135" t="s">
        <v>151</v>
      </c>
      <c r="D89" s="135">
        <v>4</v>
      </c>
      <c r="E89" s="140">
        <v>1</v>
      </c>
      <c r="F89" s="140" t="s">
        <v>119</v>
      </c>
      <c r="G89" s="135"/>
      <c r="H89" s="135"/>
    </row>
    <row r="90" spans="1:8" ht="15.75" customHeight="1" outlineLevel="1">
      <c r="A90" s="135">
        <v>9</v>
      </c>
      <c r="B90" s="135"/>
      <c r="C90" s="135" t="s">
        <v>172</v>
      </c>
      <c r="D90" s="135">
        <v>4</v>
      </c>
      <c r="E90" s="140">
        <v>1</v>
      </c>
      <c r="F90" s="140" t="s">
        <v>119</v>
      </c>
      <c r="G90" s="135"/>
      <c r="H90" s="135"/>
    </row>
    <row r="91" spans="1:8" ht="15.75" customHeight="1" outlineLevel="1">
      <c r="A91" s="135">
        <v>10</v>
      </c>
      <c r="B91" s="135"/>
      <c r="C91" s="135" t="s">
        <v>173</v>
      </c>
      <c r="D91" s="135">
        <v>4</v>
      </c>
      <c r="E91" s="140">
        <v>1</v>
      </c>
      <c r="F91" s="140" t="s">
        <v>119</v>
      </c>
      <c r="G91" s="135"/>
      <c r="H91" s="135"/>
    </row>
    <row r="92" spans="1:8" ht="15.75" customHeight="1" outlineLevel="1">
      <c r="A92" s="135"/>
      <c r="B92" s="155" t="s">
        <v>174</v>
      </c>
      <c r="C92" s="147"/>
      <c r="D92" s="147"/>
      <c r="E92" s="156">
        <f>SUM(E74:E77,E82:E91)</f>
        <v>14</v>
      </c>
      <c r="F92" s="146"/>
      <c r="G92" s="152" t="s">
        <v>175</v>
      </c>
      <c r="H92" s="135"/>
    </row>
    <row r="93" spans="1:8" ht="15.75" customHeight="1" outlineLevel="1">
      <c r="A93" s="135">
        <v>1</v>
      </c>
      <c r="B93" s="135" t="s">
        <v>176</v>
      </c>
      <c r="C93" s="135" t="s">
        <v>177</v>
      </c>
      <c r="D93" s="135">
        <v>4</v>
      </c>
      <c r="E93" s="140">
        <v>1</v>
      </c>
      <c r="F93" s="140" t="s">
        <v>119</v>
      </c>
      <c r="G93" s="135"/>
      <c r="H93" s="135"/>
    </row>
    <row r="94" spans="1:8" ht="15.75" customHeight="1" outlineLevel="1">
      <c r="A94" s="135">
        <v>2</v>
      </c>
      <c r="B94" s="135"/>
      <c r="C94" s="135" t="s">
        <v>128</v>
      </c>
      <c r="D94" s="135">
        <v>4</v>
      </c>
      <c r="E94" s="140">
        <v>1</v>
      </c>
      <c r="F94" s="140" t="s">
        <v>119</v>
      </c>
      <c r="G94" s="135"/>
      <c r="H94" s="135"/>
    </row>
    <row r="95" spans="1:8" ht="15.75" customHeight="1" outlineLevel="1">
      <c r="A95" s="135">
        <v>3</v>
      </c>
      <c r="B95" s="135"/>
      <c r="C95" s="135" t="s">
        <v>178</v>
      </c>
      <c r="D95" s="135">
        <v>4</v>
      </c>
      <c r="E95" s="140">
        <v>1</v>
      </c>
      <c r="F95" s="140" t="s">
        <v>119</v>
      </c>
      <c r="G95" s="135"/>
      <c r="H95" s="135"/>
    </row>
    <row r="96" spans="1:8" ht="15.75" customHeight="1" outlineLevel="1">
      <c r="A96" s="135">
        <v>1</v>
      </c>
      <c r="B96" s="135" t="s">
        <v>179</v>
      </c>
      <c r="C96" s="135" t="s">
        <v>14</v>
      </c>
      <c r="D96" s="135">
        <v>4</v>
      </c>
      <c r="E96" s="140">
        <v>1</v>
      </c>
      <c r="F96" s="140" t="s">
        <v>119</v>
      </c>
      <c r="G96" s="135"/>
      <c r="H96" s="135"/>
    </row>
    <row r="97" spans="1:8" ht="15.75" customHeight="1" outlineLevel="1">
      <c r="A97" s="135">
        <v>2</v>
      </c>
      <c r="B97" s="135"/>
      <c r="C97" s="135" t="s">
        <v>128</v>
      </c>
      <c r="D97" s="135">
        <v>4</v>
      </c>
      <c r="E97" s="140">
        <v>1</v>
      </c>
      <c r="F97" s="140" t="s">
        <v>119</v>
      </c>
      <c r="G97" s="135"/>
      <c r="H97" s="135"/>
    </row>
    <row r="98" spans="1:8" ht="15.75" customHeight="1" outlineLevel="1">
      <c r="A98" s="135">
        <v>3</v>
      </c>
      <c r="B98" s="135"/>
      <c r="C98" s="135" t="s">
        <v>180</v>
      </c>
      <c r="D98" s="135">
        <v>4</v>
      </c>
      <c r="E98" s="140">
        <v>1</v>
      </c>
      <c r="F98" s="140" t="s">
        <v>119</v>
      </c>
      <c r="G98" s="135"/>
      <c r="H98" s="135"/>
    </row>
    <row r="99" spans="1:8" s="143" customFormat="1" ht="15.75" customHeight="1">
      <c r="A99" s="141"/>
      <c r="B99" s="141" t="s">
        <v>181</v>
      </c>
      <c r="D99" s="141"/>
      <c r="E99" s="149">
        <f>SUM(E93:E95)</f>
        <v>3</v>
      </c>
      <c r="F99" s="149"/>
      <c r="G99" s="152" t="s">
        <v>182</v>
      </c>
      <c r="H99" s="141"/>
    </row>
    <row r="100" spans="1:8" s="151" customFormat="1" ht="15.75" customHeight="1">
      <c r="A100" s="137" t="s">
        <v>72</v>
      </c>
      <c r="B100" s="137"/>
      <c r="C100" s="137" t="s">
        <v>183</v>
      </c>
      <c r="D100" s="137"/>
      <c r="E100" s="150">
        <f>SUM(E101:E120)</f>
        <v>12</v>
      </c>
      <c r="F100" s="150"/>
      <c r="G100" s="152" t="s">
        <v>184</v>
      </c>
      <c r="H100" s="137"/>
    </row>
    <row r="101" spans="1:8" ht="15.75" customHeight="1" outlineLevel="1">
      <c r="A101" s="135">
        <v>1</v>
      </c>
      <c r="B101" s="135" t="s">
        <v>185</v>
      </c>
      <c r="C101" s="135" t="s">
        <v>186</v>
      </c>
      <c r="D101" s="135">
        <v>1</v>
      </c>
      <c r="E101" s="140">
        <v>1</v>
      </c>
      <c r="F101" s="140" t="s">
        <v>119</v>
      </c>
      <c r="G101" s="135"/>
      <c r="H101" s="135"/>
    </row>
    <row r="102" spans="1:8" ht="15.75" customHeight="1" outlineLevel="1">
      <c r="A102" s="135">
        <v>2</v>
      </c>
      <c r="B102" s="135"/>
      <c r="C102" s="135" t="s">
        <v>187</v>
      </c>
      <c r="D102" s="135">
        <v>1</v>
      </c>
      <c r="E102" s="140">
        <v>0</v>
      </c>
      <c r="F102" s="140" t="s">
        <v>119</v>
      </c>
      <c r="G102" s="135"/>
      <c r="H102" s="135"/>
    </row>
    <row r="103" spans="1:8" ht="15.75" customHeight="1" outlineLevel="1">
      <c r="A103" s="135">
        <v>3</v>
      </c>
      <c r="B103" s="135"/>
      <c r="C103" s="135" t="s">
        <v>185</v>
      </c>
      <c r="D103" s="135">
        <v>1</v>
      </c>
      <c r="E103" s="140">
        <v>0</v>
      </c>
      <c r="F103" s="140" t="s">
        <v>119</v>
      </c>
      <c r="G103" s="135"/>
      <c r="H103" s="135"/>
    </row>
    <row r="104" spans="1:8" ht="15.75" customHeight="1" outlineLevel="1">
      <c r="A104" s="135">
        <v>4</v>
      </c>
      <c r="B104" s="135"/>
      <c r="C104" s="135" t="s">
        <v>188</v>
      </c>
      <c r="D104" s="135">
        <v>2</v>
      </c>
      <c r="E104" s="140">
        <v>1</v>
      </c>
      <c r="F104" s="140" t="s">
        <v>119</v>
      </c>
      <c r="G104" s="135"/>
      <c r="H104" s="135"/>
    </row>
    <row r="105" spans="1:8" ht="15.75" customHeight="1" outlineLevel="1">
      <c r="A105" s="135">
        <v>5</v>
      </c>
      <c r="B105" s="135"/>
      <c r="C105" s="135" t="s">
        <v>189</v>
      </c>
      <c r="D105" s="135">
        <v>2</v>
      </c>
      <c r="E105" s="140">
        <v>0</v>
      </c>
      <c r="F105" s="140" t="s">
        <v>119</v>
      </c>
      <c r="G105" s="135"/>
      <c r="H105" s="135"/>
    </row>
    <row r="106" spans="1:8" ht="15.75" customHeight="1" outlineLevel="1">
      <c r="A106" s="135">
        <v>6</v>
      </c>
      <c r="B106" s="135" t="s">
        <v>190</v>
      </c>
      <c r="C106" s="135" t="s">
        <v>191</v>
      </c>
      <c r="D106" s="135">
        <v>1</v>
      </c>
      <c r="E106" s="140">
        <v>0</v>
      </c>
      <c r="F106" s="140" t="s">
        <v>119</v>
      </c>
      <c r="G106" s="135"/>
      <c r="H106" s="135"/>
    </row>
    <row r="107" spans="1:8" ht="15.75" customHeight="1" outlineLevel="1">
      <c r="A107" s="135"/>
      <c r="B107" s="135"/>
      <c r="C107" s="135" t="s">
        <v>190</v>
      </c>
      <c r="D107" s="135">
        <v>1</v>
      </c>
      <c r="E107" s="140"/>
      <c r="F107" s="140"/>
      <c r="G107" s="135"/>
      <c r="H107" s="135"/>
    </row>
    <row r="108" spans="1:8" ht="15.75" customHeight="1" outlineLevel="1">
      <c r="A108" s="135">
        <v>7</v>
      </c>
      <c r="B108" s="135"/>
      <c r="C108" s="135" t="s">
        <v>192</v>
      </c>
      <c r="D108" s="135">
        <v>1</v>
      </c>
      <c r="E108" s="140">
        <v>1</v>
      </c>
      <c r="F108" s="140" t="s">
        <v>119</v>
      </c>
      <c r="G108" s="135"/>
      <c r="H108" s="135"/>
    </row>
    <row r="109" spans="1:8" ht="15.75" customHeight="1" outlineLevel="1">
      <c r="A109" s="135">
        <v>8</v>
      </c>
      <c r="B109" s="135" t="s">
        <v>193</v>
      </c>
      <c r="C109" s="135" t="s">
        <v>128</v>
      </c>
      <c r="D109" s="135">
        <v>1</v>
      </c>
      <c r="E109" s="140"/>
      <c r="F109" s="140" t="s">
        <v>119</v>
      </c>
      <c r="G109" s="135"/>
      <c r="H109" s="135"/>
    </row>
    <row r="110" spans="1:8" ht="15.75" customHeight="1" outlineLevel="1">
      <c r="A110" s="135">
        <v>9</v>
      </c>
      <c r="B110" s="135"/>
      <c r="C110" s="135" t="s">
        <v>178</v>
      </c>
      <c r="D110" s="135">
        <v>1</v>
      </c>
      <c r="E110" s="140">
        <v>1</v>
      </c>
      <c r="F110" s="140" t="s">
        <v>119</v>
      </c>
      <c r="G110" s="135"/>
      <c r="H110" s="135"/>
    </row>
    <row r="111" spans="1:8" ht="15.75" customHeight="1" outlineLevel="1">
      <c r="A111" s="135">
        <v>10</v>
      </c>
      <c r="B111" s="135" t="s">
        <v>194</v>
      </c>
      <c r="C111" s="135" t="s">
        <v>195</v>
      </c>
      <c r="D111" s="135">
        <v>1</v>
      </c>
      <c r="E111" s="140">
        <v>1</v>
      </c>
      <c r="F111" s="140">
        <v>0</v>
      </c>
      <c r="G111" s="135"/>
      <c r="H111" s="135"/>
    </row>
    <row r="112" spans="1:8" ht="15.75" customHeight="1" outlineLevel="1">
      <c r="A112" s="135">
        <v>11</v>
      </c>
      <c r="B112" s="135"/>
      <c r="C112" s="135" t="s">
        <v>196</v>
      </c>
      <c r="D112" s="135">
        <v>1</v>
      </c>
      <c r="E112" s="140">
        <v>1</v>
      </c>
      <c r="F112" s="140">
        <v>0</v>
      </c>
      <c r="G112" s="135"/>
      <c r="H112" s="135"/>
    </row>
    <row r="113" spans="1:8" ht="15.75" customHeight="1" outlineLevel="1">
      <c r="A113" s="135">
        <v>12</v>
      </c>
      <c r="B113" s="135"/>
      <c r="C113" s="135" t="s">
        <v>197</v>
      </c>
      <c r="D113" s="135">
        <v>1</v>
      </c>
      <c r="E113" s="140">
        <v>1</v>
      </c>
      <c r="F113" s="140">
        <v>0</v>
      </c>
      <c r="G113" s="135"/>
      <c r="H113" s="135"/>
    </row>
    <row r="114" spans="1:8" ht="15.75" customHeight="1" outlineLevel="1">
      <c r="A114" s="135">
        <v>13</v>
      </c>
      <c r="B114" s="135"/>
      <c r="C114" s="135" t="s">
        <v>198</v>
      </c>
      <c r="D114" s="135">
        <v>1</v>
      </c>
      <c r="E114" s="140"/>
      <c r="F114" s="140"/>
      <c r="G114" s="135"/>
      <c r="H114" s="135"/>
    </row>
    <row r="115" spans="1:8" ht="15.75" customHeight="1" outlineLevel="1">
      <c r="A115" s="135">
        <v>14</v>
      </c>
      <c r="B115" s="135"/>
      <c r="C115" s="135" t="s">
        <v>199</v>
      </c>
      <c r="D115" s="135">
        <v>3</v>
      </c>
      <c r="E115" s="140"/>
      <c r="F115" s="140" t="s">
        <v>119</v>
      </c>
      <c r="G115" s="135"/>
      <c r="H115" s="135"/>
    </row>
    <row r="116" spans="1:8" ht="15.75" customHeight="1" outlineLevel="1">
      <c r="A116" s="135">
        <v>15</v>
      </c>
      <c r="B116" s="135"/>
      <c r="C116" s="135" t="s">
        <v>200</v>
      </c>
      <c r="D116" s="135">
        <v>3</v>
      </c>
      <c r="E116" s="140">
        <v>1</v>
      </c>
      <c r="F116" s="140" t="s">
        <v>119</v>
      </c>
      <c r="G116" s="135"/>
      <c r="H116" s="135"/>
    </row>
    <row r="117" spans="1:8" s="159" customFormat="1" ht="15.75" customHeight="1" outlineLevel="1">
      <c r="A117" s="157">
        <v>17</v>
      </c>
      <c r="B117" s="157" t="s">
        <v>201</v>
      </c>
      <c r="C117" s="157" t="s">
        <v>202</v>
      </c>
      <c r="D117" s="157">
        <v>3</v>
      </c>
      <c r="E117" s="158">
        <v>1</v>
      </c>
      <c r="F117" s="158" t="s">
        <v>119</v>
      </c>
      <c r="G117" s="157"/>
      <c r="H117" s="157"/>
    </row>
    <row r="118" spans="1:8" s="159" customFormat="1" ht="15.75" customHeight="1" outlineLevel="1">
      <c r="A118" s="157">
        <v>18</v>
      </c>
      <c r="B118" s="157"/>
      <c r="C118" s="157" t="s">
        <v>203</v>
      </c>
      <c r="D118" s="157">
        <v>3</v>
      </c>
      <c r="E118" s="158">
        <v>1</v>
      </c>
      <c r="F118" s="158" t="s">
        <v>119</v>
      </c>
      <c r="G118" s="157"/>
      <c r="H118" s="157"/>
    </row>
    <row r="119" spans="1:8" s="159" customFormat="1" ht="15.75" customHeight="1" outlineLevel="1">
      <c r="A119" s="157">
        <v>19</v>
      </c>
      <c r="B119" s="157"/>
      <c r="C119" s="157" t="s">
        <v>204</v>
      </c>
      <c r="D119" s="157">
        <v>3</v>
      </c>
      <c r="E119" s="158">
        <v>1</v>
      </c>
      <c r="F119" s="158" t="s">
        <v>119</v>
      </c>
      <c r="G119" s="157"/>
      <c r="H119" s="157"/>
    </row>
    <row r="120" spans="1:8" s="159" customFormat="1" ht="15.75" customHeight="1" outlineLevel="1">
      <c r="A120" s="157">
        <v>20</v>
      </c>
      <c r="B120" s="157"/>
      <c r="C120" s="157" t="s">
        <v>205</v>
      </c>
      <c r="D120" s="157">
        <v>3</v>
      </c>
      <c r="E120" s="158">
        <v>1</v>
      </c>
      <c r="F120" s="158" t="s">
        <v>119</v>
      </c>
      <c r="G120" s="157"/>
      <c r="H120" s="157"/>
    </row>
    <row r="121" spans="1:8" s="159" customFormat="1" ht="15.75" customHeight="1" outlineLevel="1">
      <c r="A121" s="160">
        <v>21</v>
      </c>
      <c r="B121" s="161" t="s">
        <v>206</v>
      </c>
      <c r="C121" s="160"/>
      <c r="D121" s="157">
        <v>3</v>
      </c>
      <c r="E121" s="158">
        <f>SUM(E122:E140)</f>
        <v>15</v>
      </c>
      <c r="F121" s="158" t="s">
        <v>119</v>
      </c>
      <c r="G121" s="142" t="s">
        <v>207</v>
      </c>
      <c r="H121" s="157"/>
    </row>
    <row r="122" spans="1:8" s="159" customFormat="1" ht="15.75" customHeight="1" outlineLevel="1">
      <c r="A122" s="157">
        <v>22</v>
      </c>
      <c r="B122" s="157"/>
      <c r="C122" s="157" t="s">
        <v>208</v>
      </c>
      <c r="D122" s="157">
        <v>3</v>
      </c>
      <c r="E122" s="158">
        <v>1</v>
      </c>
      <c r="F122" s="158" t="s">
        <v>119</v>
      </c>
      <c r="G122" s="157"/>
      <c r="H122" s="157"/>
    </row>
    <row r="123" spans="1:8" s="159" customFormat="1" ht="15.75" customHeight="1" outlineLevel="1">
      <c r="A123" s="157">
        <v>23</v>
      </c>
      <c r="B123" s="157"/>
      <c r="C123" s="157" t="s">
        <v>186</v>
      </c>
      <c r="D123" s="157">
        <v>3</v>
      </c>
      <c r="E123" s="158">
        <v>1</v>
      </c>
      <c r="F123" s="158" t="s">
        <v>119</v>
      </c>
      <c r="G123" s="157"/>
      <c r="H123" s="157"/>
    </row>
    <row r="124" spans="1:8" s="159" customFormat="1" ht="15.75" customHeight="1" outlineLevel="1">
      <c r="A124" s="157">
        <v>24</v>
      </c>
      <c r="B124" s="157"/>
      <c r="C124" s="157" t="s">
        <v>187</v>
      </c>
      <c r="D124" s="157">
        <v>3</v>
      </c>
      <c r="E124" s="158">
        <v>0</v>
      </c>
      <c r="F124" s="158" t="s">
        <v>119</v>
      </c>
      <c r="G124" s="157"/>
      <c r="H124" s="157"/>
    </row>
    <row r="125" spans="1:8" s="159" customFormat="1" ht="15.75" customHeight="1" outlineLevel="1">
      <c r="A125" s="157">
        <v>25</v>
      </c>
      <c r="B125" s="157"/>
      <c r="C125" s="157" t="s">
        <v>209</v>
      </c>
      <c r="D125" s="157">
        <v>3</v>
      </c>
      <c r="E125" s="158">
        <v>1</v>
      </c>
      <c r="F125" s="158" t="s">
        <v>119</v>
      </c>
      <c r="G125" s="157"/>
      <c r="H125" s="157"/>
    </row>
    <row r="126" spans="1:8" s="159" customFormat="1" ht="15.75" customHeight="1" outlineLevel="1">
      <c r="A126" s="157">
        <v>26</v>
      </c>
      <c r="B126" s="157"/>
      <c r="C126" s="157" t="s">
        <v>195</v>
      </c>
      <c r="D126" s="157">
        <v>3</v>
      </c>
      <c r="E126" s="158">
        <v>1</v>
      </c>
      <c r="F126" s="158">
        <v>0</v>
      </c>
      <c r="G126" s="157"/>
      <c r="H126" s="157"/>
    </row>
    <row r="127" spans="1:8" s="159" customFormat="1" ht="15.75" customHeight="1" outlineLevel="1">
      <c r="A127" s="157">
        <v>27</v>
      </c>
      <c r="B127" s="157"/>
      <c r="C127" s="157" t="s">
        <v>196</v>
      </c>
      <c r="D127" s="157">
        <v>3</v>
      </c>
      <c r="E127" s="158">
        <v>1</v>
      </c>
      <c r="F127" s="158">
        <v>0</v>
      </c>
      <c r="G127" s="157"/>
      <c r="H127" s="157"/>
    </row>
    <row r="128" spans="1:8" s="159" customFormat="1" ht="15.75" customHeight="1" outlineLevel="1">
      <c r="A128" s="157">
        <v>28</v>
      </c>
      <c r="B128" s="157"/>
      <c r="C128" s="157" t="s">
        <v>197</v>
      </c>
      <c r="D128" s="157">
        <v>3</v>
      </c>
      <c r="E128" s="158">
        <v>1</v>
      </c>
      <c r="F128" s="158">
        <v>0</v>
      </c>
      <c r="G128" s="157"/>
      <c r="H128" s="157"/>
    </row>
    <row r="129" spans="1:8" s="159" customFormat="1" ht="15.75" customHeight="1" outlineLevel="1">
      <c r="A129" s="157">
        <v>29</v>
      </c>
      <c r="B129" s="157" t="s">
        <v>210</v>
      </c>
      <c r="C129" s="157" t="s">
        <v>169</v>
      </c>
      <c r="D129" s="157">
        <v>3</v>
      </c>
      <c r="E129" s="158">
        <v>1</v>
      </c>
      <c r="F129" s="158"/>
      <c r="G129" s="157"/>
      <c r="H129" s="157"/>
    </row>
    <row r="130" spans="1:8" s="159" customFormat="1" ht="15.75" customHeight="1" outlineLevel="1">
      <c r="A130" s="157">
        <v>30</v>
      </c>
      <c r="B130" s="157"/>
      <c r="C130" s="157" t="s">
        <v>211</v>
      </c>
      <c r="D130" s="157">
        <v>3</v>
      </c>
      <c r="E130" s="158">
        <v>1</v>
      </c>
      <c r="F130" s="158"/>
      <c r="G130" s="157"/>
      <c r="H130" s="157"/>
    </row>
    <row r="131" spans="1:8" s="159" customFormat="1" ht="15.75" customHeight="1" outlineLevel="1">
      <c r="A131" s="157">
        <v>31</v>
      </c>
      <c r="B131" s="157"/>
      <c r="C131" s="157" t="s">
        <v>128</v>
      </c>
      <c r="D131" s="157">
        <v>3</v>
      </c>
      <c r="E131" s="158">
        <v>1</v>
      </c>
      <c r="F131" s="158"/>
      <c r="G131" s="157"/>
      <c r="H131" s="157"/>
    </row>
    <row r="132" spans="1:8" s="159" customFormat="1" ht="15.75" customHeight="1" outlineLevel="1">
      <c r="A132" s="157">
        <v>32</v>
      </c>
      <c r="B132" s="157"/>
      <c r="C132" s="157" t="s">
        <v>190</v>
      </c>
      <c r="D132" s="157">
        <v>3</v>
      </c>
      <c r="E132" s="158">
        <v>1</v>
      </c>
      <c r="F132" s="158"/>
      <c r="G132" s="157"/>
      <c r="H132" s="157"/>
    </row>
    <row r="133" spans="1:8" s="159" customFormat="1" ht="15.75" customHeight="1" outlineLevel="1">
      <c r="A133" s="157">
        <v>33</v>
      </c>
      <c r="B133" s="157"/>
      <c r="C133" s="157" t="s">
        <v>212</v>
      </c>
      <c r="D133" s="157">
        <v>3</v>
      </c>
      <c r="E133" s="158"/>
      <c r="F133" s="158"/>
      <c r="G133" s="157"/>
      <c r="H133" s="157"/>
    </row>
    <row r="134" spans="1:8" s="159" customFormat="1" ht="15.75" customHeight="1" outlineLevel="1">
      <c r="A134" s="157">
        <v>34</v>
      </c>
      <c r="B134" s="157"/>
      <c r="C134" s="157" t="s">
        <v>209</v>
      </c>
      <c r="D134" s="157">
        <v>3</v>
      </c>
      <c r="E134" s="158"/>
      <c r="F134" s="158"/>
      <c r="G134" s="157"/>
      <c r="H134" s="157"/>
    </row>
    <row r="135" spans="1:8" s="159" customFormat="1" ht="15.75" customHeight="1" outlineLevel="1">
      <c r="A135" s="157">
        <v>35</v>
      </c>
      <c r="B135" s="157" t="s">
        <v>213</v>
      </c>
      <c r="C135" s="157" t="s">
        <v>191</v>
      </c>
      <c r="D135" s="157">
        <v>3</v>
      </c>
      <c r="E135" s="158">
        <v>1</v>
      </c>
      <c r="F135" s="158"/>
      <c r="G135" s="157"/>
      <c r="H135" s="157"/>
    </row>
    <row r="136" spans="1:8" s="159" customFormat="1" ht="15.75" customHeight="1" outlineLevel="1">
      <c r="A136" s="157">
        <v>36</v>
      </c>
      <c r="B136" s="157"/>
      <c r="C136" s="157" t="s">
        <v>192</v>
      </c>
      <c r="D136" s="157">
        <v>3</v>
      </c>
      <c r="E136" s="158"/>
      <c r="F136" s="158"/>
      <c r="G136" s="157"/>
      <c r="H136" s="157"/>
    </row>
    <row r="137" spans="1:8" s="159" customFormat="1" ht="15.75" customHeight="1" outlineLevel="1">
      <c r="A137" s="157">
        <v>37</v>
      </c>
      <c r="B137" s="157" t="s">
        <v>201</v>
      </c>
      <c r="C137" s="157" t="s">
        <v>202</v>
      </c>
      <c r="D137" s="157">
        <v>3</v>
      </c>
      <c r="E137" s="158">
        <v>1</v>
      </c>
      <c r="F137" s="158"/>
      <c r="G137" s="157"/>
      <c r="H137" s="157"/>
    </row>
    <row r="138" spans="1:8" s="159" customFormat="1" ht="15.75" customHeight="1" outlineLevel="1">
      <c r="A138" s="157">
        <v>38</v>
      </c>
      <c r="B138" s="157"/>
      <c r="C138" s="157" t="s">
        <v>203</v>
      </c>
      <c r="D138" s="157">
        <v>3</v>
      </c>
      <c r="E138" s="158">
        <v>1</v>
      </c>
      <c r="F138" s="158"/>
      <c r="G138" s="157"/>
      <c r="H138" s="157"/>
    </row>
    <row r="139" spans="1:8" s="159" customFormat="1" ht="15.75" customHeight="1" outlineLevel="1">
      <c r="A139" s="157">
        <v>39</v>
      </c>
      <c r="B139" s="157"/>
      <c r="C139" s="157" t="s">
        <v>204</v>
      </c>
      <c r="D139" s="157">
        <v>3</v>
      </c>
      <c r="E139" s="158">
        <v>1</v>
      </c>
      <c r="F139" s="158"/>
      <c r="G139" s="157"/>
      <c r="H139" s="157"/>
    </row>
    <row r="140" spans="1:8" s="159" customFormat="1" ht="15.75" customHeight="1" outlineLevel="1">
      <c r="A140" s="157">
        <v>40</v>
      </c>
      <c r="B140" s="157"/>
      <c r="C140" s="157" t="s">
        <v>205</v>
      </c>
      <c r="D140" s="157">
        <v>3</v>
      </c>
      <c r="E140" s="158">
        <v>1</v>
      </c>
      <c r="F140" s="158"/>
      <c r="G140" s="157"/>
      <c r="H140" s="157"/>
    </row>
    <row r="141" spans="1:8" s="159" customFormat="1" ht="15.75" customHeight="1" outlineLevel="1">
      <c r="A141" s="157">
        <v>41</v>
      </c>
      <c r="B141" s="162" t="s">
        <v>214</v>
      </c>
      <c r="C141" s="157"/>
      <c r="D141" s="157"/>
      <c r="E141" s="158">
        <f>SUM(E142:E150)</f>
        <v>9</v>
      </c>
      <c r="F141" s="158"/>
      <c r="G141" s="157"/>
      <c r="H141" s="157"/>
    </row>
    <row r="142" spans="1:8" s="159" customFormat="1" ht="15.75" customHeight="1" outlineLevel="1">
      <c r="A142" s="157">
        <v>42</v>
      </c>
      <c r="B142" s="157"/>
      <c r="C142" s="157" t="s">
        <v>215</v>
      </c>
      <c r="D142" s="157">
        <v>3</v>
      </c>
      <c r="E142" s="158">
        <v>1</v>
      </c>
      <c r="F142" s="158"/>
      <c r="G142" s="157"/>
      <c r="H142" s="157"/>
    </row>
    <row r="143" spans="1:8" s="159" customFormat="1" ht="15.75" customHeight="1" outlineLevel="1">
      <c r="A143" s="157">
        <v>43</v>
      </c>
      <c r="B143" s="157"/>
      <c r="C143" s="157" t="s">
        <v>216</v>
      </c>
      <c r="D143" s="157">
        <v>3</v>
      </c>
      <c r="E143" s="158">
        <v>1</v>
      </c>
      <c r="F143" s="158"/>
      <c r="G143" s="157"/>
      <c r="H143" s="157"/>
    </row>
    <row r="144" spans="1:8" s="159" customFormat="1" ht="15.75" customHeight="1" outlineLevel="1">
      <c r="A144" s="157">
        <v>44</v>
      </c>
      <c r="B144" s="157"/>
      <c r="C144" s="157" t="s">
        <v>217</v>
      </c>
      <c r="D144" s="157">
        <v>3</v>
      </c>
      <c r="E144" s="158">
        <v>1</v>
      </c>
      <c r="F144" s="158"/>
      <c r="G144" s="157"/>
      <c r="H144" s="157"/>
    </row>
    <row r="145" spans="1:8" s="159" customFormat="1" ht="15.75" customHeight="1" outlineLevel="1">
      <c r="A145" s="157">
        <v>45</v>
      </c>
      <c r="B145" s="157"/>
      <c r="C145" s="157" t="s">
        <v>218</v>
      </c>
      <c r="D145" s="157">
        <v>3</v>
      </c>
      <c r="E145" s="158">
        <v>1</v>
      </c>
      <c r="F145" s="158"/>
      <c r="G145" s="157"/>
      <c r="H145" s="157"/>
    </row>
    <row r="146" spans="1:8" s="159" customFormat="1" ht="15.75" customHeight="1" outlineLevel="1">
      <c r="A146" s="157">
        <v>46</v>
      </c>
      <c r="B146" s="157"/>
      <c r="C146" s="157" t="s">
        <v>219</v>
      </c>
      <c r="D146" s="157">
        <v>3</v>
      </c>
      <c r="E146" s="158">
        <v>1</v>
      </c>
      <c r="F146" s="158"/>
      <c r="G146" s="157"/>
      <c r="H146" s="157"/>
    </row>
    <row r="147" spans="1:8" s="159" customFormat="1" ht="15.75" customHeight="1" outlineLevel="1">
      <c r="A147" s="157">
        <v>47</v>
      </c>
      <c r="B147" s="157"/>
      <c r="C147" s="157" t="s">
        <v>220</v>
      </c>
      <c r="D147" s="157">
        <v>3</v>
      </c>
      <c r="E147" s="158">
        <v>1</v>
      </c>
      <c r="F147" s="158"/>
      <c r="G147" s="157"/>
      <c r="H147" s="157"/>
    </row>
    <row r="148" spans="1:8" s="159" customFormat="1" ht="15.75" customHeight="1" outlineLevel="1">
      <c r="A148" s="157">
        <v>48</v>
      </c>
      <c r="B148" s="157"/>
      <c r="C148" s="157" t="s">
        <v>221</v>
      </c>
      <c r="D148" s="157">
        <v>3</v>
      </c>
      <c r="E148" s="158">
        <v>1</v>
      </c>
      <c r="F148" s="158"/>
      <c r="G148" s="157"/>
      <c r="H148" s="157"/>
    </row>
    <row r="149" spans="1:8" s="159" customFormat="1" ht="15.75" customHeight="1" outlineLevel="1">
      <c r="A149" s="157">
        <v>49</v>
      </c>
      <c r="B149" s="157"/>
      <c r="C149" s="157" t="s">
        <v>222</v>
      </c>
      <c r="D149" s="157">
        <v>3</v>
      </c>
      <c r="E149" s="158">
        <v>1</v>
      </c>
      <c r="F149" s="158"/>
      <c r="G149" s="157"/>
      <c r="H149" s="157"/>
    </row>
    <row r="150" spans="1:8" s="159" customFormat="1" ht="15.75" customHeight="1" outlineLevel="1">
      <c r="A150" s="157">
        <v>50</v>
      </c>
      <c r="B150" s="157"/>
      <c r="C150" s="157" t="s">
        <v>223</v>
      </c>
      <c r="D150" s="157">
        <v>3</v>
      </c>
      <c r="E150" s="158">
        <v>1</v>
      </c>
      <c r="F150" s="158"/>
      <c r="G150" s="157"/>
      <c r="H150" s="157"/>
    </row>
    <row r="151" spans="1:8" s="159" customFormat="1" ht="15.75" customHeight="1" outlineLevel="1">
      <c r="A151" s="157">
        <v>51</v>
      </c>
      <c r="B151" s="162" t="s">
        <v>224</v>
      </c>
      <c r="C151" s="157" t="s">
        <v>225</v>
      </c>
      <c r="D151" s="157">
        <v>3</v>
      </c>
      <c r="E151" s="158"/>
      <c r="F151" s="158"/>
      <c r="G151" s="157"/>
      <c r="H151" s="157"/>
    </row>
    <row r="152" spans="1:8" s="159" customFormat="1" ht="15.75" customHeight="1" outlineLevel="1">
      <c r="A152" s="157">
        <v>52</v>
      </c>
      <c r="B152" s="157"/>
      <c r="C152" s="157" t="s">
        <v>226</v>
      </c>
      <c r="D152" s="157">
        <v>3</v>
      </c>
      <c r="E152" s="158"/>
      <c r="F152" s="158"/>
      <c r="G152" s="157"/>
      <c r="H152" s="157"/>
    </row>
    <row r="153" spans="1:8" s="159" customFormat="1" ht="15.75" customHeight="1" outlineLevel="1">
      <c r="A153" s="157">
        <v>53</v>
      </c>
      <c r="B153" s="157"/>
      <c r="C153" s="157" t="s">
        <v>227</v>
      </c>
      <c r="D153" s="157">
        <v>3</v>
      </c>
      <c r="E153" s="158"/>
      <c r="F153" s="158"/>
      <c r="G153" s="157"/>
      <c r="H153" s="157"/>
    </row>
    <row r="154" spans="1:8" s="159" customFormat="1" ht="15.75" customHeight="1" outlineLevel="1">
      <c r="A154" s="157">
        <v>54</v>
      </c>
      <c r="B154" s="157"/>
      <c r="C154" s="157" t="s">
        <v>228</v>
      </c>
      <c r="D154" s="157">
        <v>3</v>
      </c>
      <c r="E154" s="158"/>
      <c r="F154" s="158"/>
      <c r="G154" s="157"/>
      <c r="H154" s="157"/>
    </row>
    <row r="155" spans="1:8" s="159" customFormat="1" ht="15.75" customHeight="1" outlineLevel="1">
      <c r="A155" s="157">
        <v>55</v>
      </c>
      <c r="B155" s="162" t="s">
        <v>229</v>
      </c>
      <c r="C155" s="157" t="s">
        <v>230</v>
      </c>
      <c r="D155" s="157">
        <v>3</v>
      </c>
      <c r="E155" s="158"/>
      <c r="F155" s="158"/>
      <c r="G155" s="157"/>
      <c r="H155" s="157"/>
    </row>
    <row r="156" spans="1:8" s="159" customFormat="1" ht="15.75" customHeight="1" outlineLevel="1">
      <c r="A156" s="157">
        <v>56</v>
      </c>
      <c r="B156" s="157"/>
      <c r="C156" s="157" t="s">
        <v>231</v>
      </c>
      <c r="D156" s="157">
        <v>3</v>
      </c>
      <c r="E156" s="158"/>
      <c r="F156" s="158"/>
      <c r="G156" s="157"/>
      <c r="H156" s="157"/>
    </row>
    <row r="157" spans="1:8" s="159" customFormat="1" ht="15.75" customHeight="1" outlineLevel="1">
      <c r="A157" s="157">
        <v>57</v>
      </c>
      <c r="B157" s="157"/>
      <c r="C157" s="157" t="s">
        <v>232</v>
      </c>
      <c r="D157" s="157">
        <v>3</v>
      </c>
      <c r="E157" s="158"/>
      <c r="F157" s="158"/>
      <c r="G157" s="157"/>
      <c r="H157" s="157"/>
    </row>
    <row r="158" spans="1:8" s="159" customFormat="1" ht="15.75" customHeight="1" outlineLevel="1">
      <c r="A158" s="157">
        <v>58</v>
      </c>
      <c r="B158" s="157"/>
      <c r="C158" s="157" t="s">
        <v>233</v>
      </c>
      <c r="D158" s="157">
        <v>3</v>
      </c>
      <c r="E158" s="158"/>
      <c r="F158" s="158"/>
      <c r="G158" s="157"/>
      <c r="H158" s="157"/>
    </row>
    <row r="159" spans="1:8" s="159" customFormat="1" ht="15.75" customHeight="1" outlineLevel="1">
      <c r="A159" s="157">
        <v>59</v>
      </c>
      <c r="B159" s="157"/>
      <c r="C159" s="157" t="s">
        <v>234</v>
      </c>
      <c r="D159" s="157">
        <v>3</v>
      </c>
      <c r="E159" s="158"/>
      <c r="F159" s="158"/>
      <c r="G159" s="157"/>
      <c r="H159" s="157"/>
    </row>
    <row r="160" spans="1:8" s="159" customFormat="1" ht="15.75" customHeight="1" outlineLevel="1">
      <c r="A160" s="157">
        <v>60</v>
      </c>
      <c r="B160" s="162" t="s">
        <v>235</v>
      </c>
      <c r="C160" s="157" t="s">
        <v>128</v>
      </c>
      <c r="D160" s="157">
        <v>3</v>
      </c>
      <c r="E160" s="158"/>
      <c r="F160" s="158"/>
      <c r="G160" s="157"/>
      <c r="H160" s="157"/>
    </row>
    <row r="161" spans="1:8" s="159" customFormat="1" ht="15.75" customHeight="1" outlineLevel="1">
      <c r="A161" s="157">
        <v>61</v>
      </c>
      <c r="B161" s="157"/>
      <c r="C161" s="157" t="s">
        <v>236</v>
      </c>
      <c r="D161" s="157">
        <v>3</v>
      </c>
      <c r="E161" s="158"/>
      <c r="F161" s="158"/>
      <c r="G161" s="157"/>
      <c r="H161" s="157"/>
    </row>
    <row r="162" spans="1:8" s="159" customFormat="1" ht="15.75" customHeight="1" outlineLevel="1">
      <c r="A162" s="157">
        <v>62</v>
      </c>
      <c r="B162" s="157"/>
      <c r="C162" s="157" t="s">
        <v>237</v>
      </c>
      <c r="D162" s="157">
        <v>3</v>
      </c>
      <c r="E162" s="158"/>
      <c r="F162" s="158"/>
      <c r="G162" s="157"/>
      <c r="H162" s="157"/>
    </row>
    <row r="163" spans="1:8" s="159" customFormat="1" ht="15.75" customHeight="1" outlineLevel="1">
      <c r="A163" s="157">
        <v>63</v>
      </c>
      <c r="B163" s="157"/>
      <c r="C163" s="157" t="s">
        <v>204</v>
      </c>
      <c r="D163" s="157">
        <v>3</v>
      </c>
      <c r="E163" s="158"/>
      <c r="F163" s="158"/>
      <c r="G163" s="157"/>
      <c r="H163" s="157"/>
    </row>
    <row r="164" spans="1:8" s="159" customFormat="1" ht="15.75" customHeight="1" outlineLevel="1">
      <c r="A164" s="157">
        <v>64</v>
      </c>
      <c r="B164" s="157"/>
      <c r="C164" s="157" t="s">
        <v>205</v>
      </c>
      <c r="D164" s="157">
        <v>3</v>
      </c>
      <c r="E164" s="158"/>
      <c r="F164" s="158"/>
      <c r="G164" s="157"/>
      <c r="H164" s="157"/>
    </row>
    <row r="165" spans="1:8" s="159" customFormat="1" ht="15.75" customHeight="1" outlineLevel="1">
      <c r="A165" s="157">
        <v>65</v>
      </c>
      <c r="B165" s="157"/>
      <c r="C165" s="157" t="s">
        <v>238</v>
      </c>
      <c r="D165" s="157">
        <v>3</v>
      </c>
      <c r="E165" s="158"/>
      <c r="F165" s="158"/>
      <c r="G165" s="157"/>
      <c r="H165" s="157"/>
    </row>
    <row r="166" spans="1:8" s="159" customFormat="1" ht="15.75" customHeight="1" outlineLevel="1">
      <c r="A166" s="157">
        <v>66</v>
      </c>
      <c r="B166" s="162" t="s">
        <v>239</v>
      </c>
      <c r="C166" s="157" t="s">
        <v>240</v>
      </c>
      <c r="D166" s="157">
        <v>3</v>
      </c>
      <c r="E166" s="158">
        <v>1</v>
      </c>
      <c r="F166" s="158"/>
      <c r="G166" s="157"/>
      <c r="H166" s="157"/>
    </row>
    <row r="167" spans="1:8" s="159" customFormat="1" ht="15.75" customHeight="1" outlineLevel="1">
      <c r="A167" s="157">
        <v>67</v>
      </c>
      <c r="B167" s="157"/>
      <c r="C167" s="157" t="s">
        <v>241</v>
      </c>
      <c r="D167" s="157">
        <v>3</v>
      </c>
      <c r="E167" s="158">
        <v>1</v>
      </c>
      <c r="F167" s="158"/>
      <c r="G167" s="157"/>
      <c r="H167" s="157"/>
    </row>
    <row r="168" spans="1:8" s="159" customFormat="1" ht="15.75" customHeight="1" outlineLevel="1">
      <c r="A168" s="157">
        <v>68</v>
      </c>
      <c r="B168" s="157"/>
      <c r="C168" s="157" t="s">
        <v>242</v>
      </c>
      <c r="D168" s="157">
        <v>3</v>
      </c>
      <c r="E168" s="158">
        <v>1</v>
      </c>
      <c r="F168" s="158"/>
      <c r="G168" s="157"/>
      <c r="H168" s="157"/>
    </row>
    <row r="169" spans="1:8" s="159" customFormat="1" ht="15.75" customHeight="1" outlineLevel="1">
      <c r="A169" s="157">
        <v>69</v>
      </c>
      <c r="B169" s="157"/>
      <c r="C169" s="157" t="s">
        <v>243</v>
      </c>
      <c r="D169" s="157">
        <v>3</v>
      </c>
      <c r="E169" s="158">
        <v>1</v>
      </c>
      <c r="F169" s="158"/>
      <c r="G169" s="157"/>
      <c r="H169" s="157"/>
    </row>
    <row r="170" spans="1:8" s="159" customFormat="1" ht="15.75" customHeight="1" outlineLevel="1">
      <c r="A170" s="157">
        <v>70</v>
      </c>
      <c r="B170" s="157"/>
      <c r="C170" s="157" t="s">
        <v>244</v>
      </c>
      <c r="D170" s="157">
        <v>3</v>
      </c>
      <c r="E170" s="158">
        <v>1</v>
      </c>
      <c r="F170" s="158"/>
      <c r="G170" s="157"/>
      <c r="H170" s="157"/>
    </row>
    <row r="171" spans="1:8" s="159" customFormat="1" ht="15.75" customHeight="1" outlineLevel="1">
      <c r="A171" s="157">
        <v>71</v>
      </c>
      <c r="B171" s="157"/>
      <c r="C171" s="157" t="s">
        <v>245</v>
      </c>
      <c r="D171" s="157">
        <v>3</v>
      </c>
      <c r="E171" s="158">
        <v>1</v>
      </c>
      <c r="F171" s="158"/>
      <c r="G171" s="157"/>
      <c r="H171" s="157"/>
    </row>
    <row r="172" spans="1:8" s="159" customFormat="1" ht="15.75" customHeight="1" outlineLevel="1">
      <c r="A172" s="157">
        <v>72</v>
      </c>
      <c r="B172" s="157"/>
      <c r="C172" s="157" t="s">
        <v>246</v>
      </c>
      <c r="D172" s="157">
        <v>3</v>
      </c>
      <c r="E172" s="158">
        <v>1</v>
      </c>
      <c r="F172" s="158"/>
      <c r="G172" s="157"/>
      <c r="H172" s="157"/>
    </row>
    <row r="173" spans="1:8" s="159" customFormat="1" ht="15.75" customHeight="1" outlineLevel="1">
      <c r="A173" s="157">
        <v>73</v>
      </c>
      <c r="B173" s="157"/>
      <c r="C173" s="157" t="s">
        <v>247</v>
      </c>
      <c r="D173" s="157">
        <v>3</v>
      </c>
      <c r="E173" s="158">
        <v>1</v>
      </c>
      <c r="F173" s="158"/>
      <c r="G173" s="157"/>
      <c r="H173" s="157"/>
    </row>
    <row r="174" spans="1:8" s="159" customFormat="1" ht="15.75" customHeight="1" outlineLevel="1">
      <c r="A174" s="157"/>
      <c r="B174" s="157"/>
      <c r="C174" s="157"/>
      <c r="D174" s="157"/>
      <c r="E174" s="158">
        <f>SUM(E166:E173)</f>
        <v>8</v>
      </c>
      <c r="F174" s="158"/>
      <c r="G174" s="157"/>
      <c r="H174" s="157"/>
    </row>
    <row r="175" spans="1:8" s="159" customFormat="1" ht="15.75" customHeight="1" outlineLevel="1">
      <c r="A175" s="157">
        <v>74</v>
      </c>
      <c r="B175" s="162" t="s">
        <v>248</v>
      </c>
      <c r="C175" s="157" t="s">
        <v>249</v>
      </c>
      <c r="D175" s="157">
        <v>3</v>
      </c>
      <c r="E175" s="158">
        <v>1</v>
      </c>
      <c r="F175" s="158"/>
      <c r="G175" s="157"/>
      <c r="H175" s="157"/>
    </row>
    <row r="176" spans="1:8" s="159" customFormat="1" ht="15.75" customHeight="1" outlineLevel="1">
      <c r="A176" s="157">
        <v>75</v>
      </c>
      <c r="B176" s="157"/>
      <c r="C176" s="157" t="s">
        <v>250</v>
      </c>
      <c r="D176" s="157">
        <v>3</v>
      </c>
      <c r="E176" s="158">
        <v>1</v>
      </c>
      <c r="F176" s="158"/>
      <c r="G176" s="157"/>
      <c r="H176" s="157"/>
    </row>
    <row r="177" spans="1:8" s="159" customFormat="1" ht="31.5" customHeight="1" outlineLevel="1">
      <c r="A177" s="157">
        <v>76</v>
      </c>
      <c r="B177" s="157"/>
      <c r="C177" s="157" t="s">
        <v>251</v>
      </c>
      <c r="D177" s="157">
        <v>3</v>
      </c>
      <c r="E177" s="158">
        <v>1</v>
      </c>
      <c r="F177" s="158"/>
      <c r="G177" s="163" t="s">
        <v>252</v>
      </c>
      <c r="H177" s="157"/>
    </row>
    <row r="178" spans="1:8" s="159" customFormat="1" ht="15.75" customHeight="1" outlineLevel="1">
      <c r="A178" s="157">
        <v>77</v>
      </c>
      <c r="B178" s="157"/>
      <c r="C178" s="157" t="s">
        <v>253</v>
      </c>
      <c r="D178" s="157">
        <v>3</v>
      </c>
      <c r="E178" s="158">
        <v>1</v>
      </c>
      <c r="F178" s="158"/>
      <c r="G178" s="157"/>
      <c r="H178" s="157"/>
    </row>
    <row r="179" spans="1:8" s="159" customFormat="1" ht="15.75" customHeight="1" outlineLevel="1">
      <c r="A179" s="157">
        <v>78</v>
      </c>
      <c r="B179" s="157"/>
      <c r="C179" s="157" t="s">
        <v>254</v>
      </c>
      <c r="D179" s="157">
        <v>3</v>
      </c>
      <c r="E179" s="158">
        <v>1</v>
      </c>
      <c r="F179" s="158"/>
      <c r="G179" s="157"/>
      <c r="H179" s="157"/>
    </row>
    <row r="180" spans="1:8" s="159" customFormat="1" ht="15.75" customHeight="1" outlineLevel="1">
      <c r="A180" s="157">
        <v>79</v>
      </c>
      <c r="B180" s="157"/>
      <c r="C180" s="157" t="s">
        <v>192</v>
      </c>
      <c r="D180" s="157">
        <v>3</v>
      </c>
      <c r="E180" s="158">
        <v>1</v>
      </c>
      <c r="F180" s="158"/>
      <c r="G180" s="157"/>
      <c r="H180" s="157"/>
    </row>
    <row r="181" spans="1:8" s="159" customFormat="1" ht="15.75" customHeight="1" outlineLevel="1">
      <c r="A181" s="157">
        <v>80</v>
      </c>
      <c r="B181" s="157"/>
      <c r="C181" s="157" t="s">
        <v>255</v>
      </c>
      <c r="D181" s="157">
        <v>3</v>
      </c>
      <c r="E181" s="158">
        <v>1</v>
      </c>
      <c r="F181" s="158"/>
      <c r="G181" s="157"/>
      <c r="H181" s="157"/>
    </row>
    <row r="182" spans="1:8" s="159" customFormat="1" ht="15.75" customHeight="1" outlineLevel="1">
      <c r="A182" s="157">
        <v>81</v>
      </c>
      <c r="B182" s="157"/>
      <c r="C182" s="157" t="s">
        <v>256</v>
      </c>
      <c r="D182" s="157">
        <v>3</v>
      </c>
      <c r="E182" s="158">
        <v>1</v>
      </c>
      <c r="F182" s="158"/>
      <c r="G182" s="157"/>
      <c r="H182" s="157"/>
    </row>
    <row r="183" spans="1:8" s="159" customFormat="1" ht="15.75" customHeight="1" outlineLevel="1">
      <c r="A183" s="157">
        <v>82</v>
      </c>
      <c r="B183" s="157"/>
      <c r="C183" s="157" t="s">
        <v>257</v>
      </c>
      <c r="D183" s="157">
        <v>3</v>
      </c>
      <c r="E183" s="158">
        <v>1</v>
      </c>
      <c r="F183" s="158"/>
      <c r="G183" s="157"/>
      <c r="H183" s="157"/>
    </row>
    <row r="184" spans="1:8" s="159" customFormat="1" ht="15.75" customHeight="1" outlineLevel="1">
      <c r="A184" s="157">
        <v>83</v>
      </c>
      <c r="B184" s="157"/>
      <c r="C184" s="157" t="s">
        <v>258</v>
      </c>
      <c r="D184" s="157">
        <v>3</v>
      </c>
      <c r="E184" s="158">
        <v>1</v>
      </c>
      <c r="F184" s="158"/>
      <c r="G184" s="157"/>
      <c r="H184" s="157"/>
    </row>
    <row r="185" spans="1:8" s="159" customFormat="1" ht="15.75" customHeight="1" outlineLevel="1">
      <c r="A185" s="157">
        <v>84</v>
      </c>
      <c r="B185" s="157"/>
      <c r="C185" s="157" t="s">
        <v>259</v>
      </c>
      <c r="D185" s="157">
        <v>3</v>
      </c>
      <c r="E185" s="158">
        <v>1</v>
      </c>
      <c r="F185" s="158"/>
      <c r="G185" s="157"/>
      <c r="H185" s="157"/>
    </row>
    <row r="186" spans="1:8" s="159" customFormat="1" ht="15.75" customHeight="1" outlineLevel="1">
      <c r="A186" s="157">
        <v>85</v>
      </c>
      <c r="B186" s="157"/>
      <c r="C186" s="157" t="s">
        <v>260</v>
      </c>
      <c r="D186" s="157">
        <v>3</v>
      </c>
      <c r="E186" s="158">
        <v>1</v>
      </c>
      <c r="F186" s="158"/>
      <c r="G186" s="157"/>
      <c r="H186" s="157"/>
    </row>
    <row r="187" spans="1:8" s="159" customFormat="1" ht="15.75" customHeight="1" outlineLevel="1">
      <c r="A187" s="157">
        <v>86</v>
      </c>
      <c r="B187" s="157"/>
      <c r="C187" s="157" t="s">
        <v>261</v>
      </c>
      <c r="D187" s="157">
        <v>3</v>
      </c>
      <c r="E187" s="158">
        <v>1</v>
      </c>
      <c r="F187" s="158"/>
      <c r="G187" s="157"/>
      <c r="H187" s="157"/>
    </row>
    <row r="188" spans="1:8" s="143" customFormat="1" ht="15.75" customHeight="1">
      <c r="C188" s="143" t="s">
        <v>262</v>
      </c>
      <c r="E188" s="132">
        <f>SUM(E175:E187)</f>
        <v>13</v>
      </c>
      <c r="F188" s="132"/>
    </row>
    <row r="189" spans="1:8" s="143" customFormat="1" ht="15.75" customHeight="1">
      <c r="E189" s="132">
        <f>191-156</f>
        <v>35</v>
      </c>
      <c r="F189" s="132"/>
    </row>
    <row r="190" spans="1:8" ht="15.75" customHeight="1">
      <c r="B190" s="131" t="s">
        <v>263</v>
      </c>
    </row>
    <row r="191" spans="1:8" ht="15.75" customHeight="1">
      <c r="A191" s="130">
        <v>1</v>
      </c>
      <c r="B191" s="131" t="s">
        <v>264</v>
      </c>
    </row>
    <row r="192" spans="1:8" ht="33" customHeight="1">
      <c r="A192" s="130">
        <v>2</v>
      </c>
      <c r="B192" s="1315" t="s">
        <v>265</v>
      </c>
      <c r="C192" s="1316"/>
      <c r="D192" s="1316"/>
      <c r="E192" s="1316"/>
      <c r="F192" s="1316"/>
      <c r="G192" s="1316"/>
    </row>
    <row r="193" spans="1:7" ht="15.75" customHeight="1">
      <c r="A193" s="130">
        <v>3</v>
      </c>
      <c r="B193" s="131" t="s">
        <v>266</v>
      </c>
    </row>
    <row r="194" spans="1:7" ht="15.75" customHeight="1">
      <c r="A194" s="130">
        <v>4</v>
      </c>
      <c r="B194" s="131" t="s">
        <v>267</v>
      </c>
    </row>
    <row r="195" spans="1:7" ht="33" customHeight="1">
      <c r="A195" s="130" t="s">
        <v>12</v>
      </c>
      <c r="B195" s="1315" t="s">
        <v>268</v>
      </c>
      <c r="C195" s="1316"/>
      <c r="D195" s="1316"/>
      <c r="E195" s="1316"/>
      <c r="F195" s="1316"/>
      <c r="G195" s="1316"/>
    </row>
  </sheetData>
  <mergeCells count="5">
    <mergeCell ref="B195:G195"/>
    <mergeCell ref="A1:G1"/>
    <mergeCell ref="A2:G2"/>
    <mergeCell ref="A3:G3"/>
    <mergeCell ref="B192:G192"/>
  </mergeCells>
  <phoneticPr fontId="104" type="noConversion"/>
  <pageMargins left="0.75" right="0.75" top="1" bottom="1" header="0.5" footer="0.5"/>
  <pageSetup orientation="portrait" horizontalDpi="200" verticalDpi="200"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workbookViewId="0">
      <selection activeCell="L11" sqref="L11"/>
    </sheetView>
  </sheetViews>
  <sheetFormatPr defaultColWidth="8.625" defaultRowHeight="15.75"/>
  <cols>
    <col min="1" max="1" width="3.625" style="2" bestFit="1" customWidth="1"/>
    <col min="2" max="2" width="13.375" style="2" bestFit="1" customWidth="1"/>
    <col min="3" max="8" width="8.625" style="2"/>
    <col min="9" max="9" width="8" style="2" bestFit="1" customWidth="1"/>
    <col min="10" max="10" width="7.375" style="2" bestFit="1" customWidth="1"/>
    <col min="11" max="11" width="5.375" style="2" bestFit="1" customWidth="1"/>
    <col min="12" max="12" width="10.125" style="2" customWidth="1"/>
    <col min="13" max="16384" width="8.625" style="2"/>
  </cols>
  <sheetData>
    <row r="1" spans="1:17">
      <c r="B1" s="1337" t="s">
        <v>634</v>
      </c>
      <c r="C1" s="1336" t="s">
        <v>635</v>
      </c>
      <c r="D1" s="1336"/>
      <c r="E1" s="1336"/>
      <c r="F1" s="1336"/>
      <c r="G1" s="1336"/>
      <c r="H1" s="1336"/>
      <c r="I1" s="1327" t="s">
        <v>675</v>
      </c>
      <c r="J1" s="1327"/>
      <c r="K1" s="1327"/>
      <c r="L1" s="1327"/>
      <c r="M1" s="1327"/>
      <c r="N1" s="1327" t="s">
        <v>676</v>
      </c>
      <c r="O1" s="1327"/>
      <c r="P1" s="1327"/>
      <c r="Q1" s="1327"/>
    </row>
    <row r="2" spans="1:17">
      <c r="A2" s="1334" t="s">
        <v>14</v>
      </c>
      <c r="B2" s="1338"/>
      <c r="C2" s="1336"/>
      <c r="D2" s="1336"/>
      <c r="E2" s="1336"/>
      <c r="F2" s="1336"/>
      <c r="G2" s="1336"/>
      <c r="H2" s="1336"/>
      <c r="I2" s="1328" t="s">
        <v>670</v>
      </c>
      <c r="J2" s="1329"/>
      <c r="K2" s="1330"/>
      <c r="L2" s="1191" t="s">
        <v>669</v>
      </c>
      <c r="M2" s="1192"/>
      <c r="N2" s="1327" t="s">
        <v>679</v>
      </c>
      <c r="O2" s="1327" t="s">
        <v>630</v>
      </c>
      <c r="P2" s="1320" t="s">
        <v>631</v>
      </c>
      <c r="Q2" s="1322" t="s">
        <v>632</v>
      </c>
    </row>
    <row r="3" spans="1:17" ht="45.6" customHeight="1">
      <c r="A3" s="1335"/>
      <c r="B3" s="1339"/>
      <c r="C3" s="1336"/>
      <c r="D3" s="1336"/>
      <c r="E3" s="1336"/>
      <c r="F3" s="1336"/>
      <c r="G3" s="1336"/>
      <c r="H3" s="1336"/>
      <c r="I3" s="402" t="s">
        <v>629</v>
      </c>
      <c r="J3" s="402" t="s">
        <v>630</v>
      </c>
      <c r="K3" s="402" t="s">
        <v>631</v>
      </c>
      <c r="L3" s="341" t="s">
        <v>678</v>
      </c>
      <c r="M3" s="341" t="s">
        <v>677</v>
      </c>
      <c r="N3" s="1327"/>
      <c r="O3" s="1327"/>
      <c r="P3" s="1321"/>
      <c r="Q3" s="1323"/>
    </row>
    <row r="4" spans="1:17">
      <c r="A4" s="399"/>
      <c r="B4" s="400" t="s">
        <v>15</v>
      </c>
      <c r="C4" s="1331" t="s">
        <v>579</v>
      </c>
      <c r="D4" s="1332"/>
      <c r="E4" s="1332"/>
      <c r="F4" s="1332"/>
      <c r="G4" s="1332"/>
      <c r="H4" s="1333"/>
      <c r="I4" s="390"/>
      <c r="J4" s="390"/>
      <c r="K4" s="390"/>
      <c r="L4" s="390"/>
      <c r="M4" s="390"/>
      <c r="N4" s="390"/>
      <c r="O4" s="390"/>
      <c r="P4" s="390"/>
      <c r="Q4" s="390"/>
    </row>
    <row r="5" spans="1:17" ht="15.6" customHeight="1">
      <c r="A5" s="399"/>
      <c r="B5" s="401">
        <v>1</v>
      </c>
      <c r="C5" s="1324" t="s">
        <v>671</v>
      </c>
      <c r="D5" s="1325"/>
      <c r="E5" s="1325"/>
      <c r="F5" s="1325"/>
      <c r="G5" s="1325"/>
      <c r="H5" s="1326"/>
      <c r="I5" s="390"/>
      <c r="J5" s="390"/>
      <c r="K5" s="390"/>
      <c r="L5" s="390"/>
      <c r="M5" s="390"/>
      <c r="N5" s="390"/>
      <c r="O5" s="390"/>
      <c r="P5" s="390"/>
      <c r="Q5" s="390"/>
    </row>
    <row r="6" spans="1:17" ht="15.6" customHeight="1">
      <c r="A6" s="399"/>
      <c r="B6" s="401">
        <v>2</v>
      </c>
      <c r="C6" s="1324" t="s">
        <v>672</v>
      </c>
      <c r="D6" s="1325"/>
      <c r="E6" s="1325"/>
      <c r="F6" s="1325"/>
      <c r="G6" s="1325"/>
      <c r="H6" s="1326"/>
      <c r="I6" s="390">
        <v>1</v>
      </c>
      <c r="J6" s="390"/>
      <c r="K6" s="390"/>
      <c r="L6" s="390"/>
      <c r="M6" s="390"/>
      <c r="N6" s="390">
        <v>6</v>
      </c>
      <c r="O6" s="390">
        <f>14*6</f>
        <v>84</v>
      </c>
      <c r="P6" s="390"/>
      <c r="Q6" s="390"/>
    </row>
    <row r="7" spans="1:17">
      <c r="A7" s="399"/>
      <c r="B7" s="400" t="s">
        <v>65</v>
      </c>
      <c r="C7" s="1331" t="s">
        <v>668</v>
      </c>
      <c r="D7" s="1332"/>
      <c r="E7" s="1332"/>
      <c r="F7" s="1332"/>
      <c r="G7" s="1332"/>
      <c r="H7" s="1333"/>
      <c r="I7" s="390"/>
      <c r="J7" s="390"/>
      <c r="K7" s="390"/>
      <c r="L7" s="390"/>
      <c r="M7" s="390"/>
      <c r="N7" s="390"/>
      <c r="O7" s="390"/>
      <c r="P7" s="390"/>
      <c r="Q7" s="390"/>
    </row>
    <row r="8" spans="1:17" ht="24.95" customHeight="1">
      <c r="A8" s="399"/>
      <c r="B8" s="401">
        <v>1</v>
      </c>
      <c r="C8" s="1324" t="s">
        <v>673</v>
      </c>
      <c r="D8" s="1325"/>
      <c r="E8" s="1325"/>
      <c r="F8" s="1325"/>
      <c r="G8" s="1325"/>
      <c r="H8" s="1326"/>
      <c r="I8" s="390"/>
      <c r="J8" s="390"/>
      <c r="K8" s="390">
        <v>15</v>
      </c>
      <c r="L8" s="390"/>
      <c r="M8" s="390"/>
      <c r="N8" s="390"/>
      <c r="O8" s="390"/>
      <c r="P8" s="390">
        <f>15*6</f>
        <v>90</v>
      </c>
      <c r="Q8" s="390"/>
    </row>
    <row r="9" spans="1:17" ht="24.95" customHeight="1">
      <c r="A9" s="399"/>
      <c r="B9" s="401">
        <v>2</v>
      </c>
      <c r="C9" s="1324" t="s">
        <v>674</v>
      </c>
      <c r="D9" s="1325"/>
      <c r="E9" s="1325"/>
      <c r="F9" s="1325"/>
      <c r="G9" s="1325"/>
      <c r="H9" s="1326"/>
      <c r="I9" s="390"/>
      <c r="J9" s="390"/>
      <c r="K9" s="390">
        <v>8</v>
      </c>
      <c r="L9" s="390"/>
      <c r="M9" s="390"/>
      <c r="N9" s="390"/>
      <c r="O9" s="390"/>
      <c r="P9" s="390">
        <f>8*6</f>
        <v>48</v>
      </c>
      <c r="Q9" s="390"/>
    </row>
    <row r="10" spans="1:17" ht="24.95" customHeight="1">
      <c r="A10" s="399"/>
      <c r="B10" s="401">
        <v>3</v>
      </c>
      <c r="C10" s="1324" t="s">
        <v>680</v>
      </c>
      <c r="D10" s="1325"/>
      <c r="E10" s="1325"/>
      <c r="F10" s="1325"/>
      <c r="G10" s="1325"/>
      <c r="H10" s="1326"/>
      <c r="I10" s="390"/>
      <c r="J10" s="390"/>
      <c r="K10" s="390">
        <v>10</v>
      </c>
      <c r="L10" s="390"/>
      <c r="M10" s="390"/>
      <c r="N10" s="390"/>
      <c r="O10" s="390"/>
      <c r="P10" s="390"/>
      <c r="Q10" s="390"/>
    </row>
    <row r="11" spans="1:17" ht="47.1" customHeight="1">
      <c r="A11" s="395">
        <v>1</v>
      </c>
      <c r="B11" s="396" t="s">
        <v>636</v>
      </c>
      <c r="C11" s="1340" t="s">
        <v>637</v>
      </c>
      <c r="D11" s="1340"/>
      <c r="E11" s="1340"/>
      <c r="F11" s="1340"/>
      <c r="G11" s="1340"/>
      <c r="H11" s="1340"/>
      <c r="I11" s="368"/>
      <c r="J11" s="368">
        <v>1</v>
      </c>
      <c r="K11" s="368"/>
      <c r="L11" s="368">
        <v>72</v>
      </c>
      <c r="M11" s="368">
        <v>72</v>
      </c>
      <c r="N11" s="368"/>
      <c r="O11" s="368"/>
      <c r="P11" s="368"/>
      <c r="Q11" s="368">
        <v>72</v>
      </c>
    </row>
    <row r="12" spans="1:17" ht="47.1" customHeight="1">
      <c r="A12" s="397">
        <v>2</v>
      </c>
      <c r="B12" s="396" t="s">
        <v>638</v>
      </c>
      <c r="C12" s="1340" t="s">
        <v>639</v>
      </c>
      <c r="D12" s="1340"/>
      <c r="E12" s="1340"/>
      <c r="F12" s="1340"/>
      <c r="G12" s="1340"/>
      <c r="H12" s="1340"/>
      <c r="I12" s="368"/>
      <c r="J12" s="368">
        <v>1</v>
      </c>
      <c r="K12" s="368"/>
      <c r="L12" s="368">
        <v>132</v>
      </c>
      <c r="M12" s="368">
        <v>132</v>
      </c>
      <c r="N12" s="368"/>
      <c r="O12" s="368"/>
      <c r="P12" s="368"/>
      <c r="Q12" s="368">
        <v>132</v>
      </c>
    </row>
    <row r="13" spans="1:17" ht="47.1" customHeight="1">
      <c r="A13" s="397">
        <v>3</v>
      </c>
      <c r="B13" s="396" t="s">
        <v>640</v>
      </c>
      <c r="C13" s="1340" t="s">
        <v>641</v>
      </c>
      <c r="D13" s="1340"/>
      <c r="E13" s="1340"/>
      <c r="F13" s="1340"/>
      <c r="G13" s="1340"/>
      <c r="H13" s="1340"/>
      <c r="I13" s="368"/>
      <c r="J13" s="368">
        <v>1</v>
      </c>
      <c r="K13" s="368"/>
      <c r="L13" s="368">
        <v>418</v>
      </c>
      <c r="M13" s="368">
        <v>418</v>
      </c>
      <c r="N13" s="368"/>
      <c r="O13" s="368"/>
      <c r="P13" s="368"/>
      <c r="Q13" s="368">
        <v>418</v>
      </c>
    </row>
    <row r="14" spans="1:17" ht="47.1" customHeight="1">
      <c r="A14" s="397">
        <v>4</v>
      </c>
      <c r="B14" s="396" t="s">
        <v>642</v>
      </c>
      <c r="C14" s="1340" t="s">
        <v>643</v>
      </c>
      <c r="D14" s="1340"/>
      <c r="E14" s="1340"/>
      <c r="F14" s="1340"/>
      <c r="G14" s="1340"/>
      <c r="H14" s="1340"/>
      <c r="I14" s="368"/>
      <c r="J14" s="368">
        <v>1</v>
      </c>
      <c r="K14" s="368"/>
      <c r="L14" s="368"/>
      <c r="M14" s="368"/>
      <c r="N14" s="368"/>
      <c r="O14" s="368"/>
      <c r="P14" s="368"/>
      <c r="Q14" s="368"/>
    </row>
    <row r="15" spans="1:17" ht="47.1" customHeight="1">
      <c r="A15" s="397">
        <v>5</v>
      </c>
      <c r="B15" s="396" t="s">
        <v>644</v>
      </c>
      <c r="C15" s="1340" t="s">
        <v>645</v>
      </c>
      <c r="D15" s="1340"/>
      <c r="E15" s="1340"/>
      <c r="F15" s="1340"/>
      <c r="G15" s="1340"/>
      <c r="H15" s="1340"/>
      <c r="I15" s="368"/>
      <c r="J15" s="368">
        <v>1</v>
      </c>
      <c r="K15" s="368"/>
      <c r="L15" s="368">
        <f>L13+L12+L11</f>
        <v>622</v>
      </c>
      <c r="M15" s="368">
        <f>M13+M12+M11</f>
        <v>622</v>
      </c>
      <c r="N15" s="368"/>
      <c r="O15" s="368"/>
      <c r="P15" s="368"/>
      <c r="Q15" s="368">
        <v>622</v>
      </c>
    </row>
    <row r="16" spans="1:17" ht="47.1" customHeight="1">
      <c r="A16" s="397">
        <v>6</v>
      </c>
      <c r="B16" s="396" t="s">
        <v>646</v>
      </c>
      <c r="C16" s="1340" t="s">
        <v>647</v>
      </c>
      <c r="D16" s="1340"/>
      <c r="E16" s="1340"/>
      <c r="F16" s="1340"/>
      <c r="G16" s="1340"/>
      <c r="H16" s="1340"/>
      <c r="I16" s="368"/>
      <c r="J16" s="368">
        <v>1</v>
      </c>
      <c r="K16" s="368"/>
      <c r="L16" s="368">
        <f>6*200</f>
        <v>1200</v>
      </c>
      <c r="M16" s="368">
        <f>6*200</f>
        <v>1200</v>
      </c>
      <c r="N16" s="368"/>
      <c r="O16" s="368"/>
      <c r="P16" s="368"/>
      <c r="Q16" s="368">
        <v>1200</v>
      </c>
    </row>
    <row r="17" spans="1:17" ht="47.1" customHeight="1">
      <c r="A17" s="397">
        <v>7</v>
      </c>
      <c r="B17" s="396" t="s">
        <v>648</v>
      </c>
      <c r="C17" s="1340" t="s">
        <v>649</v>
      </c>
      <c r="D17" s="1340"/>
      <c r="E17" s="1340"/>
      <c r="F17" s="1340"/>
      <c r="G17" s="1340"/>
      <c r="H17" s="1340"/>
      <c r="I17" s="368"/>
      <c r="J17" s="368">
        <v>1</v>
      </c>
      <c r="K17" s="368"/>
      <c r="L17" s="368">
        <f>9*(6+12+38)</f>
        <v>504</v>
      </c>
      <c r="M17" s="368">
        <f>9*(6+12+38)</f>
        <v>504</v>
      </c>
      <c r="N17" s="368"/>
      <c r="O17" s="368"/>
      <c r="P17" s="368"/>
      <c r="Q17" s="368">
        <v>504</v>
      </c>
    </row>
    <row r="18" spans="1:17" ht="47.1" customHeight="1">
      <c r="A18" s="397">
        <v>8</v>
      </c>
      <c r="B18" s="396" t="s">
        <v>650</v>
      </c>
      <c r="C18" s="1340" t="s">
        <v>651</v>
      </c>
      <c r="D18" s="1340"/>
      <c r="E18" s="1340"/>
      <c r="F18" s="1340"/>
      <c r="G18" s="1340"/>
      <c r="H18" s="1340"/>
      <c r="I18" s="368"/>
      <c r="J18" s="368">
        <v>1</v>
      </c>
      <c r="K18" s="368"/>
      <c r="L18" s="368">
        <f>4*200</f>
        <v>800</v>
      </c>
      <c r="M18" s="368">
        <f>4*200</f>
        <v>800</v>
      </c>
      <c r="N18" s="368"/>
      <c r="O18" s="368"/>
      <c r="P18" s="368"/>
      <c r="Q18" s="368">
        <v>800</v>
      </c>
    </row>
    <row r="19" spans="1:17" ht="47.1" customHeight="1">
      <c r="A19" s="397">
        <v>9</v>
      </c>
      <c r="B19" s="396" t="s">
        <v>652</v>
      </c>
      <c r="C19" s="1340" t="s">
        <v>653</v>
      </c>
      <c r="D19" s="1340"/>
      <c r="E19" s="1340"/>
      <c r="F19" s="1340"/>
      <c r="G19" s="1340"/>
      <c r="H19" s="1340"/>
      <c r="I19" s="368"/>
      <c r="J19" s="368">
        <v>1</v>
      </c>
      <c r="K19" s="368"/>
      <c r="L19" s="368">
        <f>17*11</f>
        <v>187</v>
      </c>
      <c r="M19" s="368">
        <f>17*11</f>
        <v>187</v>
      </c>
      <c r="N19" s="368"/>
      <c r="O19" s="368"/>
      <c r="P19" s="368"/>
      <c r="Q19" s="368">
        <v>187</v>
      </c>
    </row>
    <row r="20" spans="1:17" ht="47.1" customHeight="1">
      <c r="A20" s="397">
        <v>10</v>
      </c>
      <c r="B20" s="396" t="s">
        <v>654</v>
      </c>
      <c r="C20" s="1340" t="s">
        <v>655</v>
      </c>
      <c r="D20" s="1340"/>
      <c r="E20" s="1340"/>
      <c r="F20" s="1340"/>
      <c r="G20" s="1340"/>
      <c r="H20" s="1340"/>
      <c r="I20" s="368"/>
      <c r="J20" s="368">
        <v>1</v>
      </c>
      <c r="K20" s="368"/>
      <c r="L20" s="368"/>
      <c r="M20" s="368"/>
      <c r="N20" s="368"/>
      <c r="O20" s="368"/>
      <c r="P20" s="368"/>
      <c r="Q20" s="368"/>
    </row>
    <row r="21" spans="1:17" ht="47.1" customHeight="1">
      <c r="A21" s="397">
        <v>11</v>
      </c>
      <c r="B21" s="396" t="s">
        <v>656</v>
      </c>
      <c r="C21" s="1340" t="s">
        <v>657</v>
      </c>
      <c r="D21" s="1340"/>
      <c r="E21" s="1340"/>
      <c r="F21" s="1340"/>
      <c r="G21" s="1340"/>
      <c r="H21" s="1340"/>
      <c r="I21" s="368"/>
      <c r="J21" s="368">
        <v>1</v>
      </c>
      <c r="K21" s="368"/>
      <c r="L21" s="368">
        <f>4*11</f>
        <v>44</v>
      </c>
      <c r="M21" s="368">
        <f>4*11</f>
        <v>44</v>
      </c>
      <c r="N21" s="368"/>
      <c r="O21" s="368"/>
      <c r="P21" s="368"/>
      <c r="Q21" s="368">
        <v>44</v>
      </c>
    </row>
    <row r="22" spans="1:17" ht="47.1" customHeight="1">
      <c r="A22" s="397">
        <v>12</v>
      </c>
      <c r="B22" s="396" t="s">
        <v>658</v>
      </c>
      <c r="C22" s="1340" t="s">
        <v>659</v>
      </c>
      <c r="D22" s="1340"/>
      <c r="E22" s="1340"/>
      <c r="F22" s="1340"/>
      <c r="G22" s="1340"/>
      <c r="H22" s="1340"/>
      <c r="I22" s="368"/>
      <c r="J22" s="368">
        <v>1</v>
      </c>
      <c r="K22" s="368"/>
      <c r="L22" s="368">
        <f>(6+12+38)*(6+12+38)</f>
        <v>3136</v>
      </c>
      <c r="M22" s="368">
        <f>(6+12+38)*(6+12+38)</f>
        <v>3136</v>
      </c>
      <c r="N22" s="368"/>
      <c r="O22" s="368"/>
      <c r="P22" s="368"/>
      <c r="Q22" s="368">
        <v>3136</v>
      </c>
    </row>
    <row r="23" spans="1:17" ht="47.1" customHeight="1">
      <c r="A23" s="397">
        <v>13</v>
      </c>
      <c r="B23" s="396" t="s">
        <v>660</v>
      </c>
      <c r="C23" s="1340" t="s">
        <v>661</v>
      </c>
      <c r="D23" s="1340"/>
      <c r="E23" s="1340"/>
      <c r="F23" s="1340"/>
      <c r="G23" s="1340"/>
      <c r="H23" s="1340"/>
      <c r="I23" s="368"/>
      <c r="J23" s="368">
        <v>1</v>
      </c>
      <c r="K23" s="368"/>
      <c r="L23" s="368"/>
      <c r="M23" s="368"/>
      <c r="N23" s="368"/>
      <c r="O23" s="368"/>
      <c r="P23" s="368"/>
      <c r="Q23" s="368"/>
    </row>
    <row r="24" spans="1:17" ht="47.1" customHeight="1">
      <c r="A24" s="397">
        <v>14</v>
      </c>
      <c r="B24" s="396" t="s">
        <v>662</v>
      </c>
      <c r="C24" s="1340" t="s">
        <v>663</v>
      </c>
      <c r="D24" s="1340"/>
      <c r="E24" s="1340"/>
      <c r="F24" s="1340"/>
      <c r="G24" s="1340"/>
      <c r="H24" s="1340"/>
      <c r="I24" s="368"/>
      <c r="J24" s="368">
        <v>1</v>
      </c>
      <c r="K24" s="368"/>
      <c r="L24" s="368">
        <f>6+12+38</f>
        <v>56</v>
      </c>
      <c r="M24" s="368">
        <f>6+12+38</f>
        <v>56</v>
      </c>
      <c r="N24" s="368"/>
      <c r="O24" s="368"/>
      <c r="P24" s="368"/>
      <c r="Q24" s="368">
        <v>56</v>
      </c>
    </row>
    <row r="25" spans="1:17" ht="47.1" customHeight="1">
      <c r="A25" s="397">
        <v>15</v>
      </c>
      <c r="B25" s="396" t="s">
        <v>664</v>
      </c>
      <c r="C25" s="1340" t="s">
        <v>665</v>
      </c>
      <c r="D25" s="1340"/>
      <c r="E25" s="1340"/>
      <c r="F25" s="1340"/>
      <c r="G25" s="1340"/>
      <c r="H25" s="1340"/>
      <c r="I25" s="368"/>
      <c r="J25" s="368">
        <v>1</v>
      </c>
      <c r="K25" s="368"/>
      <c r="L25" s="368">
        <f>(6+12+38)*3</f>
        <v>168</v>
      </c>
      <c r="M25" s="368">
        <f>(6+12+38)*3</f>
        <v>168</v>
      </c>
      <c r="N25" s="368"/>
      <c r="O25" s="368"/>
      <c r="P25" s="368"/>
      <c r="Q25" s="368">
        <v>168</v>
      </c>
    </row>
    <row r="26" spans="1:17" ht="47.1" customHeight="1" thickBot="1">
      <c r="A26" s="398">
        <v>16</v>
      </c>
      <c r="B26" s="396" t="s">
        <v>666</v>
      </c>
      <c r="C26" s="1340" t="s">
        <v>667</v>
      </c>
      <c r="D26" s="1340"/>
      <c r="E26" s="1340"/>
      <c r="F26" s="1340"/>
      <c r="G26" s="1340"/>
      <c r="H26" s="1340"/>
      <c r="I26" s="368"/>
      <c r="J26" s="368">
        <v>1</v>
      </c>
      <c r="K26" s="368"/>
      <c r="L26" s="368">
        <f>8*100</f>
        <v>800</v>
      </c>
      <c r="M26" s="368">
        <f>8*100</f>
        <v>800</v>
      </c>
      <c r="N26" s="368"/>
      <c r="O26" s="368"/>
      <c r="P26" s="368"/>
      <c r="Q26" s="368">
        <v>800</v>
      </c>
    </row>
    <row r="27" spans="1:17">
      <c r="B27" s="368"/>
      <c r="C27" s="368"/>
      <c r="D27" s="368"/>
      <c r="E27" s="368"/>
      <c r="F27" s="368"/>
      <c r="G27" s="368"/>
      <c r="H27" s="368"/>
      <c r="I27" s="368">
        <f>SUM(I4:I26)</f>
        <v>1</v>
      </c>
      <c r="J27" s="368">
        <f t="shared" ref="J27:P27" si="0">SUM(J4:J26)</f>
        <v>16</v>
      </c>
      <c r="K27" s="368">
        <f t="shared" si="0"/>
        <v>33</v>
      </c>
      <c r="L27" s="368">
        <f t="shared" si="0"/>
        <v>8139</v>
      </c>
      <c r="M27" s="368">
        <f t="shared" si="0"/>
        <v>8139</v>
      </c>
      <c r="N27" s="368">
        <f t="shared" si="0"/>
        <v>6</v>
      </c>
      <c r="O27" s="368">
        <f t="shared" si="0"/>
        <v>84</v>
      </c>
      <c r="P27" s="368">
        <f t="shared" si="0"/>
        <v>138</v>
      </c>
      <c r="Q27" s="368">
        <f>SUM(Q4:Q26)*6</f>
        <v>48834</v>
      </c>
    </row>
    <row r="29" spans="1:17">
      <c r="B29" s="2" t="s">
        <v>37</v>
      </c>
    </row>
    <row r="30" spans="1:17">
      <c r="B30" s="2" t="s">
        <v>681</v>
      </c>
      <c r="C30" s="2">
        <f>I27+N27</f>
        <v>7</v>
      </c>
    </row>
    <row r="31" spans="1:17">
      <c r="B31" s="2" t="s">
        <v>682</v>
      </c>
      <c r="C31" s="2">
        <f>J27+O27</f>
        <v>100</v>
      </c>
    </row>
    <row r="32" spans="1:17">
      <c r="B32" s="2" t="s">
        <v>683</v>
      </c>
      <c r="C32" s="2">
        <f>K27+P27</f>
        <v>171</v>
      </c>
    </row>
    <row r="33" spans="2:3" ht="31.5">
      <c r="B33" s="403" t="s">
        <v>684</v>
      </c>
      <c r="C33" s="2">
        <f>ROUND(30%*Q27,0)</f>
        <v>14650</v>
      </c>
    </row>
    <row r="34" spans="2:3" ht="31.5">
      <c r="B34" s="403" t="s">
        <v>685</v>
      </c>
      <c r="C34" s="2">
        <f>L27+M27</f>
        <v>16278</v>
      </c>
    </row>
  </sheetData>
  <mergeCells count="34">
    <mergeCell ref="C21:H21"/>
    <mergeCell ref="C11:H11"/>
    <mergeCell ref="C12:H12"/>
    <mergeCell ref="C13:H13"/>
    <mergeCell ref="C14:H14"/>
    <mergeCell ref="C15:H15"/>
    <mergeCell ref="C16:H16"/>
    <mergeCell ref="C17:H17"/>
    <mergeCell ref="C18:H18"/>
    <mergeCell ref="C19:H19"/>
    <mergeCell ref="C20:H20"/>
    <mergeCell ref="C22:H22"/>
    <mergeCell ref="C23:H23"/>
    <mergeCell ref="C24:H24"/>
    <mergeCell ref="C25:H25"/>
    <mergeCell ref="C26:H26"/>
    <mergeCell ref="A2:A3"/>
    <mergeCell ref="O2:O3"/>
    <mergeCell ref="N2:N3"/>
    <mergeCell ref="C1:H3"/>
    <mergeCell ref="B1:B3"/>
    <mergeCell ref="P2:P3"/>
    <mergeCell ref="Q2:Q3"/>
    <mergeCell ref="C10:H10"/>
    <mergeCell ref="I1:M1"/>
    <mergeCell ref="N1:Q1"/>
    <mergeCell ref="I2:K2"/>
    <mergeCell ref="L2:M2"/>
    <mergeCell ref="C4:H4"/>
    <mergeCell ref="C7:H7"/>
    <mergeCell ref="C5:H5"/>
    <mergeCell ref="C6:H6"/>
    <mergeCell ref="C8:H8"/>
    <mergeCell ref="C9:H9"/>
  </mergeCells>
  <pageMargins left="0.7" right="0.7" top="0.75" bottom="0.75" header="0.3" footer="0.3"/>
  <pageSetup orientation="portrait" verticalDpi="0"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topLeftCell="A22" zoomScale="85" zoomScaleNormal="85" workbookViewId="0">
      <selection activeCell="K31" sqref="K31"/>
    </sheetView>
  </sheetViews>
  <sheetFormatPr defaultRowHeight="12.75"/>
  <cols>
    <col min="1" max="1" width="5" style="422" bestFit="1" customWidth="1"/>
    <col min="2" max="2" width="42.625" style="422" customWidth="1"/>
    <col min="3" max="3" width="7.625" style="422" bestFit="1" customWidth="1"/>
    <col min="4" max="4" width="6" style="422" bestFit="1" customWidth="1"/>
    <col min="5" max="5" width="15.375" style="422" customWidth="1"/>
    <col min="6" max="6" width="12.625" style="449" customWidth="1"/>
    <col min="7" max="7" width="12.125" style="449" customWidth="1"/>
    <col min="8" max="8" width="16.125" style="449" customWidth="1"/>
    <col min="9" max="9" width="13.375" style="449" customWidth="1"/>
    <col min="10" max="10" width="12.125" style="449" customWidth="1"/>
    <col min="11" max="11" width="13.375" style="449" bestFit="1" customWidth="1"/>
    <col min="12" max="12" width="15" style="421" customWidth="1"/>
    <col min="13" max="13" width="15.375" style="422" customWidth="1"/>
    <col min="14" max="253" width="8.625" style="422"/>
    <col min="254" max="254" width="5" style="422" bestFit="1" customWidth="1"/>
    <col min="255" max="255" width="3" style="422" bestFit="1" customWidth="1"/>
    <col min="256" max="256" width="42.375" style="422" customWidth="1"/>
    <col min="257" max="257" width="7.625" style="422" bestFit="1" customWidth="1"/>
    <col min="258" max="259" width="0" style="422" hidden="1" customWidth="1"/>
    <col min="260" max="260" width="6" style="422" bestFit="1" customWidth="1"/>
    <col min="261" max="261" width="11.375" style="422" customWidth="1"/>
    <col min="262" max="262" width="12.625" style="422" bestFit="1" customWidth="1"/>
    <col min="263" max="263" width="12.125" style="422" bestFit="1" customWidth="1"/>
    <col min="264" max="264" width="16.125" style="422" customWidth="1"/>
    <col min="265" max="265" width="13.375" style="422" bestFit="1" customWidth="1"/>
    <col min="266" max="266" width="12.125" style="422" customWidth="1"/>
    <col min="267" max="267" width="13.375" style="422" bestFit="1" customWidth="1"/>
    <col min="268" max="509" width="8.625" style="422"/>
    <col min="510" max="510" width="5" style="422" bestFit="1" customWidth="1"/>
    <col min="511" max="511" width="3" style="422" bestFit="1" customWidth="1"/>
    <col min="512" max="512" width="42.375" style="422" customWidth="1"/>
    <col min="513" max="513" width="7.625" style="422" bestFit="1" customWidth="1"/>
    <col min="514" max="515" width="0" style="422" hidden="1" customWidth="1"/>
    <col min="516" max="516" width="6" style="422" bestFit="1" customWidth="1"/>
    <col min="517" max="517" width="11.375" style="422" customWidth="1"/>
    <col min="518" max="518" width="12.625" style="422" bestFit="1" customWidth="1"/>
    <col min="519" max="519" width="12.125" style="422" bestFit="1" customWidth="1"/>
    <col min="520" max="520" width="16.125" style="422" customWidth="1"/>
    <col min="521" max="521" width="13.375" style="422" bestFit="1" customWidth="1"/>
    <col min="522" max="522" width="12.125" style="422" customWidth="1"/>
    <col min="523" max="523" width="13.375" style="422" bestFit="1" customWidth="1"/>
    <col min="524" max="765" width="8.625" style="422"/>
    <col min="766" max="766" width="5" style="422" bestFit="1" customWidth="1"/>
    <col min="767" max="767" width="3" style="422" bestFit="1" customWidth="1"/>
    <col min="768" max="768" width="42.375" style="422" customWidth="1"/>
    <col min="769" max="769" width="7.625" style="422" bestFit="1" customWidth="1"/>
    <col min="770" max="771" width="0" style="422" hidden="1" customWidth="1"/>
    <col min="772" max="772" width="6" style="422" bestFit="1" customWidth="1"/>
    <col min="773" max="773" width="11.375" style="422" customWidth="1"/>
    <col min="774" max="774" width="12.625" style="422" bestFit="1" customWidth="1"/>
    <col min="775" max="775" width="12.125" style="422" bestFit="1" customWidth="1"/>
    <col min="776" max="776" width="16.125" style="422" customWidth="1"/>
    <col min="777" max="777" width="13.375" style="422" bestFit="1" customWidth="1"/>
    <col min="778" max="778" width="12.125" style="422" customWidth="1"/>
    <col min="779" max="779" width="13.375" style="422" bestFit="1" customWidth="1"/>
    <col min="780" max="1021" width="8.625" style="422"/>
    <col min="1022" max="1022" width="5" style="422" bestFit="1" customWidth="1"/>
    <col min="1023" max="1023" width="3" style="422" bestFit="1" customWidth="1"/>
    <col min="1024" max="1024" width="42.375" style="422" customWidth="1"/>
    <col min="1025" max="1025" width="7.625" style="422" bestFit="1" customWidth="1"/>
    <col min="1026" max="1027" width="0" style="422" hidden="1" customWidth="1"/>
    <col min="1028" max="1028" width="6" style="422" bestFit="1" customWidth="1"/>
    <col min="1029" max="1029" width="11.375" style="422" customWidth="1"/>
    <col min="1030" max="1030" width="12.625" style="422" bestFit="1" customWidth="1"/>
    <col min="1031" max="1031" width="12.125" style="422" bestFit="1" customWidth="1"/>
    <col min="1032" max="1032" width="16.125" style="422" customWidth="1"/>
    <col min="1033" max="1033" width="13.375" style="422" bestFit="1" customWidth="1"/>
    <col min="1034" max="1034" width="12.125" style="422" customWidth="1"/>
    <col min="1035" max="1035" width="13.375" style="422" bestFit="1" customWidth="1"/>
    <col min="1036" max="1277" width="8.625" style="422"/>
    <col min="1278" max="1278" width="5" style="422" bestFit="1" customWidth="1"/>
    <col min="1279" max="1279" width="3" style="422" bestFit="1" customWidth="1"/>
    <col min="1280" max="1280" width="42.375" style="422" customWidth="1"/>
    <col min="1281" max="1281" width="7.625" style="422" bestFit="1" customWidth="1"/>
    <col min="1282" max="1283" width="0" style="422" hidden="1" customWidth="1"/>
    <col min="1284" max="1284" width="6" style="422" bestFit="1" customWidth="1"/>
    <col min="1285" max="1285" width="11.375" style="422" customWidth="1"/>
    <col min="1286" max="1286" width="12.625" style="422" bestFit="1" customWidth="1"/>
    <col min="1287" max="1287" width="12.125" style="422" bestFit="1" customWidth="1"/>
    <col min="1288" max="1288" width="16.125" style="422" customWidth="1"/>
    <col min="1289" max="1289" width="13.375" style="422" bestFit="1" customWidth="1"/>
    <col min="1290" max="1290" width="12.125" style="422" customWidth="1"/>
    <col min="1291" max="1291" width="13.375" style="422" bestFit="1" customWidth="1"/>
    <col min="1292" max="1533" width="8.625" style="422"/>
    <col min="1534" max="1534" width="5" style="422" bestFit="1" customWidth="1"/>
    <col min="1535" max="1535" width="3" style="422" bestFit="1" customWidth="1"/>
    <col min="1536" max="1536" width="42.375" style="422" customWidth="1"/>
    <col min="1537" max="1537" width="7.625" style="422" bestFit="1" customWidth="1"/>
    <col min="1538" max="1539" width="0" style="422" hidden="1" customWidth="1"/>
    <col min="1540" max="1540" width="6" style="422" bestFit="1" customWidth="1"/>
    <col min="1541" max="1541" width="11.375" style="422" customWidth="1"/>
    <col min="1542" max="1542" width="12.625" style="422" bestFit="1" customWidth="1"/>
    <col min="1543" max="1543" width="12.125" style="422" bestFit="1" customWidth="1"/>
    <col min="1544" max="1544" width="16.125" style="422" customWidth="1"/>
    <col min="1545" max="1545" width="13.375" style="422" bestFit="1" customWidth="1"/>
    <col min="1546" max="1546" width="12.125" style="422" customWidth="1"/>
    <col min="1547" max="1547" width="13.375" style="422" bestFit="1" customWidth="1"/>
    <col min="1548" max="1789" width="8.625" style="422"/>
    <col min="1790" max="1790" width="5" style="422" bestFit="1" customWidth="1"/>
    <col min="1791" max="1791" width="3" style="422" bestFit="1" customWidth="1"/>
    <col min="1792" max="1792" width="42.375" style="422" customWidth="1"/>
    <col min="1793" max="1793" width="7.625" style="422" bestFit="1" customWidth="1"/>
    <col min="1794" max="1795" width="0" style="422" hidden="1" customWidth="1"/>
    <col min="1796" max="1796" width="6" style="422" bestFit="1" customWidth="1"/>
    <col min="1797" max="1797" width="11.375" style="422" customWidth="1"/>
    <col min="1798" max="1798" width="12.625" style="422" bestFit="1" customWidth="1"/>
    <col min="1799" max="1799" width="12.125" style="422" bestFit="1" customWidth="1"/>
    <col min="1800" max="1800" width="16.125" style="422" customWidth="1"/>
    <col min="1801" max="1801" width="13.375" style="422" bestFit="1" customWidth="1"/>
    <col min="1802" max="1802" width="12.125" style="422" customWidth="1"/>
    <col min="1803" max="1803" width="13.375" style="422" bestFit="1" customWidth="1"/>
    <col min="1804" max="2045" width="8.625" style="422"/>
    <col min="2046" max="2046" width="5" style="422" bestFit="1" customWidth="1"/>
    <col min="2047" max="2047" width="3" style="422" bestFit="1" customWidth="1"/>
    <col min="2048" max="2048" width="42.375" style="422" customWidth="1"/>
    <col min="2049" max="2049" width="7.625" style="422" bestFit="1" customWidth="1"/>
    <col min="2050" max="2051" width="0" style="422" hidden="1" customWidth="1"/>
    <col min="2052" max="2052" width="6" style="422" bestFit="1" customWidth="1"/>
    <col min="2053" max="2053" width="11.375" style="422" customWidth="1"/>
    <col min="2054" max="2054" width="12.625" style="422" bestFit="1" customWidth="1"/>
    <col min="2055" max="2055" width="12.125" style="422" bestFit="1" customWidth="1"/>
    <col min="2056" max="2056" width="16.125" style="422" customWidth="1"/>
    <col min="2057" max="2057" width="13.375" style="422" bestFit="1" customWidth="1"/>
    <col min="2058" max="2058" width="12.125" style="422" customWidth="1"/>
    <col min="2059" max="2059" width="13.375" style="422" bestFit="1" customWidth="1"/>
    <col min="2060" max="2301" width="8.625" style="422"/>
    <col min="2302" max="2302" width="5" style="422" bestFit="1" customWidth="1"/>
    <col min="2303" max="2303" width="3" style="422" bestFit="1" customWidth="1"/>
    <col min="2304" max="2304" width="42.375" style="422" customWidth="1"/>
    <col min="2305" max="2305" width="7.625" style="422" bestFit="1" customWidth="1"/>
    <col min="2306" max="2307" width="0" style="422" hidden="1" customWidth="1"/>
    <col min="2308" max="2308" width="6" style="422" bestFit="1" customWidth="1"/>
    <col min="2309" max="2309" width="11.375" style="422" customWidth="1"/>
    <col min="2310" max="2310" width="12.625" style="422" bestFit="1" customWidth="1"/>
    <col min="2311" max="2311" width="12.125" style="422" bestFit="1" customWidth="1"/>
    <col min="2312" max="2312" width="16.125" style="422" customWidth="1"/>
    <col min="2313" max="2313" width="13.375" style="422" bestFit="1" customWidth="1"/>
    <col min="2314" max="2314" width="12.125" style="422" customWidth="1"/>
    <col min="2315" max="2315" width="13.375" style="422" bestFit="1" customWidth="1"/>
    <col min="2316" max="2557" width="8.625" style="422"/>
    <col min="2558" max="2558" width="5" style="422" bestFit="1" customWidth="1"/>
    <col min="2559" max="2559" width="3" style="422" bestFit="1" customWidth="1"/>
    <col min="2560" max="2560" width="42.375" style="422" customWidth="1"/>
    <col min="2561" max="2561" width="7.625" style="422" bestFit="1" customWidth="1"/>
    <col min="2562" max="2563" width="0" style="422" hidden="1" customWidth="1"/>
    <col min="2564" max="2564" width="6" style="422" bestFit="1" customWidth="1"/>
    <col min="2565" max="2565" width="11.375" style="422" customWidth="1"/>
    <col min="2566" max="2566" width="12.625" style="422" bestFit="1" customWidth="1"/>
    <col min="2567" max="2567" width="12.125" style="422" bestFit="1" customWidth="1"/>
    <col min="2568" max="2568" width="16.125" style="422" customWidth="1"/>
    <col min="2569" max="2569" width="13.375" style="422" bestFit="1" customWidth="1"/>
    <col min="2570" max="2570" width="12.125" style="422" customWidth="1"/>
    <col min="2571" max="2571" width="13.375" style="422" bestFit="1" customWidth="1"/>
    <col min="2572" max="2813" width="8.625" style="422"/>
    <col min="2814" max="2814" width="5" style="422" bestFit="1" customWidth="1"/>
    <col min="2815" max="2815" width="3" style="422" bestFit="1" customWidth="1"/>
    <col min="2816" max="2816" width="42.375" style="422" customWidth="1"/>
    <col min="2817" max="2817" width="7.625" style="422" bestFit="1" customWidth="1"/>
    <col min="2818" max="2819" width="0" style="422" hidden="1" customWidth="1"/>
    <col min="2820" max="2820" width="6" style="422" bestFit="1" customWidth="1"/>
    <col min="2821" max="2821" width="11.375" style="422" customWidth="1"/>
    <col min="2822" max="2822" width="12.625" style="422" bestFit="1" customWidth="1"/>
    <col min="2823" max="2823" width="12.125" style="422" bestFit="1" customWidth="1"/>
    <col min="2824" max="2824" width="16.125" style="422" customWidth="1"/>
    <col min="2825" max="2825" width="13.375" style="422" bestFit="1" customWidth="1"/>
    <col min="2826" max="2826" width="12.125" style="422" customWidth="1"/>
    <col min="2827" max="2827" width="13.375" style="422" bestFit="1" customWidth="1"/>
    <col min="2828" max="3069" width="8.625" style="422"/>
    <col min="3070" max="3070" width="5" style="422" bestFit="1" customWidth="1"/>
    <col min="3071" max="3071" width="3" style="422" bestFit="1" customWidth="1"/>
    <col min="3072" max="3072" width="42.375" style="422" customWidth="1"/>
    <col min="3073" max="3073" width="7.625" style="422" bestFit="1" customWidth="1"/>
    <col min="3074" max="3075" width="0" style="422" hidden="1" customWidth="1"/>
    <col min="3076" max="3076" width="6" style="422" bestFit="1" customWidth="1"/>
    <col min="3077" max="3077" width="11.375" style="422" customWidth="1"/>
    <col min="3078" max="3078" width="12.625" style="422" bestFit="1" customWidth="1"/>
    <col min="3079" max="3079" width="12.125" style="422" bestFit="1" customWidth="1"/>
    <col min="3080" max="3080" width="16.125" style="422" customWidth="1"/>
    <col min="3081" max="3081" width="13.375" style="422" bestFit="1" customWidth="1"/>
    <col min="3082" max="3082" width="12.125" style="422" customWidth="1"/>
    <col min="3083" max="3083" width="13.375" style="422" bestFit="1" customWidth="1"/>
    <col min="3084" max="3325" width="8.625" style="422"/>
    <col min="3326" max="3326" width="5" style="422" bestFit="1" customWidth="1"/>
    <col min="3327" max="3327" width="3" style="422" bestFit="1" customWidth="1"/>
    <col min="3328" max="3328" width="42.375" style="422" customWidth="1"/>
    <col min="3329" max="3329" width="7.625" style="422" bestFit="1" customWidth="1"/>
    <col min="3330" max="3331" width="0" style="422" hidden="1" customWidth="1"/>
    <col min="3332" max="3332" width="6" style="422" bestFit="1" customWidth="1"/>
    <col min="3333" max="3333" width="11.375" style="422" customWidth="1"/>
    <col min="3334" max="3334" width="12.625" style="422" bestFit="1" customWidth="1"/>
    <col min="3335" max="3335" width="12.125" style="422" bestFit="1" customWidth="1"/>
    <col min="3336" max="3336" width="16.125" style="422" customWidth="1"/>
    <col min="3337" max="3337" width="13.375" style="422" bestFit="1" customWidth="1"/>
    <col min="3338" max="3338" width="12.125" style="422" customWidth="1"/>
    <col min="3339" max="3339" width="13.375" style="422" bestFit="1" customWidth="1"/>
    <col min="3340" max="3581" width="8.625" style="422"/>
    <col min="3582" max="3582" width="5" style="422" bestFit="1" customWidth="1"/>
    <col min="3583" max="3583" width="3" style="422" bestFit="1" customWidth="1"/>
    <col min="3584" max="3584" width="42.375" style="422" customWidth="1"/>
    <col min="3585" max="3585" width="7.625" style="422" bestFit="1" customWidth="1"/>
    <col min="3586" max="3587" width="0" style="422" hidden="1" customWidth="1"/>
    <col min="3588" max="3588" width="6" style="422" bestFit="1" customWidth="1"/>
    <col min="3589" max="3589" width="11.375" style="422" customWidth="1"/>
    <col min="3590" max="3590" width="12.625" style="422" bestFit="1" customWidth="1"/>
    <col min="3591" max="3591" width="12.125" style="422" bestFit="1" customWidth="1"/>
    <col min="3592" max="3592" width="16.125" style="422" customWidth="1"/>
    <col min="3593" max="3593" width="13.375" style="422" bestFit="1" customWidth="1"/>
    <col min="3594" max="3594" width="12.125" style="422" customWidth="1"/>
    <col min="3595" max="3595" width="13.375" style="422" bestFit="1" customWidth="1"/>
    <col min="3596" max="3837" width="8.625" style="422"/>
    <col min="3838" max="3838" width="5" style="422" bestFit="1" customWidth="1"/>
    <col min="3839" max="3839" width="3" style="422" bestFit="1" customWidth="1"/>
    <col min="3840" max="3840" width="42.375" style="422" customWidth="1"/>
    <col min="3841" max="3841" width="7.625" style="422" bestFit="1" customWidth="1"/>
    <col min="3842" max="3843" width="0" style="422" hidden="1" customWidth="1"/>
    <col min="3844" max="3844" width="6" style="422" bestFit="1" customWidth="1"/>
    <col min="3845" max="3845" width="11.375" style="422" customWidth="1"/>
    <col min="3846" max="3846" width="12.625" style="422" bestFit="1" customWidth="1"/>
    <col min="3847" max="3847" width="12.125" style="422" bestFit="1" customWidth="1"/>
    <col min="3848" max="3848" width="16.125" style="422" customWidth="1"/>
    <col min="3849" max="3849" width="13.375" style="422" bestFit="1" customWidth="1"/>
    <col min="3850" max="3850" width="12.125" style="422" customWidth="1"/>
    <col min="3851" max="3851" width="13.375" style="422" bestFit="1" customWidth="1"/>
    <col min="3852" max="4093" width="8.625" style="422"/>
    <col min="4094" max="4094" width="5" style="422" bestFit="1" customWidth="1"/>
    <col min="4095" max="4095" width="3" style="422" bestFit="1" customWidth="1"/>
    <col min="4096" max="4096" width="42.375" style="422" customWidth="1"/>
    <col min="4097" max="4097" width="7.625" style="422" bestFit="1" customWidth="1"/>
    <col min="4098" max="4099" width="0" style="422" hidden="1" customWidth="1"/>
    <col min="4100" max="4100" width="6" style="422" bestFit="1" customWidth="1"/>
    <col min="4101" max="4101" width="11.375" style="422" customWidth="1"/>
    <col min="4102" max="4102" width="12.625" style="422" bestFit="1" customWidth="1"/>
    <col min="4103" max="4103" width="12.125" style="422" bestFit="1" customWidth="1"/>
    <col min="4104" max="4104" width="16.125" style="422" customWidth="1"/>
    <col min="4105" max="4105" width="13.375" style="422" bestFit="1" customWidth="1"/>
    <col min="4106" max="4106" width="12.125" style="422" customWidth="1"/>
    <col min="4107" max="4107" width="13.375" style="422" bestFit="1" customWidth="1"/>
    <col min="4108" max="4349" width="8.625" style="422"/>
    <col min="4350" max="4350" width="5" style="422" bestFit="1" customWidth="1"/>
    <col min="4351" max="4351" width="3" style="422" bestFit="1" customWidth="1"/>
    <col min="4352" max="4352" width="42.375" style="422" customWidth="1"/>
    <col min="4353" max="4353" width="7.625" style="422" bestFit="1" customWidth="1"/>
    <col min="4354" max="4355" width="0" style="422" hidden="1" customWidth="1"/>
    <col min="4356" max="4356" width="6" style="422" bestFit="1" customWidth="1"/>
    <col min="4357" max="4357" width="11.375" style="422" customWidth="1"/>
    <col min="4358" max="4358" width="12.625" style="422" bestFit="1" customWidth="1"/>
    <col min="4359" max="4359" width="12.125" style="422" bestFit="1" customWidth="1"/>
    <col min="4360" max="4360" width="16.125" style="422" customWidth="1"/>
    <col min="4361" max="4361" width="13.375" style="422" bestFit="1" customWidth="1"/>
    <col min="4362" max="4362" width="12.125" style="422" customWidth="1"/>
    <col min="4363" max="4363" width="13.375" style="422" bestFit="1" customWidth="1"/>
    <col min="4364" max="4605" width="8.625" style="422"/>
    <col min="4606" max="4606" width="5" style="422" bestFit="1" customWidth="1"/>
    <col min="4607" max="4607" width="3" style="422" bestFit="1" customWidth="1"/>
    <col min="4608" max="4608" width="42.375" style="422" customWidth="1"/>
    <col min="4609" max="4609" width="7.625" style="422" bestFit="1" customWidth="1"/>
    <col min="4610" max="4611" width="0" style="422" hidden="1" customWidth="1"/>
    <col min="4612" max="4612" width="6" style="422" bestFit="1" customWidth="1"/>
    <col min="4613" max="4613" width="11.375" style="422" customWidth="1"/>
    <col min="4614" max="4614" width="12.625" style="422" bestFit="1" customWidth="1"/>
    <col min="4615" max="4615" width="12.125" style="422" bestFit="1" customWidth="1"/>
    <col min="4616" max="4616" width="16.125" style="422" customWidth="1"/>
    <col min="4617" max="4617" width="13.375" style="422" bestFit="1" customWidth="1"/>
    <col min="4618" max="4618" width="12.125" style="422" customWidth="1"/>
    <col min="4619" max="4619" width="13.375" style="422" bestFit="1" customWidth="1"/>
    <col min="4620" max="4861" width="8.625" style="422"/>
    <col min="4862" max="4862" width="5" style="422" bestFit="1" customWidth="1"/>
    <col min="4863" max="4863" width="3" style="422" bestFit="1" customWidth="1"/>
    <col min="4864" max="4864" width="42.375" style="422" customWidth="1"/>
    <col min="4865" max="4865" width="7.625" style="422" bestFit="1" customWidth="1"/>
    <col min="4866" max="4867" width="0" style="422" hidden="1" customWidth="1"/>
    <col min="4868" max="4868" width="6" style="422" bestFit="1" customWidth="1"/>
    <col min="4869" max="4869" width="11.375" style="422" customWidth="1"/>
    <col min="4870" max="4870" width="12.625" style="422" bestFit="1" customWidth="1"/>
    <col min="4871" max="4871" width="12.125" style="422" bestFit="1" customWidth="1"/>
    <col min="4872" max="4872" width="16.125" style="422" customWidth="1"/>
    <col min="4873" max="4873" width="13.375" style="422" bestFit="1" customWidth="1"/>
    <col min="4874" max="4874" width="12.125" style="422" customWidth="1"/>
    <col min="4875" max="4875" width="13.375" style="422" bestFit="1" customWidth="1"/>
    <col min="4876" max="5117" width="8.625" style="422"/>
    <col min="5118" max="5118" width="5" style="422" bestFit="1" customWidth="1"/>
    <col min="5119" max="5119" width="3" style="422" bestFit="1" customWidth="1"/>
    <col min="5120" max="5120" width="42.375" style="422" customWidth="1"/>
    <col min="5121" max="5121" width="7.625" style="422" bestFit="1" customWidth="1"/>
    <col min="5122" max="5123" width="0" style="422" hidden="1" customWidth="1"/>
    <col min="5124" max="5124" width="6" style="422" bestFit="1" customWidth="1"/>
    <col min="5125" max="5125" width="11.375" style="422" customWidth="1"/>
    <col min="5126" max="5126" width="12.625" style="422" bestFit="1" customWidth="1"/>
    <col min="5127" max="5127" width="12.125" style="422" bestFit="1" customWidth="1"/>
    <col min="5128" max="5128" width="16.125" style="422" customWidth="1"/>
    <col min="5129" max="5129" width="13.375" style="422" bestFit="1" customWidth="1"/>
    <col min="5130" max="5130" width="12.125" style="422" customWidth="1"/>
    <col min="5131" max="5131" width="13.375" style="422" bestFit="1" customWidth="1"/>
    <col min="5132" max="5373" width="8.625" style="422"/>
    <col min="5374" max="5374" width="5" style="422" bestFit="1" customWidth="1"/>
    <col min="5375" max="5375" width="3" style="422" bestFit="1" customWidth="1"/>
    <col min="5376" max="5376" width="42.375" style="422" customWidth="1"/>
    <col min="5377" max="5377" width="7.625" style="422" bestFit="1" customWidth="1"/>
    <col min="5378" max="5379" width="0" style="422" hidden="1" customWidth="1"/>
    <col min="5380" max="5380" width="6" style="422" bestFit="1" customWidth="1"/>
    <col min="5381" max="5381" width="11.375" style="422" customWidth="1"/>
    <col min="5382" max="5382" width="12.625" style="422" bestFit="1" customWidth="1"/>
    <col min="5383" max="5383" width="12.125" style="422" bestFit="1" customWidth="1"/>
    <col min="5384" max="5384" width="16.125" style="422" customWidth="1"/>
    <col min="5385" max="5385" width="13.375" style="422" bestFit="1" customWidth="1"/>
    <col min="5386" max="5386" width="12.125" style="422" customWidth="1"/>
    <col min="5387" max="5387" width="13.375" style="422" bestFit="1" customWidth="1"/>
    <col min="5388" max="5629" width="8.625" style="422"/>
    <col min="5630" max="5630" width="5" style="422" bestFit="1" customWidth="1"/>
    <col min="5631" max="5631" width="3" style="422" bestFit="1" customWidth="1"/>
    <col min="5632" max="5632" width="42.375" style="422" customWidth="1"/>
    <col min="5633" max="5633" width="7.625" style="422" bestFit="1" customWidth="1"/>
    <col min="5634" max="5635" width="0" style="422" hidden="1" customWidth="1"/>
    <col min="5636" max="5636" width="6" style="422" bestFit="1" customWidth="1"/>
    <col min="5637" max="5637" width="11.375" style="422" customWidth="1"/>
    <col min="5638" max="5638" width="12.625" style="422" bestFit="1" customWidth="1"/>
    <col min="5639" max="5639" width="12.125" style="422" bestFit="1" customWidth="1"/>
    <col min="5640" max="5640" width="16.125" style="422" customWidth="1"/>
    <col min="5641" max="5641" width="13.375" style="422" bestFit="1" customWidth="1"/>
    <col min="5642" max="5642" width="12.125" style="422" customWidth="1"/>
    <col min="5643" max="5643" width="13.375" style="422" bestFit="1" customWidth="1"/>
    <col min="5644" max="5885" width="8.625" style="422"/>
    <col min="5886" max="5886" width="5" style="422" bestFit="1" customWidth="1"/>
    <col min="5887" max="5887" width="3" style="422" bestFit="1" customWidth="1"/>
    <col min="5888" max="5888" width="42.375" style="422" customWidth="1"/>
    <col min="5889" max="5889" width="7.625" style="422" bestFit="1" customWidth="1"/>
    <col min="5890" max="5891" width="0" style="422" hidden="1" customWidth="1"/>
    <col min="5892" max="5892" width="6" style="422" bestFit="1" customWidth="1"/>
    <col min="5893" max="5893" width="11.375" style="422" customWidth="1"/>
    <col min="5894" max="5894" width="12.625" style="422" bestFit="1" customWidth="1"/>
    <col min="5895" max="5895" width="12.125" style="422" bestFit="1" customWidth="1"/>
    <col min="5896" max="5896" width="16.125" style="422" customWidth="1"/>
    <col min="5897" max="5897" width="13.375" style="422" bestFit="1" customWidth="1"/>
    <col min="5898" max="5898" width="12.125" style="422" customWidth="1"/>
    <col min="5899" max="5899" width="13.375" style="422" bestFit="1" customWidth="1"/>
    <col min="5900" max="6141" width="8.625" style="422"/>
    <col min="6142" max="6142" width="5" style="422" bestFit="1" customWidth="1"/>
    <col min="6143" max="6143" width="3" style="422" bestFit="1" customWidth="1"/>
    <col min="6144" max="6144" width="42.375" style="422" customWidth="1"/>
    <col min="6145" max="6145" width="7.625" style="422" bestFit="1" customWidth="1"/>
    <col min="6146" max="6147" width="0" style="422" hidden="1" customWidth="1"/>
    <col min="6148" max="6148" width="6" style="422" bestFit="1" customWidth="1"/>
    <col min="6149" max="6149" width="11.375" style="422" customWidth="1"/>
    <col min="6150" max="6150" width="12.625" style="422" bestFit="1" customWidth="1"/>
    <col min="6151" max="6151" width="12.125" style="422" bestFit="1" customWidth="1"/>
    <col min="6152" max="6152" width="16.125" style="422" customWidth="1"/>
    <col min="6153" max="6153" width="13.375" style="422" bestFit="1" customWidth="1"/>
    <col min="6154" max="6154" width="12.125" style="422" customWidth="1"/>
    <col min="6155" max="6155" width="13.375" style="422" bestFit="1" customWidth="1"/>
    <col min="6156" max="6397" width="8.625" style="422"/>
    <col min="6398" max="6398" width="5" style="422" bestFit="1" customWidth="1"/>
    <col min="6399" max="6399" width="3" style="422" bestFit="1" customWidth="1"/>
    <col min="6400" max="6400" width="42.375" style="422" customWidth="1"/>
    <col min="6401" max="6401" width="7.625" style="422" bestFit="1" customWidth="1"/>
    <col min="6402" max="6403" width="0" style="422" hidden="1" customWidth="1"/>
    <col min="6404" max="6404" width="6" style="422" bestFit="1" customWidth="1"/>
    <col min="6405" max="6405" width="11.375" style="422" customWidth="1"/>
    <col min="6406" max="6406" width="12.625" style="422" bestFit="1" customWidth="1"/>
    <col min="6407" max="6407" width="12.125" style="422" bestFit="1" customWidth="1"/>
    <col min="6408" max="6408" width="16.125" style="422" customWidth="1"/>
    <col min="6409" max="6409" width="13.375" style="422" bestFit="1" customWidth="1"/>
    <col min="6410" max="6410" width="12.125" style="422" customWidth="1"/>
    <col min="6411" max="6411" width="13.375" style="422" bestFit="1" customWidth="1"/>
    <col min="6412" max="6653" width="8.625" style="422"/>
    <col min="6654" max="6654" width="5" style="422" bestFit="1" customWidth="1"/>
    <col min="6655" max="6655" width="3" style="422" bestFit="1" customWidth="1"/>
    <col min="6656" max="6656" width="42.375" style="422" customWidth="1"/>
    <col min="6657" max="6657" width="7.625" style="422" bestFit="1" customWidth="1"/>
    <col min="6658" max="6659" width="0" style="422" hidden="1" customWidth="1"/>
    <col min="6660" max="6660" width="6" style="422" bestFit="1" customWidth="1"/>
    <col min="6661" max="6661" width="11.375" style="422" customWidth="1"/>
    <col min="6662" max="6662" width="12.625" style="422" bestFit="1" customWidth="1"/>
    <col min="6663" max="6663" width="12.125" style="422" bestFit="1" customWidth="1"/>
    <col min="6664" max="6664" width="16.125" style="422" customWidth="1"/>
    <col min="6665" max="6665" width="13.375" style="422" bestFit="1" customWidth="1"/>
    <col min="6666" max="6666" width="12.125" style="422" customWidth="1"/>
    <col min="6667" max="6667" width="13.375" style="422" bestFit="1" customWidth="1"/>
    <col min="6668" max="6909" width="8.625" style="422"/>
    <col min="6910" max="6910" width="5" style="422" bestFit="1" customWidth="1"/>
    <col min="6911" max="6911" width="3" style="422" bestFit="1" customWidth="1"/>
    <col min="6912" max="6912" width="42.375" style="422" customWidth="1"/>
    <col min="6913" max="6913" width="7.625" style="422" bestFit="1" customWidth="1"/>
    <col min="6914" max="6915" width="0" style="422" hidden="1" customWidth="1"/>
    <col min="6916" max="6916" width="6" style="422" bestFit="1" customWidth="1"/>
    <col min="6917" max="6917" width="11.375" style="422" customWidth="1"/>
    <col min="6918" max="6918" width="12.625" style="422" bestFit="1" customWidth="1"/>
    <col min="6919" max="6919" width="12.125" style="422" bestFit="1" customWidth="1"/>
    <col min="6920" max="6920" width="16.125" style="422" customWidth="1"/>
    <col min="6921" max="6921" width="13.375" style="422" bestFit="1" customWidth="1"/>
    <col min="6922" max="6922" width="12.125" style="422" customWidth="1"/>
    <col min="6923" max="6923" width="13.375" style="422" bestFit="1" customWidth="1"/>
    <col min="6924" max="7165" width="8.625" style="422"/>
    <col min="7166" max="7166" width="5" style="422" bestFit="1" customWidth="1"/>
    <col min="7167" max="7167" width="3" style="422" bestFit="1" customWidth="1"/>
    <col min="7168" max="7168" width="42.375" style="422" customWidth="1"/>
    <col min="7169" max="7169" width="7.625" style="422" bestFit="1" customWidth="1"/>
    <col min="7170" max="7171" width="0" style="422" hidden="1" customWidth="1"/>
    <col min="7172" max="7172" width="6" style="422" bestFit="1" customWidth="1"/>
    <col min="7173" max="7173" width="11.375" style="422" customWidth="1"/>
    <col min="7174" max="7174" width="12.625" style="422" bestFit="1" customWidth="1"/>
    <col min="7175" max="7175" width="12.125" style="422" bestFit="1" customWidth="1"/>
    <col min="7176" max="7176" width="16.125" style="422" customWidth="1"/>
    <col min="7177" max="7177" width="13.375" style="422" bestFit="1" customWidth="1"/>
    <col min="7178" max="7178" width="12.125" style="422" customWidth="1"/>
    <col min="7179" max="7179" width="13.375" style="422" bestFit="1" customWidth="1"/>
    <col min="7180" max="7421" width="8.625" style="422"/>
    <col min="7422" max="7422" width="5" style="422" bestFit="1" customWidth="1"/>
    <col min="7423" max="7423" width="3" style="422" bestFit="1" customWidth="1"/>
    <col min="7424" max="7424" width="42.375" style="422" customWidth="1"/>
    <col min="7425" max="7425" width="7.625" style="422" bestFit="1" customWidth="1"/>
    <col min="7426" max="7427" width="0" style="422" hidden="1" customWidth="1"/>
    <col min="7428" max="7428" width="6" style="422" bestFit="1" customWidth="1"/>
    <col min="7429" max="7429" width="11.375" style="422" customWidth="1"/>
    <col min="7430" max="7430" width="12.625" style="422" bestFit="1" customWidth="1"/>
    <col min="7431" max="7431" width="12.125" style="422" bestFit="1" customWidth="1"/>
    <col min="7432" max="7432" width="16.125" style="422" customWidth="1"/>
    <col min="7433" max="7433" width="13.375" style="422" bestFit="1" customWidth="1"/>
    <col min="7434" max="7434" width="12.125" style="422" customWidth="1"/>
    <col min="7435" max="7435" width="13.375" style="422" bestFit="1" customWidth="1"/>
    <col min="7436" max="7677" width="8.625" style="422"/>
    <col min="7678" max="7678" width="5" style="422" bestFit="1" customWidth="1"/>
    <col min="7679" max="7679" width="3" style="422" bestFit="1" customWidth="1"/>
    <col min="7680" max="7680" width="42.375" style="422" customWidth="1"/>
    <col min="7681" max="7681" width="7.625" style="422" bestFit="1" customWidth="1"/>
    <col min="7682" max="7683" width="0" style="422" hidden="1" customWidth="1"/>
    <col min="7684" max="7684" width="6" style="422" bestFit="1" customWidth="1"/>
    <col min="7685" max="7685" width="11.375" style="422" customWidth="1"/>
    <col min="7686" max="7686" width="12.625" style="422" bestFit="1" customWidth="1"/>
    <col min="7687" max="7687" width="12.125" style="422" bestFit="1" customWidth="1"/>
    <col min="7688" max="7688" width="16.125" style="422" customWidth="1"/>
    <col min="7689" max="7689" width="13.375" style="422" bestFit="1" customWidth="1"/>
    <col min="7690" max="7690" width="12.125" style="422" customWidth="1"/>
    <col min="7691" max="7691" width="13.375" style="422" bestFit="1" customWidth="1"/>
    <col min="7692" max="7933" width="8.625" style="422"/>
    <col min="7934" max="7934" width="5" style="422" bestFit="1" customWidth="1"/>
    <col min="7935" max="7935" width="3" style="422" bestFit="1" customWidth="1"/>
    <col min="7936" max="7936" width="42.375" style="422" customWidth="1"/>
    <col min="7937" max="7937" width="7.625" style="422" bestFit="1" customWidth="1"/>
    <col min="7938" max="7939" width="0" style="422" hidden="1" customWidth="1"/>
    <col min="7940" max="7940" width="6" style="422" bestFit="1" customWidth="1"/>
    <col min="7941" max="7941" width="11.375" style="422" customWidth="1"/>
    <col min="7942" max="7942" width="12.625" style="422" bestFit="1" customWidth="1"/>
    <col min="7943" max="7943" width="12.125" style="422" bestFit="1" customWidth="1"/>
    <col min="7944" max="7944" width="16.125" style="422" customWidth="1"/>
    <col min="7945" max="7945" width="13.375" style="422" bestFit="1" customWidth="1"/>
    <col min="7946" max="7946" width="12.125" style="422" customWidth="1"/>
    <col min="7947" max="7947" width="13.375" style="422" bestFit="1" customWidth="1"/>
    <col min="7948" max="8189" width="8.625" style="422"/>
    <col min="8190" max="8190" width="5" style="422" bestFit="1" customWidth="1"/>
    <col min="8191" max="8191" width="3" style="422" bestFit="1" customWidth="1"/>
    <col min="8192" max="8192" width="42.375" style="422" customWidth="1"/>
    <col min="8193" max="8193" width="7.625" style="422" bestFit="1" customWidth="1"/>
    <col min="8194" max="8195" width="0" style="422" hidden="1" customWidth="1"/>
    <col min="8196" max="8196" width="6" style="422" bestFit="1" customWidth="1"/>
    <col min="8197" max="8197" width="11.375" style="422" customWidth="1"/>
    <col min="8198" max="8198" width="12.625" style="422" bestFit="1" customWidth="1"/>
    <col min="8199" max="8199" width="12.125" style="422" bestFit="1" customWidth="1"/>
    <col min="8200" max="8200" width="16.125" style="422" customWidth="1"/>
    <col min="8201" max="8201" width="13.375" style="422" bestFit="1" customWidth="1"/>
    <col min="8202" max="8202" width="12.125" style="422" customWidth="1"/>
    <col min="8203" max="8203" width="13.375" style="422" bestFit="1" customWidth="1"/>
    <col min="8204" max="8445" width="8.625" style="422"/>
    <col min="8446" max="8446" width="5" style="422" bestFit="1" customWidth="1"/>
    <col min="8447" max="8447" width="3" style="422" bestFit="1" customWidth="1"/>
    <col min="8448" max="8448" width="42.375" style="422" customWidth="1"/>
    <col min="8449" max="8449" width="7.625" style="422" bestFit="1" customWidth="1"/>
    <col min="8450" max="8451" width="0" style="422" hidden="1" customWidth="1"/>
    <col min="8452" max="8452" width="6" style="422" bestFit="1" customWidth="1"/>
    <col min="8453" max="8453" width="11.375" style="422" customWidth="1"/>
    <col min="8454" max="8454" width="12.625" style="422" bestFit="1" customWidth="1"/>
    <col min="8455" max="8455" width="12.125" style="422" bestFit="1" customWidth="1"/>
    <col min="8456" max="8456" width="16.125" style="422" customWidth="1"/>
    <col min="8457" max="8457" width="13.375" style="422" bestFit="1" customWidth="1"/>
    <col min="8458" max="8458" width="12.125" style="422" customWidth="1"/>
    <col min="8459" max="8459" width="13.375" style="422" bestFit="1" customWidth="1"/>
    <col min="8460" max="8701" width="8.625" style="422"/>
    <col min="8702" max="8702" width="5" style="422" bestFit="1" customWidth="1"/>
    <col min="8703" max="8703" width="3" style="422" bestFit="1" customWidth="1"/>
    <col min="8704" max="8704" width="42.375" style="422" customWidth="1"/>
    <col min="8705" max="8705" width="7.625" style="422" bestFit="1" customWidth="1"/>
    <col min="8706" max="8707" width="0" style="422" hidden="1" customWidth="1"/>
    <col min="8708" max="8708" width="6" style="422" bestFit="1" customWidth="1"/>
    <col min="8709" max="8709" width="11.375" style="422" customWidth="1"/>
    <col min="8710" max="8710" width="12.625" style="422" bestFit="1" customWidth="1"/>
    <col min="8711" max="8711" width="12.125" style="422" bestFit="1" customWidth="1"/>
    <col min="8712" max="8712" width="16.125" style="422" customWidth="1"/>
    <col min="8713" max="8713" width="13.375" style="422" bestFit="1" customWidth="1"/>
    <col min="8714" max="8714" width="12.125" style="422" customWidth="1"/>
    <col min="8715" max="8715" width="13.375" style="422" bestFit="1" customWidth="1"/>
    <col min="8716" max="8957" width="8.625" style="422"/>
    <col min="8958" max="8958" width="5" style="422" bestFit="1" customWidth="1"/>
    <col min="8959" max="8959" width="3" style="422" bestFit="1" customWidth="1"/>
    <col min="8960" max="8960" width="42.375" style="422" customWidth="1"/>
    <col min="8961" max="8961" width="7.625" style="422" bestFit="1" customWidth="1"/>
    <col min="8962" max="8963" width="0" style="422" hidden="1" customWidth="1"/>
    <col min="8964" max="8964" width="6" style="422" bestFit="1" customWidth="1"/>
    <col min="8965" max="8965" width="11.375" style="422" customWidth="1"/>
    <col min="8966" max="8966" width="12.625" style="422" bestFit="1" customWidth="1"/>
    <col min="8967" max="8967" width="12.125" style="422" bestFit="1" customWidth="1"/>
    <col min="8968" max="8968" width="16.125" style="422" customWidth="1"/>
    <col min="8969" max="8969" width="13.375" style="422" bestFit="1" customWidth="1"/>
    <col min="8970" max="8970" width="12.125" style="422" customWidth="1"/>
    <col min="8971" max="8971" width="13.375" style="422" bestFit="1" customWidth="1"/>
    <col min="8972" max="9213" width="8.625" style="422"/>
    <col min="9214" max="9214" width="5" style="422" bestFit="1" customWidth="1"/>
    <col min="9215" max="9215" width="3" style="422" bestFit="1" customWidth="1"/>
    <col min="9216" max="9216" width="42.375" style="422" customWidth="1"/>
    <col min="9217" max="9217" width="7.625" style="422" bestFit="1" customWidth="1"/>
    <col min="9218" max="9219" width="0" style="422" hidden="1" customWidth="1"/>
    <col min="9220" max="9220" width="6" style="422" bestFit="1" customWidth="1"/>
    <col min="9221" max="9221" width="11.375" style="422" customWidth="1"/>
    <col min="9222" max="9222" width="12.625" style="422" bestFit="1" customWidth="1"/>
    <col min="9223" max="9223" width="12.125" style="422" bestFit="1" customWidth="1"/>
    <col min="9224" max="9224" width="16.125" style="422" customWidth="1"/>
    <col min="9225" max="9225" width="13.375" style="422" bestFit="1" customWidth="1"/>
    <col min="9226" max="9226" width="12.125" style="422" customWidth="1"/>
    <col min="9227" max="9227" width="13.375" style="422" bestFit="1" customWidth="1"/>
    <col min="9228" max="9469" width="8.625" style="422"/>
    <col min="9470" max="9470" width="5" style="422" bestFit="1" customWidth="1"/>
    <col min="9471" max="9471" width="3" style="422" bestFit="1" customWidth="1"/>
    <col min="9472" max="9472" width="42.375" style="422" customWidth="1"/>
    <col min="9473" max="9473" width="7.625" style="422" bestFit="1" customWidth="1"/>
    <col min="9474" max="9475" width="0" style="422" hidden="1" customWidth="1"/>
    <col min="9476" max="9476" width="6" style="422" bestFit="1" customWidth="1"/>
    <col min="9477" max="9477" width="11.375" style="422" customWidth="1"/>
    <col min="9478" max="9478" width="12.625" style="422" bestFit="1" customWidth="1"/>
    <col min="9479" max="9479" width="12.125" style="422" bestFit="1" customWidth="1"/>
    <col min="9480" max="9480" width="16.125" style="422" customWidth="1"/>
    <col min="9481" max="9481" width="13.375" style="422" bestFit="1" customWidth="1"/>
    <col min="9482" max="9482" width="12.125" style="422" customWidth="1"/>
    <col min="9483" max="9483" width="13.375" style="422" bestFit="1" customWidth="1"/>
    <col min="9484" max="9725" width="8.625" style="422"/>
    <col min="9726" max="9726" width="5" style="422" bestFit="1" customWidth="1"/>
    <col min="9727" max="9727" width="3" style="422" bestFit="1" customWidth="1"/>
    <col min="9728" max="9728" width="42.375" style="422" customWidth="1"/>
    <col min="9729" max="9729" width="7.625" style="422" bestFit="1" customWidth="1"/>
    <col min="9730" max="9731" width="0" style="422" hidden="1" customWidth="1"/>
    <col min="9732" max="9732" width="6" style="422" bestFit="1" customWidth="1"/>
    <col min="9733" max="9733" width="11.375" style="422" customWidth="1"/>
    <col min="9734" max="9734" width="12.625" style="422" bestFit="1" customWidth="1"/>
    <col min="9735" max="9735" width="12.125" style="422" bestFit="1" customWidth="1"/>
    <col min="9736" max="9736" width="16.125" style="422" customWidth="1"/>
    <col min="9737" max="9737" width="13.375" style="422" bestFit="1" customWidth="1"/>
    <col min="9738" max="9738" width="12.125" style="422" customWidth="1"/>
    <col min="9739" max="9739" width="13.375" style="422" bestFit="1" customWidth="1"/>
    <col min="9740" max="9981" width="8.625" style="422"/>
    <col min="9982" max="9982" width="5" style="422" bestFit="1" customWidth="1"/>
    <col min="9983" max="9983" width="3" style="422" bestFit="1" customWidth="1"/>
    <col min="9984" max="9984" width="42.375" style="422" customWidth="1"/>
    <col min="9985" max="9985" width="7.625" style="422" bestFit="1" customWidth="1"/>
    <col min="9986" max="9987" width="0" style="422" hidden="1" customWidth="1"/>
    <col min="9988" max="9988" width="6" style="422" bestFit="1" customWidth="1"/>
    <col min="9989" max="9989" width="11.375" style="422" customWidth="1"/>
    <col min="9990" max="9990" width="12.625" style="422" bestFit="1" customWidth="1"/>
    <col min="9991" max="9991" width="12.125" style="422" bestFit="1" customWidth="1"/>
    <col min="9992" max="9992" width="16.125" style="422" customWidth="1"/>
    <col min="9993" max="9993" width="13.375" style="422" bestFit="1" customWidth="1"/>
    <col min="9994" max="9994" width="12.125" style="422" customWidth="1"/>
    <col min="9995" max="9995" width="13.375" style="422" bestFit="1" customWidth="1"/>
    <col min="9996" max="10237" width="8.625" style="422"/>
    <col min="10238" max="10238" width="5" style="422" bestFit="1" customWidth="1"/>
    <col min="10239" max="10239" width="3" style="422" bestFit="1" customWidth="1"/>
    <col min="10240" max="10240" width="42.375" style="422" customWidth="1"/>
    <col min="10241" max="10241" width="7.625" style="422" bestFit="1" customWidth="1"/>
    <col min="10242" max="10243" width="0" style="422" hidden="1" customWidth="1"/>
    <col min="10244" max="10244" width="6" style="422" bestFit="1" customWidth="1"/>
    <col min="10245" max="10245" width="11.375" style="422" customWidth="1"/>
    <col min="10246" max="10246" width="12.625" style="422" bestFit="1" customWidth="1"/>
    <col min="10247" max="10247" width="12.125" style="422" bestFit="1" customWidth="1"/>
    <col min="10248" max="10248" width="16.125" style="422" customWidth="1"/>
    <col min="10249" max="10249" width="13.375" style="422" bestFit="1" customWidth="1"/>
    <col min="10250" max="10250" width="12.125" style="422" customWidth="1"/>
    <col min="10251" max="10251" width="13.375" style="422" bestFit="1" customWidth="1"/>
    <col min="10252" max="10493" width="8.625" style="422"/>
    <col min="10494" max="10494" width="5" style="422" bestFit="1" customWidth="1"/>
    <col min="10495" max="10495" width="3" style="422" bestFit="1" customWidth="1"/>
    <col min="10496" max="10496" width="42.375" style="422" customWidth="1"/>
    <col min="10497" max="10497" width="7.625" style="422" bestFit="1" customWidth="1"/>
    <col min="10498" max="10499" width="0" style="422" hidden="1" customWidth="1"/>
    <col min="10500" max="10500" width="6" style="422" bestFit="1" customWidth="1"/>
    <col min="10501" max="10501" width="11.375" style="422" customWidth="1"/>
    <col min="10502" max="10502" width="12.625" style="422" bestFit="1" customWidth="1"/>
    <col min="10503" max="10503" width="12.125" style="422" bestFit="1" customWidth="1"/>
    <col min="10504" max="10504" width="16.125" style="422" customWidth="1"/>
    <col min="10505" max="10505" width="13.375" style="422" bestFit="1" customWidth="1"/>
    <col min="10506" max="10506" width="12.125" style="422" customWidth="1"/>
    <col min="10507" max="10507" width="13.375" style="422" bestFit="1" customWidth="1"/>
    <col min="10508" max="10749" width="8.625" style="422"/>
    <col min="10750" max="10750" width="5" style="422" bestFit="1" customWidth="1"/>
    <col min="10751" max="10751" width="3" style="422" bestFit="1" customWidth="1"/>
    <col min="10752" max="10752" width="42.375" style="422" customWidth="1"/>
    <col min="10753" max="10753" width="7.625" style="422" bestFit="1" customWidth="1"/>
    <col min="10754" max="10755" width="0" style="422" hidden="1" customWidth="1"/>
    <col min="10756" max="10756" width="6" style="422" bestFit="1" customWidth="1"/>
    <col min="10757" max="10757" width="11.375" style="422" customWidth="1"/>
    <col min="10758" max="10758" width="12.625" style="422" bestFit="1" customWidth="1"/>
    <col min="10759" max="10759" width="12.125" style="422" bestFit="1" customWidth="1"/>
    <col min="10760" max="10760" width="16.125" style="422" customWidth="1"/>
    <col min="10761" max="10761" width="13.375" style="422" bestFit="1" customWidth="1"/>
    <col min="10762" max="10762" width="12.125" style="422" customWidth="1"/>
    <col min="10763" max="10763" width="13.375" style="422" bestFit="1" customWidth="1"/>
    <col min="10764" max="11005" width="8.625" style="422"/>
    <col min="11006" max="11006" width="5" style="422" bestFit="1" customWidth="1"/>
    <col min="11007" max="11007" width="3" style="422" bestFit="1" customWidth="1"/>
    <col min="11008" max="11008" width="42.375" style="422" customWidth="1"/>
    <col min="11009" max="11009" width="7.625" style="422" bestFit="1" customWidth="1"/>
    <col min="11010" max="11011" width="0" style="422" hidden="1" customWidth="1"/>
    <col min="11012" max="11012" width="6" style="422" bestFit="1" customWidth="1"/>
    <col min="11013" max="11013" width="11.375" style="422" customWidth="1"/>
    <col min="11014" max="11014" width="12.625" style="422" bestFit="1" customWidth="1"/>
    <col min="11015" max="11015" width="12.125" style="422" bestFit="1" customWidth="1"/>
    <col min="11016" max="11016" width="16.125" style="422" customWidth="1"/>
    <col min="11017" max="11017" width="13.375" style="422" bestFit="1" customWidth="1"/>
    <col min="11018" max="11018" width="12.125" style="422" customWidth="1"/>
    <col min="11019" max="11019" width="13.375" style="422" bestFit="1" customWidth="1"/>
    <col min="11020" max="11261" width="8.625" style="422"/>
    <col min="11262" max="11262" width="5" style="422" bestFit="1" customWidth="1"/>
    <col min="11263" max="11263" width="3" style="422" bestFit="1" customWidth="1"/>
    <col min="11264" max="11264" width="42.375" style="422" customWidth="1"/>
    <col min="11265" max="11265" width="7.625" style="422" bestFit="1" customWidth="1"/>
    <col min="11266" max="11267" width="0" style="422" hidden="1" customWidth="1"/>
    <col min="11268" max="11268" width="6" style="422" bestFit="1" customWidth="1"/>
    <col min="11269" max="11269" width="11.375" style="422" customWidth="1"/>
    <col min="11270" max="11270" width="12.625" style="422" bestFit="1" customWidth="1"/>
    <col min="11271" max="11271" width="12.125" style="422" bestFit="1" customWidth="1"/>
    <col min="11272" max="11272" width="16.125" style="422" customWidth="1"/>
    <col min="11273" max="11273" width="13.375" style="422" bestFit="1" customWidth="1"/>
    <col min="11274" max="11274" width="12.125" style="422" customWidth="1"/>
    <col min="11275" max="11275" width="13.375" style="422" bestFit="1" customWidth="1"/>
    <col min="11276" max="11517" width="8.625" style="422"/>
    <col min="11518" max="11518" width="5" style="422" bestFit="1" customWidth="1"/>
    <col min="11519" max="11519" width="3" style="422" bestFit="1" customWidth="1"/>
    <col min="11520" max="11520" width="42.375" style="422" customWidth="1"/>
    <col min="11521" max="11521" width="7.625" style="422" bestFit="1" customWidth="1"/>
    <col min="11522" max="11523" width="0" style="422" hidden="1" customWidth="1"/>
    <col min="11524" max="11524" width="6" style="422" bestFit="1" customWidth="1"/>
    <col min="11525" max="11525" width="11.375" style="422" customWidth="1"/>
    <col min="11526" max="11526" width="12.625" style="422" bestFit="1" customWidth="1"/>
    <col min="11527" max="11527" width="12.125" style="422" bestFit="1" customWidth="1"/>
    <col min="11528" max="11528" width="16.125" style="422" customWidth="1"/>
    <col min="11529" max="11529" width="13.375" style="422" bestFit="1" customWidth="1"/>
    <col min="11530" max="11530" width="12.125" style="422" customWidth="1"/>
    <col min="11531" max="11531" width="13.375" style="422" bestFit="1" customWidth="1"/>
    <col min="11532" max="11773" width="8.625" style="422"/>
    <col min="11774" max="11774" width="5" style="422" bestFit="1" customWidth="1"/>
    <col min="11775" max="11775" width="3" style="422" bestFit="1" customWidth="1"/>
    <col min="11776" max="11776" width="42.375" style="422" customWidth="1"/>
    <col min="11777" max="11777" width="7.625" style="422" bestFit="1" customWidth="1"/>
    <col min="11778" max="11779" width="0" style="422" hidden="1" customWidth="1"/>
    <col min="11780" max="11780" width="6" style="422" bestFit="1" customWidth="1"/>
    <col min="11781" max="11781" width="11.375" style="422" customWidth="1"/>
    <col min="11782" max="11782" width="12.625" style="422" bestFit="1" customWidth="1"/>
    <col min="11783" max="11783" width="12.125" style="422" bestFit="1" customWidth="1"/>
    <col min="11784" max="11784" width="16.125" style="422" customWidth="1"/>
    <col min="11785" max="11785" width="13.375" style="422" bestFit="1" customWidth="1"/>
    <col min="11786" max="11786" width="12.125" style="422" customWidth="1"/>
    <col min="11787" max="11787" width="13.375" style="422" bestFit="1" customWidth="1"/>
    <col min="11788" max="12029" width="8.625" style="422"/>
    <col min="12030" max="12030" width="5" style="422" bestFit="1" customWidth="1"/>
    <col min="12031" max="12031" width="3" style="422" bestFit="1" customWidth="1"/>
    <col min="12032" max="12032" width="42.375" style="422" customWidth="1"/>
    <col min="12033" max="12033" width="7.625" style="422" bestFit="1" customWidth="1"/>
    <col min="12034" max="12035" width="0" style="422" hidden="1" customWidth="1"/>
    <col min="12036" max="12036" width="6" style="422" bestFit="1" customWidth="1"/>
    <col min="12037" max="12037" width="11.375" style="422" customWidth="1"/>
    <col min="12038" max="12038" width="12.625" style="422" bestFit="1" customWidth="1"/>
    <col min="12039" max="12039" width="12.125" style="422" bestFit="1" customWidth="1"/>
    <col min="12040" max="12040" width="16.125" style="422" customWidth="1"/>
    <col min="12041" max="12041" width="13.375" style="422" bestFit="1" customWidth="1"/>
    <col min="12042" max="12042" width="12.125" style="422" customWidth="1"/>
    <col min="12043" max="12043" width="13.375" style="422" bestFit="1" customWidth="1"/>
    <col min="12044" max="12285" width="8.625" style="422"/>
    <col min="12286" max="12286" width="5" style="422" bestFit="1" customWidth="1"/>
    <col min="12287" max="12287" width="3" style="422" bestFit="1" customWidth="1"/>
    <col min="12288" max="12288" width="42.375" style="422" customWidth="1"/>
    <col min="12289" max="12289" width="7.625" style="422" bestFit="1" customWidth="1"/>
    <col min="12290" max="12291" width="0" style="422" hidden="1" customWidth="1"/>
    <col min="12292" max="12292" width="6" style="422" bestFit="1" customWidth="1"/>
    <col min="12293" max="12293" width="11.375" style="422" customWidth="1"/>
    <col min="12294" max="12294" width="12.625" style="422" bestFit="1" customWidth="1"/>
    <col min="12295" max="12295" width="12.125" style="422" bestFit="1" customWidth="1"/>
    <col min="12296" max="12296" width="16.125" style="422" customWidth="1"/>
    <col min="12297" max="12297" width="13.375" style="422" bestFit="1" customWidth="1"/>
    <col min="12298" max="12298" width="12.125" style="422" customWidth="1"/>
    <col min="12299" max="12299" width="13.375" style="422" bestFit="1" customWidth="1"/>
    <col min="12300" max="12541" width="8.625" style="422"/>
    <col min="12542" max="12542" width="5" style="422" bestFit="1" customWidth="1"/>
    <col min="12543" max="12543" width="3" style="422" bestFit="1" customWidth="1"/>
    <col min="12544" max="12544" width="42.375" style="422" customWidth="1"/>
    <col min="12545" max="12545" width="7.625" style="422" bestFit="1" customWidth="1"/>
    <col min="12546" max="12547" width="0" style="422" hidden="1" customWidth="1"/>
    <col min="12548" max="12548" width="6" style="422" bestFit="1" customWidth="1"/>
    <col min="12549" max="12549" width="11.375" style="422" customWidth="1"/>
    <col min="12550" max="12550" width="12.625" style="422" bestFit="1" customWidth="1"/>
    <col min="12551" max="12551" width="12.125" style="422" bestFit="1" customWidth="1"/>
    <col min="12552" max="12552" width="16.125" style="422" customWidth="1"/>
    <col min="12553" max="12553" width="13.375" style="422" bestFit="1" customWidth="1"/>
    <col min="12554" max="12554" width="12.125" style="422" customWidth="1"/>
    <col min="12555" max="12555" width="13.375" style="422" bestFit="1" customWidth="1"/>
    <col min="12556" max="12797" width="8.625" style="422"/>
    <col min="12798" max="12798" width="5" style="422" bestFit="1" customWidth="1"/>
    <col min="12799" max="12799" width="3" style="422" bestFit="1" customWidth="1"/>
    <col min="12800" max="12800" width="42.375" style="422" customWidth="1"/>
    <col min="12801" max="12801" width="7.625" style="422" bestFit="1" customWidth="1"/>
    <col min="12802" max="12803" width="0" style="422" hidden="1" customWidth="1"/>
    <col min="12804" max="12804" width="6" style="422" bestFit="1" customWidth="1"/>
    <col min="12805" max="12805" width="11.375" style="422" customWidth="1"/>
    <col min="12806" max="12806" width="12.625" style="422" bestFit="1" customWidth="1"/>
    <col min="12807" max="12807" width="12.125" style="422" bestFit="1" customWidth="1"/>
    <col min="12808" max="12808" width="16.125" style="422" customWidth="1"/>
    <col min="12809" max="12809" width="13.375" style="422" bestFit="1" customWidth="1"/>
    <col min="12810" max="12810" width="12.125" style="422" customWidth="1"/>
    <col min="12811" max="12811" width="13.375" style="422" bestFit="1" customWidth="1"/>
    <col min="12812" max="13053" width="8.625" style="422"/>
    <col min="13054" max="13054" width="5" style="422" bestFit="1" customWidth="1"/>
    <col min="13055" max="13055" width="3" style="422" bestFit="1" customWidth="1"/>
    <col min="13056" max="13056" width="42.375" style="422" customWidth="1"/>
    <col min="13057" max="13057" width="7.625" style="422" bestFit="1" customWidth="1"/>
    <col min="13058" max="13059" width="0" style="422" hidden="1" customWidth="1"/>
    <col min="13060" max="13060" width="6" style="422" bestFit="1" customWidth="1"/>
    <col min="13061" max="13061" width="11.375" style="422" customWidth="1"/>
    <col min="13062" max="13062" width="12.625" style="422" bestFit="1" customWidth="1"/>
    <col min="13063" max="13063" width="12.125" style="422" bestFit="1" customWidth="1"/>
    <col min="13064" max="13064" width="16.125" style="422" customWidth="1"/>
    <col min="13065" max="13065" width="13.375" style="422" bestFit="1" customWidth="1"/>
    <col min="13066" max="13066" width="12.125" style="422" customWidth="1"/>
    <col min="13067" max="13067" width="13.375" style="422" bestFit="1" customWidth="1"/>
    <col min="13068" max="13309" width="8.625" style="422"/>
    <col min="13310" max="13310" width="5" style="422" bestFit="1" customWidth="1"/>
    <col min="13311" max="13311" width="3" style="422" bestFit="1" customWidth="1"/>
    <col min="13312" max="13312" width="42.375" style="422" customWidth="1"/>
    <col min="13313" max="13313" width="7.625" style="422" bestFit="1" customWidth="1"/>
    <col min="13314" max="13315" width="0" style="422" hidden="1" customWidth="1"/>
    <col min="13316" max="13316" width="6" style="422" bestFit="1" customWidth="1"/>
    <col min="13317" max="13317" width="11.375" style="422" customWidth="1"/>
    <col min="13318" max="13318" width="12.625" style="422" bestFit="1" customWidth="1"/>
    <col min="13319" max="13319" width="12.125" style="422" bestFit="1" customWidth="1"/>
    <col min="13320" max="13320" width="16.125" style="422" customWidth="1"/>
    <col min="13321" max="13321" width="13.375" style="422" bestFit="1" customWidth="1"/>
    <col min="13322" max="13322" width="12.125" style="422" customWidth="1"/>
    <col min="13323" max="13323" width="13.375" style="422" bestFit="1" customWidth="1"/>
    <col min="13324" max="13565" width="8.625" style="422"/>
    <col min="13566" max="13566" width="5" style="422" bestFit="1" customWidth="1"/>
    <col min="13567" max="13567" width="3" style="422" bestFit="1" customWidth="1"/>
    <col min="13568" max="13568" width="42.375" style="422" customWidth="1"/>
    <col min="13569" max="13569" width="7.625" style="422" bestFit="1" customWidth="1"/>
    <col min="13570" max="13571" width="0" style="422" hidden="1" customWidth="1"/>
    <col min="13572" max="13572" width="6" style="422" bestFit="1" customWidth="1"/>
    <col min="13573" max="13573" width="11.375" style="422" customWidth="1"/>
    <col min="13574" max="13574" width="12.625" style="422" bestFit="1" customWidth="1"/>
    <col min="13575" max="13575" width="12.125" style="422" bestFit="1" customWidth="1"/>
    <col min="13576" max="13576" width="16.125" style="422" customWidth="1"/>
    <col min="13577" max="13577" width="13.375" style="422" bestFit="1" customWidth="1"/>
    <col min="13578" max="13578" width="12.125" style="422" customWidth="1"/>
    <col min="13579" max="13579" width="13.375" style="422" bestFit="1" customWidth="1"/>
    <col min="13580" max="13821" width="8.625" style="422"/>
    <col min="13822" max="13822" width="5" style="422" bestFit="1" customWidth="1"/>
    <col min="13823" max="13823" width="3" style="422" bestFit="1" customWidth="1"/>
    <col min="13824" max="13824" width="42.375" style="422" customWidth="1"/>
    <col min="13825" max="13825" width="7.625" style="422" bestFit="1" customWidth="1"/>
    <col min="13826" max="13827" width="0" style="422" hidden="1" customWidth="1"/>
    <col min="13828" max="13828" width="6" style="422" bestFit="1" customWidth="1"/>
    <col min="13829" max="13829" width="11.375" style="422" customWidth="1"/>
    <col min="13830" max="13830" width="12.625" style="422" bestFit="1" customWidth="1"/>
    <col min="13831" max="13831" width="12.125" style="422" bestFit="1" customWidth="1"/>
    <col min="13832" max="13832" width="16.125" style="422" customWidth="1"/>
    <col min="13833" max="13833" width="13.375" style="422" bestFit="1" customWidth="1"/>
    <col min="13834" max="13834" width="12.125" style="422" customWidth="1"/>
    <col min="13835" max="13835" width="13.375" style="422" bestFit="1" customWidth="1"/>
    <col min="13836" max="14077" width="8.625" style="422"/>
    <col min="14078" max="14078" width="5" style="422" bestFit="1" customWidth="1"/>
    <col min="14079" max="14079" width="3" style="422" bestFit="1" customWidth="1"/>
    <col min="14080" max="14080" width="42.375" style="422" customWidth="1"/>
    <col min="14081" max="14081" width="7.625" style="422" bestFit="1" customWidth="1"/>
    <col min="14082" max="14083" width="0" style="422" hidden="1" customWidth="1"/>
    <col min="14084" max="14084" width="6" style="422" bestFit="1" customWidth="1"/>
    <col min="14085" max="14085" width="11.375" style="422" customWidth="1"/>
    <col min="14086" max="14086" width="12.625" style="422" bestFit="1" customWidth="1"/>
    <col min="14087" max="14087" width="12.125" style="422" bestFit="1" customWidth="1"/>
    <col min="14088" max="14088" width="16.125" style="422" customWidth="1"/>
    <col min="14089" max="14089" width="13.375" style="422" bestFit="1" customWidth="1"/>
    <col min="14090" max="14090" width="12.125" style="422" customWidth="1"/>
    <col min="14091" max="14091" width="13.375" style="422" bestFit="1" customWidth="1"/>
    <col min="14092" max="14333" width="8.625" style="422"/>
    <col min="14334" max="14334" width="5" style="422" bestFit="1" customWidth="1"/>
    <col min="14335" max="14335" width="3" style="422" bestFit="1" customWidth="1"/>
    <col min="14336" max="14336" width="42.375" style="422" customWidth="1"/>
    <col min="14337" max="14337" width="7.625" style="422" bestFit="1" customWidth="1"/>
    <col min="14338" max="14339" width="0" style="422" hidden="1" customWidth="1"/>
    <col min="14340" max="14340" width="6" style="422" bestFit="1" customWidth="1"/>
    <col min="14341" max="14341" width="11.375" style="422" customWidth="1"/>
    <col min="14342" max="14342" width="12.625" style="422" bestFit="1" customWidth="1"/>
    <col min="14343" max="14343" width="12.125" style="422" bestFit="1" customWidth="1"/>
    <col min="14344" max="14344" width="16.125" style="422" customWidth="1"/>
    <col min="14345" max="14345" width="13.375" style="422" bestFit="1" customWidth="1"/>
    <col min="14346" max="14346" width="12.125" style="422" customWidth="1"/>
    <col min="14347" max="14347" width="13.375" style="422" bestFit="1" customWidth="1"/>
    <col min="14348" max="14589" width="8.625" style="422"/>
    <col min="14590" max="14590" width="5" style="422" bestFit="1" customWidth="1"/>
    <col min="14591" max="14591" width="3" style="422" bestFit="1" customWidth="1"/>
    <col min="14592" max="14592" width="42.375" style="422" customWidth="1"/>
    <col min="14593" max="14593" width="7.625" style="422" bestFit="1" customWidth="1"/>
    <col min="14594" max="14595" width="0" style="422" hidden="1" customWidth="1"/>
    <col min="14596" max="14596" width="6" style="422" bestFit="1" customWidth="1"/>
    <col min="14597" max="14597" width="11.375" style="422" customWidth="1"/>
    <col min="14598" max="14598" width="12.625" style="422" bestFit="1" customWidth="1"/>
    <col min="14599" max="14599" width="12.125" style="422" bestFit="1" customWidth="1"/>
    <col min="14600" max="14600" width="16.125" style="422" customWidth="1"/>
    <col min="14601" max="14601" width="13.375" style="422" bestFit="1" customWidth="1"/>
    <col min="14602" max="14602" width="12.125" style="422" customWidth="1"/>
    <col min="14603" max="14603" width="13.375" style="422" bestFit="1" customWidth="1"/>
    <col min="14604" max="14845" width="8.625" style="422"/>
    <col min="14846" max="14846" width="5" style="422" bestFit="1" customWidth="1"/>
    <col min="14847" max="14847" width="3" style="422" bestFit="1" customWidth="1"/>
    <col min="14848" max="14848" width="42.375" style="422" customWidth="1"/>
    <col min="14849" max="14849" width="7.625" style="422" bestFit="1" customWidth="1"/>
    <col min="14850" max="14851" width="0" style="422" hidden="1" customWidth="1"/>
    <col min="14852" max="14852" width="6" style="422" bestFit="1" customWidth="1"/>
    <col min="14853" max="14853" width="11.375" style="422" customWidth="1"/>
    <col min="14854" max="14854" width="12.625" style="422" bestFit="1" customWidth="1"/>
    <col min="14855" max="14855" width="12.125" style="422" bestFit="1" customWidth="1"/>
    <col min="14856" max="14856" width="16.125" style="422" customWidth="1"/>
    <col min="14857" max="14857" width="13.375" style="422" bestFit="1" customWidth="1"/>
    <col min="14858" max="14858" width="12.125" style="422" customWidth="1"/>
    <col min="14859" max="14859" width="13.375" style="422" bestFit="1" customWidth="1"/>
    <col min="14860" max="15101" width="8.625" style="422"/>
    <col min="15102" max="15102" width="5" style="422" bestFit="1" customWidth="1"/>
    <col min="15103" max="15103" width="3" style="422" bestFit="1" customWidth="1"/>
    <col min="15104" max="15104" width="42.375" style="422" customWidth="1"/>
    <col min="15105" max="15105" width="7.625" style="422" bestFit="1" customWidth="1"/>
    <col min="15106" max="15107" width="0" style="422" hidden="1" customWidth="1"/>
    <col min="15108" max="15108" width="6" style="422" bestFit="1" customWidth="1"/>
    <col min="15109" max="15109" width="11.375" style="422" customWidth="1"/>
    <col min="15110" max="15110" width="12.625" style="422" bestFit="1" customWidth="1"/>
    <col min="15111" max="15111" width="12.125" style="422" bestFit="1" customWidth="1"/>
    <col min="15112" max="15112" width="16.125" style="422" customWidth="1"/>
    <col min="15113" max="15113" width="13.375" style="422" bestFit="1" customWidth="1"/>
    <col min="15114" max="15114" width="12.125" style="422" customWidth="1"/>
    <col min="15115" max="15115" width="13.375" style="422" bestFit="1" customWidth="1"/>
    <col min="15116" max="15357" width="8.625" style="422"/>
    <col min="15358" max="15358" width="5" style="422" bestFit="1" customWidth="1"/>
    <col min="15359" max="15359" width="3" style="422" bestFit="1" customWidth="1"/>
    <col min="15360" max="15360" width="42.375" style="422" customWidth="1"/>
    <col min="15361" max="15361" width="7.625" style="422" bestFit="1" customWidth="1"/>
    <col min="15362" max="15363" width="0" style="422" hidden="1" customWidth="1"/>
    <col min="15364" max="15364" width="6" style="422" bestFit="1" customWidth="1"/>
    <col min="15365" max="15365" width="11.375" style="422" customWidth="1"/>
    <col min="15366" max="15366" width="12.625" style="422" bestFit="1" customWidth="1"/>
    <col min="15367" max="15367" width="12.125" style="422" bestFit="1" customWidth="1"/>
    <col min="15368" max="15368" width="16.125" style="422" customWidth="1"/>
    <col min="15369" max="15369" width="13.375" style="422" bestFit="1" customWidth="1"/>
    <col min="15370" max="15370" width="12.125" style="422" customWidth="1"/>
    <col min="15371" max="15371" width="13.375" style="422" bestFit="1" customWidth="1"/>
    <col min="15372" max="15613" width="8.625" style="422"/>
    <col min="15614" max="15614" width="5" style="422" bestFit="1" customWidth="1"/>
    <col min="15615" max="15615" width="3" style="422" bestFit="1" customWidth="1"/>
    <col min="15616" max="15616" width="42.375" style="422" customWidth="1"/>
    <col min="15617" max="15617" width="7.625" style="422" bestFit="1" customWidth="1"/>
    <col min="15618" max="15619" width="0" style="422" hidden="1" customWidth="1"/>
    <col min="15620" max="15620" width="6" style="422" bestFit="1" customWidth="1"/>
    <col min="15621" max="15621" width="11.375" style="422" customWidth="1"/>
    <col min="15622" max="15622" width="12.625" style="422" bestFit="1" customWidth="1"/>
    <col min="15623" max="15623" width="12.125" style="422" bestFit="1" customWidth="1"/>
    <col min="15624" max="15624" width="16.125" style="422" customWidth="1"/>
    <col min="15625" max="15625" width="13.375" style="422" bestFit="1" customWidth="1"/>
    <col min="15626" max="15626" width="12.125" style="422" customWidth="1"/>
    <col min="15627" max="15627" width="13.375" style="422" bestFit="1" customWidth="1"/>
    <col min="15628" max="15869" width="8.625" style="422"/>
    <col min="15870" max="15870" width="5" style="422" bestFit="1" customWidth="1"/>
    <col min="15871" max="15871" width="3" style="422" bestFit="1" customWidth="1"/>
    <col min="15872" max="15872" width="42.375" style="422" customWidth="1"/>
    <col min="15873" max="15873" width="7.625" style="422" bestFit="1" customWidth="1"/>
    <col min="15874" max="15875" width="0" style="422" hidden="1" customWidth="1"/>
    <col min="15876" max="15876" width="6" style="422" bestFit="1" customWidth="1"/>
    <col min="15877" max="15877" width="11.375" style="422" customWidth="1"/>
    <col min="15878" max="15878" width="12.625" style="422" bestFit="1" customWidth="1"/>
    <col min="15879" max="15879" width="12.125" style="422" bestFit="1" customWidth="1"/>
    <col min="15880" max="15880" width="16.125" style="422" customWidth="1"/>
    <col min="15881" max="15881" width="13.375" style="422" bestFit="1" customWidth="1"/>
    <col min="15882" max="15882" width="12.125" style="422" customWidth="1"/>
    <col min="15883" max="15883" width="13.375" style="422" bestFit="1" customWidth="1"/>
    <col min="15884" max="16125" width="8.625" style="422"/>
    <col min="16126" max="16126" width="5" style="422" bestFit="1" customWidth="1"/>
    <col min="16127" max="16127" width="3" style="422" bestFit="1" customWidth="1"/>
    <col min="16128" max="16128" width="42.375" style="422" customWidth="1"/>
    <col min="16129" max="16129" width="7.625" style="422" bestFit="1" customWidth="1"/>
    <col min="16130" max="16131" width="0" style="422" hidden="1" customWidth="1"/>
    <col min="16132" max="16132" width="6" style="422" bestFit="1" customWidth="1"/>
    <col min="16133" max="16133" width="11.375" style="422" customWidth="1"/>
    <col min="16134" max="16134" width="12.625" style="422" bestFit="1" customWidth="1"/>
    <col min="16135" max="16135" width="12.125" style="422" bestFit="1" customWidth="1"/>
    <col min="16136" max="16136" width="16.125" style="422" customWidth="1"/>
    <col min="16137" max="16137" width="13.375" style="422" bestFit="1" customWidth="1"/>
    <col min="16138" max="16138" width="12.125" style="422" customWidth="1"/>
    <col min="16139" max="16139" width="13.375" style="422" bestFit="1" customWidth="1"/>
    <col min="16140" max="16384" width="8.625" style="422"/>
  </cols>
  <sheetData>
    <row r="1" spans="1:13" ht="14.25">
      <c r="A1" s="1211" t="s">
        <v>743</v>
      </c>
      <c r="B1" s="1211"/>
      <c r="C1" s="1211"/>
      <c r="D1" s="1211"/>
      <c r="E1" s="1211"/>
      <c r="F1" s="1211"/>
      <c r="G1" s="1211"/>
      <c r="H1" s="1211"/>
      <c r="I1" s="1211"/>
      <c r="J1" s="1211"/>
      <c r="K1" s="1211"/>
    </row>
    <row r="2" spans="1:13" ht="15">
      <c r="A2" s="1212"/>
      <c r="B2" s="1212"/>
      <c r="C2" s="1212"/>
      <c r="D2" s="1212"/>
      <c r="E2" s="1212"/>
      <c r="F2" s="1212"/>
      <c r="G2" s="1212"/>
      <c r="H2" s="1212"/>
      <c r="I2" s="1212"/>
      <c r="J2" s="1212"/>
      <c r="K2" s="1212"/>
    </row>
    <row r="3" spans="1:13" ht="15">
      <c r="A3" s="423"/>
      <c r="B3" s="423"/>
      <c r="C3" s="423"/>
      <c r="D3" s="424"/>
      <c r="E3" s="425"/>
      <c r="F3" s="426"/>
      <c r="G3" s="427"/>
      <c r="H3" s="427"/>
      <c r="I3" s="427"/>
      <c r="J3" s="1213" t="s">
        <v>734</v>
      </c>
      <c r="K3" s="1213"/>
    </row>
    <row r="4" spans="1:13" ht="63" customHeight="1">
      <c r="A4" s="428" t="s">
        <v>9</v>
      </c>
      <c r="B4" s="428" t="s">
        <v>162</v>
      </c>
      <c r="C4" s="428" t="s">
        <v>21</v>
      </c>
      <c r="D4" s="429" t="s">
        <v>686</v>
      </c>
      <c r="E4" s="430" t="s">
        <v>103</v>
      </c>
      <c r="F4" s="429" t="s">
        <v>735</v>
      </c>
      <c r="G4" s="429" t="s">
        <v>736</v>
      </c>
      <c r="H4" s="429" t="s">
        <v>737</v>
      </c>
      <c r="I4" s="429" t="s">
        <v>738</v>
      </c>
      <c r="J4" s="429" t="s">
        <v>739</v>
      </c>
      <c r="K4" s="429" t="s">
        <v>744</v>
      </c>
      <c r="L4" s="431"/>
    </row>
    <row r="5" spans="1:13" ht="15.75" customHeight="1">
      <c r="A5" s="432" t="s">
        <v>15</v>
      </c>
      <c r="B5" s="433" t="s">
        <v>740</v>
      </c>
      <c r="C5" s="434"/>
      <c r="D5" s="435"/>
      <c r="E5" s="436"/>
      <c r="F5" s="437"/>
      <c r="G5" s="437"/>
      <c r="H5" s="437"/>
      <c r="I5" s="437"/>
      <c r="J5" s="437"/>
      <c r="K5" s="437"/>
    </row>
    <row r="6" spans="1:13" s="439" customFormat="1" ht="15">
      <c r="A6" s="432">
        <f>NhanCong_Xa!B4</f>
        <v>1</v>
      </c>
      <c r="B6" s="433" t="str">
        <f>NhanCong_Xa!C4</f>
        <v>Công tác chuẩn bị</v>
      </c>
      <c r="C6" s="434"/>
      <c r="D6" s="435"/>
      <c r="E6" s="438"/>
      <c r="F6" s="437"/>
      <c r="G6" s="437"/>
      <c r="H6" s="437"/>
      <c r="I6" s="437"/>
      <c r="J6" s="437"/>
      <c r="K6" s="437" t="e">
        <f>K7+K8+K9</f>
        <v>#REF!</v>
      </c>
      <c r="L6" s="421"/>
    </row>
    <row r="7" spans="1:13" ht="75">
      <c r="A7" s="440" t="str">
        <f>NhanCong_Xa!B5</f>
        <v>1.1</v>
      </c>
      <c r="B7" s="441" t="str">
        <f>NhanCong_Xa!C5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C7" s="452" t="str">
        <f>NhanCong_Xa!D5</f>
        <v>Bộ dữ liệu theo xã</v>
      </c>
      <c r="D7" s="442">
        <f>Chitietbangbieu!$AA$31</f>
        <v>18</v>
      </c>
      <c r="E7" s="436">
        <f>VLOOKUP(A7,DonGia_Xa!$B$8:$N$44,13,FALSE)</f>
        <v>119896.46133484421</v>
      </c>
      <c r="F7" s="443">
        <f>D7*E7</f>
        <v>2158136.3040271956</v>
      </c>
      <c r="G7" s="443">
        <f>F7*15%</f>
        <v>323720.44560407934</v>
      </c>
      <c r="H7" s="443">
        <f>F7*4%</f>
        <v>86325.452161087829</v>
      </c>
      <c r="I7" s="443">
        <f>F7+G7+H7</f>
        <v>2568182.2017923626</v>
      </c>
      <c r="J7" s="443">
        <f>I7*10%</f>
        <v>256818.22017923626</v>
      </c>
      <c r="K7" s="443">
        <f>I7+J7</f>
        <v>2825000.4219715986</v>
      </c>
    </row>
    <row r="8" spans="1:13" ht="45">
      <c r="A8" s="440" t="str">
        <f>NhanCong_Xa!B6</f>
        <v>1.2</v>
      </c>
      <c r="B8" s="441" t="str">
        <f>NhanCong_Xa!C6</f>
        <v>Chuẩn bị nhân lực, địa điểm làm việc; Chuẩn bị vật tư, thiết bị, dụng cụ, phần mềm phục vụ cho công tác xây dựng cơ sở dữ liệu thống kê, kiểm kê đất đai</v>
      </c>
      <c r="C8" s="452" t="str">
        <f>NhanCong_Xa!D6</f>
        <v>Bộ dữ liệu theo xã</v>
      </c>
      <c r="D8" s="442">
        <f>Chitietbangbieu!$AA$31</f>
        <v>18</v>
      </c>
      <c r="E8" s="436">
        <f>VLOOKUP(A8,DonGia_Xa!$B$8:$N$44,13,FALSE)</f>
        <v>91684.614189840533</v>
      </c>
      <c r="F8" s="443">
        <f t="shared" ref="F8:F10" si="0">D8*E8</f>
        <v>1650323.0554171295</v>
      </c>
      <c r="G8" s="443">
        <f t="shared" ref="G8:G10" si="1">F8*15%</f>
        <v>247548.45831256942</v>
      </c>
      <c r="H8" s="443">
        <f t="shared" ref="H8:H10" si="2">F8*4%</f>
        <v>66012.922216685183</v>
      </c>
      <c r="I8" s="443">
        <f t="shared" ref="I8:I10" si="3">F8+G8+H8</f>
        <v>1963884.4359463842</v>
      </c>
      <c r="J8" s="443">
        <f t="shared" ref="J8:J10" si="4">I8*10%</f>
        <v>196388.44359463843</v>
      </c>
      <c r="K8" s="443">
        <f t="shared" ref="K8:K10" si="5">I8+J8</f>
        <v>2160272.8795410227</v>
      </c>
    </row>
    <row r="9" spans="1:13" ht="15">
      <c r="A9" s="440" t="e">
        <f>NhanCong_Xa!#REF!</f>
        <v>#REF!</v>
      </c>
      <c r="B9" s="441" t="e">
        <f>NhanCong_Xa!#REF!</f>
        <v>#REF!</v>
      </c>
      <c r="C9" s="452" t="e">
        <f>NhanCong_Xa!#REF!</f>
        <v>#REF!</v>
      </c>
      <c r="D9" s="442">
        <f>Chitietbangbieu!$AA$31</f>
        <v>18</v>
      </c>
      <c r="E9" s="436" t="e">
        <f>VLOOKUP(A9,DonGia_Xa!$B$8:$N$44,13,FALSE)</f>
        <v>#REF!</v>
      </c>
      <c r="F9" s="443" t="e">
        <f t="shared" si="0"/>
        <v>#REF!</v>
      </c>
      <c r="G9" s="443" t="e">
        <f t="shared" si="1"/>
        <v>#REF!</v>
      </c>
      <c r="H9" s="443" t="e">
        <f t="shared" si="2"/>
        <v>#REF!</v>
      </c>
      <c r="I9" s="443" t="e">
        <f t="shared" si="3"/>
        <v>#REF!</v>
      </c>
      <c r="J9" s="443" t="e">
        <f t="shared" si="4"/>
        <v>#REF!</v>
      </c>
      <c r="K9" s="443" t="e">
        <f t="shared" si="5"/>
        <v>#REF!</v>
      </c>
    </row>
    <row r="10" spans="1:13" s="439" customFormat="1" ht="15">
      <c r="A10" s="432">
        <f>NhanCong_Xa!B16</f>
        <v>1</v>
      </c>
      <c r="B10" s="433" t="str">
        <f>NhanCong_Xa!C16</f>
        <v>Thu thập tài liệu, dữ liệu</v>
      </c>
      <c r="C10" s="452">
        <f>NhanCong_Xa!D16</f>
        <v>0</v>
      </c>
      <c r="D10" s="442">
        <f>Chitietbangbieu!$AA$31</f>
        <v>18</v>
      </c>
      <c r="E10" s="436">
        <f>VLOOKUP(A10,DonGia_Xa!$B$8:$N$44,13,FALSE)</f>
        <v>0</v>
      </c>
      <c r="F10" s="443">
        <f t="shared" si="0"/>
        <v>0</v>
      </c>
      <c r="G10" s="443">
        <f t="shared" si="1"/>
        <v>0</v>
      </c>
      <c r="H10" s="443">
        <f t="shared" si="2"/>
        <v>0</v>
      </c>
      <c r="I10" s="443">
        <f t="shared" si="3"/>
        <v>0</v>
      </c>
      <c r="J10" s="443">
        <f t="shared" si="4"/>
        <v>0</v>
      </c>
      <c r="K10" s="437">
        <f t="shared" si="5"/>
        <v>0</v>
      </c>
      <c r="L10" s="421"/>
    </row>
    <row r="11" spans="1:13" s="439" customFormat="1" ht="28.5">
      <c r="A11" s="432">
        <f>NhanCong_Xa!B19</f>
        <v>2</v>
      </c>
      <c r="B11" s="433" t="str">
        <f>NhanCong_Xa!C19</f>
        <v>Rà soát, đánh giá, phân loại và sắp xếp tài liệu, dữ liệu</v>
      </c>
      <c r="C11" s="452">
        <f>NhanCong_Xa!D19</f>
        <v>0</v>
      </c>
      <c r="D11" s="442">
        <f>Chitietbangbieu!$AA$31</f>
        <v>18</v>
      </c>
      <c r="E11" s="436">
        <f>VLOOKUP(A11,DonGia_Xa!$B$8:$N$44,13,FALSE)</f>
        <v>0</v>
      </c>
      <c r="F11" s="443">
        <f t="shared" ref="F11:F38" si="6">D11*E11</f>
        <v>0</v>
      </c>
      <c r="G11" s="443">
        <f t="shared" ref="G11:G38" si="7">F11*15%</f>
        <v>0</v>
      </c>
      <c r="H11" s="443">
        <f t="shared" ref="H11:H38" si="8">F11*4%</f>
        <v>0</v>
      </c>
      <c r="I11" s="443">
        <f t="shared" ref="I11:I38" si="9">F11+G11+H11</f>
        <v>0</v>
      </c>
      <c r="J11" s="443">
        <f t="shared" ref="J11:J38" si="10">I11*10%</f>
        <v>0</v>
      </c>
      <c r="K11" s="437">
        <f t="shared" ref="K11:K38" si="11">I11+J11</f>
        <v>0</v>
      </c>
      <c r="L11" s="421"/>
      <c r="M11" s="444"/>
    </row>
    <row r="12" spans="1:13" s="439" customFormat="1" ht="15">
      <c r="A12" s="432" t="e">
        <f>NhanCong_Xa!#REF!</f>
        <v>#REF!</v>
      </c>
      <c r="B12" s="433" t="e">
        <f>NhanCong_Xa!#REF!</f>
        <v>#REF!</v>
      </c>
      <c r="C12" s="452"/>
      <c r="D12" s="435"/>
      <c r="E12" s="436">
        <f>DonGia_Xa!L16</f>
        <v>0</v>
      </c>
      <c r="F12" s="443">
        <f t="shared" si="6"/>
        <v>0</v>
      </c>
      <c r="G12" s="443">
        <f t="shared" si="7"/>
        <v>0</v>
      </c>
      <c r="H12" s="443">
        <f t="shared" si="8"/>
        <v>0</v>
      </c>
      <c r="I12" s="443">
        <f t="shared" si="9"/>
        <v>0</v>
      </c>
      <c r="J12" s="443">
        <f t="shared" si="10"/>
        <v>0</v>
      </c>
      <c r="K12" s="437">
        <f>K13+K18</f>
        <v>2028305.4175014524</v>
      </c>
      <c r="L12" s="421"/>
      <c r="M12" s="444"/>
    </row>
    <row r="13" spans="1:13" ht="30">
      <c r="A13" s="440">
        <f>NhanCong_Xa!B39</f>
        <v>1</v>
      </c>
      <c r="B13" s="441" t="str">
        <f>NhanCong_Xa!C39</f>
        <v>Chuẩn hóa các lớp đối tượng không gian kiểm kê đất đai</v>
      </c>
      <c r="C13" s="452"/>
      <c r="D13" s="442"/>
      <c r="E13" s="436">
        <f>VLOOKUP(A13,DonGia_Xa!$B$8:$N$44,9,FALSE)</f>
        <v>0</v>
      </c>
      <c r="F13" s="443">
        <f t="shared" si="6"/>
        <v>0</v>
      </c>
      <c r="G13" s="443">
        <f t="shared" si="7"/>
        <v>0</v>
      </c>
      <c r="H13" s="443">
        <f t="shared" si="8"/>
        <v>0</v>
      </c>
      <c r="I13" s="443">
        <f t="shared" si="9"/>
        <v>0</v>
      </c>
      <c r="J13" s="443">
        <f t="shared" si="10"/>
        <v>0</v>
      </c>
      <c r="K13" s="443">
        <f>K14+K15+K16+K17</f>
        <v>1703733.0856842389</v>
      </c>
    </row>
    <row r="14" spans="1:13" ht="60">
      <c r="A14" s="440" t="str">
        <f>NhanCong_Xa!B40</f>
        <v>1.1</v>
      </c>
      <c r="B14" s="441" t="str">
        <f>NhanCong_Xa!C40</f>
        <v>Lập bảng đối chiếu giữa lớp đối tượng không gian kiểm kê đất đai với nội dung tương ứng trong bản đồ kết quả điều tra kiểm kê, bản đồ hiện trạng sử dụng đất để tách, lọc các đối tượng từ nội dung bản đồ</v>
      </c>
      <c r="C14" s="452" t="str">
        <f>NhanCong_Xa!D40</f>
        <v>Lớp dữ liệu</v>
      </c>
      <c r="D14" s="442">
        <f>Chitietbangbieu!$Q$37</f>
        <v>2</v>
      </c>
      <c r="E14" s="436">
        <f>VLOOKUP(A14,DonGia_Xa!$B$8:$N$44,13,FALSE)</f>
        <v>119896.46133484421</v>
      </c>
      <c r="F14" s="443">
        <f t="shared" si="6"/>
        <v>239792.92266968841</v>
      </c>
      <c r="G14" s="443">
        <f t="shared" si="7"/>
        <v>35968.938400453262</v>
      </c>
      <c r="H14" s="443">
        <f t="shared" si="8"/>
        <v>9591.7169067875366</v>
      </c>
      <c r="I14" s="443">
        <f t="shared" si="9"/>
        <v>285353.5779769292</v>
      </c>
      <c r="J14" s="443">
        <f t="shared" si="10"/>
        <v>28535.357797692923</v>
      </c>
      <c r="K14" s="443">
        <f t="shared" si="11"/>
        <v>313888.93577462214</v>
      </c>
    </row>
    <row r="15" spans="1:13" ht="36" customHeight="1">
      <c r="A15" s="440" t="str">
        <f>NhanCong_Xa!B41</f>
        <v>1.2</v>
      </c>
      <c r="B15" s="441" t="str">
        <f>NhanCong_Xa!C41</f>
        <v>Chuẩn hóa các lớp đối tượng không gian kiểm kê đất đai chưa phù hợp</v>
      </c>
      <c r="C15" s="452" t="str">
        <f>NhanCong_Xa!D41</f>
        <v>Lớp dữ liệu</v>
      </c>
      <c r="D15" s="442">
        <f>Chitietbangbieu!$Q$37</f>
        <v>2</v>
      </c>
      <c r="E15" s="436">
        <f>VLOOKUP(A15,DonGia_Xa!$B$8:$N$44,13,FALSE)</f>
        <v>91684.614189840533</v>
      </c>
      <c r="F15" s="443">
        <f t="shared" si="6"/>
        <v>183369.22837968107</v>
      </c>
      <c r="G15" s="443">
        <f t="shared" si="7"/>
        <v>27505.384256952158</v>
      </c>
      <c r="H15" s="443">
        <f t="shared" si="8"/>
        <v>7334.7691351872427</v>
      </c>
      <c r="I15" s="443">
        <f t="shared" si="9"/>
        <v>218209.38177182045</v>
      </c>
      <c r="J15" s="443">
        <f t="shared" si="10"/>
        <v>21820.938177182048</v>
      </c>
      <c r="K15" s="443">
        <f t="shared" si="11"/>
        <v>240030.3199490025</v>
      </c>
    </row>
    <row r="16" spans="1:13" ht="30">
      <c r="A16" s="440" t="str">
        <f>NhanCong_Xa!B42</f>
        <v>1.3</v>
      </c>
      <c r="B16" s="441" t="str">
        <f>NhanCong_Xa!C42</f>
        <v>Nhập bổ sung các thông tin thuộc tính cho đối tượng không gian kiểm kê đất đai còn thiếu (nếu có)</v>
      </c>
      <c r="C16" s="452" t="str">
        <f>NhanCong_Xa!D42</f>
        <v>Lớp dữ liệu</v>
      </c>
      <c r="D16" s="442">
        <f>Chitietbangbieu!$Q$37</f>
        <v>2</v>
      </c>
      <c r="E16" s="436">
        <f>VLOOKUP(A16,DonGia_Xa!$B$8:$N$44,13,FALSE)</f>
        <v>101352.39446673448</v>
      </c>
      <c r="F16" s="443">
        <f t="shared" si="6"/>
        <v>202704.78893346895</v>
      </c>
      <c r="G16" s="443">
        <f t="shared" si="7"/>
        <v>30405.718340020343</v>
      </c>
      <c r="H16" s="443">
        <f t="shared" si="8"/>
        <v>8108.1915573387587</v>
      </c>
      <c r="I16" s="443">
        <f t="shared" si="9"/>
        <v>241218.69883082804</v>
      </c>
      <c r="J16" s="443">
        <f t="shared" si="10"/>
        <v>24121.869883082807</v>
      </c>
      <c r="K16" s="443">
        <f t="shared" si="11"/>
        <v>265340.56871391088</v>
      </c>
    </row>
    <row r="17" spans="1:12" ht="30">
      <c r="A17" s="440" t="str">
        <f>NhanCong_Xa!B43</f>
        <v>1.4</v>
      </c>
      <c r="B17" s="441" t="str">
        <f>NhanCong_Xa!C43</f>
        <v>Rà soát chuẩn hóa thông tin thuộc tính cho từng đối tượng không gian kiểm kê đất đai</v>
      </c>
      <c r="C17" s="452" t="str">
        <f>NhanCong_Xa!D43</f>
        <v>Lớp dữ liệu</v>
      </c>
      <c r="D17" s="442">
        <f>Chitietbangbieu!$Q$37</f>
        <v>2</v>
      </c>
      <c r="E17" s="436">
        <f>VLOOKUP(A17,DonGia_Xa!$B$8:$N$44,13,FALSE)</f>
        <v>337843.10971990204</v>
      </c>
      <c r="F17" s="443">
        <f t="shared" si="6"/>
        <v>675686.21943980409</v>
      </c>
      <c r="G17" s="443">
        <f t="shared" si="7"/>
        <v>101352.93291597061</v>
      </c>
      <c r="H17" s="443">
        <f t="shared" si="8"/>
        <v>27027.448777592163</v>
      </c>
      <c r="I17" s="443">
        <f t="shared" si="9"/>
        <v>804066.60113336681</v>
      </c>
      <c r="J17" s="443">
        <f t="shared" si="10"/>
        <v>80406.660113336693</v>
      </c>
      <c r="K17" s="443">
        <f t="shared" si="11"/>
        <v>884473.26124670357</v>
      </c>
    </row>
    <row r="18" spans="1:12" ht="15">
      <c r="A18" s="440">
        <f>NhanCong_Xa!B44</f>
        <v>2</v>
      </c>
      <c r="B18" s="441" t="str">
        <f>NhanCong_Xa!C44</f>
        <v>Chuyển đổi và tích hợp không gian kiểm kê đất đai</v>
      </c>
      <c r="C18" s="452"/>
      <c r="D18" s="442"/>
      <c r="E18" s="436">
        <f>DonGia_Xa!L22</f>
        <v>0</v>
      </c>
      <c r="F18" s="443">
        <f t="shared" si="6"/>
        <v>0</v>
      </c>
      <c r="G18" s="443">
        <f t="shared" si="7"/>
        <v>0</v>
      </c>
      <c r="H18" s="443">
        <f t="shared" si="8"/>
        <v>0</v>
      </c>
      <c r="I18" s="443">
        <f t="shared" si="9"/>
        <v>0</v>
      </c>
      <c r="J18" s="443">
        <f t="shared" si="10"/>
        <v>0</v>
      </c>
      <c r="K18" s="443">
        <f>K19+K20</f>
        <v>324572.33181721333</v>
      </c>
    </row>
    <row r="19" spans="1:12" ht="45">
      <c r="A19" s="440" t="str">
        <f>NhanCong_Xa!B45</f>
        <v>2.1</v>
      </c>
      <c r="B19" s="441" t="str">
        <f>NhanCong_Xa!C45</f>
        <v>Chuyển đổi các lớp đối tượng không gian kiểm kê đất đai từ tệp (File) bản đồ số vào cơ sở dữ liệu theo đơn vị hành chính</v>
      </c>
      <c r="C19" s="452" t="str">
        <f>NhanCong_Xa!D45</f>
        <v>Lớp dữ liệu</v>
      </c>
      <c r="D19" s="442">
        <f>Chitietbangbieu!$Q$37</f>
        <v>2</v>
      </c>
      <c r="E19" s="436">
        <f>VLOOKUP(A19,DonGia_Xa!$B$8:$N$44,13,FALSE)</f>
        <v>27890.331407238387</v>
      </c>
      <c r="F19" s="443">
        <f t="shared" si="6"/>
        <v>55780.662814476775</v>
      </c>
      <c r="G19" s="443">
        <f t="shared" si="7"/>
        <v>8367.0994221715155</v>
      </c>
      <c r="H19" s="443">
        <f t="shared" si="8"/>
        <v>2231.2265125790709</v>
      </c>
      <c r="I19" s="443">
        <f t="shared" si="9"/>
        <v>66378.988749227356</v>
      </c>
      <c r="J19" s="443">
        <f t="shared" si="10"/>
        <v>6637.8988749227356</v>
      </c>
      <c r="K19" s="443">
        <f t="shared" si="11"/>
        <v>73016.887624150084</v>
      </c>
    </row>
    <row r="20" spans="1:12" ht="30">
      <c r="A20" s="440" t="str">
        <f>NhanCong_Xa!B46</f>
        <v>2.2</v>
      </c>
      <c r="B20" s="441" t="str">
        <f>NhanCong_Xa!C46</f>
        <v>Rà soát dữ liệu không gian để xử lý các lỗi dọc biên giữa các đơn vị hành chính tiếp giáp nhau</v>
      </c>
      <c r="C20" s="452" t="str">
        <f>NhanCong_Xa!D46</f>
        <v>Lớp dữ liệu</v>
      </c>
      <c r="D20" s="442">
        <f>Chitietbangbieu!$Q$37</f>
        <v>2</v>
      </c>
      <c r="E20" s="436">
        <f>VLOOKUP(A20,DonGia_Xa!$B$8:$N$44,13,FALSE)</f>
        <v>96086.877079092141</v>
      </c>
      <c r="F20" s="443">
        <f t="shared" si="6"/>
        <v>192173.75415818428</v>
      </c>
      <c r="G20" s="443">
        <f t="shared" si="7"/>
        <v>28826.063123727643</v>
      </c>
      <c r="H20" s="443">
        <f t="shared" si="8"/>
        <v>7686.9501663273713</v>
      </c>
      <c r="I20" s="443">
        <f t="shared" si="9"/>
        <v>228686.76744823932</v>
      </c>
      <c r="J20" s="443">
        <f t="shared" si="10"/>
        <v>22868.676744823933</v>
      </c>
      <c r="K20" s="443">
        <f t="shared" si="11"/>
        <v>251555.44419306325</v>
      </c>
    </row>
    <row r="21" spans="1:12" s="439" customFormat="1" ht="15">
      <c r="A21" s="432">
        <f>NhanCong_Xa!B22</f>
        <v>3</v>
      </c>
      <c r="B21" s="433" t="str">
        <f>NhanCong_Xa!C22</f>
        <v>Quét giấy tờ pháp lý và xử lý tệp tin</v>
      </c>
      <c r="C21" s="453"/>
      <c r="D21" s="435"/>
      <c r="E21" s="438">
        <f>DonGia_Xa!L25</f>
        <v>0</v>
      </c>
      <c r="F21" s="443">
        <f t="shared" si="6"/>
        <v>0</v>
      </c>
      <c r="G21" s="443">
        <f t="shared" si="7"/>
        <v>0</v>
      </c>
      <c r="H21" s="443">
        <f t="shared" si="8"/>
        <v>0</v>
      </c>
      <c r="I21" s="443">
        <f t="shared" si="9"/>
        <v>0</v>
      </c>
      <c r="J21" s="443">
        <f t="shared" si="10"/>
        <v>0</v>
      </c>
      <c r="K21" s="437">
        <f>K22+K25+K26</f>
        <v>6309064.3234825972</v>
      </c>
      <c r="L21" s="421"/>
    </row>
    <row r="22" spans="1:12" ht="90">
      <c r="A22" s="440" t="str">
        <f>NhanCong_Xa!B23</f>
        <v>3.1</v>
      </c>
      <c r="B22" s="441" t="str">
        <f>NhanCong_Xa!C23</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C22" s="452"/>
      <c r="D22" s="442"/>
      <c r="E22" s="436">
        <f>DonGia_Xa!L26</f>
        <v>0</v>
      </c>
      <c r="F22" s="443">
        <f t="shared" si="6"/>
        <v>0</v>
      </c>
      <c r="G22" s="443">
        <f t="shared" si="7"/>
        <v>0</v>
      </c>
      <c r="H22" s="443">
        <f t="shared" si="8"/>
        <v>0</v>
      </c>
      <c r="I22" s="443">
        <f t="shared" si="9"/>
        <v>0</v>
      </c>
      <c r="J22" s="443">
        <f t="shared" si="10"/>
        <v>0</v>
      </c>
      <c r="K22" s="443">
        <f>K23+K24</f>
        <v>3791017.1845609965</v>
      </c>
    </row>
    <row r="23" spans="1:12" ht="30">
      <c r="A23" s="440" t="str">
        <f>NhanCong_Xa!B24</f>
        <v>3.1.1</v>
      </c>
      <c r="B23" s="441" t="str">
        <f>NhanCong_Xa!C24</f>
        <v>Trang A3</v>
      </c>
      <c r="C23" s="452" t="str">
        <f>NhanCong_Xa!D24</f>
        <v>Trang A3</v>
      </c>
      <c r="D23" s="442">
        <f>(Chitietbangbieu!Q36+Chitietbangbieu!U36)</f>
        <v>184</v>
      </c>
      <c r="E23" s="436">
        <f>VLOOKUP(A23,DonGia_Xa!$B$8:$N$44,13,FALSE)</f>
        <v>3308.2287430769234</v>
      </c>
      <c r="F23" s="443">
        <f t="shared" si="6"/>
        <v>608714.08872615395</v>
      </c>
      <c r="G23" s="443">
        <f t="shared" si="7"/>
        <v>91307.113308923086</v>
      </c>
      <c r="H23" s="443">
        <f t="shared" si="8"/>
        <v>24348.563549046157</v>
      </c>
      <c r="I23" s="443">
        <f t="shared" si="9"/>
        <v>724369.7655841232</v>
      </c>
      <c r="J23" s="443">
        <f t="shared" si="10"/>
        <v>72436.976558412323</v>
      </c>
      <c r="K23" s="443">
        <f t="shared" si="11"/>
        <v>796806.74214253551</v>
      </c>
    </row>
    <row r="24" spans="1:12" ht="30">
      <c r="A24" s="440" t="str">
        <f>NhanCong_Xa!B25</f>
        <v>3.1.2</v>
      </c>
      <c r="B24" s="441" t="str">
        <f>NhanCong_Xa!C25</f>
        <v>Trang A4</v>
      </c>
      <c r="C24" s="452" t="str">
        <f>NhanCong_Xa!D25</f>
        <v>Trang A4</v>
      </c>
      <c r="D24" s="442">
        <f>(Chitietbangbieu!Q35+Chitietbangbieu!U35)</f>
        <v>1000</v>
      </c>
      <c r="E24" s="436">
        <f>VLOOKUP(A24,DonGia_Xa!$B$8:$N$44,13,FALSE)</f>
        <v>2287.4029353846154</v>
      </c>
      <c r="F24" s="443">
        <f t="shared" si="6"/>
        <v>2287402.9353846153</v>
      </c>
      <c r="G24" s="443">
        <f t="shared" si="7"/>
        <v>343110.44030769228</v>
      </c>
      <c r="H24" s="443">
        <f t="shared" si="8"/>
        <v>91496.117415384608</v>
      </c>
      <c r="I24" s="443">
        <f t="shared" si="9"/>
        <v>2722009.4931076919</v>
      </c>
      <c r="J24" s="443">
        <f t="shared" si="10"/>
        <v>272200.94931076921</v>
      </c>
      <c r="K24" s="443">
        <f t="shared" si="11"/>
        <v>2994210.4424184612</v>
      </c>
    </row>
    <row r="25" spans="1:12" ht="84.75" customHeight="1">
      <c r="A25" s="440" t="str">
        <f>NhanCong_Xa!B26</f>
        <v>3.2</v>
      </c>
      <c r="B25" s="441" t="str">
        <f>NhanCong_Xa!C26</f>
        <v>Xử lý các tệp tin quét hình thành tệp (File) hồ sơ quét tài liệu thống kê, kiểm kê đất đai dạng số, lưu trữ dưới khuôn dạng tệp tin PDF; chất lượng hình ảnh số sắc nét và rõ ràng, các hình ảnh được sắp xếp theo cùng một hướng, hình ảnh phải được quét vuông góc, không được cong vênh.</v>
      </c>
      <c r="C25" s="452" t="e">
        <f>NhanCong_Xa!#REF!</f>
        <v>#REF!</v>
      </c>
      <c r="D25" s="442">
        <f>D23+D24</f>
        <v>1184</v>
      </c>
      <c r="E25" s="436">
        <f>VLOOKUP(A25,DonGia_Xa!$B$8:$N$44,13,FALSE)</f>
        <v>1268.3071876923077</v>
      </c>
      <c r="F25" s="443">
        <f t="shared" si="6"/>
        <v>1501675.7102276923</v>
      </c>
      <c r="G25" s="443">
        <f t="shared" si="7"/>
        <v>225251.35653415383</v>
      </c>
      <c r="H25" s="443">
        <f t="shared" si="8"/>
        <v>60067.02840910769</v>
      </c>
      <c r="I25" s="443">
        <f t="shared" si="9"/>
        <v>1786994.0951709538</v>
      </c>
      <c r="J25" s="443">
        <f t="shared" si="10"/>
        <v>178699.4095170954</v>
      </c>
      <c r="K25" s="443">
        <f t="shared" si="11"/>
        <v>1965693.5046880492</v>
      </c>
    </row>
    <row r="26" spans="1:12" ht="60">
      <c r="A26" s="440" t="str">
        <f>NhanCong_Xa!B27</f>
        <v>3.3</v>
      </c>
      <c r="B26" s="441" t="str">
        <f>NhanCong_Xa!C27</f>
        <v>Tạo danh mục tra cứu hồ sơ quét trong cơ sở dữ liệu thống kê, kiểm kê đất đai</v>
      </c>
      <c r="C26" s="452" t="str">
        <f>NhanCong_Xa!D27</f>
        <v>Năm TK hoặc Kỳ KK</v>
      </c>
      <c r="D26" s="442">
        <f>Chitietbangbieu!$AA$31</f>
        <v>18</v>
      </c>
      <c r="E26" s="436">
        <f>VLOOKUP(A26,DonGia_Xa!$B$8:$N$44,13,FALSE)</f>
        <v>23442.561507238388</v>
      </c>
      <c r="F26" s="443">
        <f t="shared" si="6"/>
        <v>421966.107130291</v>
      </c>
      <c r="G26" s="443">
        <f t="shared" si="7"/>
        <v>63294.916069543644</v>
      </c>
      <c r="H26" s="443">
        <f t="shared" si="8"/>
        <v>16878.644285211642</v>
      </c>
      <c r="I26" s="443">
        <f t="shared" si="9"/>
        <v>502139.66748504626</v>
      </c>
      <c r="J26" s="443">
        <f t="shared" si="10"/>
        <v>50213.96674850463</v>
      </c>
      <c r="K26" s="443">
        <f t="shared" si="11"/>
        <v>552353.63423355087</v>
      </c>
    </row>
    <row r="27" spans="1:12" s="439" customFormat="1" ht="28.5">
      <c r="A27" s="432">
        <f>NhanCong_Xa!B28</f>
        <v>4</v>
      </c>
      <c r="B27" s="433" t="str">
        <f>NhanCong_Xa!C28</f>
        <v>Xây dựng dữ liệu thuộc tính thống kê, kiểm kê đất đai</v>
      </c>
      <c r="C27" s="453"/>
      <c r="D27" s="435"/>
      <c r="E27" s="438">
        <f>DonGia_Xa!L31</f>
        <v>0</v>
      </c>
      <c r="F27" s="437">
        <f t="shared" si="6"/>
        <v>0</v>
      </c>
      <c r="G27" s="437">
        <f t="shared" si="7"/>
        <v>0</v>
      </c>
      <c r="H27" s="437">
        <f t="shared" si="8"/>
        <v>0</v>
      </c>
      <c r="I27" s="437">
        <f t="shared" si="9"/>
        <v>0</v>
      </c>
      <c r="J27" s="437">
        <f t="shared" si="10"/>
        <v>0</v>
      </c>
      <c r="K27" s="437">
        <f>K28+K31</f>
        <v>5015311.4535112642</v>
      </c>
      <c r="L27" s="421"/>
    </row>
    <row r="28" spans="1:12" ht="15">
      <c r="A28" s="440" t="str">
        <f>NhanCong_Xa!B29</f>
        <v>4.1</v>
      </c>
      <c r="B28" s="441" t="str">
        <f>NhanCong_Xa!C29</f>
        <v>Đối với tài liệu, số liệu là bảng, biểu dạng số</v>
      </c>
      <c r="C28" s="452"/>
      <c r="D28" s="442"/>
      <c r="E28" s="436">
        <f>DonGia_Xa!L32</f>
        <v>0</v>
      </c>
      <c r="F28" s="443">
        <f t="shared" si="6"/>
        <v>0</v>
      </c>
      <c r="G28" s="443">
        <f t="shared" si="7"/>
        <v>0</v>
      </c>
      <c r="H28" s="443">
        <f t="shared" si="8"/>
        <v>0</v>
      </c>
      <c r="I28" s="443">
        <f t="shared" si="9"/>
        <v>0</v>
      </c>
      <c r="J28" s="443">
        <f t="shared" si="10"/>
        <v>0</v>
      </c>
      <c r="K28" s="443">
        <f>K29+K30</f>
        <v>3787472.766720403</v>
      </c>
    </row>
    <row r="29" spans="1:12" ht="60">
      <c r="A29" s="440" t="str">
        <f>NhanCong_Xa!B30</f>
        <v>4.1.1</v>
      </c>
      <c r="B29" s="441" t="str">
        <f>NhanCong_Xa!C30</f>
        <v>Lập mô hình chuyển đổi cơ sở dữ liệu thống kê, kiểm kê đất đai</v>
      </c>
      <c r="C29" s="452" t="str">
        <f>NhanCong_Xa!D30</f>
        <v>Năm TK hoặc Kỳ KK</v>
      </c>
      <c r="D29" s="442">
        <f>Chitietbangbieu!$AA$31</f>
        <v>18</v>
      </c>
      <c r="E29" s="436">
        <f>VLOOKUP(A29,DonGia_Xa!$B$8:$N$44,13,FALSE)</f>
        <v>56514.766694476777</v>
      </c>
      <c r="F29" s="443">
        <f t="shared" si="6"/>
        <v>1017265.800500582</v>
      </c>
      <c r="G29" s="443">
        <f t="shared" si="7"/>
        <v>152589.8700750873</v>
      </c>
      <c r="H29" s="443">
        <f t="shared" si="8"/>
        <v>40690.63202002328</v>
      </c>
      <c r="I29" s="443">
        <f t="shared" si="9"/>
        <v>1210546.3025956925</v>
      </c>
      <c r="J29" s="443">
        <f t="shared" si="10"/>
        <v>121054.63025956925</v>
      </c>
      <c r="K29" s="443">
        <f t="shared" si="11"/>
        <v>1331600.9328552617</v>
      </c>
    </row>
    <row r="30" spans="1:12" s="439" customFormat="1" ht="60">
      <c r="A30" s="440" t="str">
        <f>NhanCong_Xa!B31</f>
        <v>4.1.2</v>
      </c>
      <c r="B30" s="441" t="str">
        <f>NhanCong_Xa!C31</f>
        <v>Chuyển đổi vào cơ sở dữ liệu thống kê, kiểm kê đất đai</v>
      </c>
      <c r="C30" s="452" t="str">
        <f>NhanCong_Xa!D31</f>
        <v>Năm TK hoặc Kỳ KK</v>
      </c>
      <c r="D30" s="442">
        <f>Chitietbangbieu!$AA$31</f>
        <v>18</v>
      </c>
      <c r="E30" s="436">
        <f>VLOOKUP(A30,DonGia_Xa!$B$8:$N$44,13,FALSE)</f>
        <v>104230.19412041172</v>
      </c>
      <c r="F30" s="443">
        <f t="shared" si="6"/>
        <v>1876143.494167411</v>
      </c>
      <c r="G30" s="443">
        <f t="shared" si="7"/>
        <v>281421.52412511164</v>
      </c>
      <c r="H30" s="443">
        <f t="shared" si="8"/>
        <v>75045.739766696439</v>
      </c>
      <c r="I30" s="443">
        <f t="shared" si="9"/>
        <v>2232610.758059219</v>
      </c>
      <c r="J30" s="443">
        <f t="shared" si="10"/>
        <v>223261.07580592192</v>
      </c>
      <c r="K30" s="443">
        <f t="shared" si="11"/>
        <v>2455871.833865141</v>
      </c>
      <c r="L30" s="421"/>
    </row>
    <row r="31" spans="1:12" ht="60">
      <c r="A31" s="440" t="str">
        <f>NhanCong_Xa!B32</f>
        <v>4.2</v>
      </c>
      <c r="B31" s="441" t="str">
        <f>NhanCong_Xa!C32</f>
        <v>Đối với tài liệu, số liệu là báo cáo dạng số thì tạo danh mục tra cứu trong cơ sở dữ liệu thống kê, kiểm kê đất đai</v>
      </c>
      <c r="C31" s="452" t="str">
        <f>NhanCong_Xa!D32</f>
        <v>Năm TK hoặc Kỳ KK</v>
      </c>
      <c r="D31" s="442">
        <f>Chitietbangbieu!$AA$31</f>
        <v>18</v>
      </c>
      <c r="E31" s="436">
        <f>VLOOKUP(A31,DonGia_Xa!$B$8:$N$44,13,FALSE)</f>
        <v>52110.970494476773</v>
      </c>
      <c r="F31" s="443">
        <f t="shared" si="6"/>
        <v>937997.46890058194</v>
      </c>
      <c r="G31" s="443">
        <f t="shared" si="7"/>
        <v>140699.6203350873</v>
      </c>
      <c r="H31" s="443">
        <f t="shared" si="8"/>
        <v>37519.898756023278</v>
      </c>
      <c r="I31" s="443">
        <f t="shared" si="9"/>
        <v>1116216.9879916925</v>
      </c>
      <c r="J31" s="443">
        <f t="shared" si="10"/>
        <v>111621.69879916926</v>
      </c>
      <c r="K31" s="443">
        <f t="shared" si="11"/>
        <v>1227838.6867908617</v>
      </c>
    </row>
    <row r="32" spans="1:12" s="439" customFormat="1" ht="28.5">
      <c r="A32" s="432">
        <f>NhanCong_Xa!B33</f>
        <v>5</v>
      </c>
      <c r="B32" s="433" t="str">
        <f>NhanCong_Xa!C33</f>
        <v>Đối soát, hoàn thiện dữ liệu thống kê, kiểm kê đất đai</v>
      </c>
      <c r="C32" s="453"/>
      <c r="D32" s="442">
        <f>Chitietbangbieu!$AA$31</f>
        <v>18</v>
      </c>
      <c r="E32" s="436">
        <f>VLOOKUP(A32,DonGia_Xa!$B$8:$N$44,13,FALSE)</f>
        <v>0</v>
      </c>
      <c r="F32" s="443">
        <f t="shared" ref="F32" si="12">D32*E32</f>
        <v>0</v>
      </c>
      <c r="G32" s="443">
        <f t="shared" ref="G32" si="13">F32*15%</f>
        <v>0</v>
      </c>
      <c r="H32" s="443">
        <f t="shared" ref="H32" si="14">F32*4%</f>
        <v>0</v>
      </c>
      <c r="I32" s="443">
        <f t="shared" ref="I32" si="15">F32+G32+H32</f>
        <v>0</v>
      </c>
      <c r="J32" s="443">
        <f t="shared" ref="J32" si="16">I32*10%</f>
        <v>0</v>
      </c>
      <c r="K32" s="437">
        <f t="shared" si="11"/>
        <v>0</v>
      </c>
      <c r="L32" s="445"/>
    </row>
    <row r="33" spans="1:12" ht="15.75">
      <c r="A33" s="432">
        <f>NhanCong_Xa!B7</f>
        <v>2</v>
      </c>
      <c r="B33" s="433" t="str">
        <f>NhanCong_Xa!C7</f>
        <v>Xây dựng siêu dữ liệu thống kê, kiểm kê đất đai</v>
      </c>
      <c r="C33" s="452"/>
      <c r="D33" s="442"/>
      <c r="E33" s="436">
        <f>DonGia_Xa!L39</f>
        <v>0</v>
      </c>
      <c r="F33" s="443">
        <f t="shared" si="6"/>
        <v>0</v>
      </c>
      <c r="G33" s="443">
        <f t="shared" si="7"/>
        <v>0</v>
      </c>
      <c r="H33" s="443">
        <f t="shared" si="8"/>
        <v>0</v>
      </c>
      <c r="I33" s="443">
        <f t="shared" si="9"/>
        <v>0</v>
      </c>
      <c r="J33" s="443">
        <f t="shared" si="10"/>
        <v>0</v>
      </c>
      <c r="K33" s="437">
        <f>K34+K35</f>
        <v>2921150.9863549196</v>
      </c>
      <c r="L33" s="446"/>
    </row>
    <row r="34" spans="1:12" ht="45">
      <c r="A34" s="440" t="str">
        <f>NhanCong_Xa!B8</f>
        <v>2.1</v>
      </c>
      <c r="B34" s="441" t="str">
        <f>NhanCong_Xa!C8</f>
        <v>Thu nhận các thông tin cần thiết để xây dựng siêu dữ liệu (thông tin mô tả dữ liệu) thống kê, kiểm kê đất đai</v>
      </c>
      <c r="C34" s="452" t="str">
        <f>NhanCong_Xa!D8</f>
        <v>Bộ dữ liệu theo xã</v>
      </c>
      <c r="D34" s="442">
        <f>$D$32</f>
        <v>18</v>
      </c>
      <c r="E34" s="436">
        <f>VLOOKUP(A34,DonGia_Xa!$B$8:$N$44,13,FALSE)</f>
        <v>27890.331407238387</v>
      </c>
      <c r="F34" s="443">
        <f t="shared" si="6"/>
        <v>502025.96533029096</v>
      </c>
      <c r="G34" s="443">
        <f t="shared" si="7"/>
        <v>75303.894799543647</v>
      </c>
      <c r="H34" s="443">
        <f t="shared" si="8"/>
        <v>20081.03861321164</v>
      </c>
      <c r="I34" s="443">
        <f t="shared" si="9"/>
        <v>597410.89874304621</v>
      </c>
      <c r="J34" s="443">
        <f t="shared" si="10"/>
        <v>59741.089874304627</v>
      </c>
      <c r="K34" s="443">
        <f t="shared" si="11"/>
        <v>657151.98861735081</v>
      </c>
    </row>
    <row r="35" spans="1:12" s="439" customFormat="1" ht="24.75" customHeight="1">
      <c r="A35" s="440" t="str">
        <f>NhanCong_Xa!B9</f>
        <v>2.2</v>
      </c>
      <c r="B35" s="441" t="str">
        <f>NhanCong_Xa!C9</f>
        <v>Nhập thông tin siêu dữ liệu kiểm kê đất đai</v>
      </c>
      <c r="C35" s="452" t="str">
        <f>NhanCong_Xa!D9</f>
        <v>Bộ dữ liệu theo xã</v>
      </c>
      <c r="D35" s="442">
        <f>$D$32</f>
        <v>18</v>
      </c>
      <c r="E35" s="436">
        <f>VLOOKUP(A35,DonGia_Xa!$B$8:$N$45,13,FALSE)</f>
        <v>96086.877079092141</v>
      </c>
      <c r="F35" s="443">
        <f t="shared" si="6"/>
        <v>1729563.7874236587</v>
      </c>
      <c r="G35" s="443">
        <f t="shared" si="7"/>
        <v>259434.5681135488</v>
      </c>
      <c r="H35" s="443">
        <f t="shared" si="8"/>
        <v>69182.55149694634</v>
      </c>
      <c r="I35" s="443">
        <f t="shared" si="9"/>
        <v>2058180.9070341536</v>
      </c>
      <c r="J35" s="443">
        <f t="shared" si="10"/>
        <v>205818.09070341536</v>
      </c>
      <c r="K35" s="443">
        <f t="shared" si="11"/>
        <v>2263998.9977375688</v>
      </c>
      <c r="L35" s="421"/>
    </row>
    <row r="36" spans="1:12" ht="28.5">
      <c r="A36" s="432">
        <f>NhanCong_Xa!B10</f>
        <v>3</v>
      </c>
      <c r="B36" s="433" t="str">
        <f>NhanCong_Xa!C10</f>
        <v>Phục vụ kiểm tra, nghiệm thu cơ sở dữ liệu thống kê, kiểm kê đất đai</v>
      </c>
      <c r="C36" s="453"/>
      <c r="D36" s="442"/>
      <c r="E36" s="436">
        <f>DonGia_Xa!L42</f>
        <v>0</v>
      </c>
      <c r="F36" s="443">
        <f t="shared" si="6"/>
        <v>0</v>
      </c>
      <c r="G36" s="443">
        <f t="shared" si="7"/>
        <v>0</v>
      </c>
      <c r="H36" s="443">
        <f t="shared" si="8"/>
        <v>0</v>
      </c>
      <c r="I36" s="443">
        <f t="shared" si="9"/>
        <v>0</v>
      </c>
      <c r="J36" s="443">
        <f t="shared" si="10"/>
        <v>0</v>
      </c>
      <c r="K36" s="437">
        <f>K37+K38</f>
        <v>29883.853956406158</v>
      </c>
    </row>
    <row r="37" spans="1:12" s="439" customFormat="1" ht="45">
      <c r="A37" s="440" t="str">
        <f>NhanCong_Xa!B11</f>
        <v>3.1</v>
      </c>
      <c r="B37" s="441" t="str">
        <f>NhanCong_Xa!C11</f>
        <v>Đơn vị thi công chuẩn bị tài liệu và phục vụ giám sát kiểm tra, nghiệm thu.</v>
      </c>
      <c r="C37" s="452" t="str">
        <f>NhanCong_Xa!D11</f>
        <v>Bộ dữ liệu theo xã</v>
      </c>
      <c r="D37" s="442">
        <f>Chitietbangbieu!$AA$31</f>
        <v>18</v>
      </c>
      <c r="E37" s="436">
        <f>VLOOKUP(A37,DonGia_Xa!$B$8:$N$45,13,FALSE)</f>
        <v>0</v>
      </c>
      <c r="F37" s="443">
        <f t="shared" si="6"/>
        <v>0</v>
      </c>
      <c r="G37" s="443">
        <f t="shared" si="7"/>
        <v>0</v>
      </c>
      <c r="H37" s="443">
        <f t="shared" si="8"/>
        <v>0</v>
      </c>
      <c r="I37" s="443">
        <f t="shared" si="9"/>
        <v>0</v>
      </c>
      <c r="J37" s="443">
        <f t="shared" si="10"/>
        <v>0</v>
      </c>
      <c r="K37" s="443">
        <f t="shared" si="11"/>
        <v>0</v>
      </c>
      <c r="L37" s="421"/>
    </row>
    <row r="38" spans="1:12" ht="60">
      <c r="A38" s="440" t="str">
        <f>NhanCong_Xa!B12</f>
        <v>3.2</v>
      </c>
      <c r="B38" s="441" t="str">
        <f>NhanCong_Xa!C12</f>
        <v>Thực hiện kiểm tra tổng thể cơ sở dữ liệu thống kê, kiểm kê đất đai và tích hợp vào hệ thống ngay sau khi được nghiệm thu để phục vụ quản lý, vận hành, khai thác sử dụng.</v>
      </c>
      <c r="C38" s="452" t="str">
        <f>NhanCong_Xa!D12</f>
        <v>Bộ dữ liệu theo xã</v>
      </c>
      <c r="D38" s="442">
        <f>Chitietbangbieu!$AA$31</f>
        <v>18</v>
      </c>
      <c r="E38" s="436">
        <f>VLOOKUP(A38,DonGia_Xa!$B$8:$N$45,13,FALSE)</f>
        <v>1268.3071876923077</v>
      </c>
      <c r="F38" s="443">
        <f t="shared" si="6"/>
        <v>22829.529378461539</v>
      </c>
      <c r="G38" s="443">
        <f t="shared" si="7"/>
        <v>3424.4294067692308</v>
      </c>
      <c r="H38" s="443">
        <f t="shared" si="8"/>
        <v>913.18117513846153</v>
      </c>
      <c r="I38" s="443">
        <f t="shared" si="9"/>
        <v>27167.139960369233</v>
      </c>
      <c r="J38" s="443">
        <f t="shared" si="10"/>
        <v>2716.7139960369236</v>
      </c>
      <c r="K38" s="443">
        <f t="shared" si="11"/>
        <v>29883.853956406158</v>
      </c>
    </row>
    <row r="39" spans="1:12" ht="45">
      <c r="A39" s="440" t="str">
        <f>NhanCong_Xa!B13</f>
        <v>3.3</v>
      </c>
      <c r="B39" s="441" t="str">
        <f>NhanCong_Xa!C13</f>
        <v>Đóng gói giao nộp cơ sở dữ liệu thống kê, kiểm kê đất đai</v>
      </c>
      <c r="C39" s="452" t="str">
        <f>NhanCong_Xa!D13</f>
        <v>Bộ dữ liệu theo xã</v>
      </c>
      <c r="D39" s="442">
        <f>Chitietbangbieu!$AA$31</f>
        <v>18</v>
      </c>
      <c r="E39" s="436">
        <f>VLOOKUP(A39,DonGia_Xa!$B$8:$N$45,13,FALSE)</f>
        <v>23442.561507238388</v>
      </c>
      <c r="F39" s="443">
        <f t="shared" ref="F39" si="17">D39*E39</f>
        <v>421966.107130291</v>
      </c>
      <c r="G39" s="443">
        <f t="shared" ref="G39" si="18">F39*15%</f>
        <v>63294.916069543644</v>
      </c>
      <c r="H39" s="443">
        <f t="shared" ref="H39" si="19">F39*4%</f>
        <v>16878.644285211642</v>
      </c>
      <c r="I39" s="443">
        <f t="shared" ref="I39" si="20">F39+G39+H39</f>
        <v>502139.66748504626</v>
      </c>
      <c r="J39" s="443">
        <f t="shared" ref="J39" si="21">I39*10%</f>
        <v>50213.96674850463</v>
      </c>
      <c r="K39" s="443">
        <f t="shared" ref="K39" si="22">I39+J39</f>
        <v>552353.63423355087</v>
      </c>
    </row>
    <row r="40" spans="1:12">
      <c r="A40" s="447"/>
      <c r="B40" s="450" t="s">
        <v>37</v>
      </c>
      <c r="C40" s="447"/>
      <c r="D40" s="447"/>
      <c r="E40" s="447"/>
      <c r="F40" s="448"/>
      <c r="G40" s="448"/>
      <c r="H40" s="448"/>
      <c r="I40" s="448"/>
      <c r="J40" s="448"/>
      <c r="K40" s="451" t="e">
        <f>K6+K10+K11+K12+K21+K27+K33+K32+K36</f>
        <v>#REF!</v>
      </c>
    </row>
  </sheetData>
  <mergeCells count="3">
    <mergeCell ref="A1:K1"/>
    <mergeCell ref="A2:K2"/>
    <mergeCell ref="J3:K3"/>
  </mergeCells>
  <pageMargins left="0.7" right="0.7" top="0.75" bottom="0.75" header="0.3" footer="0.3"/>
  <pageSetup orientation="portrait" verticalDpi="0"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3"/>
  <sheetViews>
    <sheetView workbookViewId="0">
      <pane xSplit="11" ySplit="3" topLeftCell="L19" activePane="bottomRight" state="frozen"/>
      <selection sqref="A1:L1"/>
      <selection pane="topRight" sqref="A1:L1"/>
      <selection pane="bottomLeft" sqref="A1:L1"/>
      <selection pane="bottomRight" sqref="A1:L1"/>
    </sheetView>
  </sheetViews>
  <sheetFormatPr defaultColWidth="8.625" defaultRowHeight="15.75"/>
  <cols>
    <col min="1" max="1" width="3.625" style="2" bestFit="1" customWidth="1"/>
    <col min="2" max="2" width="13.375" style="2" bestFit="1" customWidth="1"/>
    <col min="3" max="4" width="8.625" style="2"/>
    <col min="5" max="5" width="10.125" style="2" customWidth="1"/>
    <col min="6" max="7" width="8.625" style="2"/>
    <col min="8" max="8" width="8.375" style="2" customWidth="1"/>
    <col min="9" max="9" width="6" style="2" customWidth="1"/>
    <col min="10" max="10" width="6.75" style="2" customWidth="1"/>
    <col min="11" max="11" width="4.5" style="2" customWidth="1"/>
    <col min="12" max="12" width="8.375" style="2" customWidth="1"/>
    <col min="13" max="13" width="9.875" style="2" customWidth="1"/>
    <col min="14" max="14" width="9.375" style="2" customWidth="1"/>
    <col min="15" max="15" width="9.125" style="2" customWidth="1"/>
    <col min="16" max="16" width="13.125" style="2" customWidth="1"/>
    <col min="17" max="17" width="6.375" style="2" bestFit="1" customWidth="1"/>
    <col min="18" max="18" width="9.375" style="2" bestFit="1" customWidth="1"/>
    <col min="19" max="20" width="8.625" style="2"/>
    <col min="21" max="21" width="6.375" style="2" bestFit="1" customWidth="1"/>
    <col min="22" max="22" width="9.375" style="2" bestFit="1" customWidth="1"/>
    <col min="23" max="26" width="8.625" style="2"/>
    <col min="27" max="27" width="10.125" style="2" customWidth="1"/>
    <col min="28" max="16384" width="8.625" style="2"/>
  </cols>
  <sheetData>
    <row r="1" spans="1:16" ht="15.6" customHeight="1">
      <c r="A1" s="1320" t="s">
        <v>14</v>
      </c>
      <c r="B1" s="1337" t="s">
        <v>634</v>
      </c>
      <c r="C1" s="1349" t="s">
        <v>635</v>
      </c>
      <c r="D1" s="1350"/>
      <c r="E1" s="1350"/>
      <c r="F1" s="1350"/>
      <c r="G1" s="1350"/>
      <c r="H1" s="1351"/>
      <c r="I1" s="1336" t="s">
        <v>719</v>
      </c>
      <c r="J1" s="1336"/>
      <c r="K1" s="1336"/>
      <c r="L1" s="1327" t="s">
        <v>720</v>
      </c>
      <c r="M1" s="1327"/>
      <c r="N1" s="1327"/>
      <c r="O1" s="1327" t="s">
        <v>721</v>
      </c>
      <c r="P1" s="1327"/>
    </row>
    <row r="2" spans="1:16">
      <c r="A2" s="1346"/>
      <c r="B2" s="1338"/>
      <c r="C2" s="1352"/>
      <c r="D2" s="1334"/>
      <c r="E2" s="1334"/>
      <c r="F2" s="1334"/>
      <c r="G2" s="1334"/>
      <c r="H2" s="1353"/>
      <c r="I2" s="1336"/>
      <c r="J2" s="1336"/>
      <c r="K2" s="1336"/>
      <c r="L2" s="1344" t="s">
        <v>723</v>
      </c>
      <c r="M2" s="1320" t="s">
        <v>630</v>
      </c>
      <c r="N2" s="1320" t="s">
        <v>631</v>
      </c>
      <c r="O2" s="1320" t="s">
        <v>630</v>
      </c>
      <c r="P2" s="1320" t="s">
        <v>631</v>
      </c>
    </row>
    <row r="3" spans="1:16">
      <c r="A3" s="1321"/>
      <c r="B3" s="1339"/>
      <c r="C3" s="1354"/>
      <c r="D3" s="1335"/>
      <c r="E3" s="1335"/>
      <c r="F3" s="1335"/>
      <c r="G3" s="1335"/>
      <c r="H3" s="1355"/>
      <c r="I3" s="413" t="s">
        <v>724</v>
      </c>
      <c r="J3" s="413" t="s">
        <v>725</v>
      </c>
      <c r="K3" s="413" t="s">
        <v>726</v>
      </c>
      <c r="L3" s="1345"/>
      <c r="M3" s="1321"/>
      <c r="N3" s="1321"/>
      <c r="O3" s="1321"/>
      <c r="P3" s="1321"/>
    </row>
    <row r="4" spans="1:16">
      <c r="A4" s="413"/>
      <c r="B4" s="413" t="s">
        <v>15</v>
      </c>
      <c r="C4" s="1348" t="s">
        <v>579</v>
      </c>
      <c r="D4" s="1348"/>
      <c r="E4" s="1348"/>
      <c r="F4" s="1348"/>
      <c r="G4" s="1348"/>
      <c r="H4" s="1348"/>
      <c r="I4" s="418"/>
      <c r="J4" s="418"/>
      <c r="K4" s="418"/>
      <c r="L4" s="418"/>
      <c r="M4" s="412"/>
      <c r="N4" s="412"/>
      <c r="O4" s="412"/>
      <c r="P4" s="412"/>
    </row>
    <row r="5" spans="1:16" ht="15.6" customHeight="1">
      <c r="A5" s="413"/>
      <c r="B5" s="396">
        <v>1</v>
      </c>
      <c r="C5" s="1347" t="s">
        <v>671</v>
      </c>
      <c r="D5" s="1347"/>
      <c r="E5" s="1347"/>
      <c r="F5" s="1347"/>
      <c r="G5" s="1347"/>
      <c r="H5" s="1347"/>
      <c r="I5" s="419" t="s">
        <v>722</v>
      </c>
      <c r="J5" s="419"/>
      <c r="K5" s="419"/>
      <c r="L5" s="396">
        <v>1</v>
      </c>
      <c r="M5" s="412"/>
      <c r="N5" s="412"/>
      <c r="O5" s="412"/>
      <c r="P5" s="412"/>
    </row>
    <row r="6" spans="1:16" ht="15.6" customHeight="1">
      <c r="A6" s="413"/>
      <c r="B6" s="396">
        <v>2</v>
      </c>
      <c r="C6" s="1347" t="s">
        <v>672</v>
      </c>
      <c r="D6" s="1347"/>
      <c r="E6" s="1347"/>
      <c r="F6" s="1347"/>
      <c r="G6" s="1347"/>
      <c r="H6" s="1347"/>
      <c r="I6" s="419" t="s">
        <v>722</v>
      </c>
      <c r="J6" s="419" t="s">
        <v>722</v>
      </c>
      <c r="K6" s="419" t="s">
        <v>722</v>
      </c>
      <c r="L6" s="396">
        <v>1</v>
      </c>
      <c r="M6" s="412"/>
      <c r="N6" s="412"/>
      <c r="O6" s="412"/>
      <c r="P6" s="412"/>
    </row>
    <row r="7" spans="1:16">
      <c r="A7" s="413"/>
      <c r="B7" s="413" t="s">
        <v>65</v>
      </c>
      <c r="C7" s="1348" t="s">
        <v>716</v>
      </c>
      <c r="D7" s="1348"/>
      <c r="E7" s="1348"/>
      <c r="F7" s="1348"/>
      <c r="G7" s="1348"/>
      <c r="H7" s="1348"/>
      <c r="I7" s="418"/>
      <c r="J7" s="418"/>
      <c r="K7" s="418"/>
      <c r="L7" s="418"/>
      <c r="M7" s="412"/>
      <c r="N7" s="412"/>
      <c r="O7" s="412"/>
      <c r="P7" s="412"/>
    </row>
    <row r="8" spans="1:16" ht="42" customHeight="1">
      <c r="A8" s="413"/>
      <c r="B8" s="396">
        <v>1</v>
      </c>
      <c r="C8" s="1347" t="s">
        <v>733</v>
      </c>
      <c r="D8" s="1347"/>
      <c r="E8" s="1347"/>
      <c r="F8" s="1347"/>
      <c r="G8" s="1347"/>
      <c r="H8" s="1347"/>
      <c r="I8" s="419" t="s">
        <v>722</v>
      </c>
      <c r="J8" s="419" t="s">
        <v>722</v>
      </c>
      <c r="K8" s="396" t="s">
        <v>722</v>
      </c>
      <c r="L8" s="396"/>
      <c r="M8" s="412"/>
      <c r="N8" s="412">
        <v>50</v>
      </c>
      <c r="O8" s="412"/>
      <c r="P8" s="412">
        <v>50</v>
      </c>
    </row>
    <row r="9" spans="1:16" ht="24.95" customHeight="1">
      <c r="A9" s="413"/>
      <c r="B9" s="396">
        <v>2</v>
      </c>
      <c r="C9" s="1347" t="s">
        <v>674</v>
      </c>
      <c r="D9" s="1347"/>
      <c r="E9" s="1347"/>
      <c r="F9" s="1347"/>
      <c r="G9" s="1347"/>
      <c r="H9" s="1347"/>
      <c r="I9" s="419" t="s">
        <v>722</v>
      </c>
      <c r="J9" s="419" t="s">
        <v>722</v>
      </c>
      <c r="K9" s="419" t="s">
        <v>722</v>
      </c>
      <c r="L9" s="419"/>
      <c r="M9" s="412"/>
      <c r="N9" s="412">
        <v>25</v>
      </c>
      <c r="O9" s="412"/>
      <c r="P9" s="412"/>
    </row>
    <row r="10" spans="1:16" ht="24.95" customHeight="1">
      <c r="A10" s="413"/>
      <c r="B10" s="396" t="s">
        <v>717</v>
      </c>
      <c r="C10" s="1347" t="s">
        <v>718</v>
      </c>
      <c r="D10" s="1347"/>
      <c r="E10" s="1347"/>
      <c r="F10" s="1347"/>
      <c r="G10" s="1347"/>
      <c r="H10" s="1347"/>
      <c r="I10" s="419" t="s">
        <v>722</v>
      </c>
      <c r="J10" s="419"/>
      <c r="K10" s="419"/>
      <c r="L10" s="419"/>
      <c r="M10" s="412"/>
      <c r="N10" s="412">
        <v>5</v>
      </c>
      <c r="O10" s="412"/>
      <c r="P10" s="412"/>
    </row>
    <row r="11" spans="1:16" ht="47.1" customHeight="1">
      <c r="A11" s="396">
        <v>1</v>
      </c>
      <c r="B11" s="396" t="s">
        <v>636</v>
      </c>
      <c r="C11" s="1340" t="s">
        <v>637</v>
      </c>
      <c r="D11" s="1340"/>
      <c r="E11" s="1340"/>
      <c r="F11" s="1340"/>
      <c r="G11" s="1340"/>
      <c r="H11" s="1340"/>
      <c r="I11" s="414" t="s">
        <v>722</v>
      </c>
      <c r="J11" s="414" t="s">
        <v>722</v>
      </c>
      <c r="K11" s="414" t="s">
        <v>722</v>
      </c>
      <c r="L11" s="414"/>
      <c r="M11" s="368">
        <v>1</v>
      </c>
      <c r="N11" s="368"/>
      <c r="O11" s="368">
        <v>1</v>
      </c>
      <c r="P11" s="368"/>
    </row>
    <row r="12" spans="1:16" ht="47.1" customHeight="1">
      <c r="A12" s="396">
        <v>2</v>
      </c>
      <c r="B12" s="396" t="s">
        <v>638</v>
      </c>
      <c r="C12" s="1340" t="s">
        <v>639</v>
      </c>
      <c r="D12" s="1340"/>
      <c r="E12" s="1340"/>
      <c r="F12" s="1340"/>
      <c r="G12" s="1340"/>
      <c r="H12" s="1340"/>
      <c r="I12" s="414" t="s">
        <v>722</v>
      </c>
      <c r="J12" s="414" t="s">
        <v>722</v>
      </c>
      <c r="K12" s="414" t="s">
        <v>722</v>
      </c>
      <c r="L12" s="414"/>
      <c r="M12" s="368">
        <v>1</v>
      </c>
      <c r="N12" s="368"/>
      <c r="O12" s="368">
        <v>1</v>
      </c>
      <c r="P12" s="368"/>
    </row>
    <row r="13" spans="1:16" ht="47.1" customHeight="1">
      <c r="A13" s="396">
        <v>3</v>
      </c>
      <c r="B13" s="396" t="s">
        <v>640</v>
      </c>
      <c r="C13" s="1340" t="s">
        <v>641</v>
      </c>
      <c r="D13" s="1340"/>
      <c r="E13" s="1340"/>
      <c r="F13" s="1340"/>
      <c r="G13" s="1340"/>
      <c r="H13" s="1340"/>
      <c r="I13" s="414" t="s">
        <v>722</v>
      </c>
      <c r="J13" s="414" t="s">
        <v>722</v>
      </c>
      <c r="K13" s="414" t="s">
        <v>722</v>
      </c>
      <c r="L13" s="414"/>
      <c r="M13" s="368">
        <v>1</v>
      </c>
      <c r="N13" s="368"/>
      <c r="O13" s="368">
        <v>1</v>
      </c>
      <c r="P13" s="368"/>
    </row>
    <row r="14" spans="1:16" ht="47.1" customHeight="1">
      <c r="A14" s="396">
        <v>4</v>
      </c>
      <c r="B14" s="396" t="s">
        <v>642</v>
      </c>
      <c r="C14" s="1340" t="s">
        <v>643</v>
      </c>
      <c r="D14" s="1340"/>
      <c r="E14" s="1340"/>
      <c r="F14" s="1340"/>
      <c r="G14" s="1340"/>
      <c r="H14" s="1340"/>
      <c r="I14" s="414"/>
      <c r="J14" s="414" t="s">
        <v>722</v>
      </c>
      <c r="K14" s="414" t="s">
        <v>722</v>
      </c>
      <c r="L14" s="414"/>
      <c r="M14" s="368"/>
      <c r="N14" s="368"/>
      <c r="O14" s="368">
        <v>1</v>
      </c>
      <c r="P14" s="368"/>
    </row>
    <row r="15" spans="1:16" ht="47.1" customHeight="1">
      <c r="A15" s="396">
        <v>5</v>
      </c>
      <c r="B15" s="396" t="s">
        <v>644</v>
      </c>
      <c r="C15" s="1340" t="s">
        <v>645</v>
      </c>
      <c r="D15" s="1340"/>
      <c r="E15" s="1340"/>
      <c r="F15" s="1340"/>
      <c r="G15" s="1340"/>
      <c r="H15" s="1340"/>
      <c r="I15" s="414" t="s">
        <v>722</v>
      </c>
      <c r="J15" s="414" t="s">
        <v>722</v>
      </c>
      <c r="K15" s="414" t="s">
        <v>722</v>
      </c>
      <c r="L15" s="414"/>
      <c r="M15" s="368">
        <v>1</v>
      </c>
      <c r="N15" s="368"/>
      <c r="O15" s="368">
        <v>1</v>
      </c>
      <c r="P15" s="368"/>
    </row>
    <row r="16" spans="1:16" ht="47.1" customHeight="1">
      <c r="A16" s="396">
        <v>6</v>
      </c>
      <c r="B16" s="396" t="s">
        <v>646</v>
      </c>
      <c r="C16" s="1356"/>
      <c r="D16" s="1356"/>
      <c r="E16" s="1356"/>
      <c r="F16" s="1356"/>
      <c r="G16" s="1356"/>
      <c r="H16" s="1356"/>
      <c r="I16" s="417" t="s">
        <v>722</v>
      </c>
      <c r="J16" s="417"/>
      <c r="K16" s="417"/>
      <c r="L16" s="417"/>
      <c r="M16" s="368">
        <v>1</v>
      </c>
      <c r="N16" s="368"/>
      <c r="O16" s="368">
        <v>1</v>
      </c>
      <c r="P16" s="368"/>
    </row>
    <row r="17" spans="1:28" ht="47.1" customHeight="1">
      <c r="A17" s="396">
        <v>7</v>
      </c>
      <c r="B17" s="396" t="s">
        <v>648</v>
      </c>
      <c r="C17" s="1340" t="s">
        <v>649</v>
      </c>
      <c r="D17" s="1340"/>
      <c r="E17" s="1340"/>
      <c r="F17" s="1340"/>
      <c r="G17" s="1340"/>
      <c r="H17" s="1340"/>
      <c r="I17" s="414" t="s">
        <v>722</v>
      </c>
      <c r="J17" s="414" t="s">
        <v>722</v>
      </c>
      <c r="K17" s="414" t="s">
        <v>722</v>
      </c>
      <c r="L17" s="414"/>
      <c r="M17" s="368">
        <v>1</v>
      </c>
      <c r="N17" s="368"/>
      <c r="O17" s="368"/>
      <c r="P17" s="368"/>
    </row>
    <row r="18" spans="1:28" ht="47.1" customHeight="1">
      <c r="A18" s="396"/>
      <c r="B18" s="396" t="s">
        <v>650</v>
      </c>
      <c r="C18" s="1340" t="s">
        <v>649</v>
      </c>
      <c r="D18" s="1340"/>
      <c r="E18" s="1340"/>
      <c r="F18" s="1340"/>
      <c r="G18" s="1340"/>
      <c r="H18" s="1340"/>
      <c r="I18" s="414" t="s">
        <v>722</v>
      </c>
      <c r="J18" s="414"/>
      <c r="K18" s="414"/>
      <c r="L18" s="414"/>
      <c r="M18" s="368">
        <v>1</v>
      </c>
      <c r="N18" s="368"/>
      <c r="O18" s="368"/>
      <c r="P18" s="368"/>
    </row>
    <row r="19" spans="1:28" ht="47.1" customHeight="1">
      <c r="A19" s="396">
        <v>9</v>
      </c>
      <c r="B19" s="396" t="s">
        <v>652</v>
      </c>
      <c r="C19" s="1340" t="s">
        <v>653</v>
      </c>
      <c r="D19" s="1340"/>
      <c r="E19" s="1340"/>
      <c r="F19" s="1340"/>
      <c r="G19" s="1340"/>
      <c r="H19" s="1340"/>
      <c r="I19" s="414" t="s">
        <v>722</v>
      </c>
      <c r="J19" s="414" t="s">
        <v>722</v>
      </c>
      <c r="K19" s="414" t="s">
        <v>722</v>
      </c>
      <c r="L19" s="414"/>
      <c r="M19" s="368">
        <v>1</v>
      </c>
      <c r="N19" s="368"/>
      <c r="O19" s="368"/>
      <c r="P19" s="368"/>
    </row>
    <row r="20" spans="1:28" ht="47.1" customHeight="1">
      <c r="A20" s="396">
        <v>10</v>
      </c>
      <c r="B20" s="396" t="s">
        <v>654</v>
      </c>
      <c r="C20" s="1340" t="s">
        <v>655</v>
      </c>
      <c r="D20" s="1340"/>
      <c r="E20" s="1340"/>
      <c r="F20" s="1340"/>
      <c r="G20" s="1340"/>
      <c r="H20" s="1340"/>
      <c r="I20" s="414" t="s">
        <v>722</v>
      </c>
      <c r="J20" s="414" t="s">
        <v>722</v>
      </c>
      <c r="K20" s="414" t="s">
        <v>722</v>
      </c>
      <c r="L20" s="414"/>
      <c r="M20" s="368">
        <v>1</v>
      </c>
      <c r="N20" s="368"/>
      <c r="O20" s="368"/>
      <c r="P20" s="368"/>
    </row>
    <row r="21" spans="1:28" ht="47.1" customHeight="1">
      <c r="A21" s="396">
        <v>11</v>
      </c>
      <c r="B21" s="396" t="s">
        <v>656</v>
      </c>
      <c r="C21" s="1340" t="s">
        <v>657</v>
      </c>
      <c r="D21" s="1340"/>
      <c r="E21" s="1340"/>
      <c r="F21" s="1340"/>
      <c r="G21" s="1340"/>
      <c r="H21" s="1340"/>
      <c r="I21" s="414" t="s">
        <v>722</v>
      </c>
      <c r="J21" s="414" t="s">
        <v>722</v>
      </c>
      <c r="K21" s="414" t="s">
        <v>722</v>
      </c>
      <c r="L21" s="414"/>
      <c r="M21" s="368">
        <v>1</v>
      </c>
      <c r="N21" s="368"/>
      <c r="O21" s="368"/>
      <c r="P21" s="368"/>
    </row>
    <row r="22" spans="1:28" ht="47.1" customHeight="1">
      <c r="A22" s="396">
        <v>12</v>
      </c>
      <c r="B22" s="396" t="s">
        <v>658</v>
      </c>
      <c r="C22" s="1340" t="s">
        <v>659</v>
      </c>
      <c r="D22" s="1340"/>
      <c r="E22" s="1340"/>
      <c r="F22" s="1340"/>
      <c r="G22" s="1340"/>
      <c r="H22" s="1340"/>
      <c r="I22" s="414" t="s">
        <v>722</v>
      </c>
      <c r="J22" s="414" t="s">
        <v>722</v>
      </c>
      <c r="K22" s="414" t="s">
        <v>722</v>
      </c>
      <c r="L22" s="414"/>
      <c r="M22" s="368">
        <v>1</v>
      </c>
      <c r="N22" s="368"/>
      <c r="O22" s="368">
        <v>1</v>
      </c>
      <c r="P22" s="368"/>
    </row>
    <row r="23" spans="1:28" ht="47.1" customHeight="1">
      <c r="A23" s="396">
        <v>13</v>
      </c>
      <c r="B23" s="396" t="s">
        <v>660</v>
      </c>
      <c r="C23" s="1340" t="s">
        <v>661</v>
      </c>
      <c r="D23" s="1340"/>
      <c r="E23" s="1340"/>
      <c r="F23" s="1340"/>
      <c r="G23" s="1340"/>
      <c r="H23" s="1340"/>
      <c r="I23" s="414" t="s">
        <v>722</v>
      </c>
      <c r="J23" s="414" t="s">
        <v>722</v>
      </c>
      <c r="K23" s="414" t="s">
        <v>722</v>
      </c>
      <c r="L23" s="414"/>
      <c r="M23" s="368">
        <v>1</v>
      </c>
      <c r="N23" s="368"/>
      <c r="O23" s="368">
        <v>1</v>
      </c>
      <c r="P23" s="368"/>
    </row>
    <row r="24" spans="1:28" ht="47.1" customHeight="1">
      <c r="A24" s="396">
        <v>14</v>
      </c>
      <c r="B24" s="396" t="s">
        <v>662</v>
      </c>
      <c r="C24" s="1340" t="s">
        <v>663</v>
      </c>
      <c r="D24" s="1340"/>
      <c r="E24" s="1340"/>
      <c r="F24" s="1340"/>
      <c r="G24" s="1340"/>
      <c r="H24" s="1340"/>
      <c r="I24" s="414" t="s">
        <v>722</v>
      </c>
      <c r="J24" s="414" t="s">
        <v>722</v>
      </c>
      <c r="K24" s="414" t="s">
        <v>722</v>
      </c>
      <c r="L24" s="414"/>
      <c r="M24" s="368">
        <v>1</v>
      </c>
      <c r="N24" s="368"/>
      <c r="O24" s="368">
        <v>1</v>
      </c>
      <c r="P24" s="368"/>
    </row>
    <row r="25" spans="1:28" ht="47.1" customHeight="1">
      <c r="A25" s="396">
        <v>15</v>
      </c>
      <c r="B25" s="396" t="s">
        <v>664</v>
      </c>
      <c r="C25" s="1340" t="s">
        <v>665</v>
      </c>
      <c r="D25" s="1340"/>
      <c r="E25" s="1340"/>
      <c r="F25" s="1340"/>
      <c r="G25" s="1340"/>
      <c r="H25" s="1340"/>
      <c r="I25" s="414"/>
      <c r="J25" s="414" t="s">
        <v>722</v>
      </c>
      <c r="K25" s="414" t="s">
        <v>722</v>
      </c>
      <c r="L25" s="414"/>
      <c r="M25" s="368">
        <v>1</v>
      </c>
      <c r="N25" s="368"/>
      <c r="O25" s="368">
        <v>1</v>
      </c>
      <c r="P25" s="368"/>
    </row>
    <row r="26" spans="1:28" ht="47.1" customHeight="1">
      <c r="A26" s="396">
        <v>16</v>
      </c>
      <c r="B26" s="396" t="s">
        <v>666</v>
      </c>
      <c r="C26" s="1340" t="s">
        <v>667</v>
      </c>
      <c r="D26" s="1340"/>
      <c r="E26" s="1340"/>
      <c r="F26" s="1340"/>
      <c r="G26" s="1340"/>
      <c r="H26" s="1340"/>
      <c r="I26" s="414"/>
      <c r="J26" s="414"/>
      <c r="K26" s="414" t="s">
        <v>722</v>
      </c>
      <c r="L26" s="414"/>
      <c r="M26" s="368">
        <v>1</v>
      </c>
      <c r="N26" s="368"/>
      <c r="O26" s="368"/>
      <c r="P26" s="368"/>
    </row>
    <row r="27" spans="1:28">
      <c r="A27" s="368"/>
      <c r="B27" s="368"/>
      <c r="C27" s="368"/>
      <c r="D27" s="368"/>
      <c r="E27" s="368"/>
      <c r="F27" s="368"/>
      <c r="G27" s="368"/>
      <c r="H27" s="368"/>
      <c r="I27" s="368"/>
      <c r="J27" s="368"/>
      <c r="K27" s="368"/>
      <c r="L27" s="368"/>
      <c r="M27" s="368"/>
      <c r="N27" s="368"/>
      <c r="O27" s="368"/>
      <c r="P27" s="368"/>
    </row>
    <row r="28" spans="1:28"/>
    <row r="29" spans="1:28" ht="15.6" customHeight="1">
      <c r="Q29" s="1343" t="s">
        <v>728</v>
      </c>
      <c r="R29" s="1343"/>
      <c r="S29" s="1343"/>
      <c r="T29" s="1343"/>
      <c r="U29" s="1343" t="s">
        <v>727</v>
      </c>
      <c r="V29" s="1343"/>
      <c r="W29" s="1343"/>
      <c r="X29" s="1343"/>
      <c r="Y29" s="1343" t="s">
        <v>741</v>
      </c>
      <c r="Z29" s="1343" t="s">
        <v>742</v>
      </c>
      <c r="AA29" s="1341" t="s">
        <v>759</v>
      </c>
      <c r="AB29" s="1341" t="s">
        <v>760</v>
      </c>
    </row>
    <row r="30" spans="1:28" ht="48.95" customHeight="1">
      <c r="Q30" s="2" t="s">
        <v>729</v>
      </c>
      <c r="R30" s="2" t="s">
        <v>730</v>
      </c>
      <c r="S30" s="2" t="s">
        <v>731</v>
      </c>
      <c r="T30" s="403" t="s">
        <v>757</v>
      </c>
      <c r="U30" s="2" t="s">
        <v>729</v>
      </c>
      <c r="V30" s="2" t="s">
        <v>730</v>
      </c>
      <c r="W30" s="2" t="s">
        <v>731</v>
      </c>
      <c r="X30" s="403" t="s">
        <v>758</v>
      </c>
      <c r="Y30" s="1343"/>
      <c r="Z30" s="1343"/>
      <c r="AA30" s="1341"/>
      <c r="AB30" s="1341"/>
    </row>
    <row r="31" spans="1:28">
      <c r="P31" s="2" t="s">
        <v>431</v>
      </c>
      <c r="Q31" s="2">
        <f>SUMIF(I8:I9,"x",N8:N9)</f>
        <v>75</v>
      </c>
      <c r="R31" s="2">
        <f>SUMIF(J8:J9,"x",N8:N9)</f>
        <v>75</v>
      </c>
      <c r="S31" s="2">
        <f>SUMIF(K8:K9,"x",N8:N9)</f>
        <v>75</v>
      </c>
      <c r="T31" s="2">
        <v>75</v>
      </c>
      <c r="U31" s="2">
        <f>SUMIF(I8:I9,"x",P8:P9)</f>
        <v>50</v>
      </c>
      <c r="V31" s="2">
        <f>SUMIF(J8:J9,"x",P8:P9)</f>
        <v>50</v>
      </c>
      <c r="W31" s="2">
        <f>SUMIF(K8:K9,"x",P8:P9)</f>
        <v>50</v>
      </c>
      <c r="X31" s="2">
        <v>50</v>
      </c>
      <c r="Y31" s="1342">
        <v>14</v>
      </c>
      <c r="Z31" s="1342">
        <v>4</v>
      </c>
      <c r="AA31" s="1274">
        <f>Y31+Z31</f>
        <v>18</v>
      </c>
      <c r="AB31" s="1274">
        <f>8</f>
        <v>8</v>
      </c>
    </row>
    <row r="32" spans="1:28">
      <c r="P32" s="2" t="s">
        <v>732</v>
      </c>
      <c r="Q32" s="2">
        <f>SUMIF(I10:I26,"x",M10:M26)+SUMIF(I10:I26,"x",N10:N26)</f>
        <v>18</v>
      </c>
      <c r="R32" s="2">
        <f>SUMIF(J10:J26,"x",M10:M26)+SUMIF(J10:J26,"x",N10:N26)</f>
        <v>12</v>
      </c>
      <c r="S32" s="2">
        <f>SUMIF(K10:K26,"x",M10:M26)+SUMIF(K10:K26,"x",N10:N26)</f>
        <v>13</v>
      </c>
      <c r="T32" s="2">
        <v>15</v>
      </c>
      <c r="U32" s="2">
        <f>SUMIF(I10:I26,"x",O10:O26)+SUMIF(I10:I26,"x",P10:P26)</f>
        <v>8</v>
      </c>
      <c r="V32" s="2">
        <f>SUMIF(J10:J26,"x",O10:O26)+SUMIF(J10:J26,"x",P10:P26)</f>
        <v>9</v>
      </c>
      <c r="W32" s="2">
        <f>SUMIF(K10:K26,"x",O10:O26)+SUMIF(K10:K26,"x",P10:P26)</f>
        <v>9</v>
      </c>
      <c r="X32" s="2">
        <v>11</v>
      </c>
      <c r="Y32" s="1342"/>
      <c r="Z32" s="1342"/>
      <c r="AA32" s="1274"/>
      <c r="AB32" s="1274"/>
    </row>
    <row r="33" spans="2:28">
      <c r="B33" s="403"/>
      <c r="P33" s="2" t="s">
        <v>579</v>
      </c>
      <c r="Q33" s="2">
        <v>2</v>
      </c>
      <c r="R33" s="2">
        <v>1</v>
      </c>
      <c r="S33" s="2">
        <v>1</v>
      </c>
      <c r="T33" s="2">
        <v>1</v>
      </c>
      <c r="U33" s="2">
        <v>0</v>
      </c>
      <c r="V33" s="2">
        <v>0</v>
      </c>
      <c r="W33" s="2">
        <v>0</v>
      </c>
      <c r="X33" s="2">
        <v>0</v>
      </c>
      <c r="Y33" s="1342"/>
      <c r="Z33" s="1342"/>
      <c r="AA33" s="1274"/>
      <c r="AB33" s="1274"/>
    </row>
    <row r="34" spans="2:28">
      <c r="B34" s="403"/>
      <c r="P34" s="415" t="s">
        <v>938</v>
      </c>
      <c r="Y34" s="415"/>
    </row>
    <row r="35" spans="2:28" ht="31.5">
      <c r="B35" s="416" t="s">
        <v>14</v>
      </c>
      <c r="C35" s="416" t="s">
        <v>707</v>
      </c>
      <c r="D35" s="416" t="s">
        <v>708</v>
      </c>
      <c r="O35" s="2" t="s">
        <v>631</v>
      </c>
      <c r="P35" s="2" t="s">
        <v>431</v>
      </c>
      <c r="Q35" s="2">
        <f t="shared" ref="Q35:S36" si="0">Q31*$Z$31</f>
        <v>300</v>
      </c>
      <c r="R35" s="2">
        <f t="shared" si="0"/>
        <v>300</v>
      </c>
      <c r="S35" s="2">
        <f t="shared" si="0"/>
        <v>300</v>
      </c>
      <c r="T35" s="2">
        <f>T31*Z31</f>
        <v>300</v>
      </c>
      <c r="U35" s="2">
        <f>U31*Y31</f>
        <v>700</v>
      </c>
      <c r="V35" s="2">
        <f>V31*Y31</f>
        <v>700</v>
      </c>
      <c r="W35" s="2">
        <f>W31*Y31</f>
        <v>700</v>
      </c>
      <c r="X35" s="2">
        <f>X31*Y31</f>
        <v>700</v>
      </c>
    </row>
    <row r="36" spans="2:28" ht="31.5">
      <c r="B36" s="341">
        <v>1</v>
      </c>
      <c r="C36" s="362" t="s">
        <v>709</v>
      </c>
      <c r="D36" s="362">
        <v>2</v>
      </c>
      <c r="O36" s="2" t="s">
        <v>630</v>
      </c>
      <c r="P36" s="2" t="s">
        <v>732</v>
      </c>
      <c r="Q36" s="2">
        <f t="shared" si="0"/>
        <v>72</v>
      </c>
      <c r="R36" s="2">
        <f t="shared" si="0"/>
        <v>48</v>
      </c>
      <c r="S36" s="2">
        <f t="shared" si="0"/>
        <v>52</v>
      </c>
      <c r="T36" s="2">
        <f>T32*Z31</f>
        <v>60</v>
      </c>
      <c r="U36" s="2">
        <f>U32*Y31</f>
        <v>112</v>
      </c>
      <c r="V36" s="2">
        <f>V32*Y31</f>
        <v>126</v>
      </c>
      <c r="W36" s="2">
        <f>W32*Y31</f>
        <v>126</v>
      </c>
      <c r="X36" s="2">
        <f>X32*Y31</f>
        <v>154</v>
      </c>
    </row>
    <row r="37" spans="2:28" ht="31.5">
      <c r="B37" s="341">
        <v>2</v>
      </c>
      <c r="C37" s="362" t="s">
        <v>710</v>
      </c>
      <c r="D37" s="362">
        <v>2</v>
      </c>
      <c r="P37" s="2" t="s">
        <v>579</v>
      </c>
      <c r="Q37" s="2">
        <f>Q33</f>
        <v>2</v>
      </c>
      <c r="R37" s="2">
        <f>R33</f>
        <v>1</v>
      </c>
      <c r="S37" s="2">
        <f>S33</f>
        <v>1</v>
      </c>
      <c r="T37" s="2">
        <f>T33*8</f>
        <v>8</v>
      </c>
      <c r="U37" s="2">
        <f t="shared" ref="U37:W37" si="1">U33*$AA$31</f>
        <v>0</v>
      </c>
      <c r="V37" s="2">
        <f t="shared" si="1"/>
        <v>0</v>
      </c>
      <c r="W37" s="2">
        <f t="shared" si="1"/>
        <v>0</v>
      </c>
      <c r="X37" s="2">
        <f t="shared" ref="X37" si="2">X33*$AB$31</f>
        <v>0</v>
      </c>
    </row>
    <row r="38" spans="2:28" ht="47.25">
      <c r="B38" s="341">
        <v>3</v>
      </c>
      <c r="C38" s="362" t="s">
        <v>711</v>
      </c>
      <c r="D38" s="362">
        <v>7.5</v>
      </c>
    </row>
    <row r="39" spans="2:28" ht="31.5">
      <c r="B39" s="341">
        <v>4</v>
      </c>
      <c r="C39" s="362" t="s">
        <v>712</v>
      </c>
      <c r="D39" s="362">
        <v>5</v>
      </c>
    </row>
    <row r="40" spans="2:28" ht="31.5">
      <c r="B40" s="341">
        <v>5</v>
      </c>
      <c r="C40" s="362" t="s">
        <v>713</v>
      </c>
      <c r="D40" s="362">
        <v>4</v>
      </c>
    </row>
    <row r="41" spans="2:28" ht="31.5">
      <c r="B41" s="341">
        <v>6</v>
      </c>
      <c r="C41" s="362" t="s">
        <v>714</v>
      </c>
      <c r="D41" s="362">
        <v>5.5</v>
      </c>
    </row>
    <row r="42" spans="2:28" ht="47.25">
      <c r="B42" s="341">
        <v>7</v>
      </c>
      <c r="C42" s="362" t="s">
        <v>715</v>
      </c>
      <c r="D42" s="362">
        <v>6.5</v>
      </c>
    </row>
    <row r="43" spans="2:28">
      <c r="D43" s="2">
        <f>SUM(D36:D42)</f>
        <v>32.5</v>
      </c>
    </row>
  </sheetData>
  <mergeCells count="44">
    <mergeCell ref="C1:H3"/>
    <mergeCell ref="C24:H24"/>
    <mergeCell ref="C25:H25"/>
    <mergeCell ref="C26:H26"/>
    <mergeCell ref="C16:H16"/>
    <mergeCell ref="C10:H10"/>
    <mergeCell ref="C18:H18"/>
    <mergeCell ref="C15:H15"/>
    <mergeCell ref="C17:H17"/>
    <mergeCell ref="C19:H19"/>
    <mergeCell ref="C20:H20"/>
    <mergeCell ref="C21:H21"/>
    <mergeCell ref="C22:H22"/>
    <mergeCell ref="C11:H11"/>
    <mergeCell ref="C12:H12"/>
    <mergeCell ref="Q29:T29"/>
    <mergeCell ref="U29:X29"/>
    <mergeCell ref="B1:B3"/>
    <mergeCell ref="A1:A3"/>
    <mergeCell ref="L1:N1"/>
    <mergeCell ref="I1:K2"/>
    <mergeCell ref="C23:H23"/>
    <mergeCell ref="C8:H8"/>
    <mergeCell ref="C9:H9"/>
    <mergeCell ref="C4:H4"/>
    <mergeCell ref="C5:H5"/>
    <mergeCell ref="C6:H6"/>
    <mergeCell ref="C7:H7"/>
    <mergeCell ref="C13:H13"/>
    <mergeCell ref="C14:H14"/>
    <mergeCell ref="O1:P1"/>
    <mergeCell ref="L2:L3"/>
    <mergeCell ref="M2:M3"/>
    <mergeCell ref="N2:N3"/>
    <mergeCell ref="O2:O3"/>
    <mergeCell ref="P2:P3"/>
    <mergeCell ref="AB29:AB30"/>
    <mergeCell ref="AB31:AB33"/>
    <mergeCell ref="Z31:Z33"/>
    <mergeCell ref="Y31:Y33"/>
    <mergeCell ref="AA31:AA33"/>
    <mergeCell ref="Y29:Y30"/>
    <mergeCell ref="Z29:Z30"/>
    <mergeCell ref="AA29:AA30"/>
  </mergeCells>
  <pageMargins left="0.7" right="0.7" top="0.75" bottom="0.75" header="0.3" footer="0.3"/>
  <pageSetup orientation="portrait"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
  <sheetViews>
    <sheetView topLeftCell="P1" workbookViewId="0">
      <selection activeCell="U7" sqref="U7"/>
    </sheetView>
  </sheetViews>
  <sheetFormatPr defaultColWidth="8.625" defaultRowHeight="15.75"/>
  <cols>
    <col min="1" max="1" width="4.375" style="2" customWidth="1"/>
    <col min="2" max="2" width="9.625" style="2" bestFit="1" customWidth="1"/>
    <col min="3" max="3" width="8.625" style="2"/>
    <col min="4" max="4" width="7.375" style="2" customWidth="1"/>
    <col min="5" max="5" width="9.375" style="2" customWidth="1"/>
    <col min="6" max="6" width="5.625" style="2" bestFit="1" customWidth="1"/>
    <col min="7" max="8" width="8.625" style="2"/>
    <col min="9" max="9" width="6.625" style="2" customWidth="1"/>
    <col min="10" max="10" width="7.125" style="2" customWidth="1"/>
    <col min="11" max="11" width="8.625" style="2"/>
    <col min="12" max="12" width="11.625" style="2" customWidth="1"/>
    <col min="13" max="13" width="10.625" style="2" customWidth="1"/>
    <col min="14" max="15" width="11.625" style="2" customWidth="1"/>
    <col min="16" max="16" width="10.375" style="2" customWidth="1"/>
    <col min="17" max="18" width="8.625" style="2"/>
    <col min="19" max="19" width="11.375" style="2" customWidth="1"/>
    <col min="20" max="20" width="11.625" style="2" customWidth="1"/>
    <col min="21" max="21" width="11.125" style="2" customWidth="1"/>
    <col min="22" max="22" width="12.125" style="2" customWidth="1"/>
    <col min="23" max="23" width="14.125" style="2" customWidth="1"/>
    <col min="24" max="24" width="12.125" style="2" bestFit="1" customWidth="1"/>
    <col min="25" max="16384" width="8.625" style="2"/>
  </cols>
  <sheetData>
    <row r="1" spans="1:36">
      <c r="A1" s="1342" t="s">
        <v>618</v>
      </c>
      <c r="B1" s="1342"/>
      <c r="C1" s="1342"/>
      <c r="D1" s="1342"/>
      <c r="E1" s="1342"/>
      <c r="F1" s="1342"/>
      <c r="G1" s="1342"/>
      <c r="H1" s="1342"/>
      <c r="I1" s="1342"/>
      <c r="J1" s="1342"/>
      <c r="L1" s="2" t="s">
        <v>628</v>
      </c>
    </row>
    <row r="2" spans="1:36">
      <c r="A2" s="1327" t="s">
        <v>14</v>
      </c>
      <c r="B2" s="1327" t="s">
        <v>619</v>
      </c>
      <c r="C2" s="1327" t="s">
        <v>625</v>
      </c>
      <c r="D2" s="1358">
        <v>2014</v>
      </c>
      <c r="E2" s="1358"/>
      <c r="F2" s="1358"/>
      <c r="G2" s="1358" t="s">
        <v>626</v>
      </c>
      <c r="H2" s="1358"/>
      <c r="I2" s="1358"/>
      <c r="J2" s="1358"/>
    </row>
    <row r="3" spans="1:36" ht="66" customHeight="1">
      <c r="A3" s="1327"/>
      <c r="B3" s="1327"/>
      <c r="C3" s="1327"/>
      <c r="D3" s="341" t="s">
        <v>572</v>
      </c>
      <c r="E3" s="341" t="s">
        <v>589</v>
      </c>
      <c r="F3" s="341" t="s">
        <v>570</v>
      </c>
      <c r="G3" s="341" t="s">
        <v>627</v>
      </c>
      <c r="H3" s="341" t="s">
        <v>589</v>
      </c>
      <c r="I3" s="341" t="s">
        <v>573</v>
      </c>
      <c r="J3" s="341" t="s">
        <v>570</v>
      </c>
      <c r="L3" s="370" t="s">
        <v>555</v>
      </c>
      <c r="M3" s="371" t="s">
        <v>554</v>
      </c>
      <c r="N3" s="370" t="s">
        <v>560</v>
      </c>
      <c r="O3" s="391" t="s">
        <v>562</v>
      </c>
      <c r="P3" s="1357" t="s">
        <v>561</v>
      </c>
      <c r="Q3" s="1357"/>
      <c r="R3" s="1357"/>
      <c r="S3" s="1357" t="s">
        <v>565</v>
      </c>
      <c r="T3" s="1357"/>
      <c r="U3" s="370" t="s">
        <v>566</v>
      </c>
      <c r="V3" s="370" t="s">
        <v>567</v>
      </c>
      <c r="W3" s="370" t="s">
        <v>568</v>
      </c>
    </row>
    <row r="4" spans="1:36" ht="48" customHeight="1">
      <c r="A4" s="323"/>
      <c r="B4" s="323"/>
      <c r="C4" s="323"/>
      <c r="D4" s="341"/>
      <c r="E4" s="341"/>
      <c r="F4" s="341"/>
      <c r="G4" s="341"/>
      <c r="H4" s="341"/>
      <c r="I4" s="341"/>
      <c r="J4" s="341"/>
      <c r="L4" s="358" t="s">
        <v>564</v>
      </c>
      <c r="M4" s="358" t="s">
        <v>564</v>
      </c>
      <c r="N4" s="323" t="s">
        <v>564</v>
      </c>
      <c r="O4" s="369" t="s">
        <v>564</v>
      </c>
      <c r="P4" s="323" t="s">
        <v>629</v>
      </c>
      <c r="Q4" s="323" t="s">
        <v>630</v>
      </c>
      <c r="R4" s="323" t="s">
        <v>631</v>
      </c>
      <c r="S4" s="341" t="s">
        <v>632</v>
      </c>
      <c r="T4" s="341" t="s">
        <v>633</v>
      </c>
      <c r="U4" s="323" t="s">
        <v>564</v>
      </c>
      <c r="V4" s="323" t="s">
        <v>564</v>
      </c>
      <c r="W4" s="323" t="s">
        <v>564</v>
      </c>
    </row>
    <row r="5" spans="1:36" ht="25.5">
      <c r="A5" s="363">
        <v>1</v>
      </c>
      <c r="B5" s="363" t="s">
        <v>620</v>
      </c>
      <c r="C5" s="366">
        <v>18</v>
      </c>
      <c r="D5" s="364">
        <f>C5*2000</f>
        <v>36000</v>
      </c>
      <c r="E5" s="364">
        <v>360000</v>
      </c>
      <c r="F5" s="364">
        <v>180</v>
      </c>
      <c r="G5" s="364">
        <v>1476</v>
      </c>
      <c r="H5" s="364">
        <v>19188</v>
      </c>
      <c r="I5" s="364">
        <v>180</v>
      </c>
      <c r="J5" s="364">
        <v>114</v>
      </c>
      <c r="K5" s="394"/>
      <c r="L5" s="372">
        <v>1</v>
      </c>
      <c r="M5" s="372">
        <f>L5</f>
        <v>1</v>
      </c>
      <c r="N5" s="372">
        <f>L5</f>
        <v>1</v>
      </c>
      <c r="O5" s="372">
        <f>L5</f>
        <v>1</v>
      </c>
      <c r="P5" s="373">
        <f>I5/C5</f>
        <v>10</v>
      </c>
      <c r="Q5" s="368"/>
      <c r="R5" s="373">
        <f>(J5+F5)/18</f>
        <v>16.333333333333332</v>
      </c>
      <c r="S5" s="373">
        <f>H5/18</f>
        <v>1066</v>
      </c>
      <c r="T5" s="373">
        <f>E5/18</f>
        <v>20000</v>
      </c>
      <c r="U5" s="373">
        <f>L5</f>
        <v>1</v>
      </c>
      <c r="V5" s="372">
        <f>L5</f>
        <v>1</v>
      </c>
      <c r="W5" s="372">
        <f>L5</f>
        <v>1</v>
      </c>
    </row>
    <row r="6" spans="1:36" ht="25.5">
      <c r="A6" s="363">
        <v>2</v>
      </c>
      <c r="B6" s="363" t="s">
        <v>621</v>
      </c>
      <c r="C6" s="366">
        <v>19</v>
      </c>
      <c r="D6" s="364">
        <f>C6*2000</f>
        <v>38000</v>
      </c>
      <c r="E6" s="364">
        <v>340000</v>
      </c>
      <c r="F6" s="364">
        <v>170</v>
      </c>
      <c r="G6" s="364">
        <v>1394</v>
      </c>
      <c r="H6" s="364">
        <v>18122</v>
      </c>
      <c r="I6" s="364">
        <v>170</v>
      </c>
      <c r="J6" s="364">
        <v>108</v>
      </c>
      <c r="L6" s="372">
        <f t="shared" ref="L6:L9" si="0">C6</f>
        <v>19</v>
      </c>
      <c r="M6" s="372">
        <f t="shared" ref="M6:M8" si="1">L6</f>
        <v>19</v>
      </c>
      <c r="N6" s="372">
        <f t="shared" ref="N6:N8" si="2">L6</f>
        <v>19</v>
      </c>
      <c r="O6" s="372">
        <f t="shared" ref="O6:O9" si="3">L6</f>
        <v>19</v>
      </c>
      <c r="P6" s="373">
        <f>I6</f>
        <v>170</v>
      </c>
      <c r="Q6" s="368"/>
      <c r="R6" s="373">
        <f>J6+F6</f>
        <v>278</v>
      </c>
      <c r="S6" s="373">
        <f>H6</f>
        <v>18122</v>
      </c>
      <c r="T6" s="373">
        <f t="shared" ref="T6:T9" si="4">E6</f>
        <v>340000</v>
      </c>
      <c r="U6" s="373">
        <f t="shared" ref="U6:U9" si="5">L6</f>
        <v>19</v>
      </c>
      <c r="V6" s="372">
        <f>L6</f>
        <v>19</v>
      </c>
      <c r="W6" s="372">
        <f>L6</f>
        <v>19</v>
      </c>
    </row>
    <row r="7" spans="1:36" ht="25.5">
      <c r="A7" s="363">
        <v>3</v>
      </c>
      <c r="B7" s="363" t="s">
        <v>622</v>
      </c>
      <c r="C7" s="366">
        <v>18</v>
      </c>
      <c r="D7" s="364">
        <f>C7*2000</f>
        <v>36000</v>
      </c>
      <c r="E7" s="364">
        <v>360000</v>
      </c>
      <c r="F7" s="364">
        <v>180</v>
      </c>
      <c r="G7" s="364">
        <v>1476</v>
      </c>
      <c r="H7" s="364">
        <v>19188</v>
      </c>
      <c r="I7" s="364">
        <v>180</v>
      </c>
      <c r="J7" s="364">
        <v>114</v>
      </c>
      <c r="L7" s="372">
        <f t="shared" si="0"/>
        <v>18</v>
      </c>
      <c r="M7" s="372">
        <f t="shared" si="1"/>
        <v>18</v>
      </c>
      <c r="N7" s="372">
        <f t="shared" si="2"/>
        <v>18</v>
      </c>
      <c r="O7" s="372">
        <f t="shared" si="3"/>
        <v>18</v>
      </c>
      <c r="P7" s="373">
        <f>I7</f>
        <v>180</v>
      </c>
      <c r="Q7" s="368"/>
      <c r="R7" s="373">
        <f>J7+F7</f>
        <v>294</v>
      </c>
      <c r="S7" s="373">
        <f>H7</f>
        <v>19188</v>
      </c>
      <c r="T7" s="373">
        <f t="shared" si="4"/>
        <v>360000</v>
      </c>
      <c r="U7" s="373">
        <f t="shared" si="5"/>
        <v>18</v>
      </c>
      <c r="V7" s="372">
        <f>L7</f>
        <v>18</v>
      </c>
      <c r="W7" s="372">
        <f>L7</f>
        <v>18</v>
      </c>
    </row>
    <row r="8" spans="1:36" ht="25.5">
      <c r="A8" s="363">
        <v>4</v>
      </c>
      <c r="B8" s="363" t="s">
        <v>623</v>
      </c>
      <c r="C8" s="366">
        <v>21</v>
      </c>
      <c r="D8" s="364">
        <f>C8*2000</f>
        <v>42000</v>
      </c>
      <c r="E8" s="364">
        <v>380000</v>
      </c>
      <c r="F8" s="364">
        <v>190</v>
      </c>
      <c r="G8" s="364">
        <v>1558</v>
      </c>
      <c r="H8" s="364">
        <v>20254</v>
      </c>
      <c r="I8" s="364">
        <v>190</v>
      </c>
      <c r="J8" s="364">
        <v>120</v>
      </c>
      <c r="L8" s="372">
        <f t="shared" si="0"/>
        <v>21</v>
      </c>
      <c r="M8" s="372">
        <f t="shared" si="1"/>
        <v>21</v>
      </c>
      <c r="N8" s="372">
        <f t="shared" si="2"/>
        <v>21</v>
      </c>
      <c r="O8" s="372">
        <f t="shared" si="3"/>
        <v>21</v>
      </c>
      <c r="P8" s="373">
        <f>I8</f>
        <v>190</v>
      </c>
      <c r="Q8" s="368"/>
      <c r="R8" s="373">
        <f>J8+F8</f>
        <v>310</v>
      </c>
      <c r="S8" s="373">
        <f>H8</f>
        <v>20254</v>
      </c>
      <c r="T8" s="373">
        <f t="shared" si="4"/>
        <v>380000</v>
      </c>
      <c r="U8" s="373">
        <f t="shared" si="5"/>
        <v>21</v>
      </c>
      <c r="V8" s="372">
        <f>L8</f>
        <v>21</v>
      </c>
      <c r="W8" s="372">
        <f>L8</f>
        <v>21</v>
      </c>
    </row>
    <row r="9" spans="1:36">
      <c r="A9" s="363">
        <v>5</v>
      </c>
      <c r="B9" s="363" t="s">
        <v>624</v>
      </c>
      <c r="C9" s="367">
        <v>9</v>
      </c>
      <c r="D9" s="365">
        <f>C9*2000</f>
        <v>18000</v>
      </c>
      <c r="E9" s="364">
        <v>420000</v>
      </c>
      <c r="F9" s="364">
        <v>210</v>
      </c>
      <c r="G9" s="364">
        <v>1722</v>
      </c>
      <c r="H9" s="364">
        <v>22386</v>
      </c>
      <c r="I9" s="364">
        <v>210</v>
      </c>
      <c r="J9" s="364">
        <v>132</v>
      </c>
      <c r="L9" s="372">
        <f t="shared" si="0"/>
        <v>9</v>
      </c>
      <c r="M9" s="372">
        <f>L9</f>
        <v>9</v>
      </c>
      <c r="N9" s="372">
        <f>L9</f>
        <v>9</v>
      </c>
      <c r="O9" s="372">
        <f t="shared" si="3"/>
        <v>9</v>
      </c>
      <c r="P9" s="373">
        <f>I9</f>
        <v>210</v>
      </c>
      <c r="Q9" s="368"/>
      <c r="R9" s="373">
        <f>J9+F9</f>
        <v>342</v>
      </c>
      <c r="S9" s="373">
        <f>H9</f>
        <v>22386</v>
      </c>
      <c r="T9" s="373">
        <f t="shared" si="4"/>
        <v>420000</v>
      </c>
      <c r="U9" s="373">
        <f t="shared" si="5"/>
        <v>9</v>
      </c>
      <c r="V9" s="372">
        <f>L9</f>
        <v>9</v>
      </c>
      <c r="W9" s="372">
        <f>L9</f>
        <v>9</v>
      </c>
    </row>
    <row r="10" spans="1:36">
      <c r="K10" s="2" t="s">
        <v>103</v>
      </c>
      <c r="L10" s="374" t="e">
        <f>'TinhThu2000-2015_Xa'!#REF!</f>
        <v>#REF!</v>
      </c>
      <c r="M10" s="374" t="e">
        <f>'TinhThu2000-2015_Xa'!#REF!</f>
        <v>#REF!</v>
      </c>
      <c r="N10" s="374" t="e">
        <f>'TinhThu2000-2015_Xa'!#REF!</f>
        <v>#REF!</v>
      </c>
      <c r="O10" s="374" t="e">
        <f>'TinhThu2000-2015_Xa'!#REF!</f>
        <v>#REF!</v>
      </c>
      <c r="P10" s="374" t="e">
        <f>'TinhThu2000-2015_Xa'!#REF!+'TinhThu2000-2015_Xa'!#REF!</f>
        <v>#REF!</v>
      </c>
      <c r="Q10" s="374" t="e">
        <f>'TinhThu2000-2015_Xa'!#REF!+'TinhThu2000-2015_Xa'!#REF!</f>
        <v>#REF!</v>
      </c>
      <c r="R10" s="374" t="e">
        <f>'TinhThu2000-2015_Xa'!#REF!+'TinhThu2000-2015_Xa'!#REF!</f>
        <v>#REF!</v>
      </c>
      <c r="S10" s="374" t="e">
        <f>'TinhThu2000-2015_Xa'!#REF!</f>
        <v>#REF!</v>
      </c>
      <c r="T10" s="374" t="e">
        <f>'TinhThu2000-2015_Xa'!#REF!</f>
        <v>#REF!</v>
      </c>
      <c r="U10" s="374" t="e">
        <f>'TinhThu2000-2015_Xa'!#REF!</f>
        <v>#REF!</v>
      </c>
      <c r="V10" s="374" t="e">
        <f>'TinhThu2000-2015_Xa'!#REF!</f>
        <v>#REF!</v>
      </c>
      <c r="W10" s="374" t="e">
        <f>'TinhThu2000-2015_Xa'!#REF!</f>
        <v>#REF!</v>
      </c>
    </row>
    <row r="11" spans="1:36">
      <c r="K11" s="2" t="s">
        <v>20</v>
      </c>
      <c r="L11" s="374" t="e">
        <f>SUM(L5:L9)*L10</f>
        <v>#REF!</v>
      </c>
      <c r="M11" s="374" t="e">
        <f t="shared" ref="M11:W11" si="6">SUM(M5:M9)*M10</f>
        <v>#REF!</v>
      </c>
      <c r="N11" s="374" t="e">
        <f t="shared" si="6"/>
        <v>#REF!</v>
      </c>
      <c r="O11" s="374" t="e">
        <f t="shared" si="6"/>
        <v>#REF!</v>
      </c>
      <c r="P11" s="374" t="e">
        <f t="shared" si="6"/>
        <v>#REF!</v>
      </c>
      <c r="Q11" s="374" t="e">
        <f t="shared" si="6"/>
        <v>#REF!</v>
      </c>
      <c r="R11" s="374" t="e">
        <f t="shared" si="6"/>
        <v>#REF!</v>
      </c>
      <c r="S11" s="374" t="e">
        <f t="shared" si="6"/>
        <v>#REF!</v>
      </c>
      <c r="T11" s="374" t="e">
        <f t="shared" si="6"/>
        <v>#REF!</v>
      </c>
      <c r="U11" s="374" t="e">
        <f t="shared" si="6"/>
        <v>#REF!</v>
      </c>
      <c r="V11" s="374" t="e">
        <f t="shared" si="6"/>
        <v>#REF!</v>
      </c>
      <c r="W11" s="374" t="e">
        <f t="shared" si="6"/>
        <v>#REF!</v>
      </c>
      <c r="X11" s="375" t="e">
        <f>SUM(L11:W11)</f>
        <v>#REF!</v>
      </c>
      <c r="Y11" s="374"/>
      <c r="Z11" s="374"/>
      <c r="AA11" s="374"/>
      <c r="AB11" s="374"/>
      <c r="AC11" s="374"/>
      <c r="AD11" s="374"/>
      <c r="AE11" s="374"/>
      <c r="AF11" s="374"/>
      <c r="AG11" s="374"/>
      <c r="AH11" s="374"/>
      <c r="AI11" s="374"/>
      <c r="AJ11" s="374"/>
    </row>
  </sheetData>
  <mergeCells count="8">
    <mergeCell ref="P3:R3"/>
    <mergeCell ref="S3:T3"/>
    <mergeCell ref="D2:F2"/>
    <mergeCell ref="G2:J2"/>
    <mergeCell ref="A1:J1"/>
    <mergeCell ref="A2:A3"/>
    <mergeCell ref="B2:B3"/>
    <mergeCell ref="C2:C3"/>
  </mergeCells>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D23" sqref="D23"/>
    </sheetView>
  </sheetViews>
  <sheetFormatPr defaultColWidth="8.625" defaultRowHeight="15.75"/>
  <cols>
    <col min="1" max="1" width="4.125" style="2" bestFit="1" customWidth="1"/>
    <col min="2" max="2" width="26.875" style="2" bestFit="1" customWidth="1"/>
    <col min="3" max="4" width="9.75" style="2" bestFit="1" customWidth="1"/>
    <col min="5" max="5" width="8.625" style="2"/>
    <col min="6" max="6" width="9.875" style="2" customWidth="1"/>
    <col min="7" max="9" width="11.75" style="2" bestFit="1" customWidth="1"/>
    <col min="10" max="10" width="14.375" style="2" customWidth="1"/>
    <col min="11" max="16384" width="8.625" style="2"/>
  </cols>
  <sheetData>
    <row r="1" spans="1:10">
      <c r="B1" s="2" t="s">
        <v>966</v>
      </c>
    </row>
    <row r="3" spans="1:10">
      <c r="A3" s="1358" t="s">
        <v>14</v>
      </c>
      <c r="B3" s="1243" t="s">
        <v>968</v>
      </c>
      <c r="C3" s="1327" t="s">
        <v>103</v>
      </c>
      <c r="D3" s="1327"/>
      <c r="E3" s="1327"/>
      <c r="F3" s="1243" t="s">
        <v>975</v>
      </c>
      <c r="G3" s="1327" t="s">
        <v>20</v>
      </c>
      <c r="H3" s="1327"/>
      <c r="I3" s="1327"/>
      <c r="J3" s="1327" t="s">
        <v>6</v>
      </c>
    </row>
    <row r="4" spans="1:10" ht="31.5">
      <c r="A4" s="1358"/>
      <c r="B4" s="1243"/>
      <c r="C4" s="692" t="s">
        <v>958</v>
      </c>
      <c r="D4" s="693" t="s">
        <v>959</v>
      </c>
      <c r="E4" s="692" t="s">
        <v>957</v>
      </c>
      <c r="F4" s="1243"/>
      <c r="G4" s="692" t="s">
        <v>967</v>
      </c>
      <c r="H4" s="631" t="s">
        <v>959</v>
      </c>
      <c r="I4" s="631" t="s">
        <v>957</v>
      </c>
      <c r="J4" s="1327"/>
    </row>
    <row r="5" spans="1:10">
      <c r="A5" s="386" t="s">
        <v>10</v>
      </c>
      <c r="B5" s="704" t="s">
        <v>729</v>
      </c>
      <c r="C5" s="692"/>
      <c r="D5" s="693"/>
      <c r="E5" s="692"/>
      <c r="F5" s="692"/>
      <c r="G5" s="692"/>
      <c r="H5" s="631"/>
      <c r="I5" s="631"/>
      <c r="J5" s="694"/>
    </row>
    <row r="6" spans="1:10" ht="24.6" customHeight="1">
      <c r="A6" s="694">
        <v>1</v>
      </c>
      <c r="B6" s="689" t="s">
        <v>953</v>
      </c>
      <c r="C6" s="688">
        <f>SUM(DonGia_Xa!$T$8:$T$45)+SUM(DonGia_Xa!V18:V21)</f>
        <v>18650766.23467014</v>
      </c>
      <c r="D6" s="688">
        <f>C6-E6</f>
        <v>16659920.21155622</v>
      </c>
      <c r="E6" s="688">
        <f>SUMIF(DonGia_Xa!$Z$6:$Z$46,"x",DonGia_Xa!$V$6:$V$46) + SUMIF(DonGia_Xa!$Z$6:$Z$46,"x",DonGia_Xa!$T$6:$T$46)</f>
        <v>1990846.0231139197</v>
      </c>
      <c r="F6" s="687">
        <v>0</v>
      </c>
      <c r="G6" s="695">
        <f>H6+I6</f>
        <v>0</v>
      </c>
      <c r="H6" s="695">
        <f>D6*F6</f>
        <v>0</v>
      </c>
      <c r="I6" s="687">
        <f>E6*F6</f>
        <v>0</v>
      </c>
      <c r="J6" s="368"/>
    </row>
    <row r="7" spans="1:10" ht="24.6" customHeight="1">
      <c r="A7" s="694">
        <v>2</v>
      </c>
      <c r="B7" s="689" t="s">
        <v>954</v>
      </c>
      <c r="C7" s="688">
        <f>SUM(DonGia_Xa!$T$8:$T$45)+SUM(DonGia_Xa!W18:W21)</f>
        <v>19356857.516404659</v>
      </c>
      <c r="D7" s="688">
        <f t="shared" ref="D7:D9" si="0">C7-E7</f>
        <v>17366011.493290737</v>
      </c>
      <c r="E7" s="688">
        <f>SUMIF(DonGia_Xa!$Z$6:$Z$46,"x",DonGia_Xa!$W$6:$W$46) + SUMIF(DonGia_Xa!$Z$6:$Z$46,"x",DonGia_Xa!$T$6:$T$46)</f>
        <v>1990846.0231139197</v>
      </c>
      <c r="F7" s="687">
        <v>0</v>
      </c>
      <c r="G7" s="695">
        <f t="shared" ref="G7:G9" si="1">H7+I7</f>
        <v>0</v>
      </c>
      <c r="H7" s="695">
        <f t="shared" ref="H7:H9" si="2">D7*F7</f>
        <v>0</v>
      </c>
      <c r="I7" s="687">
        <f t="shared" ref="I7:I9" si="3">E7*F7</f>
        <v>0</v>
      </c>
      <c r="J7" s="368"/>
    </row>
    <row r="8" spans="1:10" ht="24.6" customHeight="1">
      <c r="A8" s="694">
        <v>3</v>
      </c>
      <c r="B8" s="689" t="s">
        <v>955</v>
      </c>
      <c r="C8" s="688">
        <f>SUM(DonGia_Xa!$T$8:$T$45)+SUM(DonGia_Xa!X18:X21)</f>
        <v>20062948.79813917</v>
      </c>
      <c r="D8" s="688">
        <f t="shared" si="0"/>
        <v>18072102.775025249</v>
      </c>
      <c r="E8" s="688">
        <f>SUMIF(DonGia_Xa!$Z$6:$Z$46,"x",DonGia_Xa!$X$6:$X$46) + SUMIF(DonGia_Xa!$Z$6:$Z$46,"x",DonGia_Xa!$T$6:$T$46)</f>
        <v>1990846.0231139197</v>
      </c>
      <c r="F8" s="687">
        <v>10</v>
      </c>
      <c r="G8" s="688">
        <f t="shared" si="1"/>
        <v>200629487.98139167</v>
      </c>
      <c r="H8" s="688">
        <f t="shared" si="2"/>
        <v>180721027.75025249</v>
      </c>
      <c r="I8" s="688">
        <f t="shared" si="3"/>
        <v>19908460.231139198</v>
      </c>
      <c r="J8" s="368"/>
    </row>
    <row r="9" spans="1:10" ht="24.6" customHeight="1">
      <c r="A9" s="694">
        <v>4</v>
      </c>
      <c r="B9" s="689" t="s">
        <v>956</v>
      </c>
      <c r="C9" s="688">
        <f>SUM(DonGia_Xa!$T$8:$T$45)+SUM(DonGia_Xa!Y18:Y21)</f>
        <v>21122085.720740944</v>
      </c>
      <c r="D9" s="688">
        <f t="shared" si="0"/>
        <v>19131239.697627023</v>
      </c>
      <c r="E9" s="688">
        <f>SUMIF(DonGia_Xa!$Z$6:$Z$46,"x",DonGia_Xa!$Y$6:$Y$46) + SUMIF(DonGia_Xa!$Z$6:$Z$46,"x",DonGia_Xa!$T$6:$T$46)</f>
        <v>1990846.0231139197</v>
      </c>
      <c r="F9" s="687">
        <v>3</v>
      </c>
      <c r="G9" s="688">
        <f t="shared" si="1"/>
        <v>63366257.162222825</v>
      </c>
      <c r="H9" s="688">
        <f t="shared" si="2"/>
        <v>57393719.092881069</v>
      </c>
      <c r="I9" s="688">
        <f t="shared" si="3"/>
        <v>5972538.0693417592</v>
      </c>
      <c r="J9" s="368"/>
    </row>
    <row r="10" spans="1:10" ht="24.6" customHeight="1">
      <c r="A10" s="694"/>
      <c r="B10" s="696" t="s">
        <v>969</v>
      </c>
      <c r="C10" s="687"/>
      <c r="D10" s="687"/>
      <c r="E10" s="687"/>
      <c r="F10" s="687"/>
      <c r="G10" s="697">
        <f>SUM(G6:G9)</f>
        <v>263995745.1436145</v>
      </c>
      <c r="H10" s="697">
        <f t="shared" ref="H10:I10" si="4">SUM(H6:H9)</f>
        <v>238114746.84313357</v>
      </c>
      <c r="I10" s="697">
        <f t="shared" si="4"/>
        <v>25880998.300480958</v>
      </c>
      <c r="J10" s="368"/>
    </row>
    <row r="11" spans="1:10" ht="24.6" customHeight="1">
      <c r="A11" s="386" t="s">
        <v>11</v>
      </c>
      <c r="B11" s="696" t="s">
        <v>730</v>
      </c>
      <c r="C11" s="687"/>
      <c r="D11" s="687"/>
      <c r="E11" s="687"/>
      <c r="F11" s="687"/>
      <c r="G11" s="697"/>
      <c r="H11" s="697"/>
      <c r="I11" s="697"/>
      <c r="J11" s="368"/>
    </row>
    <row r="12" spans="1:10">
      <c r="A12" s="694">
        <v>1</v>
      </c>
      <c r="B12" s="368" t="s">
        <v>972</v>
      </c>
      <c r="C12" s="372">
        <f>SUM(DonGia_Huyen!$O$7:$O$45) + SUM(DonGia_Huyen!$P$18:$P$21)</f>
        <v>35265989.713727206</v>
      </c>
      <c r="D12" s="372">
        <f>C12-E12</f>
        <v>27443179.995041281</v>
      </c>
      <c r="E12" s="688">
        <f>SUMIF(DonGia_Huyen!$S$7:$S$45,"x",DonGia_Huyen!$O$7:$O$45) + SUMIF(DonGia_Huyen!$S$6:$S$45,"x",DonGia_Huyen!$P$6:$P$45)</f>
        <v>7822809.7186859259</v>
      </c>
      <c r="F12" s="368">
        <v>0</v>
      </c>
      <c r="G12" s="688">
        <f t="shared" ref="G12" si="5">H12+I12</f>
        <v>0</v>
      </c>
      <c r="H12" s="688">
        <f t="shared" ref="H12" si="6">D12*F12</f>
        <v>0</v>
      </c>
      <c r="I12" s="688">
        <f t="shared" ref="I12" si="7">E12*F12</f>
        <v>0</v>
      </c>
      <c r="J12" s="368"/>
    </row>
    <row r="13" spans="1:10">
      <c r="A13" s="694">
        <v>2</v>
      </c>
      <c r="B13" s="368" t="s">
        <v>970</v>
      </c>
      <c r="C13" s="372">
        <f>SUM(DonGia_Huyen!$O$7:$O$45) + SUM(DonGia_Huyen!$Q$18:$Q$21)</f>
        <v>36344137.621772006</v>
      </c>
      <c r="D13" s="372">
        <f t="shared" ref="D13:D14" si="8">C13-E13</f>
        <v>28521327.903086081</v>
      </c>
      <c r="E13" s="688">
        <f>SUMIF(DonGia_Huyen!$S$7:$S$45,"x",DonGia_Huyen!$O$7:$O$45) + SUMIF(DonGia_Huyen!$S$6:$S$45,"x",DonGia_Huyen!$Q$6:$Q$45)</f>
        <v>7822809.7186859259</v>
      </c>
      <c r="F13" s="368">
        <v>0</v>
      </c>
      <c r="G13" s="688">
        <f t="shared" ref="G13:G14" si="9">H13+I13</f>
        <v>0</v>
      </c>
      <c r="H13" s="688">
        <f t="shared" ref="H13:H14" si="10">D13*F13</f>
        <v>0</v>
      </c>
      <c r="I13" s="688">
        <f t="shared" ref="I13:I14" si="11">E13*F13</f>
        <v>0</v>
      </c>
      <c r="J13" s="368"/>
    </row>
    <row r="14" spans="1:10">
      <c r="A14" s="694">
        <v>3</v>
      </c>
      <c r="B14" s="368" t="s">
        <v>971</v>
      </c>
      <c r="C14" s="372">
        <f>SUM(DonGia_Huyen!$O$7:$O$45) + SUM(DonGia_Huyen!$R$18:$R$21)</f>
        <v>37422285.529816821</v>
      </c>
      <c r="D14" s="372">
        <f t="shared" si="8"/>
        <v>29599475.811130896</v>
      </c>
      <c r="E14" s="688">
        <f>SUMIF(DonGia_Huyen!$S$7:$S$45,"x",DonGia_Huyen!$O$7:$O$45) + SUMIF(DonGia_Huyen!$S$6:$S$45,"x",DonGia_Huyen!$R$6:$R$45)</f>
        <v>7822809.7186859259</v>
      </c>
      <c r="F14" s="368">
        <v>1</v>
      </c>
      <c r="G14" s="688">
        <f t="shared" si="9"/>
        <v>37422285.529816821</v>
      </c>
      <c r="H14" s="688">
        <f t="shared" si="10"/>
        <v>29599475.811130896</v>
      </c>
      <c r="I14" s="688">
        <f t="shared" si="11"/>
        <v>7822809.7186859259</v>
      </c>
      <c r="J14" s="368"/>
    </row>
    <row r="15" spans="1:10">
      <c r="A15" s="694"/>
      <c r="B15" s="696" t="s">
        <v>973</v>
      </c>
      <c r="C15" s="368"/>
      <c r="D15" s="368"/>
      <c r="E15" s="368"/>
      <c r="F15" s="368"/>
      <c r="G15" s="705">
        <f>SUM(G12:G14)</f>
        <v>37422285.529816821</v>
      </c>
      <c r="H15" s="705">
        <f t="shared" ref="H15:I15" si="12">SUM(H12:H14)</f>
        <v>29599475.811130896</v>
      </c>
      <c r="I15" s="705">
        <f t="shared" si="12"/>
        <v>7822809.7186859259</v>
      </c>
      <c r="J15" s="368"/>
    </row>
    <row r="16" spans="1:10">
      <c r="A16" s="386" t="s">
        <v>12</v>
      </c>
      <c r="B16" s="703" t="s">
        <v>974</v>
      </c>
      <c r="C16" s="368"/>
      <c r="D16" s="368"/>
      <c r="E16" s="368"/>
      <c r="F16" s="368"/>
      <c r="G16" s="705">
        <f>G10+G15</f>
        <v>301418030.67343134</v>
      </c>
      <c r="H16" s="705">
        <f>H10+H15</f>
        <v>267714222.65426445</v>
      </c>
      <c r="I16" s="705">
        <f>I10+I15</f>
        <v>33703808.019166887</v>
      </c>
      <c r="J16" s="368"/>
    </row>
    <row r="18" spans="2:2">
      <c r="B18" s="2" t="s">
        <v>976</v>
      </c>
    </row>
  </sheetData>
  <mergeCells count="6">
    <mergeCell ref="A3:A4"/>
    <mergeCell ref="C3:E3"/>
    <mergeCell ref="G3:I3"/>
    <mergeCell ref="J3:J4"/>
    <mergeCell ref="B3:B4"/>
    <mergeCell ref="F3:F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E14"/>
  <sheetViews>
    <sheetView workbookViewId="0">
      <selection activeCell="E17" sqref="E17"/>
    </sheetView>
  </sheetViews>
  <sheetFormatPr defaultColWidth="9" defaultRowHeight="15.75"/>
  <cols>
    <col min="1" max="1" width="8.125" style="711" customWidth="1"/>
    <col min="2" max="2" width="21.375" style="321" customWidth="1"/>
    <col min="3" max="3" width="6.375" style="711" customWidth="1"/>
    <col min="4" max="4" width="10.125" style="711" bestFit="1" customWidth="1"/>
    <col min="5" max="5" width="18.125" style="1133" customWidth="1"/>
    <col min="6" max="16384" width="9" style="321"/>
  </cols>
  <sheetData>
    <row r="1" spans="1:5">
      <c r="A1" s="1180" t="s">
        <v>95</v>
      </c>
      <c r="B1" s="1180"/>
      <c r="C1" s="1180"/>
      <c r="D1" s="1180"/>
      <c r="E1" s="1180"/>
    </row>
    <row r="2" spans="1:5" ht="16.5" thickBot="1">
      <c r="E2" s="1126" t="s">
        <v>84</v>
      </c>
    </row>
    <row r="3" spans="1:5" s="1130" customFormat="1" ht="31.5">
      <c r="A3" s="1127" t="s">
        <v>14</v>
      </c>
      <c r="B3" s="1128" t="s">
        <v>3</v>
      </c>
      <c r="C3" s="1128" t="s">
        <v>21</v>
      </c>
      <c r="D3" s="1128" t="s">
        <v>19</v>
      </c>
      <c r="E3" s="1129" t="s">
        <v>6</v>
      </c>
    </row>
    <row r="4" spans="1:5" s="1143" customFormat="1">
      <c r="A4" s="1138">
        <v>1</v>
      </c>
      <c r="B4" s="1139" t="s">
        <v>85</v>
      </c>
      <c r="C4" s="1140" t="s">
        <v>899</v>
      </c>
      <c r="D4" s="1141">
        <v>45000</v>
      </c>
      <c r="E4" s="1142" t="s">
        <v>111</v>
      </c>
    </row>
    <row r="5" spans="1:5" s="1147" customFormat="1">
      <c r="A5" s="1144">
        <v>2</v>
      </c>
      <c r="B5" s="748" t="s">
        <v>86</v>
      </c>
      <c r="C5" s="749" t="s">
        <v>900</v>
      </c>
      <c r="D5" s="1145">
        <v>1450000</v>
      </c>
      <c r="E5" s="1146"/>
    </row>
    <row r="6" spans="1:5" s="517" customFormat="1">
      <c r="A6" s="13">
        <v>3</v>
      </c>
      <c r="B6" s="5" t="s">
        <v>88</v>
      </c>
      <c r="C6" s="6" t="s">
        <v>901</v>
      </c>
      <c r="D6" s="1135">
        <v>10000</v>
      </c>
      <c r="E6" s="1134"/>
    </row>
    <row r="7" spans="1:5" s="517" customFormat="1">
      <c r="A7" s="13">
        <v>4</v>
      </c>
      <c r="B7" s="5" t="s">
        <v>22</v>
      </c>
      <c r="C7" s="6" t="s">
        <v>556</v>
      </c>
      <c r="D7" s="1135">
        <v>2000</v>
      </c>
      <c r="E7" s="1134"/>
    </row>
    <row r="8" spans="1:5" s="517" customFormat="1">
      <c r="A8" s="13">
        <v>5</v>
      </c>
      <c r="B8" s="5" t="s">
        <v>89</v>
      </c>
      <c r="C8" s="6" t="s">
        <v>556</v>
      </c>
      <c r="D8" s="1135">
        <v>8000</v>
      </c>
      <c r="E8" s="1134"/>
    </row>
    <row r="9" spans="1:5" s="517" customFormat="1">
      <c r="A9" s="13">
        <v>6</v>
      </c>
      <c r="B9" s="5" t="s">
        <v>90</v>
      </c>
      <c r="C9" s="6" t="s">
        <v>556</v>
      </c>
      <c r="D9" s="1135">
        <v>10000</v>
      </c>
      <c r="E9" s="1134"/>
    </row>
    <row r="10" spans="1:5" s="517" customFormat="1">
      <c r="A10" s="13">
        <v>7</v>
      </c>
      <c r="B10" s="5" t="s">
        <v>91</v>
      </c>
      <c r="C10" s="6" t="s">
        <v>900</v>
      </c>
      <c r="D10" s="1135">
        <v>2500</v>
      </c>
      <c r="E10" s="1134"/>
    </row>
    <row r="11" spans="1:5" s="517" customFormat="1">
      <c r="A11" s="13">
        <v>8</v>
      </c>
      <c r="B11" s="5" t="s">
        <v>92</v>
      </c>
      <c r="C11" s="6" t="s">
        <v>900</v>
      </c>
      <c r="D11" s="1135">
        <v>2000</v>
      </c>
      <c r="E11" s="1134"/>
    </row>
    <row r="12" spans="1:5" s="517" customFormat="1">
      <c r="A12" s="13">
        <v>9</v>
      </c>
      <c r="B12" s="5" t="s">
        <v>93</v>
      </c>
      <c r="C12" s="6" t="s">
        <v>929</v>
      </c>
      <c r="D12" s="1135">
        <v>8000</v>
      </c>
      <c r="E12" s="1134"/>
    </row>
    <row r="13" spans="1:5" s="517" customFormat="1">
      <c r="A13" s="13">
        <v>10</v>
      </c>
      <c r="B13" s="5" t="s">
        <v>94</v>
      </c>
      <c r="C13" s="6" t="s">
        <v>556</v>
      </c>
      <c r="D13" s="1135">
        <v>15000</v>
      </c>
      <c r="E13" s="1134"/>
    </row>
    <row r="14" spans="1:5" s="517" customFormat="1">
      <c r="A14" s="40"/>
      <c r="B14" s="41"/>
      <c r="C14" s="117"/>
      <c r="D14" s="1136">
        <v>1.08</v>
      </c>
      <c r="E14" s="1137"/>
    </row>
  </sheetData>
  <mergeCells count="1">
    <mergeCell ref="A1:E1"/>
  </mergeCells>
  <phoneticPr fontId="104" type="noConversion"/>
  <printOptions horizontalCentered="1"/>
  <pageMargins left="0.5" right="0.25" top="0.5" bottom="0.5"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L70"/>
  <sheetViews>
    <sheetView topLeftCell="B1" zoomScale="85" zoomScaleNormal="85" workbookViewId="0">
      <pane ySplit="2" topLeftCell="A14" activePane="bottomLeft" state="frozen"/>
      <selection activeCell="I33" sqref="I33"/>
      <selection pane="bottomLeft" activeCell="I33" sqref="I33"/>
    </sheetView>
  </sheetViews>
  <sheetFormatPr defaultColWidth="9" defaultRowHeight="15.75"/>
  <cols>
    <col min="1" max="1" width="0" style="321" hidden="1" customWidth="1"/>
    <col min="2" max="2" width="5.125" style="321" customWidth="1"/>
    <col min="3" max="3" width="39.875" style="321" customWidth="1"/>
    <col min="4" max="4" width="9.125" style="321" hidden="1" customWidth="1"/>
    <col min="5" max="5" width="9.875" style="321" customWidth="1"/>
    <col min="6" max="6" width="12" style="649" customWidth="1"/>
    <col min="7" max="7" width="7.875" style="376" customWidth="1"/>
    <col min="8" max="8" width="8.375" style="377" customWidth="1"/>
    <col min="9" max="9" width="13.125" style="322" bestFit="1" customWidth="1"/>
    <col min="10" max="10" width="63.375" style="321" bestFit="1" customWidth="1"/>
    <col min="11" max="11" width="8.875" style="321" bestFit="1" customWidth="1"/>
    <col min="12" max="16384" width="9" style="321"/>
  </cols>
  <sheetData>
    <row r="1" spans="1:12">
      <c r="B1" s="1182" t="s">
        <v>756</v>
      </c>
      <c r="C1" s="1182"/>
      <c r="D1" s="1182"/>
      <c r="E1" s="1182"/>
      <c r="F1" s="1182"/>
      <c r="G1" s="1182"/>
      <c r="H1" s="1182"/>
      <c r="I1" s="1182"/>
      <c r="J1" s="1182"/>
      <c r="K1" s="321" t="s">
        <v>706</v>
      </c>
      <c r="L1" s="321" t="s">
        <v>749</v>
      </c>
    </row>
    <row r="2" spans="1:12" ht="63">
      <c r="B2" s="335" t="s">
        <v>14</v>
      </c>
      <c r="C2" s="410" t="s">
        <v>162</v>
      </c>
      <c r="D2" s="410" t="s">
        <v>21</v>
      </c>
      <c r="E2" s="337" t="s">
        <v>7</v>
      </c>
      <c r="F2" s="337" t="s">
        <v>915</v>
      </c>
      <c r="G2" s="337" t="s">
        <v>164</v>
      </c>
      <c r="H2" s="345" t="s">
        <v>787</v>
      </c>
      <c r="I2" s="346" t="s">
        <v>924</v>
      </c>
      <c r="J2" s="345" t="s">
        <v>745</v>
      </c>
      <c r="K2" s="321">
        <v>5</v>
      </c>
      <c r="L2" s="321">
        <v>1</v>
      </c>
    </row>
    <row r="3" spans="1:12" ht="15.6" customHeight="1">
      <c r="A3" s="321">
        <v>1</v>
      </c>
      <c r="B3" s="335">
        <f>NhanCong_Tinh!B4</f>
        <v>1</v>
      </c>
      <c r="C3" s="407" t="str">
        <f>NhanCong_Tinh!C4</f>
        <v>Công tác chuẩn bị</v>
      </c>
      <c r="D3" s="535"/>
      <c r="E3" s="536"/>
      <c r="F3" s="641"/>
      <c r="G3" s="554"/>
      <c r="H3" s="360"/>
      <c r="I3" s="537"/>
      <c r="J3" s="540"/>
    </row>
    <row r="4" spans="1:12" ht="94.5">
      <c r="A4" s="321" t="s">
        <v>767</v>
      </c>
      <c r="B4" s="359" t="str">
        <f>NhanCong_Tinh!B5</f>
        <v>1.1</v>
      </c>
      <c r="C4" s="406" t="str">
        <f>NhanCong_Tinh!C5</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4" s="358" t="s">
        <v>855</v>
      </c>
      <c r="E4" s="359" t="str">
        <f>NhanCong_Tinh!E5</f>
        <v>Nhóm 2 
(1 KTV2 + 1KS4)</v>
      </c>
      <c r="F4" s="642">
        <v>5</v>
      </c>
      <c r="G4" s="392">
        <f>2*F4</f>
        <v>10</v>
      </c>
      <c r="H4" s="360">
        <f>(L_CBan!$K$47+L_CBan!$K$40)/2</f>
        <v>191884.77884615381</v>
      </c>
      <c r="I4" s="361">
        <f>G4*H4</f>
        <v>1918847.788461538</v>
      </c>
      <c r="J4" s="541" t="s">
        <v>747</v>
      </c>
    </row>
    <row r="5" spans="1:12" ht="63">
      <c r="A5" s="321" t="s">
        <v>768</v>
      </c>
      <c r="B5" s="359" t="str">
        <f>NhanCong_Tinh!B6</f>
        <v>1.2</v>
      </c>
      <c r="C5" s="406" t="str">
        <f>NhanCong_Tinh!C6</f>
        <v>Chuẩn bị nhân lực, địa điểm làm việc; Chuẩn bị vật tư, thiết bị, dụng cụ, phần mềm phục vụ cho công tác xây dựng cơ sở dữ liệu thống kê, kiểm kê đất đai</v>
      </c>
      <c r="D5" s="358" t="str">
        <f>D4</f>
        <v>Bộ dữ liệu cho cả nước</v>
      </c>
      <c r="E5" s="359" t="str">
        <f>NhanCong_Tinh!E6</f>
        <v>Nhóm 2 
(1 KTV4 + 1KS2)</v>
      </c>
      <c r="F5" s="642">
        <v>5</v>
      </c>
      <c r="G5" s="392">
        <f>2*F5</f>
        <v>10</v>
      </c>
      <c r="H5" s="360">
        <f>(L_CBan!$K$49+L_CBan!$K$38)/2</f>
        <v>182684.02884615384</v>
      </c>
      <c r="I5" s="361">
        <f>G5*H5</f>
        <v>1826840.2884615385</v>
      </c>
      <c r="J5" s="540"/>
    </row>
    <row r="6" spans="1:12" ht="47.1" customHeight="1">
      <c r="A6" s="321">
        <v>7</v>
      </c>
      <c r="B6" s="617">
        <v>2</v>
      </c>
      <c r="C6" s="407" t="s">
        <v>820</v>
      </c>
      <c r="D6" s="358"/>
      <c r="E6" s="359"/>
      <c r="F6" s="643"/>
      <c r="G6" s="534"/>
      <c r="H6" s="360"/>
      <c r="I6" s="361"/>
      <c r="J6" s="542"/>
    </row>
    <row r="7" spans="1:12" ht="47.25">
      <c r="A7" s="321" t="s">
        <v>874</v>
      </c>
      <c r="B7" s="567" t="s">
        <v>827</v>
      </c>
      <c r="C7" s="406" t="s">
        <v>753</v>
      </c>
      <c r="D7" s="358" t="str">
        <f>$D$4</f>
        <v>Bộ dữ liệu cho cả nước</v>
      </c>
      <c r="E7" s="359" t="s">
        <v>785</v>
      </c>
      <c r="F7" s="642">
        <v>5</v>
      </c>
      <c r="G7" s="534">
        <f>F7</f>
        <v>5</v>
      </c>
      <c r="H7" s="360">
        <f>L_CBan!K37</f>
        <v>166759.65384615384</v>
      </c>
      <c r="I7" s="361">
        <f>G7*H7</f>
        <v>833798.26923076925</v>
      </c>
      <c r="J7" s="540"/>
    </row>
    <row r="8" spans="1:12" ht="47.25">
      <c r="A8" s="321" t="s">
        <v>875</v>
      </c>
      <c r="B8" s="567" t="s">
        <v>830</v>
      </c>
      <c r="C8" s="406" t="s">
        <v>754</v>
      </c>
      <c r="D8" s="358" t="str">
        <f>$D$4</f>
        <v>Bộ dữ liệu cho cả nước</v>
      </c>
      <c r="E8" s="359" t="s">
        <v>785</v>
      </c>
      <c r="F8" s="642">
        <v>3</v>
      </c>
      <c r="G8" s="534">
        <f>F8</f>
        <v>3</v>
      </c>
      <c r="H8" s="360">
        <f>L_CBan!K37</f>
        <v>166759.65384615384</v>
      </c>
      <c r="I8" s="361">
        <f>G8*H8</f>
        <v>500278.9615384615</v>
      </c>
      <c r="J8" s="361" t="s">
        <v>696</v>
      </c>
    </row>
    <row r="9" spans="1:12" ht="31.5">
      <c r="A9" s="321">
        <v>8</v>
      </c>
      <c r="B9" s="342">
        <v>3</v>
      </c>
      <c r="C9" s="407" t="s">
        <v>840</v>
      </c>
      <c r="D9" s="358"/>
      <c r="E9" s="359"/>
      <c r="F9" s="644"/>
      <c r="G9" s="533"/>
      <c r="H9" s="360"/>
      <c r="I9" s="378"/>
      <c r="J9" s="361"/>
    </row>
    <row r="10" spans="1:12" ht="47.25">
      <c r="A10" s="626" t="s">
        <v>842</v>
      </c>
      <c r="B10" s="567" t="s">
        <v>842</v>
      </c>
      <c r="C10" s="406" t="s">
        <v>841</v>
      </c>
      <c r="D10" s="358" t="str">
        <f>$D$4</f>
        <v>Bộ dữ liệu cho cả nước</v>
      </c>
      <c r="E10" s="359" t="s">
        <v>766</v>
      </c>
      <c r="F10" s="645">
        <v>10</v>
      </c>
      <c r="G10" s="553">
        <f>F10*2</f>
        <v>20</v>
      </c>
      <c r="H10" s="360">
        <f>(L_CBan!K38+L_CBan!K49)/2</f>
        <v>182684.02884615384</v>
      </c>
      <c r="I10" s="361">
        <f>G10*H10</f>
        <v>3653680.576923077</v>
      </c>
      <c r="J10" s="541" t="s">
        <v>699</v>
      </c>
    </row>
    <row r="11" spans="1:12">
      <c r="B11" s="656"/>
      <c r="C11" s="657"/>
      <c r="D11" s="658"/>
      <c r="E11" s="659"/>
      <c r="F11" s="664"/>
      <c r="G11" s="666"/>
      <c r="H11" s="577" t="s">
        <v>920</v>
      </c>
      <c r="I11" s="655">
        <f>SUM(I4:I10)</f>
        <v>8733445.884615384</v>
      </c>
      <c r="J11" s="322"/>
    </row>
    <row r="12" spans="1:12">
      <c r="B12" s="651"/>
      <c r="C12" s="652"/>
      <c r="D12" s="660"/>
      <c r="E12" s="653"/>
      <c r="F12" s="665"/>
      <c r="G12" s="667"/>
      <c r="H12" s="577" t="s">
        <v>921</v>
      </c>
      <c r="I12" s="655">
        <f>'Vat-lieu_QG'!I3</f>
        <v>485542.08</v>
      </c>
    </row>
    <row r="13" spans="1:12">
      <c r="B13" s="651"/>
      <c r="C13" s="652"/>
      <c r="D13" s="660"/>
      <c r="E13" s="653"/>
      <c r="F13" s="665"/>
      <c r="G13" s="667"/>
      <c r="H13" s="577" t="s">
        <v>922</v>
      </c>
      <c r="I13" s="655">
        <f>'Thiet-bi_QG'!M3</f>
        <v>481949.68080000003</v>
      </c>
    </row>
    <row r="14" spans="1:12">
      <c r="B14" s="651"/>
      <c r="C14" s="652"/>
      <c r="D14" s="660"/>
      <c r="E14" s="653"/>
      <c r="F14" s="665"/>
      <c r="G14" s="667"/>
      <c r="H14" s="577" t="s">
        <v>923</v>
      </c>
      <c r="I14" s="655">
        <f>Dcu_QG!K3</f>
        <v>87923.852051282054</v>
      </c>
    </row>
    <row r="15" spans="1:12">
      <c r="B15" s="651"/>
      <c r="C15" s="652"/>
      <c r="D15" s="660"/>
      <c r="E15" s="653"/>
      <c r="F15" s="665"/>
      <c r="G15" s="667"/>
      <c r="H15" s="578" t="s">
        <v>37</v>
      </c>
      <c r="I15" s="380">
        <f>SUM(I11:I14)</f>
        <v>9788861.4974666666</v>
      </c>
    </row>
    <row r="16" spans="1:12" ht="94.5">
      <c r="B16" s="335" t="s">
        <v>14</v>
      </c>
      <c r="C16" s="614" t="s">
        <v>162</v>
      </c>
      <c r="D16" s="614" t="s">
        <v>21</v>
      </c>
      <c r="E16" s="337" t="s">
        <v>7</v>
      </c>
      <c r="F16" s="640" t="str">
        <f>NhanCong_Tinh!F15</f>
        <v>Định mức (công nhóm /01 năm thống kê hoặc 01 kỳ kiểm kê)</v>
      </c>
      <c r="G16" s="337" t="s">
        <v>164</v>
      </c>
      <c r="H16" s="345" t="s">
        <v>787</v>
      </c>
      <c r="I16" s="346" t="s">
        <v>924</v>
      </c>
      <c r="J16" s="345" t="s">
        <v>745</v>
      </c>
    </row>
    <row r="17" spans="1:11" ht="31.5">
      <c r="A17" s="321">
        <v>2</v>
      </c>
      <c r="B17" s="335">
        <f>NhanCong_Tinh!B16</f>
        <v>1</v>
      </c>
      <c r="C17" s="407" t="str">
        <f>NhanCong_Tinh!C16</f>
        <v>Thu thập tài liệu, dữ liệu</v>
      </c>
      <c r="D17" s="358"/>
      <c r="E17" s="359"/>
      <c r="F17" s="643"/>
      <c r="G17" s="392"/>
      <c r="H17" s="360"/>
      <c r="I17" s="361"/>
      <c r="J17" s="542" t="s">
        <v>690</v>
      </c>
    </row>
    <row r="18" spans="1:11">
      <c r="A18" s="321" t="s">
        <v>827</v>
      </c>
      <c r="B18" s="359" t="str">
        <f>NhanCong_Tinh!B17</f>
        <v>1.1</v>
      </c>
      <c r="C18" s="566" t="str">
        <f>NhanCong_Tinh!C17</f>
        <v>Thu thập tài liệu, dữ liệu thống kê</v>
      </c>
      <c r="D18" s="359" t="s">
        <v>932</v>
      </c>
      <c r="E18" s="359" t="str">
        <f>NhanCong_Tinh!E17</f>
        <v>1KS3</v>
      </c>
      <c r="F18" s="642">
        <v>5</v>
      </c>
      <c r="G18" s="392">
        <f>F18</f>
        <v>5</v>
      </c>
      <c r="H18" s="360">
        <f>L_CBan!$K$39</f>
        <v>213471.15384615384</v>
      </c>
      <c r="I18" s="361">
        <f>G18*H18</f>
        <v>1067355.7692307692</v>
      </c>
      <c r="J18" s="542" t="s">
        <v>847</v>
      </c>
    </row>
    <row r="19" spans="1:11" ht="30.95" customHeight="1">
      <c r="A19" s="321" t="s">
        <v>830</v>
      </c>
      <c r="B19" s="359" t="str">
        <f>NhanCong_Tinh!B18</f>
        <v>1.2</v>
      </c>
      <c r="C19" s="566" t="str">
        <f>NhanCong_Tinh!C18</f>
        <v>Thu thập tài liệu, dữ liệu kiểm kê</v>
      </c>
      <c r="D19" s="359" t="s">
        <v>933</v>
      </c>
      <c r="E19" s="359" t="str">
        <f>NhanCong_Tinh!E18</f>
        <v>Nhóm 2 
(1KTV4 + 1KS3)</v>
      </c>
      <c r="F19" s="643">
        <v>10</v>
      </c>
      <c r="G19" s="392">
        <f>2*F19</f>
        <v>20</v>
      </c>
      <c r="H19" s="360">
        <f>(L_CBan!$K$49+L_CBan!$K$39)/2</f>
        <v>194361.90384615384</v>
      </c>
      <c r="I19" s="361">
        <f>G19*H19</f>
        <v>3887238.076923077</v>
      </c>
      <c r="J19" s="542" t="s">
        <v>848</v>
      </c>
    </row>
    <row r="20" spans="1:11">
      <c r="A20" s="321">
        <v>4</v>
      </c>
      <c r="B20" s="342">
        <v>2</v>
      </c>
      <c r="C20" s="407" t="s">
        <v>778</v>
      </c>
      <c r="D20" s="343"/>
      <c r="E20" s="335"/>
      <c r="F20" s="640"/>
      <c r="G20" s="344"/>
      <c r="H20" s="383"/>
      <c r="I20" s="380"/>
      <c r="J20" s="361" t="s">
        <v>696</v>
      </c>
    </row>
    <row r="21" spans="1:11" ht="94.5" hidden="1">
      <c r="A21" s="321" t="s">
        <v>553</v>
      </c>
      <c r="B21" s="567" t="s">
        <v>827</v>
      </c>
      <c r="C21" s="406" t="s">
        <v>792</v>
      </c>
      <c r="D21" s="1183">
        <f>NhanCong_Tinh!D23</f>
        <v>0</v>
      </c>
      <c r="E21" s="1184"/>
      <c r="F21" s="1185"/>
      <c r="G21" s="336"/>
      <c r="H21" s="360"/>
      <c r="I21" s="361"/>
      <c r="J21" s="540"/>
    </row>
    <row r="22" spans="1:11" hidden="1">
      <c r="B22" s="340" t="s">
        <v>850</v>
      </c>
      <c r="C22" s="408" t="s">
        <v>569</v>
      </c>
      <c r="D22" s="338" t="s">
        <v>569</v>
      </c>
      <c r="E22" s="359"/>
      <c r="F22" s="646"/>
      <c r="G22" s="336"/>
      <c r="H22" s="360"/>
      <c r="I22" s="361"/>
      <c r="J22" s="540">
        <v>50</v>
      </c>
    </row>
    <row r="23" spans="1:11" hidden="1">
      <c r="B23" s="340" t="s">
        <v>851</v>
      </c>
      <c r="C23" s="405" t="s">
        <v>570</v>
      </c>
      <c r="D23" s="338" t="s">
        <v>570</v>
      </c>
      <c r="E23" s="359"/>
      <c r="F23" s="646"/>
      <c r="G23" s="336"/>
      <c r="H23" s="360"/>
      <c r="I23" s="361"/>
      <c r="J23" s="540" t="s">
        <v>697</v>
      </c>
      <c r="K23" s="334"/>
    </row>
    <row r="24" spans="1:11" ht="94.5" hidden="1">
      <c r="A24" s="321" t="s">
        <v>864</v>
      </c>
      <c r="B24" s="567" t="s">
        <v>830</v>
      </c>
      <c r="C24" s="406" t="s">
        <v>793</v>
      </c>
      <c r="D24" s="1186" t="str">
        <f>NhanCong_Tinh!D26</f>
        <v>1KS1</v>
      </c>
      <c r="E24" s="1187"/>
      <c r="F24" s="1188"/>
      <c r="G24" s="336"/>
      <c r="H24" s="360"/>
      <c r="I24" s="361"/>
      <c r="J24" s="540" t="s">
        <v>697</v>
      </c>
      <c r="K24" s="334"/>
    </row>
    <row r="25" spans="1:11" ht="47.25">
      <c r="A25" s="321" t="s">
        <v>883</v>
      </c>
      <c r="B25" s="567" t="s">
        <v>842</v>
      </c>
      <c r="C25" s="411" t="s">
        <v>790</v>
      </c>
      <c r="D25" s="358" t="s">
        <v>934</v>
      </c>
      <c r="E25" s="359" t="s">
        <v>785</v>
      </c>
      <c r="F25" s="642">
        <v>5</v>
      </c>
      <c r="G25" s="534">
        <f>F25*2</f>
        <v>10</v>
      </c>
      <c r="H25" s="360">
        <f>L_CBan!K37</f>
        <v>166759.65384615384</v>
      </c>
      <c r="I25" s="361">
        <f>G25*H25</f>
        <v>1667596.5384615385</v>
      </c>
      <c r="J25" s="540" t="s">
        <v>697</v>
      </c>
      <c r="K25" s="334"/>
    </row>
    <row r="26" spans="1:11" s="385" customFormat="1" ht="31.5">
      <c r="A26" s="385">
        <v>5</v>
      </c>
      <c r="B26" s="342">
        <v>3</v>
      </c>
      <c r="C26" s="407" t="s">
        <v>816</v>
      </c>
      <c r="D26" s="410"/>
      <c r="E26" s="359"/>
      <c r="F26" s="644"/>
      <c r="G26" s="533"/>
      <c r="H26" s="383"/>
      <c r="I26" s="380"/>
      <c r="J26" s="361" t="s">
        <v>696</v>
      </c>
    </row>
    <row r="27" spans="1:11" ht="31.5">
      <c r="A27" s="321" t="s">
        <v>867</v>
      </c>
      <c r="B27" s="567" t="s">
        <v>771</v>
      </c>
      <c r="C27" s="406" t="s">
        <v>765</v>
      </c>
      <c r="D27" s="410"/>
      <c r="E27" s="359"/>
      <c r="F27" s="644"/>
      <c r="G27" s="533"/>
      <c r="H27" s="383"/>
      <c r="I27" s="380"/>
      <c r="J27" s="540"/>
    </row>
    <row r="28" spans="1:11" ht="47.25">
      <c r="A28" s="321" t="s">
        <v>693</v>
      </c>
      <c r="B28" s="339" t="s">
        <v>62</v>
      </c>
      <c r="C28" s="411" t="s">
        <v>817</v>
      </c>
      <c r="D28" s="358" t="s">
        <v>934</v>
      </c>
      <c r="E28" s="359" t="s">
        <v>783</v>
      </c>
      <c r="F28" s="642">
        <v>5</v>
      </c>
      <c r="G28" s="534">
        <f>F28</f>
        <v>5</v>
      </c>
      <c r="H28" s="360">
        <f>L_CBan!K39</f>
        <v>213471.15384615384</v>
      </c>
      <c r="I28" s="361">
        <f>G28*H28</f>
        <v>1067355.7692307692</v>
      </c>
      <c r="J28" s="540"/>
    </row>
    <row r="29" spans="1:11" ht="47.25">
      <c r="A29" s="321" t="s">
        <v>571</v>
      </c>
      <c r="B29" s="359" t="s">
        <v>63</v>
      </c>
      <c r="C29" s="406" t="s">
        <v>935</v>
      </c>
      <c r="D29" s="358" t="s">
        <v>934</v>
      </c>
      <c r="E29" s="359" t="s">
        <v>786</v>
      </c>
      <c r="F29" s="642">
        <v>2</v>
      </c>
      <c r="G29" s="534">
        <f>F29*2</f>
        <v>4</v>
      </c>
      <c r="H29" s="360">
        <f>L_CBan!K38</f>
        <v>190115.40384615384</v>
      </c>
      <c r="I29" s="384">
        <f>G29*H29</f>
        <v>760461.61538461538</v>
      </c>
      <c r="J29" s="361" t="s">
        <v>696</v>
      </c>
    </row>
    <row r="30" spans="1:11" ht="47.25">
      <c r="A30" s="321" t="s">
        <v>868</v>
      </c>
      <c r="B30" s="568" t="s">
        <v>774</v>
      </c>
      <c r="C30" s="411" t="s">
        <v>819</v>
      </c>
      <c r="D30" s="358" t="s">
        <v>934</v>
      </c>
      <c r="E30" s="359" t="s">
        <v>786</v>
      </c>
      <c r="F30" s="642">
        <v>5</v>
      </c>
      <c r="G30" s="552">
        <f>F30</f>
        <v>5</v>
      </c>
      <c r="H30" s="360">
        <f>L_CBan!K38</f>
        <v>190115.40384615384</v>
      </c>
      <c r="I30" s="384">
        <f>G30*H30</f>
        <v>950577.01923076925</v>
      </c>
      <c r="J30" s="361" t="s">
        <v>696</v>
      </c>
    </row>
    <row r="31" spans="1:11">
      <c r="A31" s="321">
        <v>6</v>
      </c>
      <c r="B31" s="342">
        <v>4</v>
      </c>
      <c r="C31" s="407" t="s">
        <v>856</v>
      </c>
      <c r="D31" s="341"/>
      <c r="E31" s="341"/>
      <c r="F31" s="647"/>
      <c r="G31" s="552"/>
      <c r="H31" s="341"/>
      <c r="I31" s="341"/>
      <c r="J31" s="361" t="s">
        <v>696</v>
      </c>
    </row>
    <row r="32" spans="1:11" ht="47.25">
      <c r="A32" s="321" t="s">
        <v>870</v>
      </c>
      <c r="B32" s="567" t="s">
        <v>553</v>
      </c>
      <c r="C32" s="406" t="s">
        <v>752</v>
      </c>
      <c r="D32" s="358"/>
      <c r="E32" s="359"/>
      <c r="F32" s="642"/>
      <c r="G32" s="534"/>
      <c r="H32" s="360"/>
      <c r="I32" s="361"/>
      <c r="J32" s="542" t="s">
        <v>698</v>
      </c>
    </row>
    <row r="33" spans="1:10" ht="47.25">
      <c r="A33" s="321" t="s">
        <v>871</v>
      </c>
      <c r="B33" s="567" t="s">
        <v>69</v>
      </c>
      <c r="C33" s="406" t="s">
        <v>936</v>
      </c>
      <c r="D33" s="358" t="s">
        <v>934</v>
      </c>
      <c r="E33" s="359" t="s">
        <v>783</v>
      </c>
      <c r="F33" s="642">
        <v>5</v>
      </c>
      <c r="G33" s="534">
        <f>F33</f>
        <v>5</v>
      </c>
      <c r="H33" s="360">
        <f>L_CBan!$K$39</f>
        <v>213471.15384615384</v>
      </c>
      <c r="I33" s="361">
        <f>G33*H33</f>
        <v>1067355.7692307692</v>
      </c>
      <c r="J33" s="542"/>
    </row>
    <row r="34" spans="1:10" ht="47.25">
      <c r="A34" s="321" t="s">
        <v>872</v>
      </c>
      <c r="B34" s="567" t="s">
        <v>70</v>
      </c>
      <c r="C34" s="406" t="s">
        <v>936</v>
      </c>
      <c r="D34" s="358" t="s">
        <v>934</v>
      </c>
      <c r="E34" s="359" t="s">
        <v>916</v>
      </c>
      <c r="F34" s="642">
        <v>10</v>
      </c>
      <c r="G34" s="534">
        <f>2*F34</f>
        <v>20</v>
      </c>
      <c r="H34" s="360">
        <f>(L_CBan!$K$49+L_CBan!$K$39)/2</f>
        <v>194361.90384615384</v>
      </c>
      <c r="I34" s="361">
        <f>G34*H34</f>
        <v>3887238.076923077</v>
      </c>
      <c r="J34" s="542"/>
    </row>
    <row r="35" spans="1:10">
      <c r="B35" s="656"/>
      <c r="C35" s="657"/>
      <c r="D35" s="658"/>
      <c r="E35" s="659"/>
      <c r="F35" s="664"/>
      <c r="G35" s="666"/>
      <c r="H35" s="577" t="s">
        <v>920</v>
      </c>
      <c r="I35" s="655">
        <f>SUM(I17:I34)</f>
        <v>14355178.634615384</v>
      </c>
      <c r="J35" s="322"/>
    </row>
    <row r="36" spans="1:10">
      <c r="B36" s="651"/>
      <c r="C36" s="652"/>
      <c r="D36" s="660"/>
      <c r="E36" s="653"/>
      <c r="F36" s="665"/>
      <c r="G36" s="667"/>
      <c r="H36" s="577" t="s">
        <v>921</v>
      </c>
      <c r="I36" s="655">
        <f>'Vat-lieu_QG'!I23</f>
        <v>818223.12000000011</v>
      </c>
    </row>
    <row r="37" spans="1:10">
      <c r="B37" s="651"/>
      <c r="C37" s="652"/>
      <c r="D37" s="660"/>
      <c r="E37" s="653"/>
      <c r="F37" s="665"/>
      <c r="G37" s="667"/>
      <c r="H37" s="577" t="s">
        <v>922</v>
      </c>
      <c r="I37" s="655">
        <f>'Thiet-bi_QG'!M35</f>
        <v>513657.48160000006</v>
      </c>
    </row>
    <row r="38" spans="1:10">
      <c r="B38" s="651"/>
      <c r="C38" s="652"/>
      <c r="D38" s="660"/>
      <c r="E38" s="653"/>
      <c r="F38" s="665"/>
      <c r="G38" s="667"/>
      <c r="H38" s="577" t="s">
        <v>923</v>
      </c>
      <c r="I38" s="655">
        <f>Dcu_QG!K22</f>
        <v>147586.5517948718</v>
      </c>
    </row>
    <row r="39" spans="1:10">
      <c r="B39" s="651"/>
      <c r="C39" s="652"/>
      <c r="D39" s="660"/>
      <c r="E39" s="653"/>
      <c r="F39" s="665"/>
      <c r="G39" s="667"/>
      <c r="H39" s="578" t="s">
        <v>37</v>
      </c>
      <c r="I39" s="380">
        <f>SUM(I35:I38)</f>
        <v>15834645.788010256</v>
      </c>
    </row>
    <row r="40" spans="1:10" ht="46.5" customHeight="1">
      <c r="B40" s="335" t="s">
        <v>14</v>
      </c>
      <c r="C40" s="614" t="s">
        <v>162</v>
      </c>
      <c r="D40" s="614" t="s">
        <v>21</v>
      </c>
      <c r="E40" s="337" t="s">
        <v>7</v>
      </c>
      <c r="F40" s="640" t="s">
        <v>914</v>
      </c>
      <c r="G40" s="337" t="s">
        <v>164</v>
      </c>
      <c r="H40" s="345" t="s">
        <v>787</v>
      </c>
      <c r="I40" s="346" t="s">
        <v>924</v>
      </c>
      <c r="J40" s="345" t="s">
        <v>745</v>
      </c>
    </row>
    <row r="41" spans="1:10" ht="31.5" hidden="1">
      <c r="A41" s="321">
        <v>3</v>
      </c>
      <c r="B41" s="335">
        <v>1</v>
      </c>
      <c r="C41" s="407" t="s">
        <v>769</v>
      </c>
      <c r="D41" s="410"/>
      <c r="E41" s="335"/>
      <c r="F41" s="648"/>
      <c r="G41" s="346"/>
      <c r="H41" s="379"/>
      <c r="I41" s="380"/>
      <c r="J41" s="542" t="s">
        <v>687</v>
      </c>
    </row>
    <row r="42" spans="1:10" ht="31.5">
      <c r="A42" s="321" t="s">
        <v>771</v>
      </c>
      <c r="B42" s="567">
        <v>1</v>
      </c>
      <c r="C42" s="406" t="s">
        <v>770</v>
      </c>
      <c r="D42" s="358"/>
      <c r="E42" s="359"/>
      <c r="F42" s="643"/>
      <c r="G42" s="392"/>
      <c r="H42" s="538"/>
      <c r="I42" s="539"/>
      <c r="J42" s="541" t="s">
        <v>695</v>
      </c>
    </row>
    <row r="43" spans="1:10" ht="63">
      <c r="A43" s="321" t="s">
        <v>62</v>
      </c>
      <c r="B43" s="339" t="s">
        <v>767</v>
      </c>
      <c r="C43" s="411" t="s">
        <v>809</v>
      </c>
      <c r="D43" s="358" t="s">
        <v>831</v>
      </c>
      <c r="E43" s="359" t="s">
        <v>783</v>
      </c>
      <c r="F43" s="642">
        <v>5</v>
      </c>
      <c r="G43" s="392">
        <f>F43</f>
        <v>5</v>
      </c>
      <c r="H43" s="381">
        <f>L_CBan!K39</f>
        <v>213471.15384615384</v>
      </c>
      <c r="I43" s="361">
        <f>G43*H43</f>
        <v>1067355.7692307692</v>
      </c>
      <c r="J43" s="542" t="s">
        <v>849</v>
      </c>
    </row>
    <row r="44" spans="1:10" ht="46.5" customHeight="1">
      <c r="A44" s="321" t="s">
        <v>63</v>
      </c>
      <c r="B44" s="339" t="s">
        <v>768</v>
      </c>
      <c r="C44" s="406" t="s">
        <v>751</v>
      </c>
      <c r="D44" s="358" t="str">
        <f t="shared" ref="D44:D49" si="0">$D$43</f>
        <v>Lớp dữ liệu</v>
      </c>
      <c r="E44" s="359" t="s">
        <v>783</v>
      </c>
      <c r="F44" s="642">
        <v>14</v>
      </c>
      <c r="G44" s="392">
        <f>F44</f>
        <v>14</v>
      </c>
      <c r="H44" s="381">
        <f>L_CBan!K39</f>
        <v>213471.15384615384</v>
      </c>
      <c r="I44" s="361">
        <f>G44*H44</f>
        <v>2988596.153846154</v>
      </c>
      <c r="J44" s="541" t="s">
        <v>748</v>
      </c>
    </row>
    <row r="45" spans="1:10" ht="47.25">
      <c r="A45" s="321" t="s">
        <v>881</v>
      </c>
      <c r="B45" s="339" t="s">
        <v>890</v>
      </c>
      <c r="C45" s="406" t="s">
        <v>772</v>
      </c>
      <c r="D45" s="358" t="str">
        <f t="shared" si="0"/>
        <v>Lớp dữ liệu</v>
      </c>
      <c r="E45" s="359" t="s">
        <v>783</v>
      </c>
      <c r="F45" s="642">
        <v>2</v>
      </c>
      <c r="G45" s="392">
        <f>F45</f>
        <v>2</v>
      </c>
      <c r="H45" s="381">
        <f>L_CBan!K39</f>
        <v>213471.15384615384</v>
      </c>
      <c r="I45" s="361">
        <f>G45*H45</f>
        <v>426942.30769230769</v>
      </c>
      <c r="J45" s="541" t="s">
        <v>688</v>
      </c>
    </row>
    <row r="46" spans="1:10" ht="31.5">
      <c r="A46" s="321" t="s">
        <v>882</v>
      </c>
      <c r="B46" s="339" t="s">
        <v>891</v>
      </c>
      <c r="C46" s="406" t="s">
        <v>773</v>
      </c>
      <c r="D46" s="358" t="str">
        <f t="shared" si="0"/>
        <v>Lớp dữ liệu</v>
      </c>
      <c r="E46" s="359" t="s">
        <v>783</v>
      </c>
      <c r="F46" s="642">
        <v>14</v>
      </c>
      <c r="G46" s="392">
        <f>F46</f>
        <v>14</v>
      </c>
      <c r="H46" s="381">
        <f>L_CBan!K39</f>
        <v>213471.15384615384</v>
      </c>
      <c r="I46" s="361">
        <f>G46*H46</f>
        <v>2988596.153846154</v>
      </c>
      <c r="J46" s="361" t="s">
        <v>696</v>
      </c>
    </row>
    <row r="47" spans="1:10" ht="67.5" customHeight="1">
      <c r="A47" s="321" t="s">
        <v>774</v>
      </c>
      <c r="B47" s="567">
        <v>2</v>
      </c>
      <c r="C47" s="411" t="s">
        <v>775</v>
      </c>
      <c r="D47" s="358" t="str">
        <f t="shared" si="0"/>
        <v>Lớp dữ liệu</v>
      </c>
      <c r="E47" s="359"/>
      <c r="F47" s="643"/>
      <c r="G47" s="392"/>
      <c r="H47" s="381"/>
      <c r="I47" s="382"/>
      <c r="J47" s="361" t="s">
        <v>696</v>
      </c>
    </row>
    <row r="48" spans="1:10" ht="47.25">
      <c r="A48" s="321" t="s">
        <v>67</v>
      </c>
      <c r="B48" s="339" t="s">
        <v>827</v>
      </c>
      <c r="C48" s="406" t="s">
        <v>776</v>
      </c>
      <c r="D48" s="358" t="str">
        <f t="shared" si="0"/>
        <v>Lớp dữ liệu</v>
      </c>
      <c r="E48" s="359" t="s">
        <v>783</v>
      </c>
      <c r="F48" s="642">
        <v>4</v>
      </c>
      <c r="G48" s="392">
        <f>F48</f>
        <v>4</v>
      </c>
      <c r="H48" s="381">
        <f>L_CBan!K39</f>
        <v>213471.15384615384</v>
      </c>
      <c r="I48" s="361">
        <f>G48*H48</f>
        <v>853884.61538461538</v>
      </c>
      <c r="J48" s="361" t="s">
        <v>696</v>
      </c>
    </row>
    <row r="49" spans="1:10" ht="31.5">
      <c r="A49" s="321" t="s">
        <v>68</v>
      </c>
      <c r="B49" s="339" t="s">
        <v>830</v>
      </c>
      <c r="C49" s="406" t="s">
        <v>777</v>
      </c>
      <c r="D49" s="358" t="str">
        <f t="shared" si="0"/>
        <v>Lớp dữ liệu</v>
      </c>
      <c r="E49" s="359" t="s">
        <v>783</v>
      </c>
      <c r="F49" s="642">
        <v>6</v>
      </c>
      <c r="G49" s="392">
        <f>F49</f>
        <v>6</v>
      </c>
      <c r="H49" s="381">
        <f>L_CBan!K39</f>
        <v>213471.15384615384</v>
      </c>
      <c r="I49" s="361">
        <f>G49*H49</f>
        <v>1280826.923076923</v>
      </c>
      <c r="J49" s="361" t="s">
        <v>696</v>
      </c>
    </row>
    <row r="50" spans="1:10">
      <c r="B50" s="656"/>
      <c r="C50" s="657"/>
      <c r="D50" s="658"/>
      <c r="E50" s="659"/>
      <c r="F50" s="664"/>
      <c r="G50" s="666"/>
      <c r="H50" s="577" t="s">
        <v>920</v>
      </c>
      <c r="I50" s="655">
        <f>SUM(I43:I49)</f>
        <v>9606201.9230769239</v>
      </c>
      <c r="J50" s="322"/>
    </row>
    <row r="51" spans="1:10">
      <c r="B51" s="651"/>
      <c r="C51" s="652"/>
      <c r="D51" s="660"/>
      <c r="E51" s="653"/>
      <c r="F51" s="665"/>
      <c r="G51" s="667"/>
      <c r="H51" s="577" t="s">
        <v>921</v>
      </c>
      <c r="I51" s="655">
        <f>'Vat-lieu_QG'!I49</f>
        <v>575364.60000000009</v>
      </c>
    </row>
    <row r="52" spans="1:10">
      <c r="B52" s="651"/>
      <c r="C52" s="652"/>
      <c r="D52" s="660"/>
      <c r="E52" s="653"/>
      <c r="F52" s="665"/>
      <c r="G52" s="667"/>
      <c r="H52" s="577" t="s">
        <v>922</v>
      </c>
      <c r="I52" s="655">
        <f>'Thiet-bi_QG'!M83</f>
        <v>2346506.3511999999</v>
      </c>
    </row>
    <row r="53" spans="1:10">
      <c r="B53" s="651"/>
      <c r="C53" s="652"/>
      <c r="D53" s="660"/>
      <c r="E53" s="653"/>
      <c r="F53" s="665"/>
      <c r="G53" s="667"/>
      <c r="H53" s="577" t="s">
        <v>923</v>
      </c>
      <c r="I53" s="655">
        <f>Dcu_QG!K51</f>
        <v>141306.2423076923</v>
      </c>
    </row>
    <row r="54" spans="1:10">
      <c r="B54" s="651"/>
      <c r="C54" s="652"/>
      <c r="D54" s="660"/>
      <c r="E54" s="653"/>
      <c r="F54" s="665"/>
      <c r="G54" s="667"/>
      <c r="H54" s="578" t="s">
        <v>37</v>
      </c>
      <c r="I54" s="380">
        <f>SUM(I50:I53)</f>
        <v>12669379.116584616</v>
      </c>
    </row>
    <row r="55" spans="1:10">
      <c r="E55" s="611">
        <f>G4+G5+G18+G25+G33+G7+G8+G10</f>
        <v>68</v>
      </c>
      <c r="F55" s="649">
        <f>G4+G5+G19+G43+G44+G45+G46+G48+G49+G25+G28+G29+G30+G34+G7+G8+G10</f>
        <v>157</v>
      </c>
      <c r="G55" s="376">
        <f>SUM(G4:G49)</f>
        <v>167</v>
      </c>
    </row>
    <row r="56" spans="1:10">
      <c r="C56" s="321" t="s">
        <v>6</v>
      </c>
    </row>
    <row r="57" spans="1:10" ht="41.1" customHeight="1">
      <c r="C57" s="321" t="s">
        <v>810</v>
      </c>
    </row>
    <row r="59" spans="1:10">
      <c r="C59" s="321" t="s">
        <v>796</v>
      </c>
    </row>
    <row r="60" spans="1:10"/>
    <row r="61" spans="1:10">
      <c r="B61" s="1189" t="s">
        <v>14</v>
      </c>
      <c r="C61" s="1189" t="s">
        <v>162</v>
      </c>
      <c r="D61" s="1186" t="s">
        <v>801</v>
      </c>
      <c r="E61" s="1188"/>
      <c r="F61" s="650"/>
      <c r="G61" s="358"/>
    </row>
    <row r="62" spans="1:10" ht="47.25">
      <c r="B62" s="1189"/>
      <c r="C62" s="1189"/>
      <c r="D62" s="358" t="s">
        <v>808</v>
      </c>
      <c r="E62" s="358" t="s">
        <v>807</v>
      </c>
      <c r="F62" s="650"/>
      <c r="G62" s="358"/>
    </row>
    <row r="63" spans="1:10" ht="31.5">
      <c r="B63" s="558">
        <f>B42</f>
        <v>1</v>
      </c>
      <c r="C63" s="557" t="str">
        <f>C42</f>
        <v>Chuẩn hóa các lớp đối tượng không gian hiện trạng sử dụng đất</v>
      </c>
      <c r="D63" s="358"/>
      <c r="E63" s="358"/>
      <c r="F63" s="650"/>
      <c r="G63" s="358"/>
    </row>
    <row r="64" spans="1:10" ht="63">
      <c r="B64" s="558" t="str">
        <f t="shared" ref="B64:C70" si="1">B43</f>
        <v>1.1</v>
      </c>
      <c r="C64" s="557" t="str">
        <f t="shared" si="1"/>
        <v>Lập bảng đối chiếu giữa lớp đối tượng không gian kiểm kê đất đai với nội dung tương ứng trong bản đồ hiện trạng sử dụng đất để tách, lọc các đối tượng từ nội dung bản đồ hiện trạng sử dụng đất</v>
      </c>
      <c r="D64" s="358">
        <v>1</v>
      </c>
      <c r="E64" s="358">
        <v>1</v>
      </c>
      <c r="F64" s="650"/>
      <c r="G64" s="358"/>
    </row>
    <row r="65" spans="2:7" ht="31.5">
      <c r="B65" s="558" t="str">
        <f t="shared" si="1"/>
        <v>1.2</v>
      </c>
      <c r="C65" s="557" t="str">
        <f t="shared" si="1"/>
        <v>Chuẩn hóa các lớp đối tượng bản đồ hiện trạng sử dụng đất</v>
      </c>
      <c r="D65" s="358">
        <v>1</v>
      </c>
      <c r="E65" s="358">
        <v>2</v>
      </c>
      <c r="F65" s="650"/>
      <c r="G65" s="358"/>
    </row>
    <row r="66" spans="2:7" ht="47.25">
      <c r="B66" s="558" t="str">
        <f t="shared" si="1"/>
        <v>1.3</v>
      </c>
      <c r="C66" s="557" t="str">
        <f t="shared" si="1"/>
        <v>Nhập bổ sung các thông tin thuộc tính cho đối tượng không gian bản đồ hiện trạng sử dụng đất còn thiếu (nếu có)</v>
      </c>
      <c r="D66" s="358">
        <v>1</v>
      </c>
      <c r="E66" s="358">
        <v>2</v>
      </c>
      <c r="F66" s="650"/>
      <c r="G66" s="358"/>
    </row>
    <row r="67" spans="2:7" ht="31.5">
      <c r="B67" s="558" t="str">
        <f t="shared" si="1"/>
        <v>1.4</v>
      </c>
      <c r="C67" s="557" t="str">
        <f t="shared" si="1"/>
        <v>Rà soát chuẩn hóa thông tin thuộc tính cho từng đối tượng không gian hiện trạng sử dụng đất</v>
      </c>
      <c r="D67" s="358">
        <v>1</v>
      </c>
      <c r="E67" s="358">
        <v>2</v>
      </c>
      <c r="F67" s="650"/>
      <c r="G67" s="358"/>
    </row>
    <row r="68" spans="2:7" ht="31.5">
      <c r="B68" s="558">
        <f t="shared" si="1"/>
        <v>2</v>
      </c>
      <c r="C68" s="557" t="str">
        <f t="shared" si="1"/>
        <v>Chuyển đổi và tích hợp dữ liệu không gian hiện trạng sử dụng đất</v>
      </c>
      <c r="D68" s="358"/>
      <c r="E68" s="358"/>
      <c r="F68" s="650"/>
      <c r="G68" s="358"/>
    </row>
    <row r="69" spans="2:7" ht="47.25">
      <c r="B69" s="558" t="str">
        <f t="shared" si="1"/>
        <v>2.1</v>
      </c>
      <c r="C69" s="557" t="str">
        <f t="shared" si="1"/>
        <v>Chuyển đổi các lớp dữ liệu không gian hiện trạng sử dụng đất từ tệp (File) bản đồ số vào cơ sở dữ liệu</v>
      </c>
      <c r="D69" s="358">
        <v>1</v>
      </c>
      <c r="E69" s="358">
        <v>2</v>
      </c>
      <c r="F69" s="650"/>
      <c r="G69" s="358"/>
    </row>
    <row r="70" spans="2:7" ht="31.5">
      <c r="B70" s="558" t="str">
        <f t="shared" si="1"/>
        <v>2.2</v>
      </c>
      <c r="C70" s="557" t="str">
        <f t="shared" si="1"/>
        <v>Rà soát dữ liệu không gian hiện trạng sử dụng đất để xử lý các lỗi dọc biên giữa các tỉnh, các vùng</v>
      </c>
      <c r="D70" s="358">
        <v>1</v>
      </c>
      <c r="E70" s="358">
        <v>2</v>
      </c>
      <c r="F70" s="650"/>
      <c r="G70" s="358"/>
    </row>
  </sheetData>
  <mergeCells count="6">
    <mergeCell ref="B1:J1"/>
    <mergeCell ref="D21:F21"/>
    <mergeCell ref="D24:F24"/>
    <mergeCell ref="B61:B62"/>
    <mergeCell ref="C61:C62"/>
    <mergeCell ref="D61:E6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1"/>
  <sheetViews>
    <sheetView topLeftCell="B102" zoomScale="85" zoomScaleNormal="85" workbookViewId="0">
      <selection activeCell="I33" sqref="I33"/>
    </sheetView>
  </sheetViews>
  <sheetFormatPr defaultColWidth="9" defaultRowHeight="15"/>
  <cols>
    <col min="1" max="1" width="0" style="357" hidden="1" customWidth="1"/>
    <col min="2" max="2" width="5.375" style="514" bestFit="1" customWidth="1"/>
    <col min="3" max="3" width="41.625" style="357" customWidth="1"/>
    <col min="4" max="4" width="6.125" style="514" bestFit="1" customWidth="1"/>
    <col min="5" max="5" width="8.625" style="608" customWidth="1"/>
    <col min="6" max="6" width="9.125" style="608" customWidth="1"/>
    <col min="7" max="7" width="12.375" style="515" hidden="1" customWidth="1"/>
    <col min="8" max="8" width="10.625" style="515" customWidth="1"/>
    <col min="9" max="9" width="9.625" style="516" bestFit="1" customWidth="1"/>
    <col min="10" max="10" width="11.125" style="356" bestFit="1" customWidth="1"/>
    <col min="11" max="11" width="11.125" style="357" bestFit="1" customWidth="1"/>
    <col min="12" max="12" width="9" style="357"/>
    <col min="13" max="13" width="9.75" style="357" bestFit="1" customWidth="1"/>
    <col min="14" max="16384" width="9" style="357"/>
  </cols>
  <sheetData>
    <row r="1" spans="1:13" ht="15.75">
      <c r="B1" s="1190" t="s">
        <v>23</v>
      </c>
      <c r="C1" s="1190"/>
      <c r="D1" s="1190"/>
      <c r="E1" s="1190"/>
      <c r="F1" s="1190"/>
      <c r="G1" s="1190"/>
      <c r="H1" s="1190"/>
      <c r="I1" s="1190"/>
      <c r="J1" s="1190"/>
    </row>
    <row r="2" spans="1:13" ht="15.75">
      <c r="B2" s="504"/>
      <c r="C2" s="505"/>
      <c r="D2" s="504"/>
      <c r="E2" s="505"/>
      <c r="F2" s="505"/>
      <c r="G2" s="506"/>
      <c r="H2" s="507"/>
      <c r="I2" s="508" t="s">
        <v>79</v>
      </c>
      <c r="J2" s="389" t="s">
        <v>746</v>
      </c>
    </row>
    <row r="3" spans="1:13" s="509" customFormat="1" ht="78.75">
      <c r="B3" s="326" t="s">
        <v>14</v>
      </c>
      <c r="C3" s="326" t="s">
        <v>17</v>
      </c>
      <c r="D3" s="326" t="s">
        <v>21</v>
      </c>
      <c r="E3" s="326" t="s">
        <v>893</v>
      </c>
      <c r="F3" s="326" t="s">
        <v>5</v>
      </c>
      <c r="G3" s="483" t="s">
        <v>19</v>
      </c>
      <c r="H3" s="483" t="s">
        <v>1</v>
      </c>
      <c r="I3" s="636" t="s">
        <v>919</v>
      </c>
      <c r="J3" s="484" t="s">
        <v>615</v>
      </c>
      <c r="K3" s="484" t="s">
        <v>616</v>
      </c>
      <c r="L3" s="509">
        <v>4</v>
      </c>
      <c r="M3" s="663">
        <f>SUM(M5:M34)</f>
        <v>481949.68080000003</v>
      </c>
    </row>
    <row r="4" spans="1:13" s="510" customFormat="1" ht="19.5" customHeight="1">
      <c r="A4" s="510">
        <v>1</v>
      </c>
      <c r="B4" s="485">
        <v>1</v>
      </c>
      <c r="C4" s="486" t="str">
        <f>NhanCong_QG!C3:C3</f>
        <v>Công tác chuẩn bị</v>
      </c>
      <c r="D4" s="326"/>
      <c r="E4" s="487"/>
      <c r="F4" s="488"/>
      <c r="G4" s="330"/>
      <c r="H4" s="330"/>
      <c r="I4" s="489"/>
      <c r="J4" s="498"/>
      <c r="K4" s="569"/>
    </row>
    <row r="5" spans="1:13" s="510" customFormat="1" ht="78.75">
      <c r="A5" s="510" t="s">
        <v>767</v>
      </c>
      <c r="B5" s="490" t="str">
        <f>NhanCong_QG!B4</f>
        <v>1.1</v>
      </c>
      <c r="C5" s="491" t="str">
        <f>NhanCong_QG!C4</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5" s="326"/>
      <c r="E5" s="487"/>
      <c r="F5" s="488"/>
      <c r="G5" s="330"/>
      <c r="H5" s="330"/>
      <c r="I5" s="489"/>
      <c r="J5" s="498">
        <f>SUM(J6:J7)</f>
        <v>16999.900000000001</v>
      </c>
      <c r="K5" s="574">
        <f>J8</f>
        <v>31471.5504</v>
      </c>
      <c r="M5" s="662">
        <f>J5+K5</f>
        <v>48471.450400000002</v>
      </c>
    </row>
    <row r="6" spans="1:13" ht="15.75">
      <c r="B6" s="332"/>
      <c r="C6" s="333" t="s">
        <v>82</v>
      </c>
      <c r="D6" s="332" t="str">
        <f>Gia_Tbi!$C$4</f>
        <v>Cái</v>
      </c>
      <c r="E6" s="332">
        <f>Gia_Tbi!$D$4</f>
        <v>0.4</v>
      </c>
      <c r="F6" s="332">
        <f>Gia_Tbi!$E$4</f>
        <v>5</v>
      </c>
      <c r="G6" s="492">
        <f>Gia_Tbi!$F$4</f>
        <v>10000000</v>
      </c>
      <c r="H6" s="493">
        <f>Gia_Tbi!$G$4</f>
        <v>4000</v>
      </c>
      <c r="I6" s="409">
        <v>4</v>
      </c>
      <c r="J6" s="499">
        <f>$H6*I6</f>
        <v>16000</v>
      </c>
      <c r="K6" s="570"/>
    </row>
    <row r="7" spans="1:13" ht="15.75">
      <c r="B7" s="332"/>
      <c r="C7" s="333" t="s">
        <v>25</v>
      </c>
      <c r="D7" s="332" t="s">
        <v>556</v>
      </c>
      <c r="E7" s="332">
        <f>Gia_Tbi!$D$6</f>
        <v>2.2000000000000002</v>
      </c>
      <c r="F7" s="332">
        <f>Gia_Tbi!$E$6</f>
        <v>8</v>
      </c>
      <c r="G7" s="492">
        <f>Gia_Tbi!$F$6</f>
        <v>12000000</v>
      </c>
      <c r="H7" s="493">
        <f>Gia_Tbi!$G$6</f>
        <v>3000</v>
      </c>
      <c r="I7" s="409">
        <v>0.33329999999999999</v>
      </c>
      <c r="J7" s="499">
        <f>$H7*I7</f>
        <v>999.9</v>
      </c>
      <c r="K7" s="570"/>
    </row>
    <row r="8" spans="1:13" ht="15.75">
      <c r="B8" s="332"/>
      <c r="C8" s="333" t="s">
        <v>8</v>
      </c>
      <c r="D8" s="332" t="s">
        <v>563</v>
      </c>
      <c r="E8" s="332"/>
      <c r="F8" s="494"/>
      <c r="G8" s="492">
        <f>Gia_Tbi!$F$13</f>
        <v>1686</v>
      </c>
      <c r="H8" s="493">
        <f>Gia_Tbi!$G$13</f>
        <v>13488</v>
      </c>
      <c r="I8" s="409">
        <v>2.3332999999999999</v>
      </c>
      <c r="J8" s="499">
        <f>$H8*I8</f>
        <v>31471.5504</v>
      </c>
      <c r="K8" s="570"/>
    </row>
    <row r="9" spans="1:13" ht="47.25">
      <c r="A9" s="608" t="s">
        <v>768</v>
      </c>
      <c r="B9" s="332" t="str">
        <f>NhanCong_QG!B5</f>
        <v>1.2</v>
      </c>
      <c r="C9" s="495" t="str">
        <f>NhanCong_QG!C5</f>
        <v>Chuẩn bị nhân lực, địa điểm làm việc; Chuẩn bị vật tư, thiết bị, dụng cụ, phần mềm phục vụ cho công tác xây dựng cơ sở dữ liệu thống kê, kiểm kê đất đai</v>
      </c>
      <c r="D9" s="332"/>
      <c r="E9" s="332"/>
      <c r="F9" s="494"/>
      <c r="G9" s="492"/>
      <c r="H9" s="493"/>
      <c r="I9" s="409"/>
      <c r="J9" s="498">
        <f>SUM(J10:J11)</f>
        <v>16999.900000000001</v>
      </c>
      <c r="K9" s="575">
        <f>J12</f>
        <v>31471.5504</v>
      </c>
      <c r="M9" s="662">
        <f>J9+K9</f>
        <v>48471.450400000002</v>
      </c>
    </row>
    <row r="10" spans="1:13" ht="15.75">
      <c r="B10" s="332"/>
      <c r="C10" s="333" t="s">
        <v>82</v>
      </c>
      <c r="D10" s="332" t="str">
        <f>Gia_Tbi!$C$4</f>
        <v>Cái</v>
      </c>
      <c r="E10" s="332">
        <f>Gia_Tbi!$D$4</f>
        <v>0.4</v>
      </c>
      <c r="F10" s="332">
        <f>Gia_Tbi!$E$4</f>
        <v>5</v>
      </c>
      <c r="G10" s="492">
        <f>Gia_Tbi!$F$4</f>
        <v>10000000</v>
      </c>
      <c r="H10" s="493">
        <f>Gia_Tbi!$G$4</f>
        <v>4000</v>
      </c>
      <c r="I10" s="409">
        <v>4</v>
      </c>
      <c r="J10" s="499">
        <f>$H10*I10</f>
        <v>16000</v>
      </c>
      <c r="K10" s="570"/>
    </row>
    <row r="11" spans="1:13" ht="15.75">
      <c r="B11" s="332"/>
      <c r="C11" s="333" t="s">
        <v>25</v>
      </c>
      <c r="D11" s="332" t="s">
        <v>556</v>
      </c>
      <c r="E11" s="332">
        <f>Gia_Tbi!$D$6</f>
        <v>2.2000000000000002</v>
      </c>
      <c r="F11" s="332">
        <f>Gia_Tbi!$E$6</f>
        <v>8</v>
      </c>
      <c r="G11" s="492">
        <f>Gia_Tbi!$F$6</f>
        <v>12000000</v>
      </c>
      <c r="H11" s="493">
        <f>Gia_Tbi!$G$6</f>
        <v>3000</v>
      </c>
      <c r="I11" s="409">
        <v>0.33329999999999999</v>
      </c>
      <c r="J11" s="499">
        <f>$H11*I11</f>
        <v>999.9</v>
      </c>
      <c r="K11" s="570"/>
    </row>
    <row r="12" spans="1:13" ht="15.75">
      <c r="B12" s="332"/>
      <c r="C12" s="333" t="s">
        <v>8</v>
      </c>
      <c r="D12" s="332" t="s">
        <v>563</v>
      </c>
      <c r="E12" s="332"/>
      <c r="F12" s="494"/>
      <c r="G12" s="492">
        <f>Gia_Tbi!$F$13</f>
        <v>1686</v>
      </c>
      <c r="H12" s="493">
        <f>Gia_Tbi!$G$13</f>
        <v>13488</v>
      </c>
      <c r="I12" s="409">
        <v>2.3332999999999999</v>
      </c>
      <c r="J12" s="499">
        <f>$H12*I12</f>
        <v>31471.5504</v>
      </c>
      <c r="K12" s="570"/>
    </row>
    <row r="13" spans="1:13" ht="15.75">
      <c r="A13" s="357">
        <v>7</v>
      </c>
      <c r="B13" s="326">
        <f>NhanCong_QG!B6</f>
        <v>2</v>
      </c>
      <c r="C13" s="327" t="str">
        <f>NhanCong_QG!C6</f>
        <v>Xây dựng siêu dữ liệu thống kê, kiểm kê đất đai</v>
      </c>
      <c r="D13" s="332"/>
      <c r="E13" s="332"/>
      <c r="F13" s="494"/>
      <c r="G13" s="492"/>
      <c r="H13" s="493"/>
      <c r="I13" s="409"/>
      <c r="J13" s="499"/>
      <c r="K13" s="570"/>
    </row>
    <row r="14" spans="1:13" ht="31.5">
      <c r="A14" s="608" t="s">
        <v>874</v>
      </c>
      <c r="B14" s="332" t="str">
        <f>NhanCong_QG!B7</f>
        <v>2.1</v>
      </c>
      <c r="C14" s="333" t="str">
        <f>NhanCong_QG!C7:C7</f>
        <v>Thu nhận các thông tin cần thiết về các dữ liệu để xây dựng siêu dữ liệu</v>
      </c>
      <c r="D14" s="326"/>
      <c r="E14" s="487"/>
      <c r="F14" s="503"/>
      <c r="G14" s="330"/>
      <c r="H14" s="330"/>
      <c r="I14" s="489"/>
      <c r="J14" s="498">
        <f>SUM(J15:J16)</f>
        <v>16999.900000000001</v>
      </c>
      <c r="K14" s="575">
        <f>J17</f>
        <v>31471.5504</v>
      </c>
      <c r="M14" s="662">
        <f>J14+K14</f>
        <v>48471.450400000002</v>
      </c>
    </row>
    <row r="15" spans="1:13" ht="15.75">
      <c r="B15" s="332"/>
      <c r="C15" s="333" t="s">
        <v>82</v>
      </c>
      <c r="D15" s="332" t="str">
        <f>Gia_Tbi!$C$4</f>
        <v>Cái</v>
      </c>
      <c r="E15" s="332">
        <f>Gia_Tbi!$D$4</f>
        <v>0.4</v>
      </c>
      <c r="F15" s="332">
        <f>Gia_Tbi!$E$4</f>
        <v>5</v>
      </c>
      <c r="G15" s="492">
        <f>Gia_Tbi!$F$4</f>
        <v>10000000</v>
      </c>
      <c r="H15" s="493">
        <f>Gia_Tbi!$G$4</f>
        <v>4000</v>
      </c>
      <c r="I15" s="409">
        <v>4</v>
      </c>
      <c r="J15" s="499">
        <f>H15*I15</f>
        <v>16000</v>
      </c>
      <c r="K15" s="570"/>
    </row>
    <row r="16" spans="1:13" ht="15.75">
      <c r="B16" s="332"/>
      <c r="C16" s="333" t="s">
        <v>25</v>
      </c>
      <c r="D16" s="332" t="str">
        <f>D104</f>
        <v>Cái</v>
      </c>
      <c r="E16" s="332">
        <f>Gia_Tbi!$D$6</f>
        <v>2.2000000000000002</v>
      </c>
      <c r="F16" s="332">
        <f>Gia_Tbi!$E$6</f>
        <v>8</v>
      </c>
      <c r="G16" s="492">
        <f>Gia_Tbi!$F$6</f>
        <v>12000000</v>
      </c>
      <c r="H16" s="493">
        <f>Gia_Tbi!$G$6</f>
        <v>3000</v>
      </c>
      <c r="I16" s="409">
        <v>0.33329999999999999</v>
      </c>
      <c r="J16" s="499">
        <f t="shared" ref="J16:J17" si="0">H16*I16</f>
        <v>999.9</v>
      </c>
      <c r="K16" s="570"/>
    </row>
    <row r="17" spans="1:13" ht="15.75">
      <c r="B17" s="332"/>
      <c r="C17" s="333" t="s">
        <v>8</v>
      </c>
      <c r="D17" s="332" t="str">
        <f>D105</f>
        <v>kW</v>
      </c>
      <c r="E17" s="332"/>
      <c r="F17" s="494"/>
      <c r="G17" s="492">
        <f>Gia_Tbi!$F$13</f>
        <v>1686</v>
      </c>
      <c r="H17" s="493">
        <f>Gia_Tbi!$G$13</f>
        <v>13488</v>
      </c>
      <c r="I17" s="409">
        <v>2.3332999999999999</v>
      </c>
      <c r="J17" s="499">
        <f t="shared" si="0"/>
        <v>31471.5504</v>
      </c>
      <c r="K17" s="570"/>
    </row>
    <row r="18" spans="1:13" ht="15.75">
      <c r="A18" s="608" t="s">
        <v>875</v>
      </c>
      <c r="B18" s="332" t="str">
        <f>NhanCong_QG!B8</f>
        <v>2.2</v>
      </c>
      <c r="C18" s="333" t="str">
        <f>NhanCong_QG!C8:C8</f>
        <v>Nhập thông tin siêu dữ liệu</v>
      </c>
      <c r="D18" s="326"/>
      <c r="E18" s="487"/>
      <c r="F18" s="503"/>
      <c r="G18" s="330"/>
      <c r="H18" s="330"/>
      <c r="I18" s="489"/>
      <c r="J18" s="498">
        <f>SUM(J19:J23)</f>
        <v>24705.72</v>
      </c>
      <c r="K18" s="575">
        <f>J24</f>
        <v>18883.199999999997</v>
      </c>
      <c r="M18" s="662">
        <f>J18+K18</f>
        <v>43588.92</v>
      </c>
    </row>
    <row r="19" spans="1:13" ht="15.75">
      <c r="B19" s="332"/>
      <c r="C19" s="333" t="s">
        <v>82</v>
      </c>
      <c r="D19" s="332" t="str">
        <f>Gia_Tbi!$C$4</f>
        <v>Cái</v>
      </c>
      <c r="E19" s="332">
        <f>Gia_Tbi!$D$4</f>
        <v>0.4</v>
      </c>
      <c r="F19" s="332">
        <f>Gia_Tbi!$E$4</f>
        <v>5</v>
      </c>
      <c r="G19" s="497">
        <f>Gia_Tbi!$F$4</f>
        <v>10000000</v>
      </c>
      <c r="H19" s="497">
        <f>Gia_Tbi!$G$4</f>
        <v>4000</v>
      </c>
      <c r="I19" s="409">
        <v>2.4</v>
      </c>
      <c r="J19" s="499">
        <f>H19*I19</f>
        <v>9600</v>
      </c>
      <c r="K19" s="570"/>
    </row>
    <row r="20" spans="1:13" ht="15.75">
      <c r="B20" s="332"/>
      <c r="C20" s="333" t="s">
        <v>928</v>
      </c>
      <c r="D20" s="332" t="str">
        <f>Gia_Tbi!$C$10</f>
        <v>Cái</v>
      </c>
      <c r="E20" s="332">
        <f>Gia_Tbi!$D$10</f>
        <v>1</v>
      </c>
      <c r="F20" s="353">
        <f>Gia_Tbi!$E$10</f>
        <v>10</v>
      </c>
      <c r="G20" s="497">
        <f>Gia_Tbi!$F$10</f>
        <v>80000000</v>
      </c>
      <c r="H20" s="497">
        <f>Gia_Tbi!$G$10</f>
        <v>16000</v>
      </c>
      <c r="I20" s="355">
        <v>0.6</v>
      </c>
      <c r="J20" s="499">
        <f t="shared" ref="J20:J24" si="1">H20*I20</f>
        <v>9600</v>
      </c>
      <c r="K20" s="570"/>
    </row>
    <row r="21" spans="1:13" ht="15.75">
      <c r="B21" s="332"/>
      <c r="C21" s="333" t="str">
        <f>Gia_Tbi!$B$14</f>
        <v>Hệ quản trị cơ sở dữ liệu thuộc tính</v>
      </c>
      <c r="D21" s="332" t="str">
        <f>Gia_Tbi!$C$14</f>
        <v>Bộ</v>
      </c>
      <c r="E21" s="332" t="str">
        <f>Gia_Tbi!$D$14</f>
        <v/>
      </c>
      <c r="F21" s="332">
        <f>Gia_Tbi!$E$14</f>
        <v>10</v>
      </c>
      <c r="G21" s="621">
        <f>Gia_Tbi!$F$14</f>
        <v>20881000</v>
      </c>
      <c r="H21" s="352">
        <f>Gia_Tbi!$G$14</f>
        <v>4176.2</v>
      </c>
      <c r="I21" s="409">
        <v>0.6</v>
      </c>
      <c r="J21" s="499">
        <f>$H21*I21</f>
        <v>2505.7199999999998</v>
      </c>
      <c r="K21" s="573"/>
    </row>
    <row r="22" spans="1:13" ht="15.75">
      <c r="B22" s="332"/>
      <c r="C22" s="333" t="s">
        <v>557</v>
      </c>
      <c r="D22" s="332" t="str">
        <f>Gia_Tbi!$C$12</f>
        <v>Bộ</v>
      </c>
      <c r="E22" s="332">
        <f>Gia_Tbi!$D$12</f>
        <v>0.1</v>
      </c>
      <c r="F22" s="353">
        <f>Gia_Tbi!$E$12</f>
        <v>5</v>
      </c>
      <c r="G22" s="497">
        <f>Gia_Tbi!$F$12</f>
        <v>2500000</v>
      </c>
      <c r="H22" s="497">
        <f>Gia_Tbi!$G$12</f>
        <v>1000</v>
      </c>
      <c r="I22" s="355">
        <v>2.4</v>
      </c>
      <c r="J22" s="499">
        <f t="shared" si="1"/>
        <v>2400</v>
      </c>
      <c r="K22" s="570"/>
    </row>
    <row r="23" spans="1:13" ht="15.75">
      <c r="B23" s="332"/>
      <c r="C23" s="333" t="s">
        <v>25</v>
      </c>
      <c r="D23" s="332" t="str">
        <f>Gia_Tbi!$C$6</f>
        <v>Cái</v>
      </c>
      <c r="E23" s="332">
        <f>Gia_Tbi!$D$6</f>
        <v>2.2000000000000002</v>
      </c>
      <c r="F23" s="332">
        <f>Gia_Tbi!$E$6</f>
        <v>8</v>
      </c>
      <c r="G23" s="497">
        <f>Gia_Tbi!$F$6</f>
        <v>12000000</v>
      </c>
      <c r="H23" s="497">
        <f>Gia_Tbi!$G$6</f>
        <v>3000</v>
      </c>
      <c r="I23" s="409">
        <v>0.2</v>
      </c>
      <c r="J23" s="499">
        <f t="shared" si="1"/>
        <v>600</v>
      </c>
      <c r="K23" s="570"/>
    </row>
    <row r="24" spans="1:13" ht="15.75">
      <c r="B24" s="332"/>
      <c r="C24" s="333" t="s">
        <v>8</v>
      </c>
      <c r="D24" s="332" t="str">
        <f>Gia_Tbi!$C$13</f>
        <v>KW</v>
      </c>
      <c r="E24" s="332"/>
      <c r="F24" s="494"/>
      <c r="G24" s="497">
        <f>Gia_Tbi!$F$13</f>
        <v>1686</v>
      </c>
      <c r="H24" s="497">
        <f>Gia_Tbi!$G$13</f>
        <v>13488</v>
      </c>
      <c r="I24" s="409">
        <v>1.4</v>
      </c>
      <c r="J24" s="499">
        <f t="shared" si="1"/>
        <v>18883.199999999997</v>
      </c>
      <c r="K24" s="575"/>
    </row>
    <row r="25" spans="1:13" ht="31.5">
      <c r="A25" s="357">
        <v>8</v>
      </c>
      <c r="B25" s="326">
        <f>NhanCong_QG!B9</f>
        <v>3</v>
      </c>
      <c r="C25" s="327" t="str">
        <f>NhanCong_QG!C9:C9</f>
        <v>Kiểm tra, nghiệm thu cơ sở dữ liệu thống kê, kiểm kê đất đai</v>
      </c>
      <c r="D25" s="332"/>
      <c r="E25" s="332"/>
      <c r="F25" s="332"/>
      <c r="G25" s="497"/>
      <c r="H25" s="497"/>
      <c r="I25" s="409"/>
      <c r="J25" s="498"/>
      <c r="K25" s="570"/>
    </row>
    <row r="26" spans="1:13" ht="47.25">
      <c r="A26" s="627" t="s">
        <v>842</v>
      </c>
      <c r="B26" s="332" t="str">
        <f>NhanCong_QG!B10</f>
        <v/>
      </c>
      <c r="C26" s="333" t="str">
        <f>NhanCong_QG!C10:C10</f>
        <v>Đơn vị thi công chuẩn bị tài liệu và phục vụ giám sát, kiểm tra, nghiệm thu. Đóng gói giao nộp cơ sở dữ liệu thống kê, kiểm kê đất đai</v>
      </c>
      <c r="D26" s="332"/>
      <c r="E26" s="332"/>
      <c r="F26" s="353"/>
      <c r="G26" s="354"/>
      <c r="H26" s="354"/>
      <c r="I26" s="355"/>
      <c r="J26" s="498">
        <f>SUM(J27:J33)</f>
        <v>225685.8</v>
      </c>
      <c r="K26" s="575">
        <f>J34</f>
        <v>67260.609599999996</v>
      </c>
      <c r="M26" s="662">
        <f>J26+K26</f>
        <v>292946.40960000001</v>
      </c>
    </row>
    <row r="27" spans="1:13" ht="15.75">
      <c r="B27" s="332"/>
      <c r="C27" s="333" t="s">
        <v>82</v>
      </c>
      <c r="D27" s="332" t="str">
        <f>Gia_Tbi!$C$4</f>
        <v>Cái</v>
      </c>
      <c r="E27" s="332">
        <f>Gia_Tbi!$D$4</f>
        <v>0.4</v>
      </c>
      <c r="F27" s="332">
        <f>Gia_Tbi!$E$4</f>
        <v>5</v>
      </c>
      <c r="G27" s="497">
        <f>Gia_Tbi!F$4</f>
        <v>10000000</v>
      </c>
      <c r="H27" s="497">
        <f>Gia_Tbi!$G$4</f>
        <v>4000</v>
      </c>
      <c r="I27" s="355">
        <v>8</v>
      </c>
      <c r="J27" s="499">
        <f>H27*I27</f>
        <v>32000</v>
      </c>
      <c r="K27" s="570"/>
    </row>
    <row r="28" spans="1:13" ht="15.75">
      <c r="B28" s="332"/>
      <c r="C28" s="333" t="s">
        <v>928</v>
      </c>
      <c r="D28" s="332" t="str">
        <f>Gia_Tbi!$C$10</f>
        <v>Cái</v>
      </c>
      <c r="E28" s="332">
        <f>Gia_Tbi!$D$10</f>
        <v>1</v>
      </c>
      <c r="F28" s="353">
        <f>Gia_Tbi!$E$10</f>
        <v>10</v>
      </c>
      <c r="G28" s="497">
        <f>Gia_Tbi!$F$10</f>
        <v>80000000</v>
      </c>
      <c r="H28" s="497">
        <f>Gia_Tbi!$G$10</f>
        <v>16000</v>
      </c>
      <c r="I28" s="355">
        <v>2</v>
      </c>
      <c r="J28" s="499">
        <f t="shared" ref="J28" si="2">H28*I28</f>
        <v>32000</v>
      </c>
      <c r="K28" s="570"/>
    </row>
    <row r="29" spans="1:13" ht="15.75">
      <c r="B29" s="332"/>
      <c r="C29" s="333" t="str">
        <f>Gia_Tbi!$B$14</f>
        <v>Hệ quản trị cơ sở dữ liệu thuộc tính</v>
      </c>
      <c r="D29" s="332" t="str">
        <f>Gia_Tbi!$C$14</f>
        <v>Bộ</v>
      </c>
      <c r="E29" s="332" t="str">
        <f>Gia_Tbi!$D$14</f>
        <v/>
      </c>
      <c r="F29" s="332">
        <f>Gia_Tbi!$E$14</f>
        <v>10</v>
      </c>
      <c r="G29" s="621">
        <f>Gia_Tbi!$F$14</f>
        <v>20881000</v>
      </c>
      <c r="H29" s="352">
        <f>Gia_Tbi!$G$14</f>
        <v>4176.2</v>
      </c>
      <c r="I29" s="409">
        <v>2</v>
      </c>
      <c r="J29" s="499">
        <f>$H29*I29</f>
        <v>8352.4</v>
      </c>
      <c r="K29" s="573"/>
    </row>
    <row r="30" spans="1:13" ht="15.75">
      <c r="B30" s="332"/>
      <c r="C30" s="333" t="str">
        <f>Gia_Tbi!$B$15</f>
        <v>Hệ quản trị dữ liệu không gian</v>
      </c>
      <c r="D30" s="332" t="str">
        <f>Gia_Tbi!$C$15</f>
        <v>Bộ</v>
      </c>
      <c r="E30" s="332" t="str">
        <f>Gia_Tbi!$D$15</f>
        <v/>
      </c>
      <c r="F30" s="332">
        <f>Gia_Tbi!$E$15</f>
        <v>10</v>
      </c>
      <c r="G30" s="621">
        <f>Gia_Tbi!$F$15</f>
        <v>357000000</v>
      </c>
      <c r="H30" s="352">
        <f>Gia_Tbi!$G$15</f>
        <v>71400</v>
      </c>
      <c r="I30" s="409">
        <v>2</v>
      </c>
      <c r="J30" s="499">
        <f>$H30*I30</f>
        <v>142800</v>
      </c>
      <c r="K30" s="573"/>
    </row>
    <row r="31" spans="1:13" ht="15.75">
      <c r="B31" s="332"/>
      <c r="C31" s="333" t="s">
        <v>557</v>
      </c>
      <c r="D31" s="332" t="str">
        <f>Gia_Tbi!$C$12</f>
        <v>Bộ</v>
      </c>
      <c r="E31" s="332">
        <f>Gia_Tbi!$D$12</f>
        <v>0.1</v>
      </c>
      <c r="F31" s="353">
        <f>Gia_Tbi!$E$12</f>
        <v>5</v>
      </c>
      <c r="G31" s="497">
        <f>Gia_Tbi!$F$12</f>
        <v>2500000</v>
      </c>
      <c r="H31" s="497">
        <f>Gia_Tbi!$G$12</f>
        <v>1000</v>
      </c>
      <c r="I31" s="355">
        <v>8</v>
      </c>
      <c r="J31" s="499">
        <f t="shared" ref="J31" si="3">H31*I31</f>
        <v>8000</v>
      </c>
      <c r="K31" s="570"/>
    </row>
    <row r="32" spans="1:13" ht="15.75">
      <c r="B32" s="332"/>
      <c r="C32" s="333" t="s">
        <v>83</v>
      </c>
      <c r="D32" s="332" t="str">
        <f>Gia_Tbi!$C$5</f>
        <v>Cái</v>
      </c>
      <c r="E32" s="332">
        <f>Gia_Tbi!$D$5</f>
        <v>0.6</v>
      </c>
      <c r="F32" s="353">
        <f>Gia_Tbi!$E$5</f>
        <v>5</v>
      </c>
      <c r="G32" s="354">
        <f>Gia_Tbi!$F$5</f>
        <v>2500000</v>
      </c>
      <c r="H32" s="354">
        <f>Gia_Tbi!$G$5</f>
        <v>1000</v>
      </c>
      <c r="I32" s="355">
        <v>0.5333</v>
      </c>
      <c r="J32" s="499">
        <f t="shared" ref="J32:J34" si="4">H32*I32</f>
        <v>533.29999999999995</v>
      </c>
      <c r="K32" s="570"/>
    </row>
    <row r="33" spans="1:14" ht="15.75">
      <c r="B33" s="332"/>
      <c r="C33" s="333" t="s">
        <v>25</v>
      </c>
      <c r="D33" s="332" t="str">
        <f>Gia_Tbi!$C$6</f>
        <v>Cái</v>
      </c>
      <c r="E33" s="332">
        <f>Gia_Tbi!$D$6</f>
        <v>2.2000000000000002</v>
      </c>
      <c r="F33" s="332">
        <f>Gia_Tbi!$E$6</f>
        <v>8</v>
      </c>
      <c r="G33" s="497">
        <f>Gia_Tbi!$F$6</f>
        <v>12000000</v>
      </c>
      <c r="H33" s="497">
        <f>Gia_Tbi!$G$6</f>
        <v>3000</v>
      </c>
      <c r="I33" s="355">
        <v>0.66669999999999996</v>
      </c>
      <c r="J33" s="499">
        <f t="shared" si="4"/>
        <v>2000.1</v>
      </c>
      <c r="K33" s="575"/>
    </row>
    <row r="34" spans="1:14" ht="15.75">
      <c r="B34" s="332"/>
      <c r="C34" s="333" t="s">
        <v>8</v>
      </c>
      <c r="D34" s="332" t="str">
        <f>Gia_Tbi!$C$13</f>
        <v>KW</v>
      </c>
      <c r="E34" s="332"/>
      <c r="F34" s="494"/>
      <c r="G34" s="497">
        <f>Gia_Tbi!$F$13</f>
        <v>1686</v>
      </c>
      <c r="H34" s="497">
        <f>Gia_Tbi!$G$13</f>
        <v>13488</v>
      </c>
      <c r="I34" s="409">
        <v>4.9866999999999999</v>
      </c>
      <c r="J34" s="499">
        <f t="shared" si="4"/>
        <v>67260.609599999996</v>
      </c>
      <c r="K34" s="570"/>
    </row>
    <row r="35" spans="1:14" ht="110.25">
      <c r="B35" s="326" t="s">
        <v>14</v>
      </c>
      <c r="C35" s="326" t="str">
        <f>C3</f>
        <v>Danh mục thiết bị</v>
      </c>
      <c r="D35" s="326" t="s">
        <v>21</v>
      </c>
      <c r="E35" s="326" t="s">
        <v>893</v>
      </c>
      <c r="F35" s="326" t="s">
        <v>5</v>
      </c>
      <c r="G35" s="483" t="s">
        <v>19</v>
      </c>
      <c r="H35" s="483" t="s">
        <v>1</v>
      </c>
      <c r="I35" s="636" t="s">
        <v>918</v>
      </c>
      <c r="J35" s="484" t="s">
        <v>615</v>
      </c>
      <c r="K35" s="484" t="s">
        <v>616</v>
      </c>
      <c r="M35" s="356">
        <f>SUM(M37:M79)</f>
        <v>513657.48160000006</v>
      </c>
    </row>
    <row r="36" spans="1:14" ht="15.75">
      <c r="A36" s="357">
        <v>2</v>
      </c>
      <c r="B36" s="326">
        <f>NhanCong_QG!B17</f>
        <v>1</v>
      </c>
      <c r="C36" s="496" t="str">
        <f>NhanCong_QG!C17:C17</f>
        <v>Thu thập tài liệu, dữ liệu</v>
      </c>
      <c r="D36" s="326"/>
      <c r="E36" s="487"/>
      <c r="F36" s="328"/>
      <c r="G36" s="329"/>
      <c r="H36" s="330"/>
      <c r="I36" s="489"/>
      <c r="J36" s="498"/>
      <c r="K36" s="576"/>
    </row>
    <row r="37" spans="1:14" ht="15.75">
      <c r="A37" s="608" t="s">
        <v>827</v>
      </c>
      <c r="B37" s="332" t="str">
        <f>NhanCong_QG!B18</f>
        <v>1.1</v>
      </c>
      <c r="C37" s="495" t="str">
        <f>NhanCong_QG!C18</f>
        <v>Thu thập tài liệu, dữ liệu thống kê</v>
      </c>
      <c r="D37" s="326"/>
      <c r="E37" s="487"/>
      <c r="F37" s="328"/>
      <c r="G37" s="329"/>
      <c r="H37" s="330"/>
      <c r="I37" s="489"/>
      <c r="J37" s="498">
        <f>SUM(J38:J39)</f>
        <v>16999.900000000001</v>
      </c>
      <c r="K37" s="576">
        <f>J40</f>
        <v>31471.5504</v>
      </c>
      <c r="M37" s="662">
        <f>J37+K37</f>
        <v>48471.450400000002</v>
      </c>
    </row>
    <row r="38" spans="1:14" ht="15.75">
      <c r="B38" s="332"/>
      <c r="C38" s="333" t="s">
        <v>82</v>
      </c>
      <c r="D38" s="332" t="str">
        <f>Gia_Tbi!$C$4</f>
        <v>Cái</v>
      </c>
      <c r="E38" s="332">
        <f>Gia_Tbi!$D$4</f>
        <v>0.4</v>
      </c>
      <c r="F38" s="332">
        <f>Gia_Tbi!$E$4</f>
        <v>5</v>
      </c>
      <c r="G38" s="492">
        <f>Gia_Tbi!$F$4</f>
        <v>10000000</v>
      </c>
      <c r="H38" s="493">
        <f>Gia_Tbi!$G$4</f>
        <v>4000</v>
      </c>
      <c r="I38" s="409">
        <v>4</v>
      </c>
      <c r="J38" s="499">
        <f>$H38*I38</f>
        <v>16000</v>
      </c>
      <c r="K38" s="570"/>
    </row>
    <row r="39" spans="1:14" ht="15.75">
      <c r="B39" s="332"/>
      <c r="C39" s="333" t="s">
        <v>25</v>
      </c>
      <c r="D39" s="332" t="str">
        <f>D7</f>
        <v>Cái</v>
      </c>
      <c r="E39" s="332">
        <f>Gia_Tbi!$D$6</f>
        <v>2.2000000000000002</v>
      </c>
      <c r="F39" s="332">
        <f>Gia_Tbi!$E$6</f>
        <v>8</v>
      </c>
      <c r="G39" s="492">
        <f>Gia_Tbi!$F$6</f>
        <v>12000000</v>
      </c>
      <c r="H39" s="493">
        <f>Gia_Tbi!$G$6</f>
        <v>3000</v>
      </c>
      <c r="I39" s="409">
        <v>0.33329999999999999</v>
      </c>
      <c r="J39" s="499">
        <f>$H39*I39</f>
        <v>999.9</v>
      </c>
      <c r="K39" s="570"/>
    </row>
    <row r="40" spans="1:14" ht="15.75">
      <c r="B40" s="332"/>
      <c r="C40" s="333" t="s">
        <v>8</v>
      </c>
      <c r="D40" s="332" t="str">
        <f>D8</f>
        <v>kW</v>
      </c>
      <c r="E40" s="332">
        <v>0</v>
      </c>
      <c r="F40" s="494">
        <v>1</v>
      </c>
      <c r="G40" s="492">
        <f>Gia_Tbi!$F$13</f>
        <v>1686</v>
      </c>
      <c r="H40" s="493">
        <f>Gia_Tbi!$G$13</f>
        <v>13488</v>
      </c>
      <c r="I40" s="409">
        <v>2.3332999999999999</v>
      </c>
      <c r="J40" s="499">
        <f>$H40*I40</f>
        <v>31471.5504</v>
      </c>
      <c r="K40" s="570"/>
    </row>
    <row r="41" spans="1:14" s="511" customFormat="1" ht="15.75">
      <c r="A41" s="511" t="s">
        <v>830</v>
      </c>
      <c r="B41" s="332" t="str">
        <f>NhanCong_QG!B19</f>
        <v>1.2</v>
      </c>
      <c r="C41" s="495" t="str">
        <f>NhanCong_QG!C19</f>
        <v>Thu thập tài liệu, dữ liệu kiểm kê</v>
      </c>
      <c r="D41" s="332"/>
      <c r="E41" s="332"/>
      <c r="F41" s="494"/>
      <c r="G41" s="492"/>
      <c r="H41" s="493"/>
      <c r="I41" s="409"/>
      <c r="J41" s="498">
        <f>SUM(J42:J43)</f>
        <v>34000.1</v>
      </c>
      <c r="K41" s="513">
        <f>J44</f>
        <v>62944.449599999993</v>
      </c>
      <c r="M41" s="662">
        <f>J41+K41</f>
        <v>96944.549599999998</v>
      </c>
    </row>
    <row r="42" spans="1:14" s="511" customFormat="1" ht="15.75">
      <c r="B42" s="332"/>
      <c r="C42" s="333" t="s">
        <v>82</v>
      </c>
      <c r="D42" s="332" t="str">
        <f>Gia_Tbi!$C$4</f>
        <v>Cái</v>
      </c>
      <c r="E42" s="332">
        <f>Gia_Tbi!$D$4</f>
        <v>0.4</v>
      </c>
      <c r="F42" s="332">
        <f>Gia_Tbi!$E$4</f>
        <v>5</v>
      </c>
      <c r="G42" s="492">
        <f>Gia_Tbi!$F$4</f>
        <v>10000000</v>
      </c>
      <c r="H42" s="493">
        <f>Gia_Tbi!$G$4</f>
        <v>4000</v>
      </c>
      <c r="I42" s="409">
        <v>8</v>
      </c>
      <c r="J42" s="499">
        <f>$H42*I42</f>
        <v>32000</v>
      </c>
      <c r="K42" s="570"/>
    </row>
    <row r="43" spans="1:14" ht="15.75">
      <c r="B43" s="332"/>
      <c r="C43" s="333" t="s">
        <v>25</v>
      </c>
      <c r="D43" s="332" t="str">
        <f>D10</f>
        <v>Cái</v>
      </c>
      <c r="E43" s="332">
        <f>Gia_Tbi!$D$6</f>
        <v>2.2000000000000002</v>
      </c>
      <c r="F43" s="332">
        <f>Gia_Tbi!$E$6</f>
        <v>8</v>
      </c>
      <c r="G43" s="492">
        <f>Gia_Tbi!$F$6</f>
        <v>12000000</v>
      </c>
      <c r="H43" s="493">
        <f>Gia_Tbi!$G$6</f>
        <v>3000</v>
      </c>
      <c r="I43" s="409">
        <v>0.66669999999999996</v>
      </c>
      <c r="J43" s="499">
        <f>$H43*I43</f>
        <v>2000.1</v>
      </c>
      <c r="K43" s="570"/>
    </row>
    <row r="44" spans="1:14" ht="15.75">
      <c r="B44" s="332"/>
      <c r="C44" s="333" t="s">
        <v>8</v>
      </c>
      <c r="D44" s="332" t="s">
        <v>917</v>
      </c>
      <c r="E44" s="332"/>
      <c r="F44" s="494"/>
      <c r="G44" s="492">
        <f>Gia_Tbi!$F$13</f>
        <v>1686</v>
      </c>
      <c r="H44" s="493">
        <f>Gia_Tbi!$G$13</f>
        <v>13488</v>
      </c>
      <c r="I44" s="409">
        <v>4.6666999999999996</v>
      </c>
      <c r="J44" s="499">
        <f>$H44*I44</f>
        <v>62944.449599999993</v>
      </c>
      <c r="K44" s="570"/>
    </row>
    <row r="45" spans="1:14" ht="15.75">
      <c r="A45" s="357">
        <v>4</v>
      </c>
      <c r="B45" s="326">
        <f>NhanCong_QG!B20</f>
        <v>2</v>
      </c>
      <c r="C45" s="327" t="str">
        <f>NhanCong_QG!C20:C20</f>
        <v>Quét giấy tờ pháp lý và xử lý tập tin</v>
      </c>
      <c r="D45" s="332"/>
      <c r="E45" s="332"/>
      <c r="F45" s="332"/>
      <c r="G45" s="497"/>
      <c r="H45" s="497"/>
      <c r="I45" s="409"/>
      <c r="J45" s="498"/>
      <c r="K45" s="570"/>
    </row>
    <row r="46" spans="1:14" ht="31.5">
      <c r="A46" s="608" t="s">
        <v>883</v>
      </c>
      <c r="B46" s="332" t="str">
        <f>NhanCong_QG!B25</f>
        <v/>
      </c>
      <c r="C46" s="333" t="str">
        <f>NhanCong_QG!C25:C25</f>
        <v>Tạo danh mục tra cứu hồ sơ quét trong cơ sở dữ liệu kiểm kê đất đai</v>
      </c>
      <c r="D46" s="332"/>
      <c r="E46" s="332"/>
      <c r="F46" s="500"/>
      <c r="G46" s="501"/>
      <c r="H46" s="354"/>
      <c r="I46" s="502"/>
      <c r="J46" s="512">
        <f>SUM(J47:J51)</f>
        <v>41176.1</v>
      </c>
      <c r="K46" s="575">
        <f>J52</f>
        <v>31471.5504</v>
      </c>
      <c r="M46" s="662">
        <f>J46+K46</f>
        <v>72647.650399999999</v>
      </c>
    </row>
    <row r="47" spans="1:14" ht="15.75">
      <c r="B47" s="332"/>
      <c r="C47" s="333" t="s">
        <v>82</v>
      </c>
      <c r="D47" s="332" t="str">
        <f>Gia_Tbi!$C$4</f>
        <v>Cái</v>
      </c>
      <c r="E47" s="332">
        <f>Gia_Tbi!$D$4</f>
        <v>0.4</v>
      </c>
      <c r="F47" s="332">
        <f>Gia_Tbi!$E$4</f>
        <v>5</v>
      </c>
      <c r="G47" s="492">
        <f>Gia_Tbi!$F$4</f>
        <v>10000000</v>
      </c>
      <c r="H47" s="493">
        <f>Gia_Tbi!$G$4</f>
        <v>4000</v>
      </c>
      <c r="I47" s="355">
        <v>4</v>
      </c>
      <c r="J47" s="499">
        <f t="shared" ref="J47:J52" si="5">$H47*I47</f>
        <v>16000</v>
      </c>
      <c r="K47" s="570"/>
      <c r="N47" s="707"/>
    </row>
    <row r="48" spans="1:14" ht="15.75">
      <c r="B48" s="332"/>
      <c r="C48" s="333" t="s">
        <v>928</v>
      </c>
      <c r="D48" s="332" t="str">
        <f>Gia_Tbi!$C$10</f>
        <v>Cái</v>
      </c>
      <c r="E48" s="332">
        <f>Gia_Tbi!$D$10</f>
        <v>1</v>
      </c>
      <c r="F48" s="353">
        <f>Gia_Tbi!$E$10</f>
        <v>10</v>
      </c>
      <c r="G48" s="497">
        <f>Gia_Tbi!$F$10</f>
        <v>80000000</v>
      </c>
      <c r="H48" s="497">
        <f>Gia_Tbi!$G$10</f>
        <v>16000</v>
      </c>
      <c r="I48" s="409">
        <v>1</v>
      </c>
      <c r="J48" s="499">
        <f t="shared" si="5"/>
        <v>16000</v>
      </c>
      <c r="K48" s="570"/>
      <c r="N48" s="707"/>
    </row>
    <row r="49" spans="1:14" ht="15.75">
      <c r="B49" s="332"/>
      <c r="C49" s="333" t="str">
        <f>Gia_Tbi!$B$14</f>
        <v>Hệ quản trị cơ sở dữ liệu thuộc tính</v>
      </c>
      <c r="D49" s="332" t="str">
        <f>Gia_Tbi!$C$14</f>
        <v>Bộ</v>
      </c>
      <c r="E49" s="332" t="str">
        <f>Gia_Tbi!$D$14</f>
        <v/>
      </c>
      <c r="F49" s="332">
        <f>Gia_Tbi!$E$14</f>
        <v>10</v>
      </c>
      <c r="G49" s="621">
        <f>Gia_Tbi!$F$14</f>
        <v>20881000</v>
      </c>
      <c r="H49" s="352">
        <f>Gia_Tbi!$G$14</f>
        <v>4176.2</v>
      </c>
      <c r="I49" s="409">
        <v>1</v>
      </c>
      <c r="J49" s="499">
        <f t="shared" si="5"/>
        <v>4176.2</v>
      </c>
      <c r="K49" s="573"/>
      <c r="N49" s="707"/>
    </row>
    <row r="50" spans="1:14" ht="15.75">
      <c r="B50" s="332"/>
      <c r="C50" s="333" t="s">
        <v>557</v>
      </c>
      <c r="D50" s="332" t="str">
        <f>Gia_Tbi!$C$12</f>
        <v>Bộ</v>
      </c>
      <c r="E50" s="332">
        <f>Gia_Tbi!$D$12</f>
        <v>0.1</v>
      </c>
      <c r="F50" s="353">
        <f>Gia_Tbi!$E$12</f>
        <v>5</v>
      </c>
      <c r="G50" s="497">
        <f>Gia_Tbi!$F$12</f>
        <v>2500000</v>
      </c>
      <c r="H50" s="497">
        <f>Gia_Tbi!$G$12</f>
        <v>1000</v>
      </c>
      <c r="I50" s="409">
        <v>4</v>
      </c>
      <c r="J50" s="499">
        <f t="shared" si="5"/>
        <v>4000</v>
      </c>
      <c r="K50" s="570"/>
      <c r="N50" s="707"/>
    </row>
    <row r="51" spans="1:14" ht="15.75">
      <c r="B51" s="332"/>
      <c r="C51" s="333" t="s">
        <v>25</v>
      </c>
      <c r="D51" s="332" t="s">
        <v>556</v>
      </c>
      <c r="E51" s="332">
        <f>Gia_Tbi!$D$6</f>
        <v>2.2000000000000002</v>
      </c>
      <c r="F51" s="332">
        <f>Gia_Tbi!$E$6</f>
        <v>8</v>
      </c>
      <c r="G51" s="492">
        <f>Gia_Tbi!$F$6</f>
        <v>12000000</v>
      </c>
      <c r="H51" s="493">
        <f>Gia_Tbi!$G$6</f>
        <v>3000</v>
      </c>
      <c r="I51" s="355">
        <v>0.33329999999999999</v>
      </c>
      <c r="J51" s="499">
        <f t="shared" si="5"/>
        <v>999.9</v>
      </c>
      <c r="K51" s="570"/>
      <c r="N51" s="707"/>
    </row>
    <row r="52" spans="1:14" ht="15.75">
      <c r="B52" s="332"/>
      <c r="C52" s="333" t="s">
        <v>8</v>
      </c>
      <c r="D52" s="332" t="s">
        <v>563</v>
      </c>
      <c r="E52" s="332"/>
      <c r="F52" s="494"/>
      <c r="G52" s="492">
        <f>Gia_Tbi!$F$13</f>
        <v>1686</v>
      </c>
      <c r="H52" s="493">
        <f>Gia_Tbi!$G$13</f>
        <v>13488</v>
      </c>
      <c r="I52" s="409">
        <v>2.3332999999999999</v>
      </c>
      <c r="J52" s="499">
        <f t="shared" si="5"/>
        <v>31471.5504</v>
      </c>
      <c r="K52" s="570"/>
      <c r="N52" s="707"/>
    </row>
    <row r="53" spans="1:14" ht="31.5">
      <c r="A53" s="357">
        <v>5</v>
      </c>
      <c r="B53" s="326">
        <f>NhanCong_QG!B26</f>
        <v>3</v>
      </c>
      <c r="C53" s="327" t="str">
        <f>NhanCong_QG!C26:C26</f>
        <v>Xây dựng dữ liệu thuộc tính thống kê, kiểm kê đất đai</v>
      </c>
      <c r="D53" s="332"/>
      <c r="E53" s="332"/>
      <c r="F53" s="500"/>
      <c r="G53" s="501"/>
      <c r="H53" s="354"/>
      <c r="I53" s="502"/>
      <c r="J53" s="512"/>
      <c r="K53" s="570"/>
    </row>
    <row r="54" spans="1:14" ht="31.5">
      <c r="A54" s="608" t="s">
        <v>867</v>
      </c>
      <c r="B54" s="332" t="str">
        <f>NhanCong_QG!B27</f>
        <v>3.1</v>
      </c>
      <c r="C54" s="333" t="str">
        <f>NhanCong_QG!C27:C27</f>
        <v>Đối với tài liệu, số liệu là bảng, biểu dạng số thì thực hiện như sau:</v>
      </c>
      <c r="D54" s="326"/>
      <c r="E54" s="487"/>
      <c r="F54" s="328"/>
      <c r="G54" s="329"/>
      <c r="H54" s="330"/>
      <c r="I54" s="489"/>
      <c r="J54" s="498"/>
      <c r="K54" s="570"/>
    </row>
    <row r="55" spans="1:14" ht="31.5">
      <c r="A55" s="608" t="s">
        <v>693</v>
      </c>
      <c r="B55" s="332" t="str">
        <f>NhanCong_QG!B28</f>
        <v>3.1.1</v>
      </c>
      <c r="C55" s="495" t="str">
        <f>NhanCong_QG!C28</f>
        <v>Lập mô hình chuyển đổi cơ sở dữ liệu thống kê, kiểm kê đất đai</v>
      </c>
      <c r="D55" s="326"/>
      <c r="E55" s="487"/>
      <c r="F55" s="328"/>
      <c r="G55" s="329"/>
      <c r="H55" s="330"/>
      <c r="I55" s="489"/>
      <c r="J55" s="498">
        <f>SUM(J56:J57)</f>
        <v>16999.900000000001</v>
      </c>
      <c r="K55" s="575">
        <f>J58</f>
        <v>31471.5504</v>
      </c>
      <c r="M55" s="662">
        <f>J55+K55</f>
        <v>48471.450400000002</v>
      </c>
    </row>
    <row r="56" spans="1:14" ht="15.75">
      <c r="B56" s="332"/>
      <c r="C56" s="333" t="s">
        <v>82</v>
      </c>
      <c r="D56" s="332" t="str">
        <f>Gia_Tbi!$C$4</f>
        <v>Cái</v>
      </c>
      <c r="E56" s="332">
        <f>Gia_Tbi!$D$4</f>
        <v>0.4</v>
      </c>
      <c r="F56" s="332">
        <f>Gia_Tbi!$E$4</f>
        <v>5</v>
      </c>
      <c r="G56" s="492">
        <f>Gia_Tbi!$F$4</f>
        <v>10000000</v>
      </c>
      <c r="H56" s="493">
        <f>Gia_Tbi!$G$4</f>
        <v>4000</v>
      </c>
      <c r="I56" s="355">
        <v>4</v>
      </c>
      <c r="J56" s="499">
        <f>$H56*I56</f>
        <v>16000</v>
      </c>
      <c r="K56" s="570"/>
      <c r="N56" s="707"/>
    </row>
    <row r="57" spans="1:14" ht="15.75">
      <c r="B57" s="332"/>
      <c r="C57" s="333" t="s">
        <v>25</v>
      </c>
      <c r="D57" s="332" t="s">
        <v>556</v>
      </c>
      <c r="E57" s="332">
        <f>Gia_Tbi!$D$6</f>
        <v>2.2000000000000002</v>
      </c>
      <c r="F57" s="332">
        <f>Gia_Tbi!$E$6</f>
        <v>8</v>
      </c>
      <c r="G57" s="492">
        <f>Gia_Tbi!$F$6</f>
        <v>12000000</v>
      </c>
      <c r="H57" s="493">
        <f>Gia_Tbi!$G$6</f>
        <v>3000</v>
      </c>
      <c r="I57" s="355">
        <v>0.33329999999999999</v>
      </c>
      <c r="J57" s="499">
        <f>$H57*I57</f>
        <v>999.9</v>
      </c>
      <c r="K57" s="570"/>
      <c r="N57" s="707"/>
    </row>
    <row r="58" spans="1:14" ht="15.75">
      <c r="B58" s="332"/>
      <c r="C58" s="333" t="s">
        <v>8</v>
      </c>
      <c r="D58" s="332" t="s">
        <v>563</v>
      </c>
      <c r="E58" s="332"/>
      <c r="F58" s="494"/>
      <c r="G58" s="492">
        <f>Gia_Tbi!$F$13</f>
        <v>1686</v>
      </c>
      <c r="H58" s="493">
        <f>Gia_Tbi!$G$13</f>
        <v>13488</v>
      </c>
      <c r="I58" s="409">
        <v>2.3332999999999999</v>
      </c>
      <c r="J58" s="499">
        <f>$H58*I58</f>
        <v>31471.5504</v>
      </c>
      <c r="K58" s="570"/>
      <c r="N58" s="707"/>
    </row>
    <row r="59" spans="1:14" ht="31.5">
      <c r="A59" s="608" t="s">
        <v>571</v>
      </c>
      <c r="B59" s="332" t="str">
        <f>NhanCong_QG!B29</f>
        <v>3.1.2</v>
      </c>
      <c r="C59" s="333" t="str">
        <f>NhanCong_QG!C29:C29</f>
        <v>Chuyển đổi vào cơ sở dữ liệu thống kê,  kiểm kê đất đai</v>
      </c>
      <c r="D59" s="326"/>
      <c r="E59" s="487"/>
      <c r="F59" s="328"/>
      <c r="G59" s="329"/>
      <c r="H59" s="330"/>
      <c r="I59" s="489"/>
      <c r="J59" s="498">
        <f>SUM(J60:J64)</f>
        <v>16470.38</v>
      </c>
      <c r="K59" s="575">
        <f>J65</f>
        <v>12588.350399999999</v>
      </c>
      <c r="M59" s="662">
        <f>J59+K59</f>
        <v>29058.7304</v>
      </c>
    </row>
    <row r="60" spans="1:14" ht="15.75">
      <c r="B60" s="332"/>
      <c r="C60" s="333" t="s">
        <v>82</v>
      </c>
      <c r="D60" s="332" t="str">
        <f>Gia_Tbi!$C$4</f>
        <v>Cái</v>
      </c>
      <c r="E60" s="332">
        <f>Gia_Tbi!$D$4</f>
        <v>0.4</v>
      </c>
      <c r="F60" s="332">
        <f>Gia_Tbi!$E$4</f>
        <v>5</v>
      </c>
      <c r="G60" s="497">
        <f>Gia_Tbi!$F$4</f>
        <v>10000000</v>
      </c>
      <c r="H60" s="497">
        <f>Gia_Tbi!$G$4</f>
        <v>4000</v>
      </c>
      <c r="I60" s="409">
        <v>1.6</v>
      </c>
      <c r="J60" s="499">
        <f>H60*I60</f>
        <v>6400</v>
      </c>
      <c r="K60" s="570"/>
      <c r="N60" s="707"/>
    </row>
    <row r="61" spans="1:14" ht="15.75">
      <c r="B61" s="332"/>
      <c r="C61" s="333" t="s">
        <v>928</v>
      </c>
      <c r="D61" s="332" t="str">
        <f>Gia_Tbi!$C$10</f>
        <v>Cái</v>
      </c>
      <c r="E61" s="332">
        <f>Gia_Tbi!$D$10</f>
        <v>1</v>
      </c>
      <c r="F61" s="353">
        <f>Gia_Tbi!$E$10</f>
        <v>10</v>
      </c>
      <c r="G61" s="497">
        <f>Gia_Tbi!$F$10</f>
        <v>80000000</v>
      </c>
      <c r="H61" s="497">
        <f>Gia_Tbi!$G$10</f>
        <v>16000</v>
      </c>
      <c r="I61" s="355">
        <v>0.4</v>
      </c>
      <c r="J61" s="499">
        <f t="shared" ref="J61:J65" si="6">H61*I61</f>
        <v>6400</v>
      </c>
      <c r="K61" s="570"/>
      <c r="N61" s="707"/>
    </row>
    <row r="62" spans="1:14" ht="15.75">
      <c r="B62" s="332"/>
      <c r="C62" s="333" t="str">
        <f>Gia_Tbi!$B$14</f>
        <v>Hệ quản trị cơ sở dữ liệu thuộc tính</v>
      </c>
      <c r="D62" s="332" t="str">
        <f>Gia_Tbi!$C$14</f>
        <v>Bộ</v>
      </c>
      <c r="E62" s="332" t="str">
        <f>Gia_Tbi!$D$14</f>
        <v/>
      </c>
      <c r="F62" s="332">
        <f>Gia_Tbi!$E$14</f>
        <v>10</v>
      </c>
      <c r="G62" s="621">
        <f>Gia_Tbi!$F$14</f>
        <v>20881000</v>
      </c>
      <c r="H62" s="352">
        <f>Gia_Tbi!$G$14</f>
        <v>4176.2</v>
      </c>
      <c r="I62" s="409">
        <v>0.4</v>
      </c>
      <c r="J62" s="499">
        <f>$H62*I62</f>
        <v>1670.48</v>
      </c>
      <c r="K62" s="573"/>
      <c r="N62" s="707"/>
    </row>
    <row r="63" spans="1:14" ht="15.75">
      <c r="B63" s="332"/>
      <c r="C63" s="333" t="s">
        <v>557</v>
      </c>
      <c r="D63" s="332" t="str">
        <f>Gia_Tbi!$C$12</f>
        <v>Bộ</v>
      </c>
      <c r="E63" s="332">
        <f>Gia_Tbi!$D$12</f>
        <v>0.1</v>
      </c>
      <c r="F63" s="353">
        <f>Gia_Tbi!$E$12</f>
        <v>5</v>
      </c>
      <c r="G63" s="497">
        <f>Gia_Tbi!$F$12</f>
        <v>2500000</v>
      </c>
      <c r="H63" s="497">
        <f>Gia_Tbi!$G$12</f>
        <v>1000</v>
      </c>
      <c r="I63" s="355">
        <v>1.6</v>
      </c>
      <c r="J63" s="499">
        <f t="shared" si="6"/>
        <v>1600</v>
      </c>
      <c r="K63" s="570"/>
      <c r="N63" s="707"/>
    </row>
    <row r="64" spans="1:14" ht="15.75">
      <c r="B64" s="332"/>
      <c r="C64" s="333" t="s">
        <v>25</v>
      </c>
      <c r="D64" s="332" t="str">
        <f>Gia_Tbi!$C$6</f>
        <v>Cái</v>
      </c>
      <c r="E64" s="332">
        <f>Gia_Tbi!$D$6</f>
        <v>2.2000000000000002</v>
      </c>
      <c r="F64" s="332">
        <f>Gia_Tbi!$E$6</f>
        <v>8</v>
      </c>
      <c r="G64" s="497">
        <f>Gia_Tbi!$F$6</f>
        <v>12000000</v>
      </c>
      <c r="H64" s="497">
        <f>Gia_Tbi!$G$6</f>
        <v>3000</v>
      </c>
      <c r="I64" s="409">
        <v>0.1333</v>
      </c>
      <c r="J64" s="499">
        <f t="shared" si="6"/>
        <v>399.9</v>
      </c>
      <c r="K64" s="570"/>
      <c r="N64" s="707"/>
    </row>
    <row r="65" spans="1:14" ht="15.75">
      <c r="B65" s="332"/>
      <c r="C65" s="333" t="s">
        <v>8</v>
      </c>
      <c r="D65" s="332" t="str">
        <f>Gia_Tbi!$C$13</f>
        <v>KW</v>
      </c>
      <c r="E65" s="332"/>
      <c r="F65" s="494"/>
      <c r="G65" s="497">
        <f>Gia_Tbi!$F$13</f>
        <v>1686</v>
      </c>
      <c r="H65" s="497">
        <f>Gia_Tbi!$G$13</f>
        <v>13488</v>
      </c>
      <c r="I65" s="409">
        <v>0.93330000000000002</v>
      </c>
      <c r="J65" s="499">
        <f t="shared" si="6"/>
        <v>12588.350399999999</v>
      </c>
      <c r="K65" s="570"/>
      <c r="N65" s="707"/>
    </row>
    <row r="66" spans="1:14" ht="47.25">
      <c r="A66" s="608" t="s">
        <v>868</v>
      </c>
      <c r="B66" s="332" t="str">
        <f>NhanCong_QG!B30</f>
        <v>3.2</v>
      </c>
      <c r="C66" s="333" t="str">
        <f>NhanCong_QG!C30:C30</f>
        <v>Đối với tài liệu, số liệu là báo cáo dạng số thì tạo danh mục tra cứu trong cơ sở dữ liệu thống kê, kiểm kê đất đai</v>
      </c>
      <c r="D66" s="332"/>
      <c r="E66" s="332"/>
      <c r="F66" s="494"/>
      <c r="G66" s="497"/>
      <c r="H66" s="497"/>
      <c r="I66" s="409"/>
      <c r="J66" s="498">
        <f>SUM(J67:J71)</f>
        <v>41176.1</v>
      </c>
      <c r="K66" s="575">
        <f>J72</f>
        <v>31471.5504</v>
      </c>
      <c r="M66" s="662">
        <f>J66+K66</f>
        <v>72647.650399999999</v>
      </c>
    </row>
    <row r="67" spans="1:14" ht="15.75">
      <c r="B67" s="332"/>
      <c r="C67" s="333" t="s">
        <v>82</v>
      </c>
      <c r="D67" s="332" t="str">
        <f>Gia_Tbi!$C$4</f>
        <v>Cái</v>
      </c>
      <c r="E67" s="332">
        <f>Gia_Tbi!$D$4</f>
        <v>0.4</v>
      </c>
      <c r="F67" s="332">
        <f>Gia_Tbi!$E$4</f>
        <v>5</v>
      </c>
      <c r="G67" s="497">
        <f>Gia_Tbi!$F$4</f>
        <v>10000000</v>
      </c>
      <c r="H67" s="497">
        <f>Gia_Tbi!$G$4</f>
        <v>4000</v>
      </c>
      <c r="I67" s="409">
        <v>4</v>
      </c>
      <c r="J67" s="499">
        <f>H67*I67</f>
        <v>16000</v>
      </c>
      <c r="K67" s="570"/>
      <c r="N67" s="707"/>
    </row>
    <row r="68" spans="1:14" ht="15.75">
      <c r="B68" s="332"/>
      <c r="C68" s="333" t="s">
        <v>928</v>
      </c>
      <c r="D68" s="332" t="str">
        <f>Gia_Tbi!$C$10</f>
        <v>Cái</v>
      </c>
      <c r="E68" s="332">
        <f>Gia_Tbi!$D$10</f>
        <v>1</v>
      </c>
      <c r="F68" s="353">
        <f>Gia_Tbi!$E$10</f>
        <v>10</v>
      </c>
      <c r="G68" s="497">
        <f>Gia_Tbi!$F$10</f>
        <v>80000000</v>
      </c>
      <c r="H68" s="497">
        <f>Gia_Tbi!$G$10</f>
        <v>16000</v>
      </c>
      <c r="I68" s="355">
        <v>1</v>
      </c>
      <c r="J68" s="499">
        <f t="shared" ref="J68:J72" si="7">H68*I68</f>
        <v>16000</v>
      </c>
      <c r="K68" s="570"/>
      <c r="N68" s="707"/>
    </row>
    <row r="69" spans="1:14" ht="15.75">
      <c r="B69" s="332"/>
      <c r="C69" s="333" t="str">
        <f>Gia_Tbi!$B$14</f>
        <v>Hệ quản trị cơ sở dữ liệu thuộc tính</v>
      </c>
      <c r="D69" s="332" t="str">
        <f>Gia_Tbi!$C$14</f>
        <v>Bộ</v>
      </c>
      <c r="E69" s="332" t="str">
        <f>Gia_Tbi!$D$14</f>
        <v/>
      </c>
      <c r="F69" s="332">
        <f>Gia_Tbi!$E$14</f>
        <v>10</v>
      </c>
      <c r="G69" s="621">
        <f>Gia_Tbi!$F$14</f>
        <v>20881000</v>
      </c>
      <c r="H69" s="352">
        <f>Gia_Tbi!$G$14</f>
        <v>4176.2</v>
      </c>
      <c r="I69" s="409">
        <v>1</v>
      </c>
      <c r="J69" s="499">
        <f>$H69*I69</f>
        <v>4176.2</v>
      </c>
      <c r="K69" s="573"/>
      <c r="N69" s="707"/>
    </row>
    <row r="70" spans="1:14" ht="15.75">
      <c r="B70" s="332"/>
      <c r="C70" s="333" t="s">
        <v>557</v>
      </c>
      <c r="D70" s="332" t="str">
        <f>Gia_Tbi!$C$12</f>
        <v>Bộ</v>
      </c>
      <c r="E70" s="332">
        <f>Gia_Tbi!$D$12</f>
        <v>0.1</v>
      </c>
      <c r="F70" s="353">
        <f>Gia_Tbi!$E$12</f>
        <v>5</v>
      </c>
      <c r="G70" s="497">
        <f>Gia_Tbi!$F$12</f>
        <v>2500000</v>
      </c>
      <c r="H70" s="497">
        <f>Gia_Tbi!$G$12</f>
        <v>1000</v>
      </c>
      <c r="I70" s="355">
        <v>4</v>
      </c>
      <c r="J70" s="499">
        <f t="shared" si="7"/>
        <v>4000</v>
      </c>
      <c r="K70" s="570"/>
      <c r="N70" s="707"/>
    </row>
    <row r="71" spans="1:14" ht="15.75">
      <c r="B71" s="332"/>
      <c r="C71" s="333" t="s">
        <v>25</v>
      </c>
      <c r="D71" s="332" t="str">
        <f>Gia_Tbi!$C$6</f>
        <v>Cái</v>
      </c>
      <c r="E71" s="332">
        <f>Gia_Tbi!$D$6</f>
        <v>2.2000000000000002</v>
      </c>
      <c r="F71" s="332">
        <f>Gia_Tbi!$E$6</f>
        <v>8</v>
      </c>
      <c r="G71" s="497">
        <f>Gia_Tbi!$F$6</f>
        <v>12000000</v>
      </c>
      <c r="H71" s="497">
        <f>Gia_Tbi!$G$6</f>
        <v>3000</v>
      </c>
      <c r="I71" s="409">
        <v>0.33329999999999999</v>
      </c>
      <c r="J71" s="499">
        <f t="shared" si="7"/>
        <v>999.9</v>
      </c>
      <c r="K71" s="570"/>
      <c r="N71" s="707"/>
    </row>
    <row r="72" spans="1:14" ht="15.75">
      <c r="B72" s="332"/>
      <c r="C72" s="333" t="s">
        <v>8</v>
      </c>
      <c r="D72" s="332" t="str">
        <f>Gia_Tbi!$C$13</f>
        <v>KW</v>
      </c>
      <c r="E72" s="332"/>
      <c r="F72" s="494"/>
      <c r="G72" s="497">
        <f>Gia_Tbi!$F$13</f>
        <v>1686</v>
      </c>
      <c r="H72" s="497">
        <f>Gia_Tbi!$G$13</f>
        <v>13488</v>
      </c>
      <c r="I72" s="409">
        <v>2.3332999999999999</v>
      </c>
      <c r="J72" s="499">
        <f t="shared" si="7"/>
        <v>31471.5504</v>
      </c>
      <c r="K72" s="570"/>
      <c r="N72" s="707"/>
    </row>
    <row r="73" spans="1:14" ht="15.75">
      <c r="A73" s="357">
        <v>6</v>
      </c>
      <c r="B73" s="326">
        <f>NhanCong_QG!B31</f>
        <v>4</v>
      </c>
      <c r="C73" s="327" t="str">
        <f>NhanCong_QG!C31:C31</f>
        <v>Đối soát, hoàn thiện dữ liệu</v>
      </c>
      <c r="D73" s="332"/>
      <c r="E73" s="332"/>
      <c r="F73" s="332"/>
      <c r="G73" s="497"/>
      <c r="H73" s="497"/>
      <c r="I73" s="409"/>
      <c r="J73" s="498"/>
      <c r="K73" s="575"/>
    </row>
    <row r="74" spans="1:14" ht="31.5">
      <c r="A74" s="608" t="s">
        <v>870</v>
      </c>
      <c r="B74" s="332" t="str">
        <f>NhanCong_QG!B32</f>
        <v>4.1</v>
      </c>
      <c r="C74" s="333" t="str">
        <f>NhanCong_QG!C32:C32</f>
        <v>Thực hiện đối soát, hoàn thiện dữ liệu, tạo liên kết dữ liệu</v>
      </c>
      <c r="D74" s="326"/>
      <c r="E74" s="487"/>
      <c r="F74" s="328"/>
      <c r="G74" s="329"/>
      <c r="H74" s="330"/>
      <c r="I74" s="489"/>
      <c r="J74" s="498"/>
      <c r="K74" s="575"/>
    </row>
    <row r="75" spans="1:14" ht="31.5">
      <c r="A75" s="608" t="s">
        <v>871</v>
      </c>
      <c r="B75" s="332" t="str">
        <f>NhanCong_QG!B33</f>
        <v>4.1.1</v>
      </c>
      <c r="C75" s="495" t="str">
        <f>NhanCong_QG!C33</f>
        <v>Thực hiện đối soát, hoàn thiện dữ liệu, tạo liên kết dữ liệu thống kê, kiểm kê đất đai</v>
      </c>
      <c r="D75" s="326"/>
      <c r="E75" s="487"/>
      <c r="F75" s="328"/>
      <c r="G75" s="329"/>
      <c r="H75" s="330"/>
      <c r="I75" s="489"/>
      <c r="J75" s="498">
        <f>SUM(J76:J77)</f>
        <v>16999.900000000001</v>
      </c>
      <c r="K75" s="575">
        <f>J78</f>
        <v>31471.5504</v>
      </c>
      <c r="M75" s="662">
        <f>J75+K75</f>
        <v>48471.450400000002</v>
      </c>
    </row>
    <row r="76" spans="1:14" ht="15.75">
      <c r="B76" s="332"/>
      <c r="C76" s="333" t="s">
        <v>82</v>
      </c>
      <c r="D76" s="332" t="str">
        <f>Gia_Tbi!$C$4</f>
        <v>Cái</v>
      </c>
      <c r="E76" s="332">
        <f>Gia_Tbi!$D$4</f>
        <v>0.4</v>
      </c>
      <c r="F76" s="332">
        <f>Gia_Tbi!$E$4</f>
        <v>5</v>
      </c>
      <c r="G76" s="492">
        <f>Gia_Tbi!$F$4</f>
        <v>10000000</v>
      </c>
      <c r="H76" s="493">
        <f>Gia_Tbi!$G$4</f>
        <v>4000</v>
      </c>
      <c r="I76" s="409">
        <v>4</v>
      </c>
      <c r="J76" s="499">
        <f>H76*I76</f>
        <v>16000</v>
      </c>
      <c r="K76" s="570"/>
      <c r="N76" s="707"/>
    </row>
    <row r="77" spans="1:14" ht="15.75">
      <c r="B77" s="332"/>
      <c r="C77" s="333" t="s">
        <v>25</v>
      </c>
      <c r="D77" s="332" t="str">
        <f>D99</f>
        <v>Cái</v>
      </c>
      <c r="E77" s="332">
        <f>Gia_Tbi!$D$6</f>
        <v>2.2000000000000002</v>
      </c>
      <c r="F77" s="332">
        <f>Gia_Tbi!$E$6</f>
        <v>8</v>
      </c>
      <c r="G77" s="492">
        <f>Gia_Tbi!$F$6</f>
        <v>12000000</v>
      </c>
      <c r="H77" s="493">
        <f>Gia_Tbi!$G$6</f>
        <v>3000</v>
      </c>
      <c r="I77" s="409">
        <v>0.33329999999999999</v>
      </c>
      <c r="J77" s="499">
        <f t="shared" ref="J77:J78" si="8">H77*I77</f>
        <v>999.9</v>
      </c>
      <c r="K77" s="570"/>
      <c r="N77" s="707"/>
    </row>
    <row r="78" spans="1:14" ht="15.75">
      <c r="B78" s="332"/>
      <c r="C78" s="333" t="s">
        <v>8</v>
      </c>
      <c r="D78" s="332" t="str">
        <f>D100</f>
        <v>KW</v>
      </c>
      <c r="E78" s="332"/>
      <c r="F78" s="494"/>
      <c r="G78" s="492">
        <f>Gia_Tbi!$F$13</f>
        <v>1686</v>
      </c>
      <c r="H78" s="493">
        <f>Gia_Tbi!$G$13</f>
        <v>13488</v>
      </c>
      <c r="I78" s="409">
        <v>2.3332999999999999</v>
      </c>
      <c r="J78" s="499">
        <f t="shared" si="8"/>
        <v>31471.5504</v>
      </c>
      <c r="K78" s="570"/>
      <c r="N78" s="707"/>
    </row>
    <row r="79" spans="1:14" ht="31.5">
      <c r="A79" s="608" t="s">
        <v>872</v>
      </c>
      <c r="B79" s="332" t="str">
        <f>NhanCong_QG!B34</f>
        <v>4.1.2</v>
      </c>
      <c r="C79" s="495" t="str">
        <f>NhanCong_QG!C34</f>
        <v>Thực hiện đối soát, hoàn thiện dữ liệu, tạo liên kết dữ liệu thống kê, kiểm kê đất đai</v>
      </c>
      <c r="D79" s="332"/>
      <c r="E79" s="332"/>
      <c r="F79" s="494"/>
      <c r="G79" s="492"/>
      <c r="H79" s="493"/>
      <c r="I79" s="409"/>
      <c r="J79" s="498">
        <f>SUM(J80:J81)</f>
        <v>34000.1</v>
      </c>
      <c r="K79" s="575">
        <f>J82</f>
        <v>62944.449599999993</v>
      </c>
      <c r="M79" s="662">
        <f>J79+K79</f>
        <v>96944.549599999998</v>
      </c>
    </row>
    <row r="80" spans="1:14" ht="15.75">
      <c r="B80" s="332"/>
      <c r="C80" s="333" t="s">
        <v>82</v>
      </c>
      <c r="D80" s="332" t="str">
        <f>Gia_Tbi!$C$4</f>
        <v>Cái</v>
      </c>
      <c r="E80" s="332">
        <f>Gia_Tbi!$D$4</f>
        <v>0.4</v>
      </c>
      <c r="F80" s="332">
        <f>Gia_Tbi!$E$4</f>
        <v>5</v>
      </c>
      <c r="G80" s="492">
        <f>Gia_Tbi!$F$4</f>
        <v>10000000</v>
      </c>
      <c r="H80" s="493">
        <f>Gia_Tbi!$G$4</f>
        <v>4000</v>
      </c>
      <c r="I80" s="409">
        <v>8</v>
      </c>
      <c r="J80" s="499">
        <f>H80*I80</f>
        <v>32000</v>
      </c>
      <c r="K80" s="570"/>
      <c r="N80" s="707"/>
    </row>
    <row r="81" spans="1:14" ht="15.75">
      <c r="B81" s="332"/>
      <c r="C81" s="333" t="s">
        <v>25</v>
      </c>
      <c r="D81" s="332" t="str">
        <f>D102</f>
        <v>Cái</v>
      </c>
      <c r="E81" s="332">
        <f>Gia_Tbi!$D$6</f>
        <v>2.2000000000000002</v>
      </c>
      <c r="F81" s="332">
        <f>Gia_Tbi!$E$6</f>
        <v>8</v>
      </c>
      <c r="G81" s="492">
        <f>Gia_Tbi!$F$6</f>
        <v>12000000</v>
      </c>
      <c r="H81" s="493">
        <f>Gia_Tbi!$G$6</f>
        <v>3000</v>
      </c>
      <c r="I81" s="409">
        <v>0.66669999999999996</v>
      </c>
      <c r="J81" s="499">
        <f t="shared" ref="J81:J82" si="9">H81*I81</f>
        <v>2000.1</v>
      </c>
      <c r="K81" s="570"/>
      <c r="N81" s="707"/>
    </row>
    <row r="82" spans="1:14" ht="15.75">
      <c r="B82" s="332"/>
      <c r="C82" s="333" t="s">
        <v>8</v>
      </c>
      <c r="D82" s="332" t="s">
        <v>563</v>
      </c>
      <c r="E82" s="332"/>
      <c r="F82" s="494"/>
      <c r="G82" s="492">
        <f>Gia_Tbi!$F$13</f>
        <v>1686</v>
      </c>
      <c r="H82" s="493">
        <f>Gia_Tbi!$G$13</f>
        <v>13488</v>
      </c>
      <c r="I82" s="409">
        <v>4.6666999999999996</v>
      </c>
      <c r="J82" s="499">
        <f t="shared" si="9"/>
        <v>62944.449599999993</v>
      </c>
      <c r="K82" s="570"/>
      <c r="N82" s="707"/>
    </row>
    <row r="83" spans="1:14" ht="63">
      <c r="B83" s="326" t="s">
        <v>14</v>
      </c>
      <c r="C83" s="326" t="str">
        <f>C35</f>
        <v>Danh mục thiết bị</v>
      </c>
      <c r="D83" s="326" t="s">
        <v>21</v>
      </c>
      <c r="E83" s="326" t="s">
        <v>893</v>
      </c>
      <c r="F83" s="326" t="s">
        <v>5</v>
      </c>
      <c r="G83" s="483" t="s">
        <v>19</v>
      </c>
      <c r="H83" s="483" t="s">
        <v>1</v>
      </c>
      <c r="I83" s="636" t="s">
        <v>898</v>
      </c>
      <c r="J83" s="484" t="s">
        <v>615</v>
      </c>
      <c r="K83" s="484" t="s">
        <v>616</v>
      </c>
      <c r="M83" s="357">
        <f>SUM(M85:M120)</f>
        <v>2346506.3511999999</v>
      </c>
    </row>
    <row r="84" spans="1:14" s="511" customFormat="1" ht="15.75">
      <c r="A84" s="511">
        <v>3</v>
      </c>
      <c r="B84" s="326">
        <f>NhanCong_QG!B41</f>
        <v>1</v>
      </c>
      <c r="C84" s="327" t="str">
        <f>NhanCong_QG!C41:C41</f>
        <v>Xây dựng dữ liệu không gian</v>
      </c>
      <c r="D84" s="326"/>
      <c r="E84" s="487"/>
      <c r="F84" s="328"/>
      <c r="G84" s="329"/>
      <c r="H84" s="330"/>
      <c r="I84" s="489"/>
      <c r="J84" s="498"/>
      <c r="K84" s="571"/>
    </row>
    <row r="85" spans="1:14" ht="31.5">
      <c r="A85" s="608" t="s">
        <v>771</v>
      </c>
      <c r="B85" s="332">
        <f>NhanCong_QG!B42</f>
        <v>1</v>
      </c>
      <c r="C85" s="333" t="str">
        <f>NhanCong_QG!C42:C42</f>
        <v>Chuẩn hóa các lớp đối tượng không gian hiện trạng sử dụng đất</v>
      </c>
      <c r="D85" s="326"/>
      <c r="E85" s="487"/>
      <c r="F85" s="328"/>
      <c r="G85" s="329"/>
      <c r="H85" s="330"/>
      <c r="I85" s="489"/>
      <c r="J85" s="498"/>
      <c r="K85" s="570"/>
    </row>
    <row r="86" spans="1:14" ht="63">
      <c r="A86" s="608" t="s">
        <v>62</v>
      </c>
      <c r="B86" s="332" t="str">
        <f>NhanCong_QG!B43</f>
        <v>1.1</v>
      </c>
      <c r="C86" s="333" t="str">
        <f>NhanCong_QG!C43</f>
        <v>Lập bảng đối chiếu giữa lớp đối tượng không gian kiểm kê đất đai với nội dung tương ứng trong bản đồ hiện trạng sử dụng đất để tách, lọc các đối tượng từ nội dung bản đồ hiện trạng sử dụng đất</v>
      </c>
      <c r="D86" s="326"/>
      <c r="E86" s="487"/>
      <c r="F86" s="328"/>
      <c r="G86" s="329"/>
      <c r="H86" s="330"/>
      <c r="I86" s="489"/>
      <c r="J86" s="498">
        <f>SUM(J87:J89)</f>
        <v>252199.9</v>
      </c>
      <c r="K86" s="575">
        <f>J90</f>
        <v>31471.5504</v>
      </c>
      <c r="M86" s="662">
        <f>J86+K86</f>
        <v>283671.45039999997</v>
      </c>
    </row>
    <row r="87" spans="1:14" ht="15.75">
      <c r="B87" s="332"/>
      <c r="C87" s="333" t="s">
        <v>82</v>
      </c>
      <c r="D87" s="332" t="str">
        <f>Gia_Tbi!$C$4</f>
        <v>Cái</v>
      </c>
      <c r="E87" s="332">
        <f>Gia_Tbi!$D$4</f>
        <v>0.4</v>
      </c>
      <c r="F87" s="332">
        <f>Gia_Tbi!$E$4</f>
        <v>5</v>
      </c>
      <c r="G87" s="492">
        <f>Gia_Tbi!$F$4</f>
        <v>10000000</v>
      </c>
      <c r="H87" s="493">
        <f>Gia_Tbi!$G$4</f>
        <v>4000</v>
      </c>
      <c r="I87" s="409">
        <v>4</v>
      </c>
      <c r="J87" s="499">
        <f>$H87*I87</f>
        <v>16000</v>
      </c>
      <c r="K87" s="570"/>
      <c r="N87" s="707"/>
    </row>
    <row r="88" spans="1:14" ht="15.75">
      <c r="B88" s="332"/>
      <c r="C88" s="333" t="str">
        <f>Gia_Tbi!$B$16</f>
        <v xml:space="preserve">Phần mềm biên tập bản đồ </v>
      </c>
      <c r="D88" s="332" t="str">
        <f>Gia_Tbi!$C$16</f>
        <v>Bộ</v>
      </c>
      <c r="E88" s="332">
        <f>Gia_Tbi!$D$16</f>
        <v>0.4</v>
      </c>
      <c r="F88" s="332">
        <f>Gia_Tbi!$E$16</f>
        <v>5</v>
      </c>
      <c r="G88" s="621">
        <f>Gia_Tbi!$F$16</f>
        <v>147000000</v>
      </c>
      <c r="H88" s="352">
        <f>Gia_Tbi!$G$16</f>
        <v>58800</v>
      </c>
      <c r="I88" s="409">
        <v>4</v>
      </c>
      <c r="J88" s="499">
        <f>$H88*I88</f>
        <v>235200</v>
      </c>
      <c r="K88" s="570"/>
      <c r="N88" s="707"/>
    </row>
    <row r="89" spans="1:14" ht="15.75">
      <c r="B89" s="332"/>
      <c r="C89" s="333" t="s">
        <v>25</v>
      </c>
      <c r="D89" s="332" t="str">
        <f>Gia_Tbi!$C$6</f>
        <v>Cái</v>
      </c>
      <c r="E89" s="332">
        <f>Gia_Tbi!$D$6</f>
        <v>2.2000000000000002</v>
      </c>
      <c r="F89" s="332">
        <f>Gia_Tbi!$E$6</f>
        <v>8</v>
      </c>
      <c r="G89" s="492">
        <f>Gia_Tbi!$F$6</f>
        <v>12000000</v>
      </c>
      <c r="H89" s="493">
        <f>Gia_Tbi!$G$6</f>
        <v>3000</v>
      </c>
      <c r="I89" s="409">
        <v>0.33329999999999999</v>
      </c>
      <c r="J89" s="499">
        <f>$H89*I89</f>
        <v>999.9</v>
      </c>
      <c r="K89" s="572"/>
      <c r="N89" s="707"/>
    </row>
    <row r="90" spans="1:14" ht="15.75">
      <c r="B90" s="332"/>
      <c r="C90" s="333" t="s">
        <v>8</v>
      </c>
      <c r="D90" s="332" t="str">
        <f>Gia_Tbi!$C$13</f>
        <v>KW</v>
      </c>
      <c r="E90" s="332"/>
      <c r="F90" s="494"/>
      <c r="G90" s="492">
        <f>Gia_Tbi!$F$13</f>
        <v>1686</v>
      </c>
      <c r="H90" s="493">
        <f>Gia_Tbi!$G$13</f>
        <v>13488</v>
      </c>
      <c r="I90" s="409">
        <v>2.3332999999999999</v>
      </c>
      <c r="J90" s="499">
        <f>$H90*I90</f>
        <v>31471.5504</v>
      </c>
      <c r="K90" s="571"/>
      <c r="N90" s="707"/>
    </row>
    <row r="91" spans="1:14" ht="31.5">
      <c r="A91" s="608" t="s">
        <v>63</v>
      </c>
      <c r="B91" s="332" t="str">
        <f>NhanCong_QG!B44</f>
        <v>1.2</v>
      </c>
      <c r="C91" s="333" t="str">
        <f>NhanCong_QG!C44:C44</f>
        <v>Chuẩn hóa các lớp đối tượng bản đồ hiện trạng sử dụng đất</v>
      </c>
      <c r="D91" s="326"/>
      <c r="E91" s="487"/>
      <c r="F91" s="328"/>
      <c r="G91" s="329"/>
      <c r="H91" s="330"/>
      <c r="I91" s="489"/>
      <c r="J91" s="498">
        <f>SUM(J92:J94)</f>
        <v>706159.9</v>
      </c>
      <c r="K91" s="575">
        <f>J95</f>
        <v>88121.150399999999</v>
      </c>
      <c r="M91" s="662">
        <f>J91+K91</f>
        <v>794281.05040000007</v>
      </c>
    </row>
    <row r="92" spans="1:14" ht="15.75">
      <c r="B92" s="332"/>
      <c r="C92" s="333" t="s">
        <v>82</v>
      </c>
      <c r="D92" s="332" t="str">
        <f>Gia_Tbi!$C$4</f>
        <v>Cái</v>
      </c>
      <c r="E92" s="332">
        <f>Gia_Tbi!$D$4</f>
        <v>0.4</v>
      </c>
      <c r="F92" s="332">
        <f>Gia_Tbi!$E$4</f>
        <v>5</v>
      </c>
      <c r="G92" s="492">
        <f>Gia_Tbi!$F$4</f>
        <v>10000000</v>
      </c>
      <c r="H92" s="493">
        <f>Gia_Tbi!$G$4</f>
        <v>4000</v>
      </c>
      <c r="I92" s="409">
        <v>11.2</v>
      </c>
      <c r="J92" s="499">
        <f>$H92*I92</f>
        <v>44800</v>
      </c>
      <c r="K92" s="570"/>
      <c r="N92" s="707"/>
    </row>
    <row r="93" spans="1:14" s="331" customFormat="1" ht="15.75">
      <c r="B93" s="332"/>
      <c r="C93" s="333" t="str">
        <f>Gia_Tbi!$B$16</f>
        <v xml:space="preserve">Phần mềm biên tập bản đồ </v>
      </c>
      <c r="D93" s="332" t="str">
        <f>Gia_Tbi!$C$16</f>
        <v>Bộ</v>
      </c>
      <c r="E93" s="332">
        <f>Gia_Tbi!$D$16</f>
        <v>0.4</v>
      </c>
      <c r="F93" s="332">
        <f>Gia_Tbi!$E$16</f>
        <v>5</v>
      </c>
      <c r="G93" s="621">
        <f>Gia_Tbi!$F$16</f>
        <v>147000000</v>
      </c>
      <c r="H93" s="352">
        <f>Gia_Tbi!$G$16</f>
        <v>58800</v>
      </c>
      <c r="I93" s="409">
        <v>11.2</v>
      </c>
      <c r="J93" s="499">
        <f>$H93*I93</f>
        <v>658560</v>
      </c>
      <c r="K93" s="570"/>
      <c r="N93" s="707"/>
    </row>
    <row r="94" spans="1:14" ht="15.75">
      <c r="B94" s="332"/>
      <c r="C94" s="333" t="s">
        <v>25</v>
      </c>
      <c r="D94" s="332" t="str">
        <f>Gia_Tbi!$C$6</f>
        <v>Cái</v>
      </c>
      <c r="E94" s="332">
        <f>Gia_Tbi!$D$6</f>
        <v>2.2000000000000002</v>
      </c>
      <c r="F94" s="332">
        <f>Gia_Tbi!$E$6</f>
        <v>8</v>
      </c>
      <c r="G94" s="492">
        <f>Gia_Tbi!$F$6</f>
        <v>12000000</v>
      </c>
      <c r="H94" s="493">
        <f>Gia_Tbi!$G$6</f>
        <v>3000</v>
      </c>
      <c r="I94" s="409">
        <v>0.93330000000000002</v>
      </c>
      <c r="J94" s="499">
        <f>$H94*I94</f>
        <v>2799.9</v>
      </c>
      <c r="K94" s="570"/>
      <c r="N94" s="707"/>
    </row>
    <row r="95" spans="1:14" ht="15.75">
      <c r="B95" s="332"/>
      <c r="C95" s="333" t="s">
        <v>8</v>
      </c>
      <c r="D95" s="332" t="str">
        <f>Gia_Tbi!$C$13</f>
        <v>KW</v>
      </c>
      <c r="E95" s="332"/>
      <c r="F95" s="494"/>
      <c r="G95" s="492">
        <f>Gia_Tbi!$F$13</f>
        <v>1686</v>
      </c>
      <c r="H95" s="493">
        <f>Gia_Tbi!$G$13</f>
        <v>13488</v>
      </c>
      <c r="I95" s="409">
        <v>6.5332999999999997</v>
      </c>
      <c r="J95" s="499">
        <f>$H95*I95</f>
        <v>88121.150399999999</v>
      </c>
      <c r="K95" s="571"/>
      <c r="N95" s="707"/>
    </row>
    <row r="96" spans="1:14" s="331" customFormat="1" ht="47.25">
      <c r="A96" s="331" t="s">
        <v>881</v>
      </c>
      <c r="B96" s="332" t="str">
        <f>NhanCong_QG!B45</f>
        <v>1.3</v>
      </c>
      <c r="C96" s="333" t="str">
        <f>NhanCong_QG!C45:C45</f>
        <v>Nhập bổ sung các thông tin thuộc tính cho đối tượng không gian bản đồ hiện trạng sử dụng đất còn thiếu (nếu có)</v>
      </c>
      <c r="D96" s="326"/>
      <c r="E96" s="487"/>
      <c r="F96" s="328"/>
      <c r="G96" s="329"/>
      <c r="H96" s="330"/>
      <c r="I96" s="489"/>
      <c r="J96" s="498">
        <f>SUM(J97:J99)</f>
        <v>100879.9</v>
      </c>
      <c r="K96" s="575">
        <f>J100</f>
        <v>12588.350399999999</v>
      </c>
      <c r="M96" s="662">
        <f>J96+K96</f>
        <v>113468.25039999999</v>
      </c>
    </row>
    <row r="97" spans="1:14" s="331" customFormat="1" ht="15.75">
      <c r="B97" s="332"/>
      <c r="C97" s="333" t="s">
        <v>82</v>
      </c>
      <c r="D97" s="332" t="str">
        <f>Gia_Tbi!$C$4</f>
        <v>Cái</v>
      </c>
      <c r="E97" s="332">
        <f>Gia_Tbi!$D$4</f>
        <v>0.4</v>
      </c>
      <c r="F97" s="332">
        <f>Gia_Tbi!$E$4</f>
        <v>5</v>
      </c>
      <c r="G97" s="492">
        <f>Gia_Tbi!$F$4</f>
        <v>10000000</v>
      </c>
      <c r="H97" s="493">
        <f>Gia_Tbi!$G$4</f>
        <v>4000</v>
      </c>
      <c r="I97" s="409">
        <v>1.6</v>
      </c>
      <c r="J97" s="499">
        <f>$H97*I97</f>
        <v>6400</v>
      </c>
      <c r="K97" s="570"/>
      <c r="N97" s="707"/>
    </row>
    <row r="98" spans="1:14" ht="15.75">
      <c r="B98" s="332"/>
      <c r="C98" s="333" t="str">
        <f>Gia_Tbi!$B$16</f>
        <v xml:space="preserve">Phần mềm biên tập bản đồ </v>
      </c>
      <c r="D98" s="332" t="str">
        <f>Gia_Tbi!$C$16</f>
        <v>Bộ</v>
      </c>
      <c r="E98" s="332">
        <f>Gia_Tbi!$D$16</f>
        <v>0.4</v>
      </c>
      <c r="F98" s="332">
        <f>Gia_Tbi!$E$16</f>
        <v>5</v>
      </c>
      <c r="G98" s="621">
        <f>Gia_Tbi!$F$16</f>
        <v>147000000</v>
      </c>
      <c r="H98" s="352">
        <f>Gia_Tbi!$G$16</f>
        <v>58800</v>
      </c>
      <c r="I98" s="409">
        <v>1.6</v>
      </c>
      <c r="J98" s="499">
        <f>$H98*I98</f>
        <v>94080</v>
      </c>
      <c r="K98" s="570"/>
      <c r="N98" s="707"/>
    </row>
    <row r="99" spans="1:14" ht="15.75">
      <c r="B99" s="332"/>
      <c r="C99" s="333" t="s">
        <v>25</v>
      </c>
      <c r="D99" s="332" t="str">
        <f>Gia_Tbi!$C$6</f>
        <v>Cái</v>
      </c>
      <c r="E99" s="332">
        <f>Gia_Tbi!$D$6</f>
        <v>2.2000000000000002</v>
      </c>
      <c r="F99" s="332">
        <f>Gia_Tbi!$E$6</f>
        <v>8</v>
      </c>
      <c r="G99" s="492">
        <f>Gia_Tbi!$F$6</f>
        <v>12000000</v>
      </c>
      <c r="H99" s="493">
        <f>Gia_Tbi!$G$6</f>
        <v>3000</v>
      </c>
      <c r="I99" s="409">
        <v>0.1333</v>
      </c>
      <c r="J99" s="499">
        <f>$H99*I99</f>
        <v>399.9</v>
      </c>
      <c r="K99" s="570"/>
      <c r="N99" s="707"/>
    </row>
    <row r="100" spans="1:14" s="331" customFormat="1" ht="15.75">
      <c r="B100" s="332"/>
      <c r="C100" s="333" t="s">
        <v>8</v>
      </c>
      <c r="D100" s="332" t="str">
        <f>Gia_Tbi!$C$13</f>
        <v>KW</v>
      </c>
      <c r="E100" s="332"/>
      <c r="F100" s="494"/>
      <c r="G100" s="492">
        <f>Gia_Tbi!$F$13</f>
        <v>1686</v>
      </c>
      <c r="H100" s="493">
        <f>Gia_Tbi!$G$13</f>
        <v>13488</v>
      </c>
      <c r="I100" s="409">
        <v>0.93330000000000002</v>
      </c>
      <c r="J100" s="499">
        <f>$H100*I100</f>
        <v>12588.350399999999</v>
      </c>
      <c r="K100" s="575"/>
      <c r="N100" s="707"/>
    </row>
    <row r="101" spans="1:14" s="331" customFormat="1" ht="31.5">
      <c r="A101" s="331" t="s">
        <v>882</v>
      </c>
      <c r="B101" s="332" t="str">
        <f>NhanCong_QG!B46</f>
        <v>1.4</v>
      </c>
      <c r="C101" s="333" t="str">
        <f>NhanCong_QG!C46:C46</f>
        <v>Rà soát chuẩn hóa thông tin thuộc tính cho từng đối tượng không gian hiện trạng sử dụng đất</v>
      </c>
      <c r="D101" s="332"/>
      <c r="E101" s="332"/>
      <c r="F101" s="332"/>
      <c r="G101" s="497"/>
      <c r="H101" s="497"/>
      <c r="I101" s="409"/>
      <c r="J101" s="498">
        <f>SUM(J102:J104)</f>
        <v>706159.9</v>
      </c>
      <c r="K101" s="575">
        <f>J105</f>
        <v>88121.150399999999</v>
      </c>
      <c r="M101" s="662">
        <f>J101+K101</f>
        <v>794281.05040000007</v>
      </c>
    </row>
    <row r="102" spans="1:14" s="331" customFormat="1" ht="15.75">
      <c r="B102" s="332"/>
      <c r="C102" s="333" t="s">
        <v>82</v>
      </c>
      <c r="D102" s="332" t="str">
        <f>Gia_Tbi!$C$4</f>
        <v>Cái</v>
      </c>
      <c r="E102" s="332">
        <f>Gia_Tbi!$D$4</f>
        <v>0.4</v>
      </c>
      <c r="F102" s="332">
        <f>Gia_Tbi!$E$4</f>
        <v>5</v>
      </c>
      <c r="G102" s="492">
        <f>Gia_Tbi!$F$4</f>
        <v>10000000</v>
      </c>
      <c r="H102" s="493">
        <f>Gia_Tbi!$G$4</f>
        <v>4000</v>
      </c>
      <c r="I102" s="409">
        <v>11.2</v>
      </c>
      <c r="J102" s="499">
        <f>$H102*I102</f>
        <v>44800</v>
      </c>
      <c r="K102" s="573"/>
      <c r="N102" s="707"/>
    </row>
    <row r="103" spans="1:14" ht="15.75">
      <c r="B103" s="332"/>
      <c r="C103" s="333" t="str">
        <f>Gia_Tbi!$B$16</f>
        <v xml:space="preserve">Phần mềm biên tập bản đồ </v>
      </c>
      <c r="D103" s="332" t="str">
        <f>Gia_Tbi!$C$16</f>
        <v>Bộ</v>
      </c>
      <c r="E103" s="332">
        <f>Gia_Tbi!$D$16</f>
        <v>0.4</v>
      </c>
      <c r="F103" s="332">
        <f>Gia_Tbi!$E$16</f>
        <v>5</v>
      </c>
      <c r="G103" s="621">
        <f>Gia_Tbi!$F$16</f>
        <v>147000000</v>
      </c>
      <c r="H103" s="352">
        <f>Gia_Tbi!$G$16</f>
        <v>58800</v>
      </c>
      <c r="I103" s="409">
        <v>11.2</v>
      </c>
      <c r="J103" s="499">
        <f>$H103*I103</f>
        <v>658560</v>
      </c>
      <c r="K103" s="570"/>
      <c r="N103" s="707"/>
    </row>
    <row r="104" spans="1:14" ht="15.75">
      <c r="B104" s="332"/>
      <c r="C104" s="333" t="s">
        <v>25</v>
      </c>
      <c r="D104" s="332" t="str">
        <f>D97</f>
        <v>Cái</v>
      </c>
      <c r="E104" s="332">
        <f>Gia_Tbi!$D$6</f>
        <v>2.2000000000000002</v>
      </c>
      <c r="F104" s="332">
        <f>Gia_Tbi!$E$6</f>
        <v>8</v>
      </c>
      <c r="G104" s="492">
        <f>Gia_Tbi!$F$6</f>
        <v>12000000</v>
      </c>
      <c r="H104" s="493">
        <f>Gia_Tbi!$G$6</f>
        <v>3000</v>
      </c>
      <c r="I104" s="409">
        <v>0.93330000000000002</v>
      </c>
      <c r="J104" s="499">
        <f>$H104*I104</f>
        <v>2799.9</v>
      </c>
      <c r="K104" s="573"/>
      <c r="N104" s="707"/>
    </row>
    <row r="105" spans="1:14" s="331" customFormat="1" ht="15.75">
      <c r="B105" s="332"/>
      <c r="C105" s="333" t="s">
        <v>8</v>
      </c>
      <c r="D105" s="332" t="s">
        <v>563</v>
      </c>
      <c r="E105" s="332"/>
      <c r="F105" s="494"/>
      <c r="G105" s="492">
        <f>Gia_Tbi!$F$13</f>
        <v>1686</v>
      </c>
      <c r="H105" s="493">
        <f>Gia_Tbi!$G$13</f>
        <v>13488</v>
      </c>
      <c r="I105" s="409">
        <v>6.5332999999999997</v>
      </c>
      <c r="J105" s="499">
        <f>$H105*I105</f>
        <v>88121.150399999999</v>
      </c>
      <c r="K105" s="575"/>
      <c r="N105" s="707"/>
    </row>
    <row r="106" spans="1:14" ht="31.5">
      <c r="A106" s="608" t="s">
        <v>774</v>
      </c>
      <c r="B106" s="332">
        <f>NhanCong_QG!B47</f>
        <v>2</v>
      </c>
      <c r="C106" s="333" t="str">
        <f>NhanCong_QG!C47</f>
        <v>Chuyển đổi và tích hợp dữ liệu không gian hiện trạng sử dụng đất</v>
      </c>
      <c r="D106" s="332"/>
      <c r="E106" s="332"/>
      <c r="F106" s="332"/>
      <c r="G106" s="497"/>
      <c r="H106" s="497"/>
      <c r="I106" s="409"/>
      <c r="J106" s="498"/>
      <c r="K106" s="570"/>
    </row>
    <row r="107" spans="1:14" ht="31.5">
      <c r="A107" s="608" t="s">
        <v>67</v>
      </c>
      <c r="B107" s="332" t="str">
        <f>NhanCong_QG!B48</f>
        <v>2.1</v>
      </c>
      <c r="C107" s="333" t="str">
        <f>NhanCong_QG!C48</f>
        <v>Chuyển đổi các lớp dữ liệu không gian hiện trạng sử dụng đất từ tệp (File) bản đồ số vào cơ sở dữ liệu</v>
      </c>
      <c r="D107" s="332"/>
      <c r="E107" s="332"/>
      <c r="F107" s="332"/>
      <c r="G107" s="497"/>
      <c r="H107" s="497"/>
      <c r="I107" s="409"/>
      <c r="J107" s="498">
        <f>SUM(J108:J113)</f>
        <v>232040.1</v>
      </c>
      <c r="K107" s="576">
        <f>J114</f>
        <v>25178.049600000002</v>
      </c>
      <c r="M107" s="662">
        <f>J107+K107</f>
        <v>257218.1496</v>
      </c>
    </row>
    <row r="108" spans="1:14" ht="15.75">
      <c r="B108" s="332"/>
      <c r="C108" s="333" t="s">
        <v>82</v>
      </c>
      <c r="D108" s="332" t="str">
        <f>Gia_Tbi!$C$4</f>
        <v>Cái</v>
      </c>
      <c r="E108" s="332">
        <f>Gia_Tbi!$D$4</f>
        <v>0.4</v>
      </c>
      <c r="F108" s="332">
        <f>Gia_Tbi!$E$4</f>
        <v>5</v>
      </c>
      <c r="G108" s="497">
        <f>Gia_Tbi!$F$4</f>
        <v>10000000</v>
      </c>
      <c r="H108" s="497">
        <f>Gia_Tbi!$G$4</f>
        <v>4000</v>
      </c>
      <c r="I108" s="409">
        <v>3.2</v>
      </c>
      <c r="J108" s="499">
        <f>$H108*I108</f>
        <v>12800</v>
      </c>
      <c r="K108" s="573"/>
      <c r="N108" s="707"/>
    </row>
    <row r="109" spans="1:14" s="331" customFormat="1" ht="15.75">
      <c r="B109" s="332"/>
      <c r="C109" s="333" t="str">
        <f>Gia_Tbi!$B$16</f>
        <v xml:space="preserve">Phần mềm biên tập bản đồ </v>
      </c>
      <c r="D109" s="332" t="str">
        <f>Gia_Tbi!$C$16</f>
        <v>Bộ</v>
      </c>
      <c r="E109" s="332">
        <f>Gia_Tbi!$D$16</f>
        <v>0.4</v>
      </c>
      <c r="F109" s="332">
        <f>Gia_Tbi!$E$16</f>
        <v>5</v>
      </c>
      <c r="G109" s="621">
        <f>Gia_Tbi!$F$16</f>
        <v>147000000</v>
      </c>
      <c r="H109" s="352">
        <f>Gia_Tbi!$G$16</f>
        <v>58800</v>
      </c>
      <c r="I109" s="409">
        <v>3.2</v>
      </c>
      <c r="J109" s="499">
        <f>$H109*I109</f>
        <v>188160</v>
      </c>
      <c r="K109" s="570"/>
      <c r="N109" s="707"/>
    </row>
    <row r="110" spans="1:14" s="331" customFormat="1" ht="15.75">
      <c r="B110" s="332"/>
      <c r="C110" s="333" t="s">
        <v>928</v>
      </c>
      <c r="D110" s="332" t="str">
        <f>Gia_Tbi!$C$10</f>
        <v>Cái</v>
      </c>
      <c r="E110" s="332">
        <f>Gia_Tbi!$D$10</f>
        <v>1</v>
      </c>
      <c r="F110" s="353">
        <f>Gia_Tbi!$E$10</f>
        <v>10</v>
      </c>
      <c r="G110" s="497">
        <f>Gia_Tbi!$F$10</f>
        <v>80000000</v>
      </c>
      <c r="H110" s="497">
        <f>Gia_Tbi!$G$10</f>
        <v>16000</v>
      </c>
      <c r="I110" s="409">
        <v>0.8</v>
      </c>
      <c r="J110" s="499">
        <f t="shared" ref="J110:J114" si="10">$H110*I110</f>
        <v>12800</v>
      </c>
      <c r="K110" s="576"/>
      <c r="N110" s="707"/>
    </row>
    <row r="111" spans="1:14" ht="15.75">
      <c r="B111" s="332"/>
      <c r="C111" s="333" t="str">
        <f>Gia_Tbi!$B$15</f>
        <v>Hệ quản trị dữ liệu không gian</v>
      </c>
      <c r="D111" s="332" t="str">
        <f>Gia_Tbi!$C$15</f>
        <v>Bộ</v>
      </c>
      <c r="E111" s="332" t="str">
        <f>Gia_Tbi!$D$15</f>
        <v/>
      </c>
      <c r="F111" s="332">
        <f>Gia_Tbi!$E$15</f>
        <v>10</v>
      </c>
      <c r="G111" s="621">
        <f>Gia_Tbi!$F$15</f>
        <v>357000000</v>
      </c>
      <c r="H111" s="352">
        <f>Gia_Tbi!$G$15</f>
        <v>71400</v>
      </c>
      <c r="I111" s="409">
        <v>0.2</v>
      </c>
      <c r="J111" s="499">
        <f t="shared" si="10"/>
        <v>14280</v>
      </c>
      <c r="K111" s="573"/>
      <c r="N111" s="707"/>
    </row>
    <row r="112" spans="1:14" ht="15.75">
      <c r="B112" s="332"/>
      <c r="C112" s="333" t="s">
        <v>557</v>
      </c>
      <c r="D112" s="332" t="str">
        <f>Gia_Tbi!$C$12</f>
        <v>Bộ</v>
      </c>
      <c r="E112" s="332">
        <f>Gia_Tbi!$D$12</f>
        <v>0.1</v>
      </c>
      <c r="F112" s="353">
        <f>Gia_Tbi!$E$12</f>
        <v>5</v>
      </c>
      <c r="G112" s="497">
        <f>Gia_Tbi!$F$12</f>
        <v>2500000</v>
      </c>
      <c r="H112" s="497">
        <f>Gia_Tbi!$G$12</f>
        <v>1000</v>
      </c>
      <c r="I112" s="409">
        <v>3.2</v>
      </c>
      <c r="J112" s="499">
        <f t="shared" si="10"/>
        <v>3200</v>
      </c>
      <c r="K112" s="573"/>
      <c r="N112" s="707"/>
    </row>
    <row r="113" spans="1:14" ht="15.75">
      <c r="B113" s="332"/>
      <c r="C113" s="333" t="s">
        <v>25</v>
      </c>
      <c r="D113" s="332" t="str">
        <f>Gia_Tbi!$C$6</f>
        <v>Cái</v>
      </c>
      <c r="E113" s="332">
        <f>Gia_Tbi!$D$6</f>
        <v>2.2000000000000002</v>
      </c>
      <c r="F113" s="332">
        <f>Gia_Tbi!$E$6</f>
        <v>8</v>
      </c>
      <c r="G113" s="497">
        <f>Gia_Tbi!$F$6</f>
        <v>12000000</v>
      </c>
      <c r="H113" s="497">
        <f>Gia_Tbi!$G$6</f>
        <v>3000</v>
      </c>
      <c r="I113" s="409">
        <v>0.26669999999999999</v>
      </c>
      <c r="J113" s="499">
        <f t="shared" si="10"/>
        <v>800.1</v>
      </c>
      <c r="K113" s="573"/>
      <c r="N113" s="707"/>
    </row>
    <row r="114" spans="1:14" ht="15.75">
      <c r="B114" s="332"/>
      <c r="C114" s="333" t="s">
        <v>8</v>
      </c>
      <c r="D114" s="332" t="str">
        <f>Gia_Tbi!$C$13</f>
        <v>KW</v>
      </c>
      <c r="E114" s="332"/>
      <c r="F114" s="494"/>
      <c r="G114" s="497">
        <f>Gia_Tbi!$F$13</f>
        <v>1686</v>
      </c>
      <c r="H114" s="497">
        <f>Gia_Tbi!$G$13</f>
        <v>13488</v>
      </c>
      <c r="I114" s="409">
        <v>1.8667</v>
      </c>
      <c r="J114" s="499">
        <f t="shared" si="10"/>
        <v>25178.049600000002</v>
      </c>
      <c r="K114" s="573"/>
      <c r="N114" s="707"/>
    </row>
    <row r="115" spans="1:14" ht="31.5">
      <c r="A115" s="608" t="s">
        <v>68</v>
      </c>
      <c r="B115" s="332" t="str">
        <f>NhanCong_QG!B49</f>
        <v>2.2</v>
      </c>
      <c r="C115" s="333" t="str">
        <f>NhanCong_QG!C49:C49</f>
        <v>Rà soát dữ liệu không gian hiện trạng sử dụng đất để xử lý các lỗi dọc biên giữa các tỉnh, các vùng</v>
      </c>
      <c r="D115" s="332"/>
      <c r="E115" s="332"/>
      <c r="F115" s="332"/>
      <c r="G115" s="497"/>
      <c r="H115" s="497"/>
      <c r="I115" s="409"/>
      <c r="J115" s="498">
        <f>SUM(J116:J120)</f>
        <v>65820</v>
      </c>
      <c r="K115" s="575">
        <f>J121</f>
        <v>37766.399999999994</v>
      </c>
      <c r="M115" s="662">
        <f>J115+K115</f>
        <v>103586.4</v>
      </c>
    </row>
    <row r="116" spans="1:14" ht="15.75">
      <c r="B116" s="332"/>
      <c r="C116" s="333" t="s">
        <v>82</v>
      </c>
      <c r="D116" s="332" t="str">
        <f>Gia_Tbi!$C$4</f>
        <v>Cái</v>
      </c>
      <c r="E116" s="332">
        <f>Gia_Tbi!$D$4</f>
        <v>0.4</v>
      </c>
      <c r="F116" s="332">
        <f>Gia_Tbi!$E$4</f>
        <v>5</v>
      </c>
      <c r="G116" s="497">
        <f>Gia_Tbi!$F$4</f>
        <v>10000000</v>
      </c>
      <c r="H116" s="497">
        <f>Gia_Tbi!$G$4</f>
        <v>4000</v>
      </c>
      <c r="I116" s="409">
        <v>4.8</v>
      </c>
      <c r="J116" s="499">
        <f>$H116*I116</f>
        <v>19200</v>
      </c>
      <c r="K116" s="570"/>
      <c r="N116" s="707"/>
    </row>
    <row r="117" spans="1:14" ht="15.75">
      <c r="B117" s="332"/>
      <c r="C117" s="333" t="s">
        <v>928</v>
      </c>
      <c r="D117" s="332" t="str">
        <f>Gia_Tbi!$C$10</f>
        <v>Cái</v>
      </c>
      <c r="E117" s="332">
        <f>Gia_Tbi!$D$10</f>
        <v>1</v>
      </c>
      <c r="F117" s="353">
        <f>Gia_Tbi!$E$10</f>
        <v>10</v>
      </c>
      <c r="G117" s="497">
        <f>Gia_Tbi!$F$10</f>
        <v>80000000</v>
      </c>
      <c r="H117" s="497">
        <f>Gia_Tbi!$G$10</f>
        <v>16000</v>
      </c>
      <c r="I117" s="409">
        <v>1.2</v>
      </c>
      <c r="J117" s="499">
        <f t="shared" ref="J117:J121" si="11">$H117*I117</f>
        <v>19200</v>
      </c>
      <c r="K117" s="576"/>
      <c r="N117" s="707"/>
    </row>
    <row r="118" spans="1:14" ht="15.75">
      <c r="B118" s="332"/>
      <c r="C118" s="333" t="str">
        <f>Gia_Tbi!$B$15</f>
        <v>Hệ quản trị dữ liệu không gian</v>
      </c>
      <c r="D118" s="332" t="str">
        <f>Gia_Tbi!$C$15</f>
        <v>Bộ</v>
      </c>
      <c r="E118" s="332" t="str">
        <f>Gia_Tbi!$D$15</f>
        <v/>
      </c>
      <c r="F118" s="332">
        <f>Gia_Tbi!$E$15</f>
        <v>10</v>
      </c>
      <c r="G118" s="621">
        <f>Gia_Tbi!$F$15</f>
        <v>357000000</v>
      </c>
      <c r="H118" s="352">
        <f>Gia_Tbi!$G$15</f>
        <v>71400</v>
      </c>
      <c r="I118" s="409">
        <v>0.3</v>
      </c>
      <c r="J118" s="499">
        <f t="shared" si="11"/>
        <v>21420</v>
      </c>
      <c r="K118" s="573"/>
      <c r="N118" s="707"/>
    </row>
    <row r="119" spans="1:14" ht="15.75">
      <c r="B119" s="332"/>
      <c r="C119" s="333" t="s">
        <v>557</v>
      </c>
      <c r="D119" s="332" t="str">
        <f>Gia_Tbi!$C$12</f>
        <v>Bộ</v>
      </c>
      <c r="E119" s="332">
        <f>Gia_Tbi!$D$12</f>
        <v>0.1</v>
      </c>
      <c r="F119" s="353">
        <f>Gia_Tbi!$E$12</f>
        <v>5</v>
      </c>
      <c r="G119" s="497">
        <f>Gia_Tbi!$F$12</f>
        <v>2500000</v>
      </c>
      <c r="H119" s="497">
        <f>Gia_Tbi!$G$12</f>
        <v>1000</v>
      </c>
      <c r="I119" s="409">
        <v>4.8</v>
      </c>
      <c r="J119" s="499">
        <f t="shared" si="11"/>
        <v>4800</v>
      </c>
      <c r="K119" s="570"/>
      <c r="N119" s="707"/>
    </row>
    <row r="120" spans="1:14" ht="15.75">
      <c r="B120" s="332"/>
      <c r="C120" s="333" t="s">
        <v>25</v>
      </c>
      <c r="D120" s="332" t="str">
        <f>Gia_Tbi!$C$6</f>
        <v>Cái</v>
      </c>
      <c r="E120" s="332">
        <f>Gia_Tbi!$D$6</f>
        <v>2.2000000000000002</v>
      </c>
      <c r="F120" s="332">
        <f>Gia_Tbi!$E$6</f>
        <v>8</v>
      </c>
      <c r="G120" s="497">
        <f>Gia_Tbi!$F$6</f>
        <v>12000000</v>
      </c>
      <c r="H120" s="497">
        <f>Gia_Tbi!$G$6</f>
        <v>3000</v>
      </c>
      <c r="I120" s="409">
        <v>0.4</v>
      </c>
      <c r="J120" s="499">
        <f t="shared" si="11"/>
        <v>1200</v>
      </c>
      <c r="K120" s="570"/>
      <c r="N120" s="707"/>
    </row>
    <row r="121" spans="1:14" ht="15.75">
      <c r="B121" s="332"/>
      <c r="C121" s="333" t="s">
        <v>8</v>
      </c>
      <c r="D121" s="332" t="str">
        <f>Gia_Tbi!$C$13</f>
        <v>KW</v>
      </c>
      <c r="E121" s="332"/>
      <c r="F121" s="494"/>
      <c r="G121" s="497">
        <f>Gia_Tbi!$F$13</f>
        <v>1686</v>
      </c>
      <c r="H121" s="497">
        <f>Gia_Tbi!$G$13</f>
        <v>13488</v>
      </c>
      <c r="I121" s="409">
        <v>2.8</v>
      </c>
      <c r="J121" s="499">
        <f t="shared" si="11"/>
        <v>37766.399999999994</v>
      </c>
      <c r="K121" s="570"/>
      <c r="N121" s="707"/>
    </row>
  </sheetData>
  <mergeCells count="1">
    <mergeCell ref="B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70"/>
  <sheetViews>
    <sheetView topLeftCell="B57" zoomScale="85" zoomScaleNormal="85" workbookViewId="0">
      <selection activeCell="I33" sqref="I33"/>
    </sheetView>
  </sheetViews>
  <sheetFormatPr defaultColWidth="9" defaultRowHeight="15.75"/>
  <cols>
    <col min="1" max="1" width="0" style="3" hidden="1" customWidth="1"/>
    <col min="2" max="2" width="7.625" style="25" customWidth="1"/>
    <col min="3" max="3" width="55.625" style="3" customWidth="1"/>
    <col min="4" max="4" width="9.125" style="25" hidden="1" customWidth="1"/>
    <col min="5" max="5" width="9.625" style="3" hidden="1" customWidth="1"/>
    <col min="6" max="6" width="9.625" style="319" bestFit="1" customWidth="1"/>
    <col min="7" max="7" width="14.375" style="318" customWidth="1"/>
    <col min="8" max="8" width="11.25" style="3" hidden="1" customWidth="1"/>
    <col min="9" max="9" width="9" style="3"/>
    <col min="10" max="10" width="9.375" style="3" bestFit="1" customWidth="1"/>
    <col min="11" max="11" width="10.625" style="3" customWidth="1"/>
    <col min="12" max="16384" width="9" style="3"/>
  </cols>
  <sheetData>
    <row r="1" spans="1:13">
      <c r="B1" s="1181" t="s">
        <v>755</v>
      </c>
      <c r="C1" s="1181"/>
      <c r="D1" s="1181"/>
      <c r="E1" s="1181"/>
      <c r="F1" s="1181"/>
      <c r="G1" s="1181"/>
    </row>
    <row r="2" spans="1:13">
      <c r="F2" s="388" t="s">
        <v>79</v>
      </c>
      <c r="G2" s="318" t="s">
        <v>78</v>
      </c>
      <c r="H2" s="3">
        <v>4</v>
      </c>
    </row>
    <row r="3" spans="1:13" s="531" customFormat="1" ht="78.75">
      <c r="A3" s="622"/>
      <c r="B3" s="614" t="s">
        <v>14</v>
      </c>
      <c r="C3" s="614" t="s">
        <v>2</v>
      </c>
      <c r="F3" s="614" t="s">
        <v>21</v>
      </c>
      <c r="G3" s="410" t="s">
        <v>909</v>
      </c>
      <c r="H3" s="589" t="s">
        <v>103</v>
      </c>
      <c r="I3" s="337" t="str">
        <f>'Thiet-bi_QG'!I3</f>
        <v>Định mức
(tính cho vùng hoặc cả nước)</v>
      </c>
      <c r="J3" s="337" t="s">
        <v>81</v>
      </c>
      <c r="K3" s="478">
        <f>SUM(J4:J10)</f>
        <v>87923.852051282054</v>
      </c>
    </row>
    <row r="4" spans="1:13">
      <c r="B4" s="590">
        <v>1</v>
      </c>
      <c r="C4" s="591" t="s">
        <v>52</v>
      </c>
      <c r="F4" s="341" t="str">
        <f>Gia_Dcu!$C$6</f>
        <v>Cái</v>
      </c>
      <c r="G4" s="341">
        <f>Gia_Dcu!$D$6</f>
        <v>24</v>
      </c>
      <c r="H4" s="592">
        <f>Gia_Dcu!$F$6</f>
        <v>21.634615384615383</v>
      </c>
      <c r="I4" s="593">
        <v>5.6</v>
      </c>
      <c r="J4" s="594">
        <f t="shared" ref="J4:J9" si="0">$H4*I4</f>
        <v>121.15384615384613</v>
      </c>
      <c r="M4" s="318">
        <f>ROUND(I4,4)</f>
        <v>5.6</v>
      </c>
    </row>
    <row r="5" spans="1:13">
      <c r="B5" s="590">
        <v>2</v>
      </c>
      <c r="C5" s="591" t="s">
        <v>53</v>
      </c>
      <c r="F5" s="341" t="str">
        <f>Gia_Dcu!$C$7</f>
        <v>Cái</v>
      </c>
      <c r="G5" s="341">
        <f>Gia_Dcu!$D$7</f>
        <v>60</v>
      </c>
      <c r="H5" s="592">
        <f>Gia_Dcu!$F$7</f>
        <v>961.53846153846155</v>
      </c>
      <c r="I5" s="593">
        <v>9.3332999999999995</v>
      </c>
      <c r="J5" s="594">
        <f t="shared" si="0"/>
        <v>8974.326923076922</v>
      </c>
      <c r="M5" s="318">
        <f t="shared" ref="M5:M10" si="1">ROUND(I5,4)</f>
        <v>9.3332999999999995</v>
      </c>
    </row>
    <row r="6" spans="1:13">
      <c r="B6" s="590">
        <v>3</v>
      </c>
      <c r="C6" s="591" t="s">
        <v>54</v>
      </c>
      <c r="F6" s="341" t="str">
        <f>Gia_Dcu!$C$8</f>
        <v>Cái</v>
      </c>
      <c r="G6" s="341">
        <f>Gia_Dcu!$D$8</f>
        <v>60</v>
      </c>
      <c r="H6" s="592">
        <f>Gia_Dcu!$F$8</f>
        <v>230.76923076923077</v>
      </c>
      <c r="I6" s="593">
        <v>28</v>
      </c>
      <c r="J6" s="594">
        <f t="shared" si="0"/>
        <v>6461.5384615384619</v>
      </c>
      <c r="M6" s="318">
        <f t="shared" si="1"/>
        <v>28</v>
      </c>
    </row>
    <row r="7" spans="1:13">
      <c r="B7" s="590">
        <v>4</v>
      </c>
      <c r="C7" s="591" t="s">
        <v>27</v>
      </c>
      <c r="F7" s="341" t="str">
        <f>Gia_Dcu!$C$9</f>
        <v>Cái</v>
      </c>
      <c r="G7" s="341">
        <f>Gia_Dcu!$D$9</f>
        <v>60</v>
      </c>
      <c r="H7" s="592">
        <f>Gia_Dcu!$F$9</f>
        <v>483.33333333333331</v>
      </c>
      <c r="I7" s="593">
        <v>28</v>
      </c>
      <c r="J7" s="594">
        <f t="shared" si="0"/>
        <v>13533.333333333332</v>
      </c>
      <c r="M7" s="318">
        <f t="shared" si="1"/>
        <v>28</v>
      </c>
    </row>
    <row r="8" spans="1:13">
      <c r="B8" s="590">
        <v>5</v>
      </c>
      <c r="C8" s="591" t="s">
        <v>55</v>
      </c>
      <c r="F8" s="341" t="str">
        <f>Gia_Dcu!$C$10</f>
        <v>Cái</v>
      </c>
      <c r="G8" s="341">
        <f>Gia_Dcu!$D$10</f>
        <v>60</v>
      </c>
      <c r="H8" s="592">
        <f>Gia_Dcu!$F$10</f>
        <v>557.69230769230774</v>
      </c>
      <c r="I8" s="593">
        <v>7</v>
      </c>
      <c r="J8" s="594">
        <f t="shared" si="0"/>
        <v>3903.8461538461543</v>
      </c>
      <c r="M8" s="318">
        <f t="shared" si="1"/>
        <v>7</v>
      </c>
    </row>
    <row r="9" spans="1:13">
      <c r="B9" s="590">
        <v>6</v>
      </c>
      <c r="C9" s="591" t="s">
        <v>56</v>
      </c>
      <c r="F9" s="341" t="str">
        <f>Gia_Dcu!$C$11</f>
        <v>Cái</v>
      </c>
      <c r="G9" s="341">
        <f>Gia_Dcu!$D$11</f>
        <v>12</v>
      </c>
      <c r="H9" s="592">
        <f>Gia_Dcu!$F$11</f>
        <v>208.33333333333334</v>
      </c>
      <c r="I9" s="593">
        <v>28</v>
      </c>
      <c r="J9" s="594">
        <f t="shared" si="0"/>
        <v>5833.3333333333339</v>
      </c>
      <c r="M9" s="318">
        <f t="shared" si="1"/>
        <v>28</v>
      </c>
    </row>
    <row r="10" spans="1:13">
      <c r="B10" s="590">
        <v>7</v>
      </c>
      <c r="C10" s="591" t="s">
        <v>59</v>
      </c>
      <c r="F10" s="341" t="s">
        <v>907</v>
      </c>
      <c r="G10" s="595"/>
      <c r="H10" s="592">
        <f>Gia_Dcu!$F$14</f>
        <v>13488</v>
      </c>
      <c r="I10" s="593">
        <v>3.64</v>
      </c>
      <c r="J10" s="596">
        <f>$H10*I10*100%</f>
        <v>49096.32</v>
      </c>
      <c r="M10" s="318">
        <f t="shared" si="1"/>
        <v>3.64</v>
      </c>
    </row>
    <row r="11" spans="1:13">
      <c r="G11" s="477"/>
    </row>
    <row r="12" spans="1:13" ht="31.5">
      <c r="B12" s="604" t="s">
        <v>14</v>
      </c>
      <c r="C12" s="604" t="s">
        <v>162</v>
      </c>
      <c r="D12" s="604" t="s">
        <v>21</v>
      </c>
      <c r="E12" s="604" t="s">
        <v>163</v>
      </c>
      <c r="F12" s="604" t="s">
        <v>28</v>
      </c>
      <c r="G12" s="346" t="s">
        <v>20</v>
      </c>
    </row>
    <row r="13" spans="1:13">
      <c r="A13" s="3">
        <v>1</v>
      </c>
      <c r="B13" s="386">
        <f>NhanCong_QG!B3</f>
        <v>1</v>
      </c>
      <c r="C13" s="387" t="str">
        <f>NhanCong_QG!C3:C3</f>
        <v>Công tác chuẩn bị</v>
      </c>
      <c r="D13" s="606"/>
      <c r="E13" s="404"/>
      <c r="F13" s="555"/>
      <c r="G13" s="479"/>
    </row>
    <row r="14" spans="1:13" ht="63">
      <c r="A14" s="3" t="s">
        <v>767</v>
      </c>
      <c r="B14" s="606" t="str">
        <f>NhanCong_QG!B4</f>
        <v>1.1</v>
      </c>
      <c r="C14" s="362" t="str">
        <f>NhanCong_QG!C4:C4</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14" s="606" t="str">
        <f>NhanCong_QG!D4</f>
        <v>Bộ dữ liệu cho cả nước</v>
      </c>
      <c r="E14" s="420">
        <f>NhanCong_QG!F4</f>
        <v>5</v>
      </c>
      <c r="F14" s="555">
        <f>ROUND(E14/$E$21,4)</f>
        <v>0.17860000000000001</v>
      </c>
      <c r="G14" s="479">
        <f>F14*$K$3</f>
        <v>15703.199976358976</v>
      </c>
    </row>
    <row r="15" spans="1:13" ht="47.25">
      <c r="A15" s="3" t="s">
        <v>768</v>
      </c>
      <c r="B15" s="606" t="str">
        <f>NhanCong_QG!B5</f>
        <v>1.2</v>
      </c>
      <c r="C15" s="362" t="str">
        <f>NhanCong_QG!C5:C5</f>
        <v>Chuẩn bị nhân lực, địa điểm làm việc; Chuẩn bị vật tư, thiết bị, dụng cụ, phần mềm phục vụ cho công tác xây dựng cơ sở dữ liệu thống kê, kiểm kê đất đai</v>
      </c>
      <c r="D15" s="606" t="str">
        <f>NhanCong_QG!D5</f>
        <v>Bộ dữ liệu cho cả nước</v>
      </c>
      <c r="E15" s="420">
        <f>NhanCong_QG!F5</f>
        <v>5</v>
      </c>
      <c r="F15" s="555">
        <f>ROUND(E15/$E$21,4)</f>
        <v>0.17860000000000001</v>
      </c>
      <c r="G15" s="479">
        <f>F15*$K$3</f>
        <v>15703.199976358976</v>
      </c>
    </row>
    <row r="16" spans="1:13">
      <c r="A16" s="3">
        <v>7</v>
      </c>
      <c r="B16" s="386">
        <f>NhanCong_QG!B6</f>
        <v>2</v>
      </c>
      <c r="C16" s="618" t="str">
        <f>NhanCong_QG!C6</f>
        <v>Xây dựng siêu dữ liệu thống kê, kiểm kê đất đai</v>
      </c>
      <c r="D16" s="616"/>
      <c r="E16" s="420"/>
      <c r="F16" s="555"/>
      <c r="G16" s="479"/>
    </row>
    <row r="17" spans="1:13" ht="47.25">
      <c r="A17" s="3" t="s">
        <v>874</v>
      </c>
      <c r="B17" s="606" t="str">
        <f>NhanCong_QG!B7</f>
        <v>2.1</v>
      </c>
      <c r="C17" s="362" t="str">
        <f>NhanCong_QG!C7:C7</f>
        <v>Thu nhận các thông tin cần thiết về các dữ liệu để xây dựng siêu dữ liệu</v>
      </c>
      <c r="D17" s="605" t="str">
        <f>NhanCong_QG!D7:D7</f>
        <v>Bộ dữ liệu cho cả nước</v>
      </c>
      <c r="E17" s="420">
        <f>NhanCong_QG!F7</f>
        <v>5</v>
      </c>
      <c r="F17" s="555">
        <f>ROUND(E17/$E$21,4)</f>
        <v>0.17860000000000001</v>
      </c>
      <c r="G17" s="479">
        <f t="shared" ref="G17:G18" si="2">F17*$K$3</f>
        <v>15703.199976358976</v>
      </c>
    </row>
    <row r="18" spans="1:13">
      <c r="A18" s="3" t="s">
        <v>875</v>
      </c>
      <c r="B18" s="606" t="str">
        <f>NhanCong_QG!B8</f>
        <v>2.2</v>
      </c>
      <c r="C18" s="362" t="str">
        <f>NhanCong_QG!C8:C8</f>
        <v>Nhập thông tin siêu dữ liệu</v>
      </c>
      <c r="D18" s="606" t="str">
        <f>NhanCong_QG!D8</f>
        <v>Bộ dữ liệu cho cả nước</v>
      </c>
      <c r="E18" s="420">
        <f>NhanCong_QG!F8</f>
        <v>3</v>
      </c>
      <c r="F18" s="555">
        <f>ROUND(E18/$E$21,4)</f>
        <v>0.1071</v>
      </c>
      <c r="G18" s="479">
        <f t="shared" si="2"/>
        <v>9416.6445546923078</v>
      </c>
    </row>
    <row r="19" spans="1:13">
      <c r="A19" s="3">
        <v>8</v>
      </c>
      <c r="B19" s="386">
        <f>NhanCong_QG!B9</f>
        <v>3</v>
      </c>
      <c r="C19" s="393" t="str">
        <f>NhanCong_QG!C9:C9</f>
        <v>Kiểm tra, nghiệm thu cơ sở dữ liệu thống kê, kiểm kê đất đai</v>
      </c>
      <c r="D19" s="606"/>
      <c r="E19" s="420"/>
      <c r="F19" s="555"/>
      <c r="G19" s="479"/>
    </row>
    <row r="20" spans="1:13" ht="47.25">
      <c r="A20" s="628" t="s">
        <v>842</v>
      </c>
      <c r="B20" s="606" t="str">
        <f>NhanCong_QG!B10</f>
        <v/>
      </c>
      <c r="C20" s="362" t="str">
        <f>NhanCong_QG!C10:C10</f>
        <v>Đơn vị thi công chuẩn bị tài liệu và phục vụ giám sát, kiểm tra, nghiệm thu. Đóng gói giao nộp cơ sở dữ liệu thống kê, kiểm kê đất đai</v>
      </c>
      <c r="D20" s="605" t="str">
        <f>NhanCong_QG!D10:D10</f>
        <v>Bộ dữ liệu cho cả nước</v>
      </c>
      <c r="E20" s="420">
        <f>NhanCong_QG!F10</f>
        <v>10</v>
      </c>
      <c r="F20" s="555">
        <f>ROUND(E20/$E$21,4)</f>
        <v>0.35709999999999997</v>
      </c>
      <c r="G20" s="479">
        <f>F20*$K$3</f>
        <v>31397.60756751282</v>
      </c>
    </row>
    <row r="21" spans="1:13">
      <c r="B21" s="616"/>
      <c r="C21" s="362"/>
      <c r="D21" s="616"/>
      <c r="E21" s="420">
        <f>SUM(E14:E20)</f>
        <v>28</v>
      </c>
      <c r="F21" s="555">
        <f>SUM(F14:F20)</f>
        <v>1</v>
      </c>
      <c r="G21" s="479">
        <f>SUM(G14:G20)</f>
        <v>87923.852051282054</v>
      </c>
    </row>
    <row r="22" spans="1:13" ht="110.25">
      <c r="B22" s="614" t="s">
        <v>14</v>
      </c>
      <c r="C22" s="614" t="s">
        <v>2</v>
      </c>
      <c r="F22" s="614" t="s">
        <v>21</v>
      </c>
      <c r="G22" s="614" t="s">
        <v>909</v>
      </c>
      <c r="H22" s="589" t="s">
        <v>103</v>
      </c>
      <c r="I22" s="337" t="str">
        <f>'Thiet-bi_QG'!I35</f>
        <v>Định mức
(tính cho 01 kỳ kiểm kê hoạc 01 năm thống kê)</v>
      </c>
      <c r="J22" s="337" t="s">
        <v>81</v>
      </c>
      <c r="K22" s="478">
        <f>SUM(J23:J29)</f>
        <v>147586.5517948718</v>
      </c>
    </row>
    <row r="23" spans="1:13">
      <c r="B23" s="590">
        <v>1</v>
      </c>
      <c r="C23" s="591" t="s">
        <v>52</v>
      </c>
      <c r="F23" s="615" t="str">
        <f>Gia_Dcu!$C$6</f>
        <v>Cái</v>
      </c>
      <c r="G23" s="615">
        <f>Gia_Dcu!$D$6</f>
        <v>24</v>
      </c>
      <c r="H23" s="592">
        <f>Gia_Dcu!$F$6</f>
        <v>21.634615384615383</v>
      </c>
      <c r="I23" s="593">
        <v>9.4</v>
      </c>
      <c r="J23" s="594">
        <f t="shared" ref="J23:J28" si="3">$H23*I23</f>
        <v>203.36538461538461</v>
      </c>
      <c r="M23" s="318">
        <f>ROUND(I23,4)</f>
        <v>9.4</v>
      </c>
    </row>
    <row r="24" spans="1:13">
      <c r="B24" s="590">
        <v>2</v>
      </c>
      <c r="C24" s="591" t="s">
        <v>53</v>
      </c>
      <c r="F24" s="615" t="str">
        <f>Gia_Dcu!$C$7</f>
        <v>Cái</v>
      </c>
      <c r="G24" s="615">
        <f>Gia_Dcu!$D$7</f>
        <v>60</v>
      </c>
      <c r="H24" s="592">
        <f>Gia_Dcu!$F$7</f>
        <v>961.53846153846155</v>
      </c>
      <c r="I24" s="593">
        <v>15.666700000000001</v>
      </c>
      <c r="J24" s="594">
        <f t="shared" si="3"/>
        <v>15064.134615384615</v>
      </c>
      <c r="M24" s="318">
        <f t="shared" ref="M24:M29" si="4">ROUND(I24,4)</f>
        <v>15.666700000000001</v>
      </c>
    </row>
    <row r="25" spans="1:13">
      <c r="B25" s="590">
        <v>3</v>
      </c>
      <c r="C25" s="591" t="s">
        <v>54</v>
      </c>
      <c r="F25" s="615" t="str">
        <f>Gia_Dcu!$C$8</f>
        <v>Cái</v>
      </c>
      <c r="G25" s="615">
        <f>Gia_Dcu!$D$8</f>
        <v>60</v>
      </c>
      <c r="H25" s="592">
        <f>Gia_Dcu!$F$8</f>
        <v>230.76923076923077</v>
      </c>
      <c r="I25" s="593">
        <v>47</v>
      </c>
      <c r="J25" s="594">
        <f t="shared" si="3"/>
        <v>10846.153846153846</v>
      </c>
      <c r="M25" s="318">
        <f t="shared" si="4"/>
        <v>47</v>
      </c>
    </row>
    <row r="26" spans="1:13">
      <c r="B26" s="590">
        <v>4</v>
      </c>
      <c r="C26" s="591" t="s">
        <v>27</v>
      </c>
      <c r="F26" s="615" t="str">
        <f>Gia_Dcu!$C$9</f>
        <v>Cái</v>
      </c>
      <c r="G26" s="615">
        <f>Gia_Dcu!$D$9</f>
        <v>60</v>
      </c>
      <c r="H26" s="592">
        <f>Gia_Dcu!$F$9</f>
        <v>483.33333333333331</v>
      </c>
      <c r="I26" s="593">
        <v>47</v>
      </c>
      <c r="J26" s="594">
        <f t="shared" si="3"/>
        <v>22716.666666666664</v>
      </c>
      <c r="M26" s="318">
        <f t="shared" si="4"/>
        <v>47</v>
      </c>
    </row>
    <row r="27" spans="1:13">
      <c r="B27" s="590">
        <v>5</v>
      </c>
      <c r="C27" s="591" t="s">
        <v>55</v>
      </c>
      <c r="F27" s="615" t="str">
        <f>Gia_Dcu!$C$10</f>
        <v>Cái</v>
      </c>
      <c r="G27" s="615">
        <f>Gia_Dcu!$D$10</f>
        <v>60</v>
      </c>
      <c r="H27" s="592">
        <f>Gia_Dcu!$F$10</f>
        <v>557.69230769230774</v>
      </c>
      <c r="I27" s="593">
        <v>11.75</v>
      </c>
      <c r="J27" s="594">
        <f t="shared" si="3"/>
        <v>6552.8846153846162</v>
      </c>
      <c r="M27" s="318">
        <f t="shared" si="4"/>
        <v>11.75</v>
      </c>
    </row>
    <row r="28" spans="1:13">
      <c r="B28" s="590">
        <v>6</v>
      </c>
      <c r="C28" s="591" t="s">
        <v>56</v>
      </c>
      <c r="F28" s="615" t="str">
        <f>Gia_Dcu!$C$11</f>
        <v>Cái</v>
      </c>
      <c r="G28" s="615">
        <f>Gia_Dcu!$D$11</f>
        <v>12</v>
      </c>
      <c r="H28" s="592">
        <f>Gia_Dcu!$F$11</f>
        <v>208.33333333333334</v>
      </c>
      <c r="I28" s="593">
        <v>47</v>
      </c>
      <c r="J28" s="594">
        <f t="shared" si="3"/>
        <v>9791.6666666666679</v>
      </c>
      <c r="M28" s="318">
        <f t="shared" si="4"/>
        <v>47</v>
      </c>
    </row>
    <row r="29" spans="1:13">
      <c r="B29" s="590">
        <v>7</v>
      </c>
      <c r="C29" s="591" t="s">
        <v>59</v>
      </c>
      <c r="F29" s="615" t="s">
        <v>907</v>
      </c>
      <c r="G29" s="595"/>
      <c r="H29" s="592">
        <f>Gia_Dcu!$F$14</f>
        <v>13488</v>
      </c>
      <c r="I29" s="593">
        <v>6.11</v>
      </c>
      <c r="J29" s="596">
        <f>$H29*I29*100%</f>
        <v>82411.680000000008</v>
      </c>
      <c r="M29" s="318">
        <f t="shared" si="4"/>
        <v>6.11</v>
      </c>
    </row>
    <row r="30" spans="1:13">
      <c r="G30" s="477"/>
    </row>
    <row r="31" spans="1:13" ht="31.5">
      <c r="B31" s="614" t="s">
        <v>14</v>
      </c>
      <c r="C31" s="614" t="str">
        <f>C12</f>
        <v>Nội dung công việc</v>
      </c>
      <c r="D31" s="614" t="s">
        <v>21</v>
      </c>
      <c r="E31" s="614" t="s">
        <v>163</v>
      </c>
      <c r="F31" s="614" t="s">
        <v>28</v>
      </c>
      <c r="G31" s="346" t="s">
        <v>20</v>
      </c>
    </row>
    <row r="32" spans="1:13">
      <c r="A32" s="3">
        <v>2</v>
      </c>
      <c r="B32" s="386">
        <f>NhanCong_QG!B17</f>
        <v>1</v>
      </c>
      <c r="C32" s="387" t="str">
        <f>NhanCong_QG!C17:C17</f>
        <v>Thu thập tài liệu, dữ liệu</v>
      </c>
      <c r="D32" s="606"/>
      <c r="E32" s="420"/>
      <c r="F32" s="555"/>
      <c r="G32" s="479"/>
    </row>
    <row r="33" spans="1:8">
      <c r="A33" s="3" t="s">
        <v>827</v>
      </c>
      <c r="B33" s="606" t="str">
        <f>NhanCong_QG!B18</f>
        <v>1.1</v>
      </c>
      <c r="C33" s="599" t="str">
        <f>NhanCong_QG!C18</f>
        <v>Thu thập tài liệu, dữ liệu thống kê</v>
      </c>
      <c r="D33" s="605" t="str">
        <f>NhanCong_QG!D18:D18</f>
        <v>Năm TK</v>
      </c>
      <c r="E33" s="420">
        <f>NhanCong_QG!F18</f>
        <v>5</v>
      </c>
      <c r="F33" s="555">
        <f>ROUND(E33/$E$50,4)</f>
        <v>0.10639999999999999</v>
      </c>
      <c r="G33" s="479">
        <f>F33*$K$22</f>
        <v>15703.20911097436</v>
      </c>
    </row>
    <row r="34" spans="1:8">
      <c r="A34" s="3" t="s">
        <v>830</v>
      </c>
      <c r="B34" s="606" t="str">
        <f>NhanCong_QG!B19</f>
        <v>1.2</v>
      </c>
      <c r="C34" s="599" t="str">
        <f>NhanCong_QG!C19</f>
        <v>Thu thập tài liệu, dữ liệu kiểm kê</v>
      </c>
      <c r="D34" s="605" t="str">
        <f>NhanCong_QG!D19:D19</f>
        <v>Kỳ KK</v>
      </c>
      <c r="E34" s="420">
        <f>NhanCong_QG!F19</f>
        <v>10</v>
      </c>
      <c r="F34" s="555">
        <f>ROUND(E34/$E$50,4)</f>
        <v>0.21279999999999999</v>
      </c>
      <c r="G34" s="479">
        <f>F34*$K$22</f>
        <v>31406.418221948719</v>
      </c>
    </row>
    <row r="35" spans="1:8">
      <c r="A35" s="3">
        <v>4</v>
      </c>
      <c r="B35" s="386">
        <f>NhanCong_QG!B20</f>
        <v>2</v>
      </c>
      <c r="C35" s="393" t="str">
        <f>NhanCong_QG!C20:C20</f>
        <v>Quét giấy tờ pháp lý và xử lý tập tin</v>
      </c>
      <c r="D35" s="606"/>
      <c r="E35" s="420"/>
      <c r="F35" s="555"/>
      <c r="G35" s="479"/>
    </row>
    <row r="36" spans="1:8" ht="63" hidden="1">
      <c r="A36" s="3" t="s">
        <v>553</v>
      </c>
      <c r="B36" s="606" t="str">
        <f>NhanCong_QG!B21</f>
        <v>2.1</v>
      </c>
      <c r="C36" s="362" t="str">
        <f>NhanCong_QG!C21:C21</f>
        <v>Quét các giấy tờ đưa vào cơ sở dữ liệu kiểm kê đất đai. Chế độ quét của thiết bị được thiết lập theo hệ màu RGB với độ phân giải tối thiểu là 150 DPI. Các tài liệu quét bao gồm: các báo cáo, biểu, bảng số liệu kiểm kê đất đai cấp vùng và cả nước</v>
      </c>
      <c r="D36" s="1191" t="e">
        <f>Dcu_Tinh!#REF!</f>
        <v>#REF!</v>
      </c>
      <c r="E36" s="1192"/>
      <c r="F36" s="1193"/>
      <c r="G36" s="479"/>
    </row>
    <row r="37" spans="1:8" hidden="1">
      <c r="A37" s="3" t="s">
        <v>69</v>
      </c>
      <c r="B37" s="606" t="str">
        <f>NhanCong_QG!B22</f>
        <v>1.1.1</v>
      </c>
      <c r="C37" s="461" t="str">
        <f>NhanCong_QG!C22:C22</f>
        <v>Trang A3</v>
      </c>
      <c r="D37" s="461" t="str">
        <f>NhanCong_QG!D22:D22</f>
        <v>Trang A3</v>
      </c>
      <c r="E37" s="420"/>
      <c r="F37" s="555"/>
      <c r="G37" s="479"/>
    </row>
    <row r="38" spans="1:8" hidden="1">
      <c r="A38" s="3" t="s">
        <v>70</v>
      </c>
      <c r="B38" s="606" t="str">
        <f>NhanCong_QG!B23</f>
        <v>1.1.2</v>
      </c>
      <c r="C38" s="320" t="str">
        <f>NhanCong_QG!C23:C23</f>
        <v>Trang A4</v>
      </c>
      <c r="D38" s="606" t="str">
        <f>NhanCong_QG!D23</f>
        <v>Trang A4</v>
      </c>
      <c r="E38" s="420"/>
      <c r="F38" s="555"/>
      <c r="G38" s="479"/>
    </row>
    <row r="39" spans="1:8" ht="78.75" hidden="1">
      <c r="A39" s="3" t="s">
        <v>864</v>
      </c>
      <c r="B39" s="606" t="str">
        <f>NhanCong_QG!B24</f>
        <v>2.2</v>
      </c>
      <c r="C39" s="362" t="str">
        <f>NhanCong_QG!C24:C24</f>
        <v>Xử lý các tệp tin quét hình thành tệp (File) hồ sơ quét tài liệu kiểm kê đất đai dạng số, lưu trữ dưới khuôn dạng tệp tin PDF; chất lượng hình ảnh số phải sắc nét và rõ ràng, các hình ảnh được sắp xếp theo cùng một hướng, hình ảnh phải được quét vuông góc, không được cong vênh</v>
      </c>
      <c r="D39" s="1194" t="e">
        <f>Dcu_Tinh!#REF!</f>
        <v>#REF!</v>
      </c>
      <c r="E39" s="1195"/>
      <c r="F39" s="1196"/>
      <c r="G39" s="479"/>
    </row>
    <row r="40" spans="1:8" ht="47.25">
      <c r="A40" s="3" t="s">
        <v>883</v>
      </c>
      <c r="B40" s="606" t="str">
        <f>NhanCong_QG!B25</f>
        <v/>
      </c>
      <c r="C40" s="362" t="str">
        <f>NhanCong_QG!C25:C25</f>
        <v>Tạo danh mục tra cứu hồ sơ quét trong cơ sở dữ liệu kiểm kê đất đai</v>
      </c>
      <c r="D40" s="605" t="str">
        <f>NhanCong_QG!D25</f>
        <v>Năm TK hoặc Kỳ KK</v>
      </c>
      <c r="E40" s="420">
        <f>NhanCong_QG!F25</f>
        <v>5</v>
      </c>
      <c r="F40" s="555">
        <f>ROUND(E40/$E$50,4)</f>
        <v>0.10639999999999999</v>
      </c>
      <c r="G40" s="479">
        <f>F40*$K$22</f>
        <v>15703.20911097436</v>
      </c>
    </row>
    <row r="41" spans="1:8">
      <c r="A41" s="3">
        <v>5</v>
      </c>
      <c r="B41" s="386">
        <f>NhanCong_QG!B26</f>
        <v>3</v>
      </c>
      <c r="C41" s="393" t="str">
        <f>NhanCong_QG!C26:C26</f>
        <v>Xây dựng dữ liệu thuộc tính thống kê, kiểm kê đất đai</v>
      </c>
      <c r="D41" s="606"/>
      <c r="E41" s="420"/>
      <c r="F41" s="555"/>
      <c r="G41" s="479"/>
    </row>
    <row r="42" spans="1:8">
      <c r="A42" s="3" t="s">
        <v>867</v>
      </c>
      <c r="B42" s="606" t="str">
        <f>NhanCong_QG!B27</f>
        <v>3.1</v>
      </c>
      <c r="C42" s="362" t="str">
        <f>NhanCong_QG!C27:C27</f>
        <v>Đối với tài liệu, số liệu là bảng, biểu dạng số thì thực hiện như sau:</v>
      </c>
      <c r="D42" s="606"/>
      <c r="E42" s="420"/>
      <c r="F42" s="555"/>
      <c r="G42" s="479"/>
    </row>
    <row r="43" spans="1:8" ht="47.25">
      <c r="A43" s="3" t="s">
        <v>693</v>
      </c>
      <c r="B43" s="606" t="str">
        <f>NhanCong_QG!B28</f>
        <v>3.1.1</v>
      </c>
      <c r="C43" s="461" t="str">
        <f>NhanCong_QG!C28</f>
        <v>Lập mô hình chuyển đổi cơ sở dữ liệu thống kê, kiểm kê đất đai</v>
      </c>
      <c r="D43" s="605" t="str">
        <f>NhanCong_QG!D28</f>
        <v>Năm TK hoặc Kỳ KK</v>
      </c>
      <c r="E43" s="420">
        <f>NhanCong_QG!F28</f>
        <v>5</v>
      </c>
      <c r="F43" s="555">
        <f>ROUND(E43/$E$50,4)</f>
        <v>0.10639999999999999</v>
      </c>
      <c r="G43" s="479">
        <f t="shared" ref="G43:G45" si="5">F43*$K$22</f>
        <v>15703.20911097436</v>
      </c>
    </row>
    <row r="44" spans="1:8">
      <c r="A44" s="3" t="s">
        <v>571</v>
      </c>
      <c r="B44" s="606" t="str">
        <f>NhanCong_QG!B29</f>
        <v>3.1.2</v>
      </c>
      <c r="C44" s="320" t="str">
        <f>NhanCong_QG!C29:C29</f>
        <v>Chuyển đổi vào cơ sở dữ liệu thống kê,  kiểm kê đất đai</v>
      </c>
      <c r="D44" s="606" t="str">
        <f>NhanCong_QG!D29</f>
        <v>Năm TK hoặc Kỳ KK</v>
      </c>
      <c r="E44" s="420">
        <f>NhanCong_QG!F29</f>
        <v>2</v>
      </c>
      <c r="F44" s="555">
        <f>ROUND(E44/$E$50,4)</f>
        <v>4.2599999999999999E-2</v>
      </c>
      <c r="G44" s="479">
        <f t="shared" si="5"/>
        <v>6287.1871064615389</v>
      </c>
    </row>
    <row r="45" spans="1:8" ht="47.25">
      <c r="A45" s="3" t="s">
        <v>868</v>
      </c>
      <c r="B45" s="606" t="str">
        <f>NhanCong_QG!B30</f>
        <v>3.2</v>
      </c>
      <c r="C45" s="362" t="str">
        <f>NhanCong_QG!C30:C30</f>
        <v>Đối với tài liệu, số liệu là báo cáo dạng số thì tạo danh mục tra cứu trong cơ sở dữ liệu thống kê, kiểm kê đất đai</v>
      </c>
      <c r="D45" s="605" t="str">
        <f>NhanCong_QG!D30</f>
        <v>Năm TK hoặc Kỳ KK</v>
      </c>
      <c r="E45" s="420">
        <f>NhanCong_QG!F30</f>
        <v>5</v>
      </c>
      <c r="F45" s="555">
        <f>ROUND(E45/$E$50,4)</f>
        <v>0.10639999999999999</v>
      </c>
      <c r="G45" s="479">
        <f t="shared" si="5"/>
        <v>15703.20911097436</v>
      </c>
      <c r="H45" s="480"/>
    </row>
    <row r="46" spans="1:8">
      <c r="A46" s="3">
        <v>6</v>
      </c>
      <c r="B46" s="386">
        <f>NhanCong_QG!B31</f>
        <v>4</v>
      </c>
      <c r="C46" s="393" t="str">
        <f>NhanCong_QG!C31:C31</f>
        <v>Đối soát, hoàn thiện dữ liệu</v>
      </c>
      <c r="D46" s="605"/>
      <c r="E46" s="420"/>
      <c r="F46" s="555"/>
      <c r="G46" s="479"/>
    </row>
    <row r="47" spans="1:8">
      <c r="A47" s="3" t="s">
        <v>870</v>
      </c>
      <c r="B47" s="606" t="str">
        <f>NhanCong_QG!B32</f>
        <v>4.1</v>
      </c>
      <c r="C47" s="362" t="str">
        <f>NhanCong_QG!C32:C32</f>
        <v>Thực hiện đối soát, hoàn thiện dữ liệu, tạo liên kết dữ liệu</v>
      </c>
      <c r="D47" s="606"/>
      <c r="E47" s="420"/>
      <c r="F47" s="555"/>
      <c r="G47" s="479"/>
    </row>
    <row r="48" spans="1:8">
      <c r="A48" s="3" t="s">
        <v>871</v>
      </c>
      <c r="B48" s="606" t="str">
        <f>NhanCong_QG!B33</f>
        <v>4.1.1</v>
      </c>
      <c r="C48" s="599" t="str">
        <f>NhanCong_QG!C33</f>
        <v>Thực hiện đối soát, hoàn thiện dữ liệu, tạo liên kết dữ liệu thống kê, kiểm kê đất đai</v>
      </c>
      <c r="D48" s="606" t="str">
        <f>NhanCong_QG!D33</f>
        <v>Năm TK hoặc Kỳ KK</v>
      </c>
      <c r="E48" s="420">
        <f>NhanCong_QG!F33</f>
        <v>5</v>
      </c>
      <c r="F48" s="555">
        <v>0.10630000000000001</v>
      </c>
      <c r="G48" s="479">
        <f t="shared" ref="G48:G49" si="6">F48*$K$22</f>
        <v>15688.450455794873</v>
      </c>
    </row>
    <row r="49" spans="1:14">
      <c r="A49" s="3" t="s">
        <v>872</v>
      </c>
      <c r="B49" s="606" t="str">
        <f>NhanCong_QG!B34</f>
        <v>4.1.2</v>
      </c>
      <c r="C49" s="599" t="str">
        <f>NhanCong_QG!C34</f>
        <v>Thực hiện đối soát, hoàn thiện dữ liệu, tạo liên kết dữ liệu thống kê, kiểm kê đất đai</v>
      </c>
      <c r="D49" s="606" t="str">
        <f>NhanCong_QG!D34</f>
        <v>Năm TK hoặc Kỳ KK</v>
      </c>
      <c r="E49" s="420">
        <f>NhanCong_QG!F34</f>
        <v>10</v>
      </c>
      <c r="F49" s="555">
        <v>0.2127</v>
      </c>
      <c r="G49" s="479">
        <f t="shared" si="6"/>
        <v>31391.659566769235</v>
      </c>
    </row>
    <row r="50" spans="1:14">
      <c r="B50" s="616"/>
      <c r="C50" s="599"/>
      <c r="D50" s="615"/>
      <c r="E50" s="420">
        <f>SUM(E33:E49)</f>
        <v>47</v>
      </c>
      <c r="F50" s="555">
        <f>SUM(F33:F49)</f>
        <v>1</v>
      </c>
      <c r="G50" s="479">
        <f>SUM(G33:G49)</f>
        <v>147586.5517948718</v>
      </c>
    </row>
    <row r="51" spans="1:14" ht="63">
      <c r="B51" s="614" t="s">
        <v>14</v>
      </c>
      <c r="C51" s="614" t="s">
        <v>2</v>
      </c>
      <c r="F51" s="614" t="s">
        <v>21</v>
      </c>
      <c r="G51" s="614" t="s">
        <v>909</v>
      </c>
      <c r="H51" s="589" t="s">
        <v>103</v>
      </c>
      <c r="I51" s="337" t="str">
        <f>'Thiet-bi_QG'!I83</f>
        <v>Định mức
(tính cho 01 lớp dữ liệu)</v>
      </c>
      <c r="J51" s="337" t="s">
        <v>81</v>
      </c>
      <c r="K51" s="478">
        <f>SUM(J52:J58)</f>
        <v>141306.2423076923</v>
      </c>
    </row>
    <row r="52" spans="1:14">
      <c r="B52" s="590">
        <v>1</v>
      </c>
      <c r="C52" s="591" t="s">
        <v>52</v>
      </c>
      <c r="F52" s="615" t="str">
        <f>Gia_Dcu!$C$6</f>
        <v>Cái</v>
      </c>
      <c r="G52" s="615">
        <f>Gia_Dcu!$D$6</f>
        <v>24</v>
      </c>
      <c r="H52" s="592">
        <f>Gia_Dcu!$F$6</f>
        <v>21.634615384615383</v>
      </c>
      <c r="I52" s="593">
        <v>9</v>
      </c>
      <c r="J52" s="594">
        <f t="shared" ref="J52:J57" si="7">$H52*I52</f>
        <v>194.71153846153845</v>
      </c>
      <c r="N52" s="318">
        <f>ROUND(I52,4)</f>
        <v>9</v>
      </c>
    </row>
    <row r="53" spans="1:14">
      <c r="B53" s="590">
        <v>2</v>
      </c>
      <c r="C53" s="591" t="s">
        <v>53</v>
      </c>
      <c r="F53" s="615" t="str">
        <f>Gia_Dcu!$C$7</f>
        <v>Cái</v>
      </c>
      <c r="G53" s="615">
        <f>Gia_Dcu!$D$7</f>
        <v>60</v>
      </c>
      <c r="H53" s="592">
        <f>Gia_Dcu!$F$7</f>
        <v>961.53846153846155</v>
      </c>
      <c r="I53" s="593">
        <v>15</v>
      </c>
      <c r="J53" s="594">
        <f t="shared" si="7"/>
        <v>14423.076923076924</v>
      </c>
      <c r="N53" s="318">
        <f t="shared" ref="N53:N58" si="8">ROUND(I53,4)</f>
        <v>15</v>
      </c>
    </row>
    <row r="54" spans="1:14">
      <c r="B54" s="590">
        <v>3</v>
      </c>
      <c r="C54" s="591" t="s">
        <v>54</v>
      </c>
      <c r="F54" s="615" t="str">
        <f>Gia_Dcu!$C$8</f>
        <v>Cái</v>
      </c>
      <c r="G54" s="615">
        <f>Gia_Dcu!$D$8</f>
        <v>60</v>
      </c>
      <c r="H54" s="592">
        <f>Gia_Dcu!$F$8</f>
        <v>230.76923076923077</v>
      </c>
      <c r="I54" s="593">
        <v>45</v>
      </c>
      <c r="J54" s="594">
        <f t="shared" si="7"/>
        <v>10384.615384615385</v>
      </c>
      <c r="N54" s="318">
        <f t="shared" si="8"/>
        <v>45</v>
      </c>
    </row>
    <row r="55" spans="1:14">
      <c r="B55" s="590">
        <v>4</v>
      </c>
      <c r="C55" s="591" t="s">
        <v>27</v>
      </c>
      <c r="F55" s="615" t="str">
        <f>Gia_Dcu!$C$9</f>
        <v>Cái</v>
      </c>
      <c r="G55" s="615">
        <f>Gia_Dcu!$D$9</f>
        <v>60</v>
      </c>
      <c r="H55" s="592">
        <f>Gia_Dcu!$F$9</f>
        <v>483.33333333333331</v>
      </c>
      <c r="I55" s="593">
        <v>45</v>
      </c>
      <c r="J55" s="594">
        <f t="shared" si="7"/>
        <v>21750</v>
      </c>
      <c r="N55" s="318">
        <f t="shared" si="8"/>
        <v>45</v>
      </c>
    </row>
    <row r="56" spans="1:14">
      <c r="B56" s="590">
        <v>5</v>
      </c>
      <c r="C56" s="591" t="s">
        <v>55</v>
      </c>
      <c r="F56" s="615" t="str">
        <f>Gia_Dcu!$C$10</f>
        <v>Cái</v>
      </c>
      <c r="G56" s="615">
        <f>Gia_Dcu!$D$10</f>
        <v>60</v>
      </c>
      <c r="H56" s="592">
        <f>Gia_Dcu!$F$10</f>
        <v>557.69230769230774</v>
      </c>
      <c r="I56" s="593">
        <v>11.25</v>
      </c>
      <c r="J56" s="594">
        <f t="shared" si="7"/>
        <v>6274.0384615384619</v>
      </c>
      <c r="N56" s="318">
        <f t="shared" si="8"/>
        <v>11.25</v>
      </c>
    </row>
    <row r="57" spans="1:14">
      <c r="B57" s="590">
        <v>6</v>
      </c>
      <c r="C57" s="591" t="s">
        <v>56</v>
      </c>
      <c r="F57" s="615" t="str">
        <f>Gia_Dcu!$C$11</f>
        <v>Cái</v>
      </c>
      <c r="G57" s="615">
        <f>Gia_Dcu!$D$11</f>
        <v>12</v>
      </c>
      <c r="H57" s="592">
        <f>Gia_Dcu!$F$11</f>
        <v>208.33333333333334</v>
      </c>
      <c r="I57" s="593">
        <v>45</v>
      </c>
      <c r="J57" s="594">
        <f t="shared" si="7"/>
        <v>9375</v>
      </c>
      <c r="N57" s="318">
        <f t="shared" si="8"/>
        <v>45</v>
      </c>
    </row>
    <row r="58" spans="1:14">
      <c r="B58" s="590">
        <v>7</v>
      </c>
      <c r="C58" s="591" t="s">
        <v>59</v>
      </c>
      <c r="F58" s="615" t="s">
        <v>907</v>
      </c>
      <c r="G58" s="595"/>
      <c r="H58" s="592">
        <f>Gia_Dcu!$F$14</f>
        <v>13488</v>
      </c>
      <c r="I58" s="593">
        <v>5.85</v>
      </c>
      <c r="J58" s="596">
        <f>$H58*I58*100%</f>
        <v>78904.799999999988</v>
      </c>
      <c r="N58" s="318">
        <f t="shared" si="8"/>
        <v>5.85</v>
      </c>
    </row>
    <row r="59" spans="1:14">
      <c r="G59" s="477"/>
    </row>
    <row r="60" spans="1:14" ht="31.5">
      <c r="B60" s="614" t="s">
        <v>14</v>
      </c>
      <c r="C60" s="614" t="str">
        <f>C31</f>
        <v>Nội dung công việc</v>
      </c>
      <c r="D60" s="614" t="s">
        <v>21</v>
      </c>
      <c r="E60" s="614" t="s">
        <v>163</v>
      </c>
      <c r="F60" s="614" t="s">
        <v>28</v>
      </c>
      <c r="G60" s="346" t="s">
        <v>20</v>
      </c>
    </row>
    <row r="61" spans="1:14" hidden="1">
      <c r="A61" s="3">
        <v>3</v>
      </c>
      <c r="B61" s="386">
        <f>NhanCong_QG!B41</f>
        <v>1</v>
      </c>
      <c r="C61" s="387" t="str">
        <f>NhanCong_QG!C41:C41</f>
        <v>Xây dựng dữ liệu không gian</v>
      </c>
      <c r="D61" s="606"/>
      <c r="E61" s="420"/>
      <c r="F61" s="555"/>
      <c r="G61" s="479"/>
    </row>
    <row r="62" spans="1:14">
      <c r="A62" s="3" t="s">
        <v>771</v>
      </c>
      <c r="B62" s="606">
        <f>NhanCong_QG!B42</f>
        <v>1</v>
      </c>
      <c r="C62" s="362" t="str">
        <f>NhanCong_QG!C42:C42</f>
        <v>Chuẩn hóa các lớp đối tượng không gian hiện trạng sử dụng đất</v>
      </c>
      <c r="D62" s="606"/>
      <c r="E62" s="420"/>
      <c r="F62" s="555"/>
      <c r="G62" s="479"/>
    </row>
    <row r="63" spans="1:14" ht="47.25">
      <c r="A63" s="3" t="s">
        <v>62</v>
      </c>
      <c r="B63" s="606" t="str">
        <f>NhanCong_QG!B43</f>
        <v>1.1</v>
      </c>
      <c r="C63" s="362" t="str">
        <f>NhanCong_QG!C43:C43</f>
        <v>Lập bảng đối chiếu giữa lớp đối tượng không gian kiểm kê đất đai với nội dung tương ứng trong bản đồ hiện trạng sử dụng đất để tách, lọc các đối tượng từ nội dung bản đồ hiện trạng sử dụng đất</v>
      </c>
      <c r="D63" s="605" t="str">
        <f>NhanCong_QG!D43:D43</f>
        <v>Lớp dữ liệu</v>
      </c>
      <c r="E63" s="420">
        <f>NhanCong_QG!F43</f>
        <v>5</v>
      </c>
      <c r="F63" s="555">
        <f>ROUND(E63/$E$70,4)</f>
        <v>0.1111</v>
      </c>
      <c r="G63" s="479">
        <f>F63*$K$51</f>
        <v>15699.123520384615</v>
      </c>
    </row>
    <row r="64" spans="1:14" ht="31.5">
      <c r="A64" s="3" t="s">
        <v>63</v>
      </c>
      <c r="B64" s="606" t="str">
        <f>NhanCong_QG!B44</f>
        <v>1.2</v>
      </c>
      <c r="C64" s="362" t="str">
        <f>NhanCong_QG!C44:C44</f>
        <v>Chuẩn hóa các lớp đối tượng bản đồ hiện trạng sử dụng đất</v>
      </c>
      <c r="D64" s="605" t="str">
        <f>NhanCong_QG!D44</f>
        <v>Lớp dữ liệu</v>
      </c>
      <c r="E64" s="420">
        <f>NhanCong_QG!F44</f>
        <v>14</v>
      </c>
      <c r="F64" s="555">
        <f>ROUND(E64/$E$70,4)</f>
        <v>0.31109999999999999</v>
      </c>
      <c r="G64" s="479">
        <f t="shared" ref="G64:G66" si="9">F64*$K$51</f>
        <v>43960.371981923076</v>
      </c>
    </row>
    <row r="65" spans="1:7" ht="31.5">
      <c r="A65" s="3" t="s">
        <v>881</v>
      </c>
      <c r="B65" s="606" t="str">
        <f>NhanCong_QG!B45</f>
        <v>1.3</v>
      </c>
      <c r="C65" s="362" t="str">
        <f>NhanCong_QG!C45:C45</f>
        <v>Nhập bổ sung các thông tin thuộc tính cho đối tượng không gian bản đồ hiện trạng sử dụng đất còn thiếu (nếu có)</v>
      </c>
      <c r="D65" s="605" t="str">
        <f>NhanCong_QG!D45</f>
        <v>Lớp dữ liệu</v>
      </c>
      <c r="E65" s="420">
        <f>NhanCong_QG!F45</f>
        <v>2</v>
      </c>
      <c r="F65" s="555">
        <f>ROUND(E65/$E$70,4)</f>
        <v>4.4400000000000002E-2</v>
      </c>
      <c r="G65" s="479">
        <f t="shared" si="9"/>
        <v>6273.9971584615387</v>
      </c>
    </row>
    <row r="66" spans="1:7" ht="31.5">
      <c r="A66" s="3" t="s">
        <v>882</v>
      </c>
      <c r="B66" s="606" t="str">
        <f>NhanCong_QG!B46</f>
        <v>1.4</v>
      </c>
      <c r="C66" s="362" t="str">
        <f>NhanCong_QG!C46:C46</f>
        <v>Rà soát chuẩn hóa thông tin thuộc tính cho từng đối tượng không gian hiện trạng sử dụng đất</v>
      </c>
      <c r="D66" s="605" t="str">
        <f>NhanCong_QG!D46</f>
        <v>Lớp dữ liệu</v>
      </c>
      <c r="E66" s="420">
        <f>NhanCong_QG!F46</f>
        <v>14</v>
      </c>
      <c r="F66" s="555">
        <f>ROUND(E66/$E$70,4)</f>
        <v>0.31109999999999999</v>
      </c>
      <c r="G66" s="479">
        <f t="shared" si="9"/>
        <v>43960.371981923076</v>
      </c>
    </row>
    <row r="67" spans="1:7">
      <c r="A67" s="3" t="s">
        <v>774</v>
      </c>
      <c r="B67" s="606">
        <f>NhanCong_QG!B47</f>
        <v>2</v>
      </c>
      <c r="C67" s="362" t="str">
        <f>NhanCong_QG!C47:C47</f>
        <v>Chuyển đổi và tích hợp dữ liệu không gian hiện trạng sử dụng đất</v>
      </c>
      <c r="D67" s="605"/>
      <c r="E67" s="420"/>
      <c r="F67" s="555"/>
      <c r="G67" s="479"/>
    </row>
    <row r="68" spans="1:7" ht="31.5">
      <c r="A68" s="3" t="s">
        <v>67</v>
      </c>
      <c r="B68" s="606" t="str">
        <f>NhanCong_QG!B48</f>
        <v>2.1</v>
      </c>
      <c r="C68" s="362" t="str">
        <f>NhanCong_QG!C48:C48</f>
        <v>Chuyển đổi các lớp dữ liệu không gian hiện trạng sử dụng đất từ tệp (File) bản đồ số vào cơ sở dữ liệu</v>
      </c>
      <c r="D68" s="605" t="str">
        <f>NhanCong_QG!D47</f>
        <v>Lớp dữ liệu</v>
      </c>
      <c r="E68" s="420">
        <f>NhanCong_QG!F48</f>
        <v>4</v>
      </c>
      <c r="F68" s="555">
        <f>ROUND(E68/$E$70,4)</f>
        <v>8.8900000000000007E-2</v>
      </c>
      <c r="G68" s="479">
        <f t="shared" ref="G68:G69" si="10">F68*$K$51</f>
        <v>12562.124941153847</v>
      </c>
    </row>
    <row r="69" spans="1:7" ht="31.5">
      <c r="A69" s="3" t="s">
        <v>68</v>
      </c>
      <c r="B69" s="606" t="str">
        <f>NhanCong_QG!B49</f>
        <v>2.2</v>
      </c>
      <c r="C69" s="362" t="str">
        <f>NhanCong_QG!C49:C49</f>
        <v>Rà soát dữ liệu không gian hiện trạng sử dụng đất để xử lý các lỗi dọc biên giữa các tỉnh, các vùng</v>
      </c>
      <c r="D69" s="605" t="str">
        <f>NhanCong_QG!D49</f>
        <v>Lớp dữ liệu</v>
      </c>
      <c r="E69" s="420">
        <f>NhanCong_QG!F49</f>
        <v>6</v>
      </c>
      <c r="F69" s="555">
        <v>0.13339999999999999</v>
      </c>
      <c r="G69" s="479">
        <f t="shared" si="10"/>
        <v>18850.252723846152</v>
      </c>
    </row>
    <row r="70" spans="1:7">
      <c r="B70" s="616"/>
      <c r="C70" s="362"/>
      <c r="D70" s="615"/>
      <c r="E70" s="420">
        <f>SUM(E63:E69)</f>
        <v>45</v>
      </c>
      <c r="F70" s="555">
        <f>SUM(F63:F69)</f>
        <v>1</v>
      </c>
      <c r="G70" s="420">
        <f>SUM(G63:G69)</f>
        <v>141306.2423076923</v>
      </c>
    </row>
  </sheetData>
  <mergeCells count="3">
    <mergeCell ref="D36:F36"/>
    <mergeCell ref="D39:F39"/>
    <mergeCell ref="B1:G1"/>
  </mergeCells>
  <printOptions horizontalCentered="1"/>
  <pageMargins left="0.5" right="0.5" top="0.5" bottom="0.5" header="0.5" footer="0.25"/>
  <pageSetup orientation="landscape" horizontalDpi="1200"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9"/>
  <sheetViews>
    <sheetView topLeftCell="B50" zoomScale="85" zoomScaleNormal="85" workbookViewId="0">
      <selection activeCell="I33" sqref="I33"/>
    </sheetView>
  </sheetViews>
  <sheetFormatPr defaultColWidth="9" defaultRowHeight="15.75"/>
  <cols>
    <col min="1" max="1" width="0" style="517" hidden="1" customWidth="1"/>
    <col min="2" max="2" width="7.625" style="518" customWidth="1"/>
    <col min="3" max="3" width="59.125" style="517" customWidth="1"/>
    <col min="4" max="4" width="11.875" style="518" hidden="1" customWidth="1"/>
    <col min="5" max="5" width="13.625" style="522" customWidth="1"/>
    <col min="6" max="6" width="13.375" style="530" hidden="1" customWidth="1"/>
    <col min="7" max="7" width="14.125" style="520" customWidth="1"/>
    <col min="8" max="8" width="11.5" style="517" customWidth="1"/>
    <col min="9" max="9" width="15.125" style="517" customWidth="1"/>
    <col min="10" max="16384" width="9" style="517"/>
  </cols>
  <sheetData>
    <row r="1" spans="1:12">
      <c r="B1" s="1197" t="s">
        <v>95</v>
      </c>
      <c r="C1" s="1197"/>
      <c r="D1" s="1197"/>
      <c r="E1" s="1197"/>
      <c r="F1" s="1197"/>
      <c r="G1" s="1197"/>
    </row>
    <row r="2" spans="1:12">
      <c r="E2" s="519"/>
      <c r="F2" s="529" t="s">
        <v>79</v>
      </c>
      <c r="G2" s="520" t="s">
        <v>78</v>
      </c>
      <c r="H2" s="517" t="s">
        <v>689</v>
      </c>
    </row>
    <row r="3" spans="1:12" s="521" customFormat="1" ht="47.25">
      <c r="B3" s="614" t="s">
        <v>14</v>
      </c>
      <c r="C3" s="614" t="s">
        <v>3</v>
      </c>
      <c r="E3" s="614" t="s">
        <v>21</v>
      </c>
      <c r="F3" s="563" t="s">
        <v>19</v>
      </c>
      <c r="G3" s="346" t="str">
        <f>Dcu_QG!I3</f>
        <v>Định mức
(tính cho vùng hoặc cả nước)</v>
      </c>
      <c r="H3" s="581" t="s">
        <v>601</v>
      </c>
      <c r="I3" s="582">
        <f>SUM(H4:H11)*108%</f>
        <v>485542.08</v>
      </c>
      <c r="J3" s="619">
        <f>0.136042853498852+0.122438568148967</f>
        <v>0.25848142164781901</v>
      </c>
    </row>
    <row r="4" spans="1:12">
      <c r="B4" s="358">
        <v>1</v>
      </c>
      <c r="C4" s="584" t="s">
        <v>85</v>
      </c>
      <c r="E4" s="671" t="str">
        <f>Gia_VLieu!$C$4</f>
        <v>Gram</v>
      </c>
      <c r="F4" s="585">
        <f>Gia_VLieu!$D$4</f>
        <v>45000</v>
      </c>
      <c r="G4" s="586">
        <v>1.034</v>
      </c>
      <c r="H4" s="587">
        <f t="shared" ref="H4:H11" si="0">F4*G4</f>
        <v>46530</v>
      </c>
      <c r="I4" s="384"/>
      <c r="J4" s="588"/>
      <c r="L4" s="528">
        <f>ROUND(G4,3)</f>
        <v>1.034</v>
      </c>
    </row>
    <row r="5" spans="1:12">
      <c r="B5" s="358">
        <v>2</v>
      </c>
      <c r="C5" s="584" t="s">
        <v>86</v>
      </c>
      <c r="E5" s="671" t="str">
        <f>Gia_VLieu!$C$5</f>
        <v>Hộp</v>
      </c>
      <c r="F5" s="585">
        <f>Gia_VLieu!$D$5</f>
        <v>1450000</v>
      </c>
      <c r="G5" s="586">
        <v>0.19400000000000001</v>
      </c>
      <c r="H5" s="587">
        <f t="shared" si="0"/>
        <v>281300</v>
      </c>
      <c r="I5" s="384"/>
      <c r="J5" s="588"/>
      <c r="L5" s="528">
        <f t="shared" ref="L5:L11" si="1">ROUND(G5,3)</f>
        <v>0.19400000000000001</v>
      </c>
    </row>
    <row r="6" spans="1:12">
      <c r="B6" s="358">
        <v>3</v>
      </c>
      <c r="C6" s="584" t="s">
        <v>88</v>
      </c>
      <c r="E6" s="671" t="str">
        <f>Gia_VLieu!$C$6</f>
        <v>Quyển</v>
      </c>
      <c r="F6" s="585">
        <f>Gia_VLieu!$D$6</f>
        <v>10000</v>
      </c>
      <c r="G6" s="586">
        <v>2.0680000000000001</v>
      </c>
      <c r="H6" s="587">
        <f t="shared" si="0"/>
        <v>20680</v>
      </c>
      <c r="I6" s="384"/>
      <c r="J6" s="588"/>
      <c r="L6" s="528">
        <f t="shared" si="1"/>
        <v>2.0680000000000001</v>
      </c>
    </row>
    <row r="7" spans="1:12">
      <c r="B7" s="358">
        <v>4</v>
      </c>
      <c r="C7" s="584" t="s">
        <v>22</v>
      </c>
      <c r="E7" s="671" t="str">
        <f>Gia_VLieu!$C$7</f>
        <v>Cái</v>
      </c>
      <c r="F7" s="585">
        <f>Gia_VLieu!$D$7</f>
        <v>2000</v>
      </c>
      <c r="G7" s="586">
        <v>5.17</v>
      </c>
      <c r="H7" s="587">
        <f t="shared" si="0"/>
        <v>10340</v>
      </c>
      <c r="I7" s="384"/>
      <c r="J7" s="588"/>
      <c r="L7" s="528">
        <f t="shared" si="1"/>
        <v>5.17</v>
      </c>
    </row>
    <row r="8" spans="1:12">
      <c r="B8" s="358">
        <v>5</v>
      </c>
      <c r="C8" s="584" t="s">
        <v>90</v>
      </c>
      <c r="E8" s="671" t="str">
        <f>Gia_VLieu!$C$8</f>
        <v>Cái</v>
      </c>
      <c r="F8" s="585">
        <f>Gia_VLieu!$D$9</f>
        <v>10000</v>
      </c>
      <c r="G8" s="586">
        <v>2.585</v>
      </c>
      <c r="H8" s="587">
        <f t="shared" si="0"/>
        <v>25850</v>
      </c>
      <c r="I8" s="384"/>
      <c r="J8" s="588"/>
      <c r="L8" s="528">
        <f t="shared" si="1"/>
        <v>2.585</v>
      </c>
    </row>
    <row r="9" spans="1:12">
      <c r="B9" s="358">
        <v>6</v>
      </c>
      <c r="C9" s="584" t="s">
        <v>91</v>
      </c>
      <c r="E9" s="671" t="str">
        <f>Gia_VLieu!$C$10</f>
        <v>Hộp</v>
      </c>
      <c r="F9" s="585">
        <f>Gia_VLieu!$D$10</f>
        <v>2500</v>
      </c>
      <c r="G9" s="586">
        <v>1.034</v>
      </c>
      <c r="H9" s="587">
        <f t="shared" si="0"/>
        <v>2585</v>
      </c>
      <c r="I9" s="384"/>
      <c r="J9" s="588"/>
      <c r="L9" s="528">
        <f t="shared" si="1"/>
        <v>1.034</v>
      </c>
    </row>
    <row r="10" spans="1:12">
      <c r="B10" s="358">
        <v>7</v>
      </c>
      <c r="C10" s="584" t="s">
        <v>92</v>
      </c>
      <c r="E10" s="671" t="str">
        <f>Gia_VLieu!$C$11</f>
        <v>Hộp</v>
      </c>
      <c r="F10" s="585">
        <f>Gia_VLieu!$D$12</f>
        <v>8000</v>
      </c>
      <c r="G10" s="586">
        <v>0.51700000000000002</v>
      </c>
      <c r="H10" s="587">
        <f t="shared" si="0"/>
        <v>4136</v>
      </c>
      <c r="I10" s="384"/>
      <c r="J10" s="588"/>
      <c r="L10" s="528">
        <f t="shared" si="1"/>
        <v>0.51700000000000002</v>
      </c>
    </row>
    <row r="11" spans="1:12">
      <c r="B11" s="358">
        <v>8</v>
      </c>
      <c r="C11" s="584" t="s">
        <v>94</v>
      </c>
      <c r="E11" s="671" t="str">
        <f>Gia_VLieu!$C$13</f>
        <v>Cái</v>
      </c>
      <c r="F11" s="585">
        <f>Gia_VLieu!$D$13</f>
        <v>15000</v>
      </c>
      <c r="G11" s="586">
        <v>3.8769999999999998</v>
      </c>
      <c r="H11" s="587">
        <f t="shared" si="0"/>
        <v>58155</v>
      </c>
      <c r="I11" s="384"/>
      <c r="J11" s="583"/>
      <c r="L11" s="528">
        <f t="shared" si="1"/>
        <v>3.8769999999999998</v>
      </c>
    </row>
    <row r="13" spans="1:12">
      <c r="B13" s="604" t="s">
        <v>14</v>
      </c>
      <c r="C13" s="604" t="s">
        <v>162</v>
      </c>
      <c r="D13" s="604" t="s">
        <v>163</v>
      </c>
      <c r="E13" s="346" t="s">
        <v>28</v>
      </c>
      <c r="F13" s="564" t="s">
        <v>20</v>
      </c>
    </row>
    <row r="14" spans="1:12">
      <c r="A14" s="517">
        <v>1</v>
      </c>
      <c r="B14" s="343">
        <f>NhanCong_QG!B3</f>
        <v>1</v>
      </c>
      <c r="C14" s="523" t="str">
        <f>NhanCong_QG!C3:C3</f>
        <v>Công tác chuẩn bị</v>
      </c>
      <c r="D14" s="524"/>
      <c r="E14" s="525"/>
      <c r="F14" s="565"/>
      <c r="G14" s="517"/>
    </row>
    <row r="15" spans="1:12" ht="63">
      <c r="A15" s="517" t="s">
        <v>767</v>
      </c>
      <c r="B15" s="603" t="str">
        <f>NhanCong_QG!B4</f>
        <v>1.1</v>
      </c>
      <c r="C15" s="406" t="str">
        <f>NhanCong_QG!C4:C4</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15" s="527">
        <f>NhanCong_QG!G4</f>
        <v>10</v>
      </c>
      <c r="E15" s="526">
        <f>ROUND(D15/$D$22,4)</f>
        <v>0.26319999999999999</v>
      </c>
      <c r="F15" s="565">
        <f>E15*I$3</f>
        <v>127794.675456</v>
      </c>
      <c r="G15" s="517"/>
    </row>
    <row r="16" spans="1:12" ht="47.25">
      <c r="A16" s="517" t="s">
        <v>768</v>
      </c>
      <c r="B16" s="603" t="str">
        <f>NhanCong_QG!B5</f>
        <v>1.2</v>
      </c>
      <c r="C16" s="406" t="str">
        <f>NhanCong_QG!C5:C5</f>
        <v>Chuẩn bị nhân lực, địa điểm làm việc; Chuẩn bị vật tư, thiết bị, dụng cụ, phần mềm phục vụ cho công tác xây dựng cơ sở dữ liệu thống kê, kiểm kê đất đai</v>
      </c>
      <c r="D16" s="527">
        <f>NhanCong_QG!G5</f>
        <v>10</v>
      </c>
      <c r="E16" s="526">
        <f>ROUND(D16/$D$22,4)</f>
        <v>0.26319999999999999</v>
      </c>
      <c r="F16" s="565">
        <f>E16*I$3</f>
        <v>127794.675456</v>
      </c>
      <c r="G16" s="517"/>
    </row>
    <row r="17" spans="1:12">
      <c r="A17" s="517">
        <v>7</v>
      </c>
      <c r="B17" s="343">
        <f>NhanCong_QG!B6</f>
        <v>2</v>
      </c>
      <c r="C17" s="620" t="str">
        <f>NhanCong_QG!C6</f>
        <v>Xây dựng siêu dữ liệu thống kê, kiểm kê đất đai</v>
      </c>
      <c r="D17" s="527"/>
      <c r="E17" s="526"/>
      <c r="F17" s="565"/>
    </row>
    <row r="18" spans="1:12">
      <c r="A18" s="517" t="s">
        <v>874</v>
      </c>
      <c r="B18" s="603" t="str">
        <f>NhanCong_QG!B7</f>
        <v>2.1</v>
      </c>
      <c r="C18" s="406" t="str">
        <f>NhanCong_QG!C7:C7</f>
        <v>Thu nhận các thông tin cần thiết về các dữ liệu để xây dựng siêu dữ liệu</v>
      </c>
      <c r="D18" s="527">
        <f>NhanCong_QG!F7</f>
        <v>5</v>
      </c>
      <c r="E18" s="526">
        <f>ROUND(D18/$D$22,4)</f>
        <v>0.13159999999999999</v>
      </c>
      <c r="F18" s="565">
        <f>E18*I$3</f>
        <v>63897.337727999999</v>
      </c>
    </row>
    <row r="19" spans="1:12">
      <c r="A19" s="517" t="s">
        <v>875</v>
      </c>
      <c r="B19" s="603" t="str">
        <f>NhanCong_QG!B8</f>
        <v>2.2</v>
      </c>
      <c r="C19" s="406" t="str">
        <f>NhanCong_QG!C8:C8</f>
        <v>Nhập thông tin siêu dữ liệu</v>
      </c>
      <c r="D19" s="527">
        <f>NhanCong_QG!G8</f>
        <v>3</v>
      </c>
      <c r="E19" s="526">
        <f>ROUND(D19/$D$22,4)</f>
        <v>7.8899999999999998E-2</v>
      </c>
      <c r="F19" s="565">
        <f>E19*I$3</f>
        <v>38309.270111999998</v>
      </c>
    </row>
    <row r="20" spans="1:12">
      <c r="A20" s="517">
        <v>8</v>
      </c>
      <c r="B20" s="343">
        <f>NhanCong_QG!B9</f>
        <v>3</v>
      </c>
      <c r="C20" s="407" t="str">
        <f>NhanCong_QG!C9:C9</f>
        <v>Kiểm tra, nghiệm thu cơ sở dữ liệu thống kê, kiểm kê đất đai</v>
      </c>
      <c r="D20" s="527"/>
      <c r="E20" s="526"/>
      <c r="F20" s="565"/>
    </row>
    <row r="21" spans="1:12" ht="31.5">
      <c r="A21" s="629" t="s">
        <v>842</v>
      </c>
      <c r="B21" s="603" t="str">
        <f>NhanCong_QG!B10</f>
        <v/>
      </c>
      <c r="C21" s="406" t="str">
        <f>NhanCong_QG!C10:C10</f>
        <v>Đơn vị thi công chuẩn bị tài liệu và phục vụ giám sát, kiểm tra, nghiệm thu. Đóng gói giao nộp cơ sở dữ liệu thống kê, kiểm kê đất đai</v>
      </c>
      <c r="D21" s="527">
        <f>NhanCong_QG!F10</f>
        <v>10</v>
      </c>
      <c r="E21" s="526">
        <v>0.2631</v>
      </c>
      <c r="F21" s="565">
        <f>E21*I$3</f>
        <v>127746.12124800001</v>
      </c>
    </row>
    <row r="22" spans="1:12">
      <c r="B22" s="613"/>
      <c r="C22" s="406"/>
      <c r="D22" s="527">
        <f>SUM(D15:D21)</f>
        <v>38</v>
      </c>
      <c r="E22" s="638">
        <f>SUM(E15:E21)</f>
        <v>0.99999999999999989</v>
      </c>
      <c r="F22" s="527">
        <f>SUM(F15:F21)</f>
        <v>485542.08</v>
      </c>
      <c r="G22" s="517"/>
    </row>
    <row r="23" spans="1:12" ht="78.75">
      <c r="B23" s="614" t="s">
        <v>14</v>
      </c>
      <c r="C23" s="614" t="str">
        <f>C3</f>
        <v>Danh mục vật liệu</v>
      </c>
      <c r="E23" s="614" t="s">
        <v>21</v>
      </c>
      <c r="F23" s="563" t="s">
        <v>19</v>
      </c>
      <c r="G23" s="346" t="str">
        <f>Dcu_QG!I22</f>
        <v>Định mức
(tính cho 01 kỳ kiểm kê hoạc 01 năm thống kê)</v>
      </c>
      <c r="H23" s="581" t="s">
        <v>601</v>
      </c>
      <c r="I23" s="582">
        <f>SUM(H24:H31)*108%</f>
        <v>818223.12000000011</v>
      </c>
      <c r="J23" s="619">
        <f>0.170053566873565+0.265368591106198</f>
        <v>0.43542215797976297</v>
      </c>
    </row>
    <row r="24" spans="1:12">
      <c r="B24" s="358">
        <v>1</v>
      </c>
      <c r="C24" s="584" t="s">
        <v>85</v>
      </c>
      <c r="E24" s="671" t="str">
        <f>Gia_VLieu!$C$4</f>
        <v>Gram</v>
      </c>
      <c r="F24" s="585">
        <f>Gia_VLieu!$D$4</f>
        <v>45000</v>
      </c>
      <c r="G24" s="586">
        <v>1.742</v>
      </c>
      <c r="H24" s="587">
        <f t="shared" ref="H24:H31" si="2">F24*G24</f>
        <v>78390</v>
      </c>
      <c r="I24" s="384"/>
      <c r="J24" s="588"/>
      <c r="L24" s="528">
        <f>ROUND(G24,3)</f>
        <v>1.742</v>
      </c>
    </row>
    <row r="25" spans="1:12">
      <c r="B25" s="358">
        <v>2</v>
      </c>
      <c r="C25" s="584" t="s">
        <v>86</v>
      </c>
      <c r="E25" s="671" t="str">
        <f>Gia_VLieu!$C$5</f>
        <v>Hộp</v>
      </c>
      <c r="F25" s="585">
        <f>Gia_VLieu!$D$5</f>
        <v>1450000</v>
      </c>
      <c r="G25" s="586">
        <v>0.32700000000000001</v>
      </c>
      <c r="H25" s="587">
        <f t="shared" si="2"/>
        <v>474150</v>
      </c>
      <c r="I25" s="384"/>
      <c r="J25" s="588"/>
      <c r="L25" s="528">
        <f t="shared" ref="L25:L31" si="3">ROUND(G25,3)</f>
        <v>0.32700000000000001</v>
      </c>
    </row>
    <row r="26" spans="1:12">
      <c r="B26" s="358">
        <v>3</v>
      </c>
      <c r="C26" s="584" t="s">
        <v>88</v>
      </c>
      <c r="E26" s="671" t="str">
        <f>Gia_VLieu!$C$6</f>
        <v>Quyển</v>
      </c>
      <c r="F26" s="585">
        <f>Gia_VLieu!$D$6</f>
        <v>10000</v>
      </c>
      <c r="G26" s="586">
        <v>3.4830000000000001</v>
      </c>
      <c r="H26" s="587">
        <f t="shared" si="2"/>
        <v>34830</v>
      </c>
      <c r="I26" s="384"/>
      <c r="J26" s="588"/>
      <c r="L26" s="528">
        <f t="shared" si="3"/>
        <v>3.4830000000000001</v>
      </c>
    </row>
    <row r="27" spans="1:12">
      <c r="B27" s="358">
        <v>4</v>
      </c>
      <c r="C27" s="584" t="s">
        <v>22</v>
      </c>
      <c r="E27" s="671" t="str">
        <f>Gia_VLieu!$C$7</f>
        <v>Cái</v>
      </c>
      <c r="F27" s="585">
        <f>Gia_VLieu!$D$7</f>
        <v>2000</v>
      </c>
      <c r="G27" s="586">
        <v>8.7080000000000002</v>
      </c>
      <c r="H27" s="587">
        <f t="shared" si="2"/>
        <v>17416</v>
      </c>
      <c r="I27" s="384"/>
      <c r="J27" s="588"/>
      <c r="L27" s="528">
        <f t="shared" si="3"/>
        <v>8.7080000000000002</v>
      </c>
    </row>
    <row r="28" spans="1:12">
      <c r="B28" s="358">
        <v>5</v>
      </c>
      <c r="C28" s="584" t="s">
        <v>90</v>
      </c>
      <c r="E28" s="671" t="str">
        <f>Gia_VLieu!$C$8</f>
        <v>Cái</v>
      </c>
      <c r="F28" s="585">
        <f>Gia_VLieu!$D$9</f>
        <v>10000</v>
      </c>
      <c r="G28" s="586">
        <v>4.3540000000000001</v>
      </c>
      <c r="H28" s="587">
        <f t="shared" si="2"/>
        <v>43540</v>
      </c>
      <c r="I28" s="384"/>
      <c r="J28" s="588"/>
      <c r="L28" s="528">
        <f t="shared" si="3"/>
        <v>4.3540000000000001</v>
      </c>
    </row>
    <row r="29" spans="1:12">
      <c r="B29" s="358">
        <v>6</v>
      </c>
      <c r="C29" s="584" t="s">
        <v>91</v>
      </c>
      <c r="E29" s="671" t="str">
        <f>Gia_VLieu!$C$10</f>
        <v>Hộp</v>
      </c>
      <c r="F29" s="585">
        <f>Gia_VLieu!$D$10</f>
        <v>2500</v>
      </c>
      <c r="G29" s="586">
        <v>1.742</v>
      </c>
      <c r="H29" s="587">
        <f t="shared" si="2"/>
        <v>4355</v>
      </c>
      <c r="I29" s="384"/>
      <c r="J29" s="588"/>
      <c r="L29" s="528">
        <f t="shared" si="3"/>
        <v>1.742</v>
      </c>
    </row>
    <row r="30" spans="1:12">
      <c r="B30" s="358">
        <v>7</v>
      </c>
      <c r="C30" s="584" t="s">
        <v>92</v>
      </c>
      <c r="E30" s="671" t="str">
        <f>Gia_VLieu!$C$11</f>
        <v>Hộp</v>
      </c>
      <c r="F30" s="585">
        <f>Gia_VLieu!$D$12</f>
        <v>8000</v>
      </c>
      <c r="G30" s="586">
        <v>0.871</v>
      </c>
      <c r="H30" s="587">
        <f t="shared" si="2"/>
        <v>6968</v>
      </c>
      <c r="I30" s="384"/>
      <c r="J30" s="588"/>
      <c r="L30" s="528">
        <f t="shared" si="3"/>
        <v>0.871</v>
      </c>
    </row>
    <row r="31" spans="1:12">
      <c r="B31" s="358">
        <v>8</v>
      </c>
      <c r="C31" s="584" t="s">
        <v>94</v>
      </c>
      <c r="E31" s="671" t="str">
        <f>Gia_VLieu!$C$13</f>
        <v>Cái</v>
      </c>
      <c r="F31" s="585">
        <f>Gia_VLieu!$D$13</f>
        <v>15000</v>
      </c>
      <c r="G31" s="586">
        <v>6.5309999999999997</v>
      </c>
      <c r="H31" s="587">
        <f t="shared" si="2"/>
        <v>97965</v>
      </c>
      <c r="I31" s="384"/>
      <c r="J31" s="583"/>
      <c r="L31" s="528">
        <f t="shared" si="3"/>
        <v>6.5309999999999997</v>
      </c>
    </row>
    <row r="33" spans="1:7">
      <c r="B33" s="614" t="s">
        <v>14</v>
      </c>
      <c r="C33" s="614" t="str">
        <f>C13</f>
        <v>Nội dung công việc</v>
      </c>
      <c r="D33" s="614" t="s">
        <v>163</v>
      </c>
      <c r="E33" s="346" t="s">
        <v>28</v>
      </c>
      <c r="F33" s="564" t="s">
        <v>20</v>
      </c>
    </row>
    <row r="34" spans="1:7">
      <c r="A34" s="517">
        <v>2</v>
      </c>
      <c r="B34" s="343">
        <f>NhanCong_QG!B17</f>
        <v>1</v>
      </c>
      <c r="C34" s="523" t="str">
        <f>NhanCong_QG!C17:C17</f>
        <v>Thu thập tài liệu, dữ liệu</v>
      </c>
      <c r="D34" s="527"/>
      <c r="E34" s="526"/>
      <c r="F34" s="565"/>
      <c r="G34" s="517"/>
    </row>
    <row r="35" spans="1:7">
      <c r="A35" s="517" t="s">
        <v>827</v>
      </c>
      <c r="B35" s="603" t="str">
        <f>NhanCong_QG!B18</f>
        <v>1.1</v>
      </c>
      <c r="C35" s="600" t="str">
        <f>NhanCong_QG!C18</f>
        <v>Thu thập tài liệu, dữ liệu thống kê</v>
      </c>
      <c r="D35" s="527">
        <f>NhanCong_QG!G18</f>
        <v>5</v>
      </c>
      <c r="E35" s="526">
        <f>ROUND(D35/$D$48,4)</f>
        <v>7.8100000000000003E-2</v>
      </c>
      <c r="F35" s="565">
        <f>E35*I$23</f>
        <v>63903.225672000008</v>
      </c>
      <c r="G35" s="517"/>
    </row>
    <row r="36" spans="1:7">
      <c r="A36" s="517" t="s">
        <v>830</v>
      </c>
      <c r="B36" s="603" t="str">
        <f>NhanCong_QG!B19</f>
        <v>1.2</v>
      </c>
      <c r="C36" s="600" t="str">
        <f>NhanCong_QG!C19</f>
        <v>Thu thập tài liệu, dữ liệu kiểm kê</v>
      </c>
      <c r="D36" s="527">
        <f>NhanCong_QG!G19</f>
        <v>20</v>
      </c>
      <c r="E36" s="526">
        <f>ROUND(D36/$D$48,4)</f>
        <v>0.31240000000000001</v>
      </c>
      <c r="F36" s="565">
        <f>E36*I$23</f>
        <v>255612.90268800003</v>
      </c>
      <c r="G36" s="517"/>
    </row>
    <row r="37" spans="1:7">
      <c r="A37" s="517">
        <v>4</v>
      </c>
      <c r="B37" s="343">
        <f>NhanCong_QG!B20</f>
        <v>2</v>
      </c>
      <c r="C37" s="407" t="str">
        <f>NhanCong_QG!C20:C20</f>
        <v>Quét giấy tờ pháp lý và xử lý tập tin</v>
      </c>
      <c r="D37" s="527"/>
      <c r="E37" s="526"/>
      <c r="F37" s="565"/>
      <c r="G37" s="517"/>
    </row>
    <row r="38" spans="1:7">
      <c r="A38" s="517" t="s">
        <v>883</v>
      </c>
      <c r="B38" s="603" t="str">
        <f>NhanCong_QG!B25</f>
        <v/>
      </c>
      <c r="C38" s="406" t="str">
        <f>NhanCong_QG!C25:C25</f>
        <v>Tạo danh mục tra cứu hồ sơ quét trong cơ sở dữ liệu kiểm kê đất đai</v>
      </c>
      <c r="D38" s="527">
        <v>1.2500000000000001E-2</v>
      </c>
      <c r="E38" s="526">
        <f>ROUND(D38/$D$48,4)</f>
        <v>2.0000000000000001E-4</v>
      </c>
      <c r="F38" s="565">
        <f>E38*I$23</f>
        <v>163.64462400000002</v>
      </c>
      <c r="G38" s="528"/>
    </row>
    <row r="39" spans="1:7">
      <c r="A39" s="517">
        <v>5</v>
      </c>
      <c r="B39" s="343">
        <f>NhanCong_QG!B26</f>
        <v>3</v>
      </c>
      <c r="C39" s="407" t="str">
        <f>NhanCong_QG!C26:C26</f>
        <v>Xây dựng dữ liệu thuộc tính thống kê, kiểm kê đất đai</v>
      </c>
      <c r="D39" s="527"/>
      <c r="E39" s="526"/>
      <c r="F39" s="565"/>
    </row>
    <row r="40" spans="1:7">
      <c r="A40" s="517" t="s">
        <v>867</v>
      </c>
      <c r="B40" s="603" t="str">
        <f>NhanCong_QG!B27</f>
        <v>3.1</v>
      </c>
      <c r="C40" s="406" t="str">
        <f>NhanCong_QG!C27:C27</f>
        <v>Đối với tài liệu, số liệu là bảng, biểu dạng số thì thực hiện như sau:</v>
      </c>
      <c r="D40" s="527"/>
      <c r="E40" s="526"/>
      <c r="F40" s="565"/>
    </row>
    <row r="41" spans="1:7">
      <c r="A41" s="517" t="s">
        <v>693</v>
      </c>
      <c r="B41" s="603" t="str">
        <f>NhanCong_QG!B28</f>
        <v>3.1.1</v>
      </c>
      <c r="C41" s="411" t="str">
        <f>NhanCong_QG!C28</f>
        <v>Lập mô hình chuyển đổi cơ sở dữ liệu thống kê, kiểm kê đất đai</v>
      </c>
      <c r="D41" s="527">
        <f>NhanCong_QG!F28</f>
        <v>5</v>
      </c>
      <c r="E41" s="526">
        <f>ROUND(D41/$D$48,4)</f>
        <v>7.8100000000000003E-2</v>
      </c>
      <c r="F41" s="565">
        <f t="shared" ref="F41:F42" si="4">E41*I$23</f>
        <v>63903.225672000008</v>
      </c>
    </row>
    <row r="42" spans="1:7">
      <c r="A42" s="517" t="s">
        <v>571</v>
      </c>
      <c r="B42" s="603" t="str">
        <f>NhanCong_QG!B29</f>
        <v>3.1.2</v>
      </c>
      <c r="C42" s="525" t="str">
        <f>NhanCong_QG!C29:C29</f>
        <v>Chuyển đổi vào cơ sở dữ liệu thống kê,  kiểm kê đất đai</v>
      </c>
      <c r="D42" s="527">
        <f>NhanCong_QG!G29</f>
        <v>4</v>
      </c>
      <c r="E42" s="526">
        <f>ROUND(D42/$D$48,4)</f>
        <v>6.25E-2</v>
      </c>
      <c r="F42" s="565">
        <f t="shared" si="4"/>
        <v>51138.945000000007</v>
      </c>
    </row>
    <row r="43" spans="1:7" ht="31.5">
      <c r="A43" s="517" t="s">
        <v>868</v>
      </c>
      <c r="B43" s="603" t="str">
        <f>NhanCong_QG!B30</f>
        <v>3.2</v>
      </c>
      <c r="C43" s="406" t="str">
        <f>NhanCong_QG!C30:C30</f>
        <v>Đối với tài liệu, số liệu là báo cáo dạng số thì tạo danh mục tra cứu trong cơ sở dữ liệu thống kê, kiểm kê đất đai</v>
      </c>
      <c r="D43" s="527">
        <f>NhanCong_QG!G30</f>
        <v>5</v>
      </c>
      <c r="E43" s="526">
        <f>ROUND(D43/$D$48,4)</f>
        <v>7.8100000000000003E-2</v>
      </c>
      <c r="F43" s="565">
        <f>E43*I$23</f>
        <v>63903.225672000008</v>
      </c>
    </row>
    <row r="44" spans="1:7">
      <c r="A44" s="517">
        <v>6</v>
      </c>
      <c r="B44" s="343">
        <f>NhanCong_QG!B31</f>
        <v>4</v>
      </c>
      <c r="C44" s="407" t="str">
        <f>NhanCong_QG!C31:C31</f>
        <v>Đối soát, hoàn thiện dữ liệu</v>
      </c>
      <c r="D44" s="527"/>
      <c r="E44" s="526"/>
      <c r="F44" s="565"/>
    </row>
    <row r="45" spans="1:7">
      <c r="A45" s="517" t="s">
        <v>870</v>
      </c>
      <c r="B45" s="603" t="str">
        <f>NhanCong_QG!B32</f>
        <v>4.1</v>
      </c>
      <c r="C45" s="406" t="str">
        <f>NhanCong_QG!C32:C32</f>
        <v>Thực hiện đối soát, hoàn thiện dữ liệu, tạo liên kết dữ liệu</v>
      </c>
      <c r="D45" s="527"/>
      <c r="E45" s="526"/>
      <c r="F45" s="565"/>
    </row>
    <row r="46" spans="1:7">
      <c r="A46" s="517" t="s">
        <v>871</v>
      </c>
      <c r="B46" s="603" t="str">
        <f>NhanCong_QG!B33</f>
        <v>4.1.1</v>
      </c>
      <c r="C46" s="600" t="str">
        <f>NhanCong_QG!C33</f>
        <v>Thực hiện đối soát, hoàn thiện dữ liệu, tạo liên kết dữ liệu thống kê, kiểm kê đất đai</v>
      </c>
      <c r="D46" s="527">
        <f>NhanCong_QG!G33</f>
        <v>5</v>
      </c>
      <c r="E46" s="526">
        <f>ROUND(D46/$D$48,4)</f>
        <v>7.8100000000000003E-2</v>
      </c>
      <c r="F46" s="565">
        <f>E46*I$23</f>
        <v>63903.225672000008</v>
      </c>
    </row>
    <row r="47" spans="1:7">
      <c r="A47" s="517" t="s">
        <v>872</v>
      </c>
      <c r="B47" s="603" t="str">
        <f>NhanCong_QG!B34</f>
        <v>4.1.2</v>
      </c>
      <c r="C47" s="600" t="str">
        <f>NhanCong_QG!C34</f>
        <v>Thực hiện đối soát, hoàn thiện dữ liệu, tạo liên kết dữ liệu thống kê, kiểm kê đất đai</v>
      </c>
      <c r="D47" s="527">
        <f>NhanCong_QG!G34</f>
        <v>20</v>
      </c>
      <c r="E47" s="526">
        <v>0.3125</v>
      </c>
      <c r="F47" s="565">
        <f>E47*I$23</f>
        <v>255694.72500000003</v>
      </c>
    </row>
    <row r="48" spans="1:7">
      <c r="B48" s="613"/>
      <c r="C48" s="600"/>
      <c r="D48" s="527">
        <f>SUM(D35:D47)</f>
        <v>64.012500000000003</v>
      </c>
      <c r="E48" s="638">
        <f>SUM(E35:E47)</f>
        <v>1</v>
      </c>
      <c r="F48" s="527"/>
      <c r="G48" s="517"/>
    </row>
    <row r="49" spans="1:12" ht="47.25">
      <c r="B49" s="614" t="s">
        <v>14</v>
      </c>
      <c r="C49" s="614" t="str">
        <f>C23</f>
        <v>Danh mục vật liệu</v>
      </c>
      <c r="E49" s="614" t="s">
        <v>21</v>
      </c>
      <c r="F49" s="563" t="s">
        <v>19</v>
      </c>
      <c r="G49" s="346" t="str">
        <f>Dcu_QG!I51</f>
        <v>Định mức
(tính cho 01 lớp dữ liệu)</v>
      </c>
      <c r="H49" s="581" t="s">
        <v>601</v>
      </c>
      <c r="I49" s="582">
        <f>SUM(H50:H57)*108%</f>
        <v>575364.60000000009</v>
      </c>
      <c r="J49" s="619">
        <v>0.30609642037241735</v>
      </c>
    </row>
    <row r="50" spans="1:12">
      <c r="B50" s="358">
        <v>1</v>
      </c>
      <c r="C50" s="584" t="s">
        <v>85</v>
      </c>
      <c r="E50" s="671" t="str">
        <f>Gia_VLieu!$C$4</f>
        <v>Gram</v>
      </c>
      <c r="F50" s="585">
        <f>Gia_VLieu!$D$4</f>
        <v>45000</v>
      </c>
      <c r="G50" s="586">
        <v>1.224</v>
      </c>
      <c r="H50" s="587">
        <f t="shared" ref="H50:H56" si="5">F50*G50</f>
        <v>55080</v>
      </c>
      <c r="I50" s="384"/>
      <c r="J50" s="588"/>
      <c r="L50" s="528">
        <f>ROUND(G50,3)</f>
        <v>1.224</v>
      </c>
    </row>
    <row r="51" spans="1:12" s="522" customFormat="1">
      <c r="B51" s="358">
        <v>2</v>
      </c>
      <c r="C51" s="584" t="s">
        <v>86</v>
      </c>
      <c r="E51" s="671" t="str">
        <f>Gia_VLieu!$C$5</f>
        <v>Hộp</v>
      </c>
      <c r="F51" s="585">
        <f>Gia_VLieu!$D$5</f>
        <v>1450000</v>
      </c>
      <c r="G51" s="586">
        <v>0.23</v>
      </c>
      <c r="H51" s="587">
        <f t="shared" si="5"/>
        <v>333500</v>
      </c>
      <c r="I51" s="384"/>
      <c r="J51" s="588"/>
      <c r="L51" s="528">
        <f t="shared" ref="L51:L57" si="6">ROUND(G51,3)</f>
        <v>0.23</v>
      </c>
    </row>
    <row r="52" spans="1:12">
      <c r="B52" s="358">
        <v>3</v>
      </c>
      <c r="C52" s="584" t="s">
        <v>88</v>
      </c>
      <c r="E52" s="671" t="str">
        <f>Gia_VLieu!$C$6</f>
        <v>Quyển</v>
      </c>
      <c r="F52" s="585">
        <f>Gia_VLieu!$D$6</f>
        <v>10000</v>
      </c>
      <c r="G52" s="586">
        <v>2.4489999999999998</v>
      </c>
      <c r="H52" s="587">
        <f t="shared" si="5"/>
        <v>24490</v>
      </c>
      <c r="I52" s="384"/>
      <c r="J52" s="588"/>
      <c r="L52" s="528">
        <f t="shared" si="6"/>
        <v>2.4489999999999998</v>
      </c>
    </row>
    <row r="53" spans="1:12">
      <c r="B53" s="358">
        <v>4</v>
      </c>
      <c r="C53" s="584" t="s">
        <v>22</v>
      </c>
      <c r="E53" s="671" t="str">
        <f>Gia_VLieu!$C$7</f>
        <v>Cái</v>
      </c>
      <c r="F53" s="585">
        <f>Gia_VLieu!$D$7</f>
        <v>2000</v>
      </c>
      <c r="G53" s="586">
        <v>6.1219999999999999</v>
      </c>
      <c r="H53" s="587">
        <f t="shared" si="5"/>
        <v>12244</v>
      </c>
      <c r="I53" s="384"/>
      <c r="J53" s="588"/>
      <c r="L53" s="528">
        <f t="shared" si="6"/>
        <v>6.1219999999999999</v>
      </c>
    </row>
    <row r="54" spans="1:12">
      <c r="B54" s="358">
        <v>5</v>
      </c>
      <c r="C54" s="584" t="s">
        <v>90</v>
      </c>
      <c r="E54" s="671" t="str">
        <f>Gia_VLieu!$C$8</f>
        <v>Cái</v>
      </c>
      <c r="F54" s="585">
        <f>Gia_VLieu!$D$9</f>
        <v>10000</v>
      </c>
      <c r="G54" s="586">
        <v>3.0609999999999999</v>
      </c>
      <c r="H54" s="587">
        <f t="shared" si="5"/>
        <v>30610</v>
      </c>
      <c r="I54" s="384"/>
      <c r="J54" s="588"/>
      <c r="L54" s="528">
        <f t="shared" si="6"/>
        <v>3.0609999999999999</v>
      </c>
    </row>
    <row r="55" spans="1:12">
      <c r="B55" s="358">
        <v>6</v>
      </c>
      <c r="C55" s="584" t="s">
        <v>91</v>
      </c>
      <c r="E55" s="671" t="str">
        <f>Gia_VLieu!$C$10</f>
        <v>Hộp</v>
      </c>
      <c r="F55" s="585">
        <f>Gia_VLieu!$D$10</f>
        <v>2500</v>
      </c>
      <c r="G55" s="586">
        <v>1.224</v>
      </c>
      <c r="H55" s="587">
        <f t="shared" si="5"/>
        <v>3060</v>
      </c>
      <c r="I55" s="384"/>
      <c r="J55" s="588"/>
      <c r="L55" s="528">
        <f t="shared" si="6"/>
        <v>1.224</v>
      </c>
    </row>
    <row r="56" spans="1:12">
      <c r="B56" s="358">
        <v>7</v>
      </c>
      <c r="C56" s="584" t="s">
        <v>92</v>
      </c>
      <c r="E56" s="671" t="str">
        <f>Gia_VLieu!$C$11</f>
        <v>Hộp</v>
      </c>
      <c r="F56" s="585">
        <f>Gia_VLieu!$D$12</f>
        <v>8000</v>
      </c>
      <c r="G56" s="586">
        <v>0.61199999999999999</v>
      </c>
      <c r="H56" s="587">
        <f t="shared" si="5"/>
        <v>4896</v>
      </c>
      <c r="I56" s="384"/>
      <c r="J56" s="588"/>
      <c r="L56" s="528">
        <f t="shared" si="6"/>
        <v>0.61199999999999999</v>
      </c>
    </row>
    <row r="57" spans="1:12">
      <c r="B57" s="358">
        <v>8</v>
      </c>
      <c r="C57" s="584" t="s">
        <v>94</v>
      </c>
      <c r="E57" s="671" t="str">
        <f>Gia_VLieu!$C$13</f>
        <v>Cái</v>
      </c>
      <c r="F57" s="585">
        <f>Gia_VLieu!$D$13</f>
        <v>15000</v>
      </c>
      <c r="G57" s="586">
        <v>4.5910000000000002</v>
      </c>
      <c r="H57" s="587">
        <f>F57*G57</f>
        <v>68865</v>
      </c>
      <c r="I57" s="384"/>
      <c r="J57" s="583"/>
      <c r="L57" s="528">
        <f t="shared" si="6"/>
        <v>4.5910000000000002</v>
      </c>
    </row>
    <row r="59" spans="1:12" ht="29.45" customHeight="1">
      <c r="B59" s="614" t="s">
        <v>14</v>
      </c>
      <c r="C59" s="614" t="str">
        <f>C33</f>
        <v>Nội dung công việc</v>
      </c>
      <c r="D59" s="614" t="s">
        <v>163</v>
      </c>
      <c r="E59" s="346" t="s">
        <v>28</v>
      </c>
      <c r="F59" s="564" t="s">
        <v>20</v>
      </c>
    </row>
    <row r="60" spans="1:12" hidden="1">
      <c r="A60" s="517">
        <v>3</v>
      </c>
      <c r="B60" s="343">
        <f>NhanCong_QG!B41</f>
        <v>1</v>
      </c>
      <c r="C60" s="523" t="str">
        <f>NhanCong_QG!C41:C41</f>
        <v>Xây dựng dữ liệu không gian</v>
      </c>
      <c r="D60" s="527"/>
      <c r="E60" s="526"/>
      <c r="F60" s="565"/>
      <c r="G60" s="517"/>
    </row>
    <row r="61" spans="1:12">
      <c r="A61" s="517" t="s">
        <v>771</v>
      </c>
      <c r="B61" s="603">
        <f>NhanCong_QG!B42</f>
        <v>1</v>
      </c>
      <c r="C61" s="406" t="str">
        <f>NhanCong_QG!C42:C42</f>
        <v>Chuẩn hóa các lớp đối tượng không gian hiện trạng sử dụng đất</v>
      </c>
      <c r="D61" s="527"/>
      <c r="E61" s="526"/>
      <c r="F61" s="565"/>
      <c r="G61" s="517"/>
    </row>
    <row r="62" spans="1:12" ht="47.25">
      <c r="A62" s="517" t="s">
        <v>62</v>
      </c>
      <c r="B62" s="603" t="str">
        <f>NhanCong_QG!B43</f>
        <v>1.1</v>
      </c>
      <c r="C62" s="406" t="str">
        <f>NhanCong_QG!C43:C43</f>
        <v>Lập bảng đối chiếu giữa lớp đối tượng không gian kiểm kê đất đai với nội dung tương ứng trong bản đồ hiện trạng sử dụng đất để tách, lọc các đối tượng từ nội dung bản đồ hiện trạng sử dụng đất</v>
      </c>
      <c r="D62" s="527">
        <f>NhanCong_QG!F43</f>
        <v>5</v>
      </c>
      <c r="E62" s="526">
        <f>ROUND(D62/$D$69,4)</f>
        <v>0.1111</v>
      </c>
      <c r="F62" s="565">
        <f>E62*I$49</f>
        <v>63923.007060000011</v>
      </c>
      <c r="G62" s="517"/>
    </row>
    <row r="63" spans="1:12">
      <c r="A63" s="517" t="s">
        <v>63</v>
      </c>
      <c r="B63" s="339" t="str">
        <f>NhanCong_QG!B44</f>
        <v>1.2</v>
      </c>
      <c r="C63" s="406" t="str">
        <f>NhanCong_QG!C44:C44</f>
        <v>Chuẩn hóa các lớp đối tượng bản đồ hiện trạng sử dụng đất</v>
      </c>
      <c r="D63" s="534">
        <f>NhanCong_QG!G44</f>
        <v>14</v>
      </c>
      <c r="E63" s="526">
        <f>ROUND(D63/$D$69,4)</f>
        <v>0.31109999999999999</v>
      </c>
      <c r="F63" s="565">
        <f t="shared" ref="F63:F65" si="7">E63*I$49</f>
        <v>178995.92706000002</v>
      </c>
      <c r="G63" s="517"/>
    </row>
    <row r="64" spans="1:12" ht="31.5">
      <c r="A64" s="517" t="s">
        <v>881</v>
      </c>
      <c r="B64" s="603" t="str">
        <f>NhanCong_QG!B45</f>
        <v>1.3</v>
      </c>
      <c r="C64" s="406" t="str">
        <f>NhanCong_QG!C45:C45</f>
        <v>Nhập bổ sung các thông tin thuộc tính cho đối tượng không gian bản đồ hiện trạng sử dụng đất còn thiếu (nếu có)</v>
      </c>
      <c r="D64" s="527">
        <f>NhanCong_QG!G45</f>
        <v>2</v>
      </c>
      <c r="E64" s="526">
        <f>ROUND(D64/$D$69,4)</f>
        <v>4.4400000000000002E-2</v>
      </c>
      <c r="F64" s="565">
        <f t="shared" si="7"/>
        <v>25546.188240000007</v>
      </c>
      <c r="G64" s="517"/>
    </row>
    <row r="65" spans="1:7" ht="31.5">
      <c r="A65" s="517" t="s">
        <v>882</v>
      </c>
      <c r="B65" s="603" t="str">
        <f>NhanCong_QG!B46</f>
        <v>1.4</v>
      </c>
      <c r="C65" s="406" t="str">
        <f>NhanCong_QG!C46:C46</f>
        <v>Rà soát chuẩn hóa thông tin thuộc tính cho từng đối tượng không gian hiện trạng sử dụng đất</v>
      </c>
      <c r="D65" s="527">
        <f>NhanCong_QG!G46</f>
        <v>14</v>
      </c>
      <c r="E65" s="526">
        <f>ROUND(D65/$D$69,4)</f>
        <v>0.31109999999999999</v>
      </c>
      <c r="F65" s="565">
        <f t="shared" si="7"/>
        <v>178995.92706000002</v>
      </c>
      <c r="G65" s="517"/>
    </row>
    <row r="66" spans="1:7">
      <c r="A66" s="517" t="s">
        <v>774</v>
      </c>
      <c r="B66" s="603">
        <f>NhanCong_QG!B47</f>
        <v>2</v>
      </c>
      <c r="C66" s="406" t="str">
        <f>NhanCong_QG!C47:C47</f>
        <v>Chuyển đổi và tích hợp dữ liệu không gian hiện trạng sử dụng đất</v>
      </c>
      <c r="D66" s="527"/>
      <c r="E66" s="526"/>
      <c r="F66" s="565"/>
      <c r="G66" s="517"/>
    </row>
    <row r="67" spans="1:7" ht="31.5">
      <c r="A67" s="517" t="s">
        <v>67</v>
      </c>
      <c r="B67" s="603" t="str">
        <f>NhanCong_QG!B48</f>
        <v>2.1</v>
      </c>
      <c r="C67" s="406" t="str">
        <f>NhanCong_QG!C48:C48</f>
        <v>Chuyển đổi các lớp dữ liệu không gian hiện trạng sử dụng đất từ tệp (File) bản đồ số vào cơ sở dữ liệu</v>
      </c>
      <c r="D67" s="527">
        <f>NhanCong_QG!F48</f>
        <v>4</v>
      </c>
      <c r="E67" s="526">
        <f>ROUND(D67/$D$69,4)</f>
        <v>8.8900000000000007E-2</v>
      </c>
      <c r="F67" s="565">
        <f t="shared" ref="F67:F68" si="8">E67*I$49</f>
        <v>51149.912940000009</v>
      </c>
      <c r="G67" s="517"/>
    </row>
    <row r="68" spans="1:7" ht="31.5">
      <c r="A68" s="517" t="s">
        <v>68</v>
      </c>
      <c r="B68" s="603" t="str">
        <f>NhanCong_QG!B49</f>
        <v>2.2</v>
      </c>
      <c r="C68" s="406" t="str">
        <f>NhanCong_QG!C49:C49</f>
        <v>Rà soát dữ liệu không gian hiện trạng sử dụng đất để xử lý các lỗi dọc biên giữa các tỉnh, các vùng</v>
      </c>
      <c r="D68" s="527">
        <f>NhanCong_QG!G49</f>
        <v>6</v>
      </c>
      <c r="E68" s="526">
        <v>0.13339999999999999</v>
      </c>
      <c r="F68" s="565">
        <f t="shared" si="8"/>
        <v>76753.637640000001</v>
      </c>
      <c r="G68" s="517"/>
    </row>
    <row r="69" spans="1:7">
      <c r="B69" s="613"/>
      <c r="C69" s="406"/>
      <c r="D69" s="527">
        <f>SUM(D62:D68)</f>
        <v>45</v>
      </c>
      <c r="E69" s="639">
        <f>SUM(E62:E68)</f>
        <v>1</v>
      </c>
      <c r="F69" s="527">
        <f>SUM(F62:F68)</f>
        <v>575364.60000000009</v>
      </c>
      <c r="G69" s="517"/>
    </row>
  </sheetData>
  <mergeCells count="1">
    <mergeCell ref="B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topLeftCell="A31" zoomScale="70" zoomScaleNormal="70" workbookViewId="0">
      <selection activeCell="I33" sqref="I33"/>
    </sheetView>
  </sheetViews>
  <sheetFormatPr defaultColWidth="8.875" defaultRowHeight="15.75"/>
  <cols>
    <col min="1" max="1" width="5.625" style="457" customWidth="1"/>
    <col min="2" max="2" width="6" style="457" hidden="1" customWidth="1"/>
    <col min="3" max="3" width="44.25" style="458" customWidth="1"/>
    <col min="4" max="4" width="13.125" style="454" customWidth="1"/>
    <col min="5" max="5" width="14.25" style="454" customWidth="1"/>
    <col min="6" max="6" width="9.625" style="454" bestFit="1" customWidth="1"/>
    <col min="7" max="7" width="9.375" style="454" customWidth="1"/>
    <col min="8" max="8" width="9.625" style="454" customWidth="1"/>
    <col min="9" max="9" width="11.375" style="454" customWidth="1"/>
    <col min="10" max="10" width="10.625" style="460" bestFit="1" customWidth="1"/>
    <col min="11" max="11" width="9.5" style="482" bestFit="1" customWidth="1"/>
    <col min="12" max="12" width="10.125" style="459" customWidth="1"/>
    <col min="13" max="13" width="8.625" style="460" customWidth="1"/>
    <col min="14" max="14" width="9.375" style="459" hidden="1" customWidth="1"/>
    <col min="15" max="15" width="9.875" style="460" customWidth="1"/>
    <col min="16" max="16" width="9.875" style="460" hidden="1" customWidth="1"/>
    <col min="17" max="17" width="8.875" style="454" customWidth="1"/>
    <col min="18" max="18" width="12.75" style="454" customWidth="1"/>
    <col min="19" max="16384" width="8.875" style="454"/>
  </cols>
  <sheetData>
    <row r="1" spans="1:20" ht="21.75" customHeight="1">
      <c r="B1" s="1208" t="s">
        <v>931</v>
      </c>
      <c r="C1" s="1208"/>
      <c r="D1" s="1208"/>
      <c r="E1" s="1208"/>
      <c r="F1" s="1208"/>
      <c r="G1" s="1208"/>
      <c r="H1" s="1208"/>
      <c r="I1" s="1208"/>
      <c r="J1" s="1208"/>
      <c r="K1" s="1208"/>
      <c r="L1" s="1208"/>
      <c r="M1" s="1208"/>
      <c r="N1" s="1208"/>
      <c r="O1" s="1208"/>
      <c r="P1" s="1208"/>
      <c r="Q1" s="1208"/>
      <c r="R1" s="1208"/>
    </row>
    <row r="2" spans="1:20" ht="26.25" customHeight="1">
      <c r="B2" s="1202"/>
      <c r="C2" s="1203"/>
      <c r="D2" s="1203"/>
      <c r="E2" s="1203"/>
      <c r="F2" s="1203"/>
      <c r="G2" s="1203"/>
      <c r="H2" s="1203"/>
      <c r="I2" s="1204"/>
      <c r="J2" s="481"/>
      <c r="K2" s="481"/>
      <c r="P2" s="673"/>
      <c r="Q2" s="685" t="s">
        <v>602</v>
      </c>
      <c r="R2" s="685"/>
      <c r="S2" s="685"/>
      <c r="T2" s="685"/>
    </row>
    <row r="3" spans="1:20" s="455" customFormat="1" ht="21.95" customHeight="1">
      <c r="A3" s="1199" t="s">
        <v>14</v>
      </c>
      <c r="B3" s="1205" t="s">
        <v>177</v>
      </c>
      <c r="C3" s="1205" t="s">
        <v>603</v>
      </c>
      <c r="D3" s="1205" t="s">
        <v>604</v>
      </c>
      <c r="E3" s="1205" t="s">
        <v>7</v>
      </c>
      <c r="F3" s="1205" t="str">
        <f>NhanCong_QG!F2</f>
        <v>Định mức 
(Công nhóm/cả nước)</v>
      </c>
      <c r="G3" s="1205" t="s">
        <v>605</v>
      </c>
      <c r="H3" s="1206" t="s">
        <v>606</v>
      </c>
      <c r="I3" s="1206" t="s">
        <v>607</v>
      </c>
      <c r="J3" s="1207" t="s">
        <v>608</v>
      </c>
      <c r="K3" s="1207"/>
      <c r="L3" s="1205" t="s">
        <v>609</v>
      </c>
      <c r="M3" s="1206" t="s">
        <v>610</v>
      </c>
      <c r="N3" s="1209" t="s">
        <v>611</v>
      </c>
      <c r="O3" s="1206" t="s">
        <v>612</v>
      </c>
      <c r="P3" s="1206"/>
      <c r="Q3" s="1206" t="s">
        <v>837</v>
      </c>
      <c r="R3" s="1206" t="s">
        <v>20</v>
      </c>
      <c r="S3" s="1210"/>
    </row>
    <row r="4" spans="1:20" s="455" customFormat="1" ht="37.5" customHeight="1">
      <c r="A4" s="1199"/>
      <c r="B4" s="1205"/>
      <c r="C4" s="1205" t="s">
        <v>613</v>
      </c>
      <c r="D4" s="1205" t="s">
        <v>614</v>
      </c>
      <c r="E4" s="1205"/>
      <c r="F4" s="1205"/>
      <c r="G4" s="1205"/>
      <c r="H4" s="1206"/>
      <c r="I4" s="1206"/>
      <c r="J4" s="677" t="s">
        <v>615</v>
      </c>
      <c r="K4" s="677" t="s">
        <v>616</v>
      </c>
      <c r="L4" s="1205"/>
      <c r="M4" s="1206"/>
      <c r="N4" s="1209" t="s">
        <v>613</v>
      </c>
      <c r="O4" s="1206" t="s">
        <v>613</v>
      </c>
      <c r="P4" s="1206"/>
      <c r="Q4" s="1206"/>
      <c r="R4" s="1206"/>
      <c r="S4" s="1210"/>
    </row>
    <row r="5" spans="1:20" s="455" customFormat="1">
      <c r="A5" s="632"/>
      <c r="B5" s="674" t="s">
        <v>930</v>
      </c>
      <c r="C5" s="468">
        <v>2</v>
      </c>
      <c r="D5" s="468">
        <v>3</v>
      </c>
      <c r="E5" s="468">
        <v>4</v>
      </c>
      <c r="F5" s="468">
        <v>5</v>
      </c>
      <c r="G5" s="468">
        <v>6</v>
      </c>
      <c r="H5" s="675">
        <v>7</v>
      </c>
      <c r="I5" s="675">
        <v>8</v>
      </c>
      <c r="J5" s="676">
        <v>9</v>
      </c>
      <c r="K5" s="676">
        <v>10</v>
      </c>
      <c r="L5" s="468">
        <v>11</v>
      </c>
      <c r="M5" s="675">
        <v>12</v>
      </c>
      <c r="N5" s="675">
        <v>13</v>
      </c>
      <c r="O5" s="675">
        <v>13</v>
      </c>
      <c r="P5" s="675"/>
      <c r="Q5" s="675">
        <v>14</v>
      </c>
      <c r="R5" s="675">
        <v>15</v>
      </c>
      <c r="S5" s="672"/>
    </row>
    <row r="6" spans="1:20">
      <c r="A6" s="678">
        <v>1</v>
      </c>
      <c r="B6" s="463">
        <f>NhanCong_QG!B3</f>
        <v>1</v>
      </c>
      <c r="C6" s="466" t="str">
        <f>NhanCong_QG!C3</f>
        <v>Công tác chuẩn bị</v>
      </c>
      <c r="D6" s="463"/>
      <c r="E6" s="463"/>
      <c r="F6" s="463"/>
      <c r="G6" s="464"/>
      <c r="H6" s="465"/>
      <c r="I6" s="465"/>
      <c r="J6" s="465"/>
      <c r="K6" s="465"/>
      <c r="L6" s="467"/>
      <c r="M6" s="464"/>
      <c r="N6" s="467"/>
      <c r="O6" s="467"/>
      <c r="P6" s="467"/>
      <c r="Q6" s="464"/>
      <c r="R6" s="464"/>
    </row>
    <row r="7" spans="1:20" ht="78.75">
      <c r="A7" s="631" t="s">
        <v>767</v>
      </c>
      <c r="B7" s="468" t="str">
        <f>NhanCong_QG!B4</f>
        <v>1.1</v>
      </c>
      <c r="C7" s="469" t="str">
        <f>NhanCong_QG!C4</f>
        <v>Lập kế hoạch thi công chi tiết: xác định thời gian, địa điểm, khối lượng và nhân lực thực hiện từng bước công việc; lập kế hoạch làm việc với các đơn vị có liên quan đến công tác xây dựng cơ sở dữ liệu thống kê, kiểm kê đất đai trên địa bàn thi công</v>
      </c>
      <c r="D7" s="468" t="str">
        <f>NhanCong_QG!D4</f>
        <v>Bộ dữ liệu cho cả nước</v>
      </c>
      <c r="E7" s="468" t="str">
        <f>NhanCong_QG!E4</f>
        <v>Nhóm 2 
(1 KTV2 + 1KS4)</v>
      </c>
      <c r="F7" s="579">
        <f>NhanCong_QG!F4</f>
        <v>5</v>
      </c>
      <c r="G7" s="470">
        <f>VLOOKUP(A7,NhanCong_QG!$A$4:$J$49,9,FALSE)</f>
        <v>1918847.788461538</v>
      </c>
      <c r="H7" s="471">
        <f>VLOOKUP(A7,Dcu_QG!$A$14:$G$70,7,FALSE)</f>
        <v>15703.199976358976</v>
      </c>
      <c r="I7" s="471">
        <f>VLOOKUP(A7,'Vat-lieu_QG'!$A$15:$F$69,6,FALSE)</f>
        <v>127794.675456</v>
      </c>
      <c r="J7" s="471">
        <f>VLOOKUP(A7,'Thiet-bi_QG'!$A$5:$K$121,10,FALSE)</f>
        <v>16999.900000000001</v>
      </c>
      <c r="K7" s="471">
        <f>VLOOKUP(A7,'Thiet-bi_QG'!$A$5:$K$121,11,FALSE)</f>
        <v>31471.5504</v>
      </c>
      <c r="L7" s="472">
        <f>SUM(G7:K7)</f>
        <v>2110817.1142938971</v>
      </c>
      <c r="M7" s="470">
        <f t="shared" ref="M7:M8" si="0">L7*0.15</f>
        <v>316622.56714408455</v>
      </c>
      <c r="N7" s="467">
        <f t="shared" ref="N7:N8" si="1">L7+M7</f>
        <v>2427439.6814379818</v>
      </c>
      <c r="O7" s="467">
        <f t="shared" ref="O7:O8" si="2">N7-J7</f>
        <v>2410439.7814379819</v>
      </c>
      <c r="P7" s="467"/>
      <c r="Q7" s="607">
        <v>1</v>
      </c>
      <c r="R7" s="470">
        <f>O7*Q7</f>
        <v>2410439.7814379819</v>
      </c>
    </row>
    <row r="8" spans="1:20" ht="47.25">
      <c r="A8" s="631" t="s">
        <v>768</v>
      </c>
      <c r="B8" s="468" t="str">
        <f>NhanCong_QG!B5</f>
        <v>1.2</v>
      </c>
      <c r="C8" s="469" t="str">
        <f>NhanCong_QG!C5</f>
        <v>Chuẩn bị nhân lực, địa điểm làm việc; Chuẩn bị vật tư, thiết bị, dụng cụ, phần mềm phục vụ cho công tác xây dựng cơ sở dữ liệu thống kê, kiểm kê đất đai</v>
      </c>
      <c r="D8" s="468" t="str">
        <f>NhanCong_QG!D5</f>
        <v>Bộ dữ liệu cho cả nước</v>
      </c>
      <c r="E8" s="468" t="str">
        <f>NhanCong_QG!E5</f>
        <v>Nhóm 2 
(1 KTV4 + 1KS2)</v>
      </c>
      <c r="F8" s="579">
        <f>NhanCong_QG!F5</f>
        <v>5</v>
      </c>
      <c r="G8" s="470">
        <f>VLOOKUP(A8,NhanCong_QG!$A$4:$J$49,9,FALSE)</f>
        <v>1826840.2884615385</v>
      </c>
      <c r="H8" s="471">
        <f>VLOOKUP(A8,Dcu_QG!$A$14:$G$70,7,FALSE)</f>
        <v>15703.199976358976</v>
      </c>
      <c r="I8" s="471">
        <f>VLOOKUP(A8,'Vat-lieu_QG'!$A$15:$F$69,6,FALSE)</f>
        <v>127794.675456</v>
      </c>
      <c r="J8" s="471">
        <f>VLOOKUP(A8,'Thiet-bi_QG'!$A$5:$K$121,10,FALSE)</f>
        <v>16999.900000000001</v>
      </c>
      <c r="K8" s="471">
        <f>VLOOKUP(A8,'Thiet-bi_QG'!$A$5:$K$121,11,FALSE)</f>
        <v>31471.5504</v>
      </c>
      <c r="L8" s="472">
        <f>SUM(G8:K8)</f>
        <v>2018809.6142938975</v>
      </c>
      <c r="M8" s="470">
        <f t="shared" si="0"/>
        <v>302821.44214408461</v>
      </c>
      <c r="N8" s="467">
        <f t="shared" si="1"/>
        <v>2321631.0564379822</v>
      </c>
      <c r="O8" s="467">
        <f t="shared" si="2"/>
        <v>2304631.1564379823</v>
      </c>
      <c r="P8" s="467"/>
      <c r="Q8" s="607">
        <v>1</v>
      </c>
      <c r="R8" s="470">
        <f t="shared" ref="R8:R40" si="3">O8*Q8</f>
        <v>2304631.1564379823</v>
      </c>
    </row>
    <row r="9" spans="1:20">
      <c r="A9" s="678">
        <v>2</v>
      </c>
      <c r="B9" s="463">
        <f>NhanCong_QG!B17</f>
        <v>1</v>
      </c>
      <c r="C9" s="466" t="str">
        <f>NhanCong_QG!C17</f>
        <v>Thu thập tài liệu, dữ liệu</v>
      </c>
      <c r="D9" s="468"/>
      <c r="E9" s="468"/>
      <c r="F9" s="579"/>
      <c r="G9" s="470"/>
      <c r="H9" s="471"/>
      <c r="I9" s="471"/>
      <c r="J9" s="471"/>
      <c r="K9" s="471"/>
      <c r="L9" s="472"/>
      <c r="M9" s="470"/>
      <c r="N9" s="467"/>
      <c r="O9" s="467"/>
      <c r="P9" s="467"/>
      <c r="Q9" s="607"/>
      <c r="R9" s="470"/>
    </row>
    <row r="10" spans="1:20">
      <c r="A10" s="631" t="s">
        <v>827</v>
      </c>
      <c r="B10" s="468" t="str">
        <f>NhanCong_QG!B18</f>
        <v>1.1</v>
      </c>
      <c r="C10" s="598" t="str">
        <f>NhanCong_QG!C18</f>
        <v>Thu thập tài liệu, dữ liệu thống kê</v>
      </c>
      <c r="D10" s="468" t="str">
        <f>NhanCong_QG!D18</f>
        <v>Năm TK</v>
      </c>
      <c r="E10" s="468" t="str">
        <f>NhanCong_QG!E18</f>
        <v>1KS3</v>
      </c>
      <c r="F10" s="579">
        <f>NhanCong_QG!F18</f>
        <v>5</v>
      </c>
      <c r="G10" s="470">
        <f>VLOOKUP(A10,NhanCong_QG!$A$4:$J$49,9,FALSE)</f>
        <v>1067355.7692307692</v>
      </c>
      <c r="H10" s="471">
        <f>VLOOKUP(A10,Dcu_QG!$A$14:$G$70,7,FALSE)</f>
        <v>15703.20911097436</v>
      </c>
      <c r="I10" s="471">
        <f>VLOOKUP(A10,'Vat-lieu_QG'!$A$15:$F$69,6,FALSE)</f>
        <v>63903.225672000008</v>
      </c>
      <c r="J10" s="471">
        <f>VLOOKUP(A10,'Thiet-bi_QG'!$A$5:$K$121,10,FALSE)</f>
        <v>16999.900000000001</v>
      </c>
      <c r="K10" s="471">
        <f>VLOOKUP(A10,'Thiet-bi_QG'!$A$5:$K$121,11,FALSE)</f>
        <v>31471.5504</v>
      </c>
      <c r="L10" s="472">
        <f t="shared" ref="L10:L11" si="4">SUM(G10:K10)</f>
        <v>1195433.6544137436</v>
      </c>
      <c r="M10" s="470">
        <f t="shared" ref="M10:M11" si="5">L10*0.15</f>
        <v>179315.04816206155</v>
      </c>
      <c r="N10" s="467">
        <f t="shared" ref="N10:N11" si="6">L10+M10</f>
        <v>1374748.7025758051</v>
      </c>
      <c r="O10" s="467">
        <f t="shared" ref="O10:O11" si="7">N10-J10</f>
        <v>1357748.8025758052</v>
      </c>
      <c r="P10" s="467"/>
      <c r="Q10" s="607">
        <f>Chitietbangbieu!Y31*8</f>
        <v>112</v>
      </c>
      <c r="R10" s="470">
        <f t="shared" si="3"/>
        <v>152067865.8884902</v>
      </c>
    </row>
    <row r="11" spans="1:20" ht="47.25">
      <c r="A11" s="631" t="s">
        <v>830</v>
      </c>
      <c r="B11" s="468" t="str">
        <f>NhanCong_QG!B19</f>
        <v>1.2</v>
      </c>
      <c r="C11" s="598" t="str">
        <f>NhanCong_QG!C19</f>
        <v>Thu thập tài liệu, dữ liệu kiểm kê</v>
      </c>
      <c r="D11" s="468" t="str">
        <f>NhanCong_QG!D19</f>
        <v>Kỳ KK</v>
      </c>
      <c r="E11" s="468" t="str">
        <f>NhanCong_QG!E19</f>
        <v>Nhóm 2 
(1KTV4 + 1KS3)</v>
      </c>
      <c r="F11" s="579">
        <f>NhanCong_QG!F19</f>
        <v>10</v>
      </c>
      <c r="G11" s="470">
        <f>VLOOKUP(A11,NhanCong_QG!$A$4:$J$49,9,FALSE)</f>
        <v>3887238.076923077</v>
      </c>
      <c r="H11" s="471">
        <f>VLOOKUP(A11,Dcu_QG!$A$14:$G$70,7,FALSE)</f>
        <v>31406.418221948719</v>
      </c>
      <c r="I11" s="471">
        <f>VLOOKUP(A11,'Vat-lieu_QG'!$A$15:$F$69,6,FALSE)</f>
        <v>255612.90268800003</v>
      </c>
      <c r="J11" s="471">
        <f>VLOOKUP(A11,'Thiet-bi_QG'!$A$5:$K$121,10,FALSE)</f>
        <v>34000.1</v>
      </c>
      <c r="K11" s="471">
        <f>VLOOKUP(A11,'Thiet-bi_QG'!$A$5:$K$121,11,FALSE)</f>
        <v>62944.449599999993</v>
      </c>
      <c r="L11" s="472">
        <f t="shared" si="4"/>
        <v>4271201.9474330256</v>
      </c>
      <c r="M11" s="470">
        <f t="shared" si="5"/>
        <v>640680.29211495386</v>
      </c>
      <c r="N11" s="467">
        <f t="shared" si="6"/>
        <v>4911882.2395479791</v>
      </c>
      <c r="O11" s="467">
        <f t="shared" si="7"/>
        <v>4877882.1395479795</v>
      </c>
      <c r="P11" s="467"/>
      <c r="Q11" s="607">
        <f>Chitietbangbieu!Z31*8</f>
        <v>32</v>
      </c>
      <c r="R11" s="470">
        <f t="shared" si="3"/>
        <v>156092228.46553534</v>
      </c>
    </row>
    <row r="12" spans="1:20">
      <c r="A12" s="678">
        <v>3</v>
      </c>
      <c r="B12" s="463">
        <f>NhanCong_QG!B41</f>
        <v>1</v>
      </c>
      <c r="C12" s="466" t="str">
        <f>NhanCong_QG!C41</f>
        <v>Xây dựng dữ liệu không gian</v>
      </c>
      <c r="D12" s="463"/>
      <c r="E12" s="463"/>
      <c r="F12" s="463"/>
      <c r="G12" s="470"/>
      <c r="H12" s="471"/>
      <c r="I12" s="471"/>
      <c r="J12" s="471"/>
      <c r="K12" s="471"/>
      <c r="L12" s="472"/>
      <c r="M12" s="470"/>
      <c r="N12" s="467"/>
      <c r="O12" s="467"/>
      <c r="P12" s="467"/>
      <c r="Q12" s="607"/>
      <c r="R12" s="470"/>
    </row>
    <row r="13" spans="1:20" ht="31.5">
      <c r="A13" s="631" t="s">
        <v>771</v>
      </c>
      <c r="B13" s="468">
        <f>NhanCong_QG!B42</f>
        <v>1</v>
      </c>
      <c r="C13" s="469" t="str">
        <f>NhanCong_QG!C42</f>
        <v>Chuẩn hóa các lớp đối tượng không gian hiện trạng sử dụng đất</v>
      </c>
      <c r="D13" s="463"/>
      <c r="E13" s="463"/>
      <c r="F13" s="463"/>
      <c r="G13" s="470"/>
      <c r="H13" s="471"/>
      <c r="I13" s="471"/>
      <c r="J13" s="471"/>
      <c r="K13" s="471"/>
      <c r="L13" s="467"/>
      <c r="M13" s="470"/>
      <c r="N13" s="467"/>
      <c r="O13" s="473"/>
      <c r="P13" s="473"/>
      <c r="Q13" s="607"/>
      <c r="R13" s="470"/>
    </row>
    <row r="14" spans="1:20" ht="63">
      <c r="A14" s="631" t="s">
        <v>62</v>
      </c>
      <c r="B14" s="468" t="str">
        <f>NhanCong_QG!B43</f>
        <v>1.1</v>
      </c>
      <c r="C14" s="469" t="str">
        <f>NhanCong_QG!C43</f>
        <v>Lập bảng đối chiếu giữa lớp đối tượng không gian kiểm kê đất đai với nội dung tương ứng trong bản đồ hiện trạng sử dụng đất để tách, lọc các đối tượng từ nội dung bản đồ hiện trạng sử dụng đất</v>
      </c>
      <c r="D14" s="468" t="str">
        <f>NhanCong_QG!D43</f>
        <v>Lớp dữ liệu</v>
      </c>
      <c r="E14" s="468" t="str">
        <f>NhanCong_QG!E43</f>
        <v>1KS3</v>
      </c>
      <c r="F14" s="579">
        <f>NhanCong_QG!F43</f>
        <v>5</v>
      </c>
      <c r="G14" s="470">
        <f>VLOOKUP(A14,NhanCong_QG!$A$4:$J$49,9,FALSE)</f>
        <v>1067355.7692307692</v>
      </c>
      <c r="H14" s="471">
        <f>VLOOKUP(A14,Dcu_QG!$A$14:$G$70,7,FALSE)</f>
        <v>15699.123520384615</v>
      </c>
      <c r="I14" s="471">
        <f>VLOOKUP(A14,'Vat-lieu_QG'!$A$15:$F$69,6,FALSE)</f>
        <v>63923.007060000011</v>
      </c>
      <c r="J14" s="471">
        <f>VLOOKUP(A14,'Thiet-bi_QG'!$A$5:$K$121,10,FALSE)</f>
        <v>252199.9</v>
      </c>
      <c r="K14" s="471">
        <f>VLOOKUP(A14,'Thiet-bi_QG'!$A$5:$K$121,11,FALSE)</f>
        <v>31471.5504</v>
      </c>
      <c r="L14" s="467">
        <f>SUM(G14:K14)</f>
        <v>1430649.3502111537</v>
      </c>
      <c r="M14" s="470">
        <f>L14*0.15</f>
        <v>214597.40253167305</v>
      </c>
      <c r="N14" s="467">
        <f>L14+M14</f>
        <v>1645246.7527428267</v>
      </c>
      <c r="O14" s="467">
        <f>N14-J14</f>
        <v>1393046.8527428268</v>
      </c>
      <c r="P14" s="467"/>
      <c r="Q14" s="607">
        <f>32</f>
        <v>32</v>
      </c>
      <c r="R14" s="470">
        <f t="shared" si="3"/>
        <v>44577499.287770458</v>
      </c>
    </row>
    <row r="15" spans="1:20" s="455" customFormat="1" ht="31.5">
      <c r="A15" s="632" t="s">
        <v>63</v>
      </c>
      <c r="B15" s="468" t="str">
        <f>NhanCong_QG!B44</f>
        <v>1.2</v>
      </c>
      <c r="C15" s="469" t="str">
        <f>NhanCong_QG!C44</f>
        <v>Chuẩn hóa các lớp đối tượng bản đồ hiện trạng sử dụng đất</v>
      </c>
      <c r="D15" s="468" t="str">
        <f>NhanCong_QG!D44</f>
        <v>Lớp dữ liệu</v>
      </c>
      <c r="E15" s="468" t="str">
        <f>NhanCong_QG!E44</f>
        <v>1KS3</v>
      </c>
      <c r="F15" s="579">
        <f>NhanCong_QG!F44</f>
        <v>14</v>
      </c>
      <c r="G15" s="470">
        <f>VLOOKUP(A15,NhanCong_QG!$A$4:$J$49,9,FALSE)</f>
        <v>2988596.153846154</v>
      </c>
      <c r="H15" s="471">
        <f>VLOOKUP(A15,Dcu_QG!$A$14:$G$70,7,FALSE)</f>
        <v>43960.371981923076</v>
      </c>
      <c r="I15" s="471">
        <f>VLOOKUP(A15,'Vat-lieu_QG'!$A$15:$F$69,6,FALSE)</f>
        <v>178995.92706000002</v>
      </c>
      <c r="J15" s="471">
        <f>VLOOKUP(A15,'Thiet-bi_QG'!$A$5:$K$121,10,FALSE)</f>
        <v>706159.9</v>
      </c>
      <c r="K15" s="471">
        <f>VLOOKUP(A15,'Thiet-bi_QG'!$A$5:$K$121,11,FALSE)</f>
        <v>88121.150399999999</v>
      </c>
      <c r="L15" s="467">
        <f>SUM(G15:K15)</f>
        <v>4005833.5032880772</v>
      </c>
      <c r="M15" s="470">
        <f>L15*0.15</f>
        <v>600875.02549321158</v>
      </c>
      <c r="N15" s="467">
        <f>L15+M15</f>
        <v>4606708.5287812892</v>
      </c>
      <c r="O15" s="467">
        <f>N15-J15</f>
        <v>3900548.6287812893</v>
      </c>
      <c r="P15" s="467"/>
      <c r="Q15" s="607">
        <f t="shared" ref="Q15:Q20" si="8">$Q$11</f>
        <v>32</v>
      </c>
      <c r="R15" s="470">
        <f t="shared" si="3"/>
        <v>124817556.12100126</v>
      </c>
    </row>
    <row r="16" spans="1:20" s="455" customFormat="1" ht="47.25">
      <c r="A16" s="632" t="s">
        <v>881</v>
      </c>
      <c r="B16" s="468" t="str">
        <f>NhanCong_QG!B45</f>
        <v>1.3</v>
      </c>
      <c r="C16" s="469" t="str">
        <f>NhanCong_QG!C45</f>
        <v>Nhập bổ sung các thông tin thuộc tính cho đối tượng không gian bản đồ hiện trạng sử dụng đất còn thiếu (nếu có)</v>
      </c>
      <c r="D16" s="468" t="str">
        <f>NhanCong_QG!D45</f>
        <v>Lớp dữ liệu</v>
      </c>
      <c r="E16" s="468" t="str">
        <f>NhanCong_QG!E45</f>
        <v>1KS3</v>
      </c>
      <c r="F16" s="579">
        <f>NhanCong_QG!F45</f>
        <v>2</v>
      </c>
      <c r="G16" s="470">
        <f>VLOOKUP(A16,NhanCong_QG!$A$4:$J$49,9,FALSE)</f>
        <v>426942.30769230769</v>
      </c>
      <c r="H16" s="471">
        <f>VLOOKUP(A16,Dcu_QG!$A$14:$G$70,7,FALSE)</f>
        <v>6273.9971584615387</v>
      </c>
      <c r="I16" s="471">
        <f>VLOOKUP(A16,'Vat-lieu_QG'!$A$15:$F$69,6,FALSE)</f>
        <v>25546.188240000007</v>
      </c>
      <c r="J16" s="471">
        <f>VLOOKUP(A16,'Thiet-bi_QG'!$A$5:$K$121,10,FALSE)</f>
        <v>100879.9</v>
      </c>
      <c r="K16" s="471">
        <f>VLOOKUP(A16,'Thiet-bi_QG'!$A$5:$K$121,11,FALSE)</f>
        <v>12588.350399999999</v>
      </c>
      <c r="L16" s="467">
        <f>SUM(G16:K16)</f>
        <v>572230.74349076918</v>
      </c>
      <c r="M16" s="470">
        <f>L16*0.15</f>
        <v>85834.611523615371</v>
      </c>
      <c r="N16" s="467">
        <f>L16+M16</f>
        <v>658065.35501438449</v>
      </c>
      <c r="O16" s="467">
        <f>N16-J16</f>
        <v>557185.45501438447</v>
      </c>
      <c r="P16" s="467"/>
      <c r="Q16" s="607">
        <f t="shared" si="8"/>
        <v>32</v>
      </c>
      <c r="R16" s="470">
        <f t="shared" si="3"/>
        <v>17829934.560460303</v>
      </c>
    </row>
    <row r="17" spans="1:18" s="456" customFormat="1" ht="31.5">
      <c r="A17" s="633" t="s">
        <v>882</v>
      </c>
      <c r="B17" s="468" t="str">
        <f>NhanCong_QG!B46</f>
        <v>1.4</v>
      </c>
      <c r="C17" s="469" t="str">
        <f>NhanCong_QG!C46</f>
        <v>Rà soát chuẩn hóa thông tin thuộc tính cho từng đối tượng không gian hiện trạng sử dụng đất</v>
      </c>
      <c r="D17" s="468" t="str">
        <f>NhanCong_QG!D46</f>
        <v>Lớp dữ liệu</v>
      </c>
      <c r="E17" s="468" t="str">
        <f>NhanCong_QG!E46</f>
        <v>1KS3</v>
      </c>
      <c r="F17" s="579">
        <f>NhanCong_QG!F46</f>
        <v>14</v>
      </c>
      <c r="G17" s="470">
        <f>VLOOKUP(A17,NhanCong_QG!$A$4:$J$49,9,FALSE)</f>
        <v>2988596.153846154</v>
      </c>
      <c r="H17" s="471">
        <f>VLOOKUP(A17,Dcu_QG!$A$14:$G$70,7,FALSE)</f>
        <v>43960.371981923076</v>
      </c>
      <c r="I17" s="471">
        <f>VLOOKUP(A17,'Vat-lieu_QG'!$A$15:$F$69,6,FALSE)</f>
        <v>178995.92706000002</v>
      </c>
      <c r="J17" s="471">
        <f>VLOOKUP(A17,'Thiet-bi_QG'!$A$5:$K$121,10,FALSE)</f>
        <v>706159.9</v>
      </c>
      <c r="K17" s="471">
        <f>VLOOKUP(A17,'Thiet-bi_QG'!$A$5:$K$121,11,FALSE)</f>
        <v>88121.150399999999</v>
      </c>
      <c r="L17" s="474">
        <f>SUM(G17:K17)</f>
        <v>4005833.5032880772</v>
      </c>
      <c r="M17" s="475">
        <f>L17*0.15</f>
        <v>600875.02549321158</v>
      </c>
      <c r="N17" s="467">
        <f>L17+M17</f>
        <v>4606708.5287812892</v>
      </c>
      <c r="O17" s="467">
        <f>N17-J17</f>
        <v>3900548.6287812893</v>
      </c>
      <c r="P17" s="467"/>
      <c r="Q17" s="607">
        <f t="shared" si="8"/>
        <v>32</v>
      </c>
      <c r="R17" s="470">
        <f t="shared" si="3"/>
        <v>124817556.12100126</v>
      </c>
    </row>
    <row r="18" spans="1:18" ht="31.5">
      <c r="A18" s="631" t="s">
        <v>774</v>
      </c>
      <c r="B18" s="468">
        <f>NhanCong_QG!B47</f>
        <v>2</v>
      </c>
      <c r="C18" s="469" t="str">
        <f>NhanCong_QG!C47</f>
        <v>Chuyển đổi và tích hợp dữ liệu không gian hiện trạng sử dụng đất</v>
      </c>
      <c r="D18" s="468"/>
      <c r="E18" s="468"/>
      <c r="F18" s="468"/>
      <c r="G18" s="470"/>
      <c r="H18" s="471"/>
      <c r="I18" s="471"/>
      <c r="J18" s="471"/>
      <c r="K18" s="471"/>
      <c r="L18" s="467"/>
      <c r="M18" s="470"/>
      <c r="N18" s="467"/>
      <c r="O18" s="467"/>
      <c r="P18" s="467"/>
      <c r="Q18" s="607">
        <f t="shared" si="8"/>
        <v>32</v>
      </c>
      <c r="R18" s="470"/>
    </row>
    <row r="19" spans="1:18" ht="31.5">
      <c r="A19" s="631" t="s">
        <v>67</v>
      </c>
      <c r="B19" s="468" t="str">
        <f>NhanCong_QG!B48</f>
        <v>2.1</v>
      </c>
      <c r="C19" s="469" t="str">
        <f>NhanCong_QG!C48</f>
        <v>Chuyển đổi các lớp dữ liệu không gian hiện trạng sử dụng đất từ tệp (File) bản đồ số vào cơ sở dữ liệu</v>
      </c>
      <c r="D19" s="468" t="str">
        <f>NhanCong_QG!D48</f>
        <v>Lớp dữ liệu</v>
      </c>
      <c r="E19" s="468" t="str">
        <f>NhanCong_QG!E48</f>
        <v>1KS3</v>
      </c>
      <c r="F19" s="579">
        <f>NhanCong_QG!F48</f>
        <v>4</v>
      </c>
      <c r="G19" s="470">
        <f>VLOOKUP(A19,NhanCong_QG!$A$4:$J$49,9,FALSE)</f>
        <v>853884.61538461538</v>
      </c>
      <c r="H19" s="471">
        <f>VLOOKUP(A19,Dcu_QG!$A$14:$G$70,7,FALSE)</f>
        <v>12562.124941153847</v>
      </c>
      <c r="I19" s="471">
        <f>VLOOKUP(A19,'Vat-lieu_QG'!$A$15:$F$69,6,FALSE)</f>
        <v>51149.912940000009</v>
      </c>
      <c r="J19" s="471">
        <f>VLOOKUP(A19,'Thiet-bi_QG'!$A$5:$K$121,10,FALSE)</f>
        <v>232040.1</v>
      </c>
      <c r="K19" s="471">
        <f>VLOOKUP(A19,'Thiet-bi_QG'!$A$5:$K$121,11,FALSE)</f>
        <v>25178.049600000002</v>
      </c>
      <c r="L19" s="467">
        <f>SUM(G19:K19)</f>
        <v>1174814.8028657692</v>
      </c>
      <c r="M19" s="470">
        <f t="shared" ref="M19" si="9">L19*0.15</f>
        <v>176222.22042986538</v>
      </c>
      <c r="N19" s="467">
        <f t="shared" ref="N19" si="10">L19+M19</f>
        <v>1351037.0232956347</v>
      </c>
      <c r="O19" s="467">
        <f t="shared" ref="O19" si="11">N19-J19</f>
        <v>1118996.9232956346</v>
      </c>
      <c r="P19" s="467"/>
      <c r="Q19" s="607">
        <f t="shared" si="8"/>
        <v>32</v>
      </c>
      <c r="R19" s="470">
        <f t="shared" si="3"/>
        <v>35807901.545460306</v>
      </c>
    </row>
    <row r="20" spans="1:18" ht="31.5">
      <c r="A20" s="631" t="s">
        <v>68</v>
      </c>
      <c r="B20" s="468" t="str">
        <f>NhanCong_QG!B49</f>
        <v>2.2</v>
      </c>
      <c r="C20" s="469" t="str">
        <f>NhanCong_QG!C49</f>
        <v>Rà soát dữ liệu không gian hiện trạng sử dụng đất để xử lý các lỗi dọc biên giữa các tỉnh, các vùng</v>
      </c>
      <c r="D20" s="468" t="str">
        <f>NhanCong_QG!D49</f>
        <v>Lớp dữ liệu</v>
      </c>
      <c r="E20" s="468" t="str">
        <f>NhanCong_QG!E49</f>
        <v>1KS3</v>
      </c>
      <c r="F20" s="579">
        <f>NhanCong_QG!F49</f>
        <v>6</v>
      </c>
      <c r="G20" s="470">
        <f>VLOOKUP(A20,NhanCong_QG!$A$4:$J$49,9,FALSE)</f>
        <v>1280826.923076923</v>
      </c>
      <c r="H20" s="471">
        <f>VLOOKUP(A20,Dcu_QG!$A$14:$G$70,7,FALSE)</f>
        <v>18850.252723846152</v>
      </c>
      <c r="I20" s="471">
        <f>VLOOKUP(A20,'Vat-lieu_QG'!$A$15:$F$69,6,FALSE)</f>
        <v>76753.637640000001</v>
      </c>
      <c r="J20" s="471">
        <f>VLOOKUP(A20,'Thiet-bi_QG'!$A$5:$K$121,10,FALSE)</f>
        <v>65820</v>
      </c>
      <c r="K20" s="471">
        <f>VLOOKUP(A20,'Thiet-bi_QG'!$A$5:$K$121,11,FALSE)</f>
        <v>37766.399999999994</v>
      </c>
      <c r="L20" s="467">
        <f>SUM(G20:K20)</f>
        <v>1480017.2134407691</v>
      </c>
      <c r="M20" s="470">
        <f t="shared" ref="M20" si="12">L20*0.15</f>
        <v>222002.58201611537</v>
      </c>
      <c r="N20" s="467">
        <f t="shared" ref="N20" si="13">L20+M20</f>
        <v>1702019.7954568844</v>
      </c>
      <c r="O20" s="467">
        <f t="shared" ref="O20" si="14">N20-J20</f>
        <v>1636199.7954568844</v>
      </c>
      <c r="P20" s="467"/>
      <c r="Q20" s="607">
        <f t="shared" si="8"/>
        <v>32</v>
      </c>
      <c r="R20" s="470">
        <f t="shared" si="3"/>
        <v>52358393.454620302</v>
      </c>
    </row>
    <row r="21" spans="1:18">
      <c r="A21" s="678">
        <v>4</v>
      </c>
      <c r="B21" s="463">
        <f>NhanCong_QG!B20</f>
        <v>2</v>
      </c>
      <c r="C21" s="466" t="str">
        <f>NhanCong_QG!C20</f>
        <v>Quét giấy tờ pháp lý và xử lý tập tin</v>
      </c>
      <c r="D21" s="468"/>
      <c r="E21" s="468"/>
      <c r="F21" s="468"/>
      <c r="G21" s="470"/>
      <c r="H21" s="471"/>
      <c r="I21" s="471"/>
      <c r="J21" s="471"/>
      <c r="K21" s="471"/>
      <c r="L21" s="467"/>
      <c r="M21" s="470"/>
      <c r="N21" s="467"/>
      <c r="O21" s="467"/>
      <c r="P21" s="467"/>
      <c r="Q21" s="607"/>
      <c r="R21" s="470"/>
    </row>
    <row r="22" spans="1:18" ht="78.75">
      <c r="A22" s="631" t="s">
        <v>553</v>
      </c>
      <c r="B22" s="468" t="str">
        <f>NhanCong_QG!B21</f>
        <v>2.1</v>
      </c>
      <c r="C22" s="469" t="str">
        <f>NhanCong_QG!C21</f>
        <v>Quét các giấy tờ đưa vào cơ sở dữ liệu kiểm kê đất đai. Chế độ quét của thiết bị được thiết lập theo hệ màu RGB với độ phân giải tối thiểu là 150 DPI. Các tài liệu quét bao gồm: các báo cáo, biểu, bảng số liệu kiểm kê đất đai cấp vùng và cả nước</v>
      </c>
      <c r="D22" s="468"/>
      <c r="E22" s="468"/>
      <c r="F22" s="468"/>
      <c r="G22" s="470"/>
      <c r="H22" s="471"/>
      <c r="I22" s="471"/>
      <c r="J22" s="471"/>
      <c r="K22" s="471"/>
      <c r="L22" s="467"/>
      <c r="M22" s="470"/>
      <c r="N22" s="467"/>
      <c r="O22" s="467"/>
      <c r="P22" s="467"/>
      <c r="Q22" s="607"/>
      <c r="R22" s="470"/>
    </row>
    <row r="23" spans="1:18">
      <c r="A23" s="631" t="s">
        <v>69</v>
      </c>
      <c r="B23" s="468" t="str">
        <f>NhanCong_QG!B22</f>
        <v>1.1.1</v>
      </c>
      <c r="C23" s="469" t="str">
        <f>NhanCong_QG!C22</f>
        <v>Trang A3</v>
      </c>
      <c r="D23" s="468" t="str">
        <f>NhanCong_QG!D22</f>
        <v>Trang A3</v>
      </c>
      <c r="E23" s="468" t="s">
        <v>785</v>
      </c>
      <c r="F23" s="468" t="e">
        <f>DonGia_Huyen!#REF!</f>
        <v>#REF!</v>
      </c>
      <c r="G23" s="679">
        <v>1691.7207692307693</v>
      </c>
      <c r="H23" s="680">
        <v>68.658787692307698</v>
      </c>
      <c r="I23" s="680">
        <v>150.38461538461539</v>
      </c>
      <c r="J23" s="471">
        <v>427.93008000000003</v>
      </c>
      <c r="K23" s="681">
        <v>251.73248000000004</v>
      </c>
      <c r="L23" s="467">
        <f>SUM(G23:K23)</f>
        <v>2590.4267323076924</v>
      </c>
      <c r="M23" s="470">
        <f t="shared" ref="M23:M25" si="15">L23*0.15</f>
        <v>388.56400984615385</v>
      </c>
      <c r="N23" s="467">
        <f t="shared" ref="N23:N25" si="16">L23+M23</f>
        <v>2978.9907421538464</v>
      </c>
      <c r="O23" s="467">
        <f t="shared" ref="O23:O25" si="17">N23-J23</f>
        <v>2551.0606621538464</v>
      </c>
      <c r="P23" s="467"/>
      <c r="Q23" s="607">
        <f>8*(Chitietbangbieu!T36+Chitietbangbieu!X36)</f>
        <v>1712</v>
      </c>
      <c r="R23" s="470">
        <f t="shared" si="3"/>
        <v>4367415.8536073845</v>
      </c>
    </row>
    <row r="24" spans="1:18">
      <c r="A24" s="631" t="s">
        <v>70</v>
      </c>
      <c r="B24" s="468" t="str">
        <f>NhanCong_QG!B23</f>
        <v>1.1.2</v>
      </c>
      <c r="C24" s="469" t="str">
        <f>NhanCong_QG!C23</f>
        <v>Trang A4</v>
      </c>
      <c r="D24" s="468" t="str">
        <f>NhanCong_QG!D23</f>
        <v>Trang A4</v>
      </c>
      <c r="E24" s="468" t="s">
        <v>785</v>
      </c>
      <c r="F24" s="468" t="e">
        <f>DonGia_Huyen!#REF!</f>
        <v>#REF!</v>
      </c>
      <c r="G24" s="679">
        <v>1127.8138461538463</v>
      </c>
      <c r="H24" s="680">
        <v>27.561867692307693</v>
      </c>
      <c r="I24" s="680">
        <v>150.38461538461539</v>
      </c>
      <c r="J24" s="471">
        <v>61.145066666666665</v>
      </c>
      <c r="K24" s="681">
        <v>149.00053333333335</v>
      </c>
      <c r="L24" s="467">
        <f>SUM(G24:K24)</f>
        <v>1515.9059292307695</v>
      </c>
      <c r="M24" s="470">
        <f t="shared" si="15"/>
        <v>227.38588938461541</v>
      </c>
      <c r="N24" s="467">
        <f t="shared" si="16"/>
        <v>1743.291818615385</v>
      </c>
      <c r="O24" s="467">
        <f t="shared" si="17"/>
        <v>1682.1467519487182</v>
      </c>
      <c r="P24" s="467"/>
      <c r="Q24" s="607">
        <f>(Chitietbangbieu!T35+Chitietbangbieu!X35)*8</f>
        <v>8000</v>
      </c>
      <c r="R24" s="470">
        <f t="shared" si="3"/>
        <v>13457174.015589746</v>
      </c>
    </row>
    <row r="25" spans="1:18" ht="94.5">
      <c r="A25" s="631" t="s">
        <v>864</v>
      </c>
      <c r="B25" s="468" t="str">
        <f>NhanCong_QG!B24</f>
        <v>2.2</v>
      </c>
      <c r="C25" s="469" t="str">
        <f>NhanCong_QG!C24</f>
        <v>Xử lý các tệp tin quét hình thành tệp (File) hồ sơ quét tài liệu kiểm kê đất đai dạng số, lưu trữ dưới khuôn dạng tệp tin PDF; chất lượng hình ảnh số phải sắc nét và rõ ràng, các hình ảnh được sắp xếp theo cùng một hướng, hình ảnh phải được quét vuông góc, không được cong vênh</v>
      </c>
      <c r="D25" s="468" t="s">
        <v>937</v>
      </c>
      <c r="E25" s="468" t="s">
        <v>785</v>
      </c>
      <c r="F25" s="468" t="e">
        <f>DonGia_Huyen!#REF!</f>
        <v>#REF!</v>
      </c>
      <c r="G25" s="679">
        <v>563.90692307692314</v>
      </c>
      <c r="H25" s="680">
        <v>48.807323076923083</v>
      </c>
      <c r="I25" s="680">
        <v>125.32051282051283</v>
      </c>
      <c r="J25" s="471">
        <v>16.172533333333334</v>
      </c>
      <c r="K25" s="681">
        <v>27.447466666666671</v>
      </c>
      <c r="L25" s="467">
        <f>SUM(G25:K25)</f>
        <v>781.65475897435908</v>
      </c>
      <c r="M25" s="470">
        <f t="shared" si="15"/>
        <v>117.24821384615386</v>
      </c>
      <c r="N25" s="467">
        <f t="shared" si="16"/>
        <v>898.9029728205129</v>
      </c>
      <c r="O25" s="467">
        <f t="shared" si="17"/>
        <v>882.73043948717952</v>
      </c>
      <c r="P25" s="467"/>
      <c r="Q25" s="607">
        <f>Q24+Q23</f>
        <v>9712</v>
      </c>
      <c r="R25" s="470">
        <f t="shared" si="3"/>
        <v>8573078.0282994881</v>
      </c>
    </row>
    <row r="26" spans="1:18" ht="31.5">
      <c r="A26" s="631" t="s">
        <v>883</v>
      </c>
      <c r="B26" s="468" t="str">
        <f>NhanCong_QG!B25</f>
        <v/>
      </c>
      <c r="C26" s="469" t="str">
        <f>NhanCong_QG!C25</f>
        <v>Tạo danh mục tra cứu hồ sơ quét trong cơ sở dữ liệu kiểm kê đất đai</v>
      </c>
      <c r="D26" s="468" t="str">
        <f>NhanCong_QG!D25</f>
        <v>Năm TK hoặc Kỳ KK</v>
      </c>
      <c r="E26" s="468" t="str">
        <f>NhanCong_QG!E25</f>
        <v>1KS1</v>
      </c>
      <c r="F26" s="579">
        <f>NhanCong_QG!F25</f>
        <v>5</v>
      </c>
      <c r="G26" s="470">
        <f>VLOOKUP(A26,NhanCong_QG!$A$4:$J$49,9,FALSE)</f>
        <v>1667596.5384615385</v>
      </c>
      <c r="H26" s="471">
        <f>VLOOKUP(A26,Dcu_QG!$A$14:$G$70,7,FALSE)</f>
        <v>15703.20911097436</v>
      </c>
      <c r="I26" s="471">
        <f>VLOOKUP(A26,'Vat-lieu_QG'!$A$15:$F$69,6,FALSE)</f>
        <v>163.64462400000002</v>
      </c>
      <c r="J26" s="471">
        <f>VLOOKUP(A26,'Thiet-bi_QG'!$A$5:$K$121,10,FALSE)</f>
        <v>41176.1</v>
      </c>
      <c r="K26" s="471">
        <f>VLOOKUP(A26,'Thiet-bi_QG'!$A$5:$K$121,11,FALSE)</f>
        <v>31471.5504</v>
      </c>
      <c r="L26" s="467">
        <f>SUM(G26:K26)</f>
        <v>1756111.0425965129</v>
      </c>
      <c r="M26" s="470">
        <f t="shared" ref="M26:M38" si="18">L26*0.15</f>
        <v>263416.65638947691</v>
      </c>
      <c r="N26" s="467">
        <f t="shared" ref="N26:N38" si="19">L26+M26</f>
        <v>2019527.6989859899</v>
      </c>
      <c r="O26" s="467">
        <f t="shared" ref="O26:O38" si="20">N26-J26</f>
        <v>1978351.5989859898</v>
      </c>
      <c r="P26" s="467"/>
      <c r="Q26" s="607">
        <f>$Q$10+$Q$11</f>
        <v>144</v>
      </c>
      <c r="R26" s="470">
        <f t="shared" si="3"/>
        <v>284882630.25398254</v>
      </c>
    </row>
    <row r="27" spans="1:18" ht="31.5">
      <c r="A27" s="678">
        <v>5</v>
      </c>
      <c r="B27" s="463">
        <f>NhanCong_QG!B26</f>
        <v>3</v>
      </c>
      <c r="C27" s="466" t="str">
        <f>NhanCong_QG!C26</f>
        <v>Xây dựng dữ liệu thuộc tính thống kê, kiểm kê đất đai</v>
      </c>
      <c r="D27" s="468"/>
      <c r="E27" s="468"/>
      <c r="F27" s="468"/>
      <c r="G27" s="470"/>
      <c r="H27" s="471"/>
      <c r="I27" s="471"/>
      <c r="J27" s="471"/>
      <c r="K27" s="471"/>
      <c r="L27" s="467"/>
      <c r="M27" s="470"/>
      <c r="N27" s="467"/>
      <c r="O27" s="467"/>
      <c r="P27" s="467"/>
      <c r="Q27" s="607"/>
      <c r="R27" s="470"/>
    </row>
    <row r="28" spans="1:18" ht="31.5">
      <c r="A28" s="631" t="s">
        <v>867</v>
      </c>
      <c r="B28" s="468" t="str">
        <f>NhanCong_QG!B27</f>
        <v>3.1</v>
      </c>
      <c r="C28" s="469" t="str">
        <f>NhanCong_QG!C27</f>
        <v>Đối với tài liệu, số liệu là bảng, biểu dạng số thì thực hiện như sau:</v>
      </c>
      <c r="D28" s="468"/>
      <c r="E28" s="468"/>
      <c r="F28" s="468"/>
      <c r="G28" s="470"/>
      <c r="H28" s="471"/>
      <c r="I28" s="471"/>
      <c r="J28" s="471"/>
      <c r="K28" s="471"/>
      <c r="L28" s="467"/>
      <c r="M28" s="470"/>
      <c r="N28" s="467"/>
      <c r="O28" s="467"/>
      <c r="P28" s="467"/>
      <c r="Q28" s="607"/>
      <c r="R28" s="470"/>
    </row>
    <row r="29" spans="1:18" ht="31.5">
      <c r="A29" s="631" t="s">
        <v>693</v>
      </c>
      <c r="B29" s="468" t="str">
        <f>NhanCong_QG!B28</f>
        <v>3.1.1</v>
      </c>
      <c r="C29" s="469" t="str">
        <f>NhanCong_QG!C28</f>
        <v>Lập mô hình chuyển đổi cơ sở dữ liệu thống kê, kiểm kê đất đai</v>
      </c>
      <c r="D29" s="468" t="str">
        <f>NhanCong_QG!D28</f>
        <v>Năm TK hoặc Kỳ KK</v>
      </c>
      <c r="E29" s="468" t="str">
        <f>NhanCong_QG!E28</f>
        <v>1KS3</v>
      </c>
      <c r="F29" s="579">
        <f>NhanCong_QG!F28</f>
        <v>5</v>
      </c>
      <c r="G29" s="470">
        <f>VLOOKUP(A29,NhanCong_QG!$A$4:$J$49,9,FALSE)</f>
        <v>1067355.7692307692</v>
      </c>
      <c r="H29" s="471">
        <f>VLOOKUP(A29,Dcu_QG!$A$14:$G$70,7,FALSE)</f>
        <v>15703.20911097436</v>
      </c>
      <c r="I29" s="471">
        <f>VLOOKUP(A29,'Vat-lieu_QG'!$A$15:$F$69,6,FALSE)</f>
        <v>63903.225672000008</v>
      </c>
      <c r="J29" s="471">
        <f>VLOOKUP(A29,'Thiet-bi_QG'!$A$5:$K$121,10,FALSE)</f>
        <v>16999.900000000001</v>
      </c>
      <c r="K29" s="471">
        <f>VLOOKUP(A29,'Thiet-bi_QG'!$A$5:$K$121,11,FALSE)</f>
        <v>31471.5504</v>
      </c>
      <c r="L29" s="467">
        <f>SUM(G29:K29)</f>
        <v>1195433.6544137436</v>
      </c>
      <c r="M29" s="470">
        <f t="shared" ref="M29" si="21">L29*0.15</f>
        <v>179315.04816206155</v>
      </c>
      <c r="N29" s="467">
        <f t="shared" ref="N29" si="22">L29+M29</f>
        <v>1374748.7025758051</v>
      </c>
      <c r="O29" s="467">
        <f t="shared" ref="O29" si="23">N29-J29</f>
        <v>1357748.8025758052</v>
      </c>
      <c r="P29" s="467"/>
      <c r="Q29" s="607">
        <f>Q26</f>
        <v>144</v>
      </c>
      <c r="R29" s="470">
        <f t="shared" si="3"/>
        <v>195515827.57091594</v>
      </c>
    </row>
    <row r="30" spans="1:18" ht="31.5">
      <c r="A30" s="631" t="s">
        <v>571</v>
      </c>
      <c r="B30" s="468" t="str">
        <f>NhanCong_QG!B29</f>
        <v>3.1.2</v>
      </c>
      <c r="C30" s="469" t="str">
        <f>NhanCong_QG!C29</f>
        <v>Chuyển đổi vào cơ sở dữ liệu thống kê,  kiểm kê đất đai</v>
      </c>
      <c r="D30" s="468" t="str">
        <f>NhanCong_QG!D29</f>
        <v>Năm TK hoặc Kỳ KK</v>
      </c>
      <c r="E30" s="468" t="str">
        <f>NhanCong_QG!E29</f>
        <v>1KS2</v>
      </c>
      <c r="F30" s="579">
        <f>NhanCong_QG!F29</f>
        <v>2</v>
      </c>
      <c r="G30" s="470">
        <f>VLOOKUP(A30,NhanCong_QG!$A$4:$J$49,9,FALSE)</f>
        <v>760461.61538461538</v>
      </c>
      <c r="H30" s="471">
        <f>VLOOKUP(A30,Dcu_QG!$A$14:$G$70,7,FALSE)</f>
        <v>6287.1871064615389</v>
      </c>
      <c r="I30" s="471">
        <f>VLOOKUP(A30,'Vat-lieu_QG'!$A$15:$F$69,6,FALSE)</f>
        <v>51138.945000000007</v>
      </c>
      <c r="J30" s="471">
        <f>VLOOKUP(A30,'Thiet-bi_QG'!$A$5:$K$121,10,FALSE)</f>
        <v>16470.38</v>
      </c>
      <c r="K30" s="471">
        <f>VLOOKUP(A30,'Thiet-bi_QG'!$A$5:$K$121,11,FALSE)</f>
        <v>12588.350399999999</v>
      </c>
      <c r="L30" s="467">
        <f>SUM(G30:K30)</f>
        <v>846946.47789107682</v>
      </c>
      <c r="M30" s="470">
        <f t="shared" ref="M30:M31" si="24">L30*0.15</f>
        <v>127041.97168366151</v>
      </c>
      <c r="N30" s="467">
        <f t="shared" ref="N30:N31" si="25">L30+M30</f>
        <v>973988.44957473828</v>
      </c>
      <c r="O30" s="467">
        <f t="shared" ref="O30:O31" si="26">N30-J30</f>
        <v>957518.06957473827</v>
      </c>
      <c r="P30" s="467"/>
      <c r="Q30" s="607">
        <f>Q26</f>
        <v>144</v>
      </c>
      <c r="R30" s="470">
        <f t="shared" si="3"/>
        <v>137882602.01876232</v>
      </c>
    </row>
    <row r="31" spans="1:18" ht="47.25">
      <c r="A31" s="631" t="s">
        <v>868</v>
      </c>
      <c r="B31" s="468" t="str">
        <f>NhanCong_QG!B30</f>
        <v>3.2</v>
      </c>
      <c r="C31" s="469" t="str">
        <f>NhanCong_QG!C30</f>
        <v>Đối với tài liệu, số liệu là báo cáo dạng số thì tạo danh mục tra cứu trong cơ sở dữ liệu thống kê, kiểm kê đất đai</v>
      </c>
      <c r="D31" s="468" t="str">
        <f>NhanCong_QG!D30</f>
        <v>Năm TK hoặc Kỳ KK</v>
      </c>
      <c r="E31" s="468" t="str">
        <f>NhanCong_QG!E30</f>
        <v>1KS2</v>
      </c>
      <c r="F31" s="579">
        <f>NhanCong_QG!F30</f>
        <v>5</v>
      </c>
      <c r="G31" s="470">
        <f>VLOOKUP(A31,NhanCong_QG!$A$4:$J$49,9,FALSE)</f>
        <v>950577.01923076925</v>
      </c>
      <c r="H31" s="471">
        <f>VLOOKUP(A31,Dcu_QG!$A$14:$G$70,7,FALSE)</f>
        <v>15703.20911097436</v>
      </c>
      <c r="I31" s="471">
        <f>VLOOKUP(A31,'Vat-lieu_QG'!$A$15:$F$69,6,FALSE)</f>
        <v>63903.225672000008</v>
      </c>
      <c r="J31" s="471">
        <f>VLOOKUP(A31,'Thiet-bi_QG'!$A$5:$K$121,10,FALSE)</f>
        <v>41176.1</v>
      </c>
      <c r="K31" s="471">
        <f>VLOOKUP(A31,'Thiet-bi_QG'!$A$5:$K$121,11,FALSE)</f>
        <v>31471.5504</v>
      </c>
      <c r="L31" s="467">
        <f>SUM(G31:K31)</f>
        <v>1102831.1044137436</v>
      </c>
      <c r="M31" s="470">
        <f t="shared" si="24"/>
        <v>165424.66566206154</v>
      </c>
      <c r="N31" s="467">
        <f t="shared" si="25"/>
        <v>1268255.770075805</v>
      </c>
      <c r="O31" s="467">
        <f t="shared" si="26"/>
        <v>1227079.6700758049</v>
      </c>
      <c r="P31" s="467"/>
      <c r="Q31" s="607">
        <f>Q30</f>
        <v>144</v>
      </c>
      <c r="R31" s="470">
        <f t="shared" si="3"/>
        <v>176699472.49091589</v>
      </c>
    </row>
    <row r="32" spans="1:18">
      <c r="A32" s="678">
        <v>6</v>
      </c>
      <c r="B32" s="463">
        <f>NhanCong_QG!B31</f>
        <v>4</v>
      </c>
      <c r="C32" s="466" t="str">
        <f>NhanCong_QG!C31</f>
        <v>Đối soát, hoàn thiện dữ liệu</v>
      </c>
      <c r="D32" s="468"/>
      <c r="E32" s="468"/>
      <c r="F32" s="468"/>
      <c r="G32" s="470"/>
      <c r="H32" s="471"/>
      <c r="I32" s="471"/>
      <c r="J32" s="471"/>
      <c r="K32" s="471"/>
      <c r="L32" s="467"/>
      <c r="M32" s="470"/>
      <c r="N32" s="467"/>
      <c r="O32" s="467"/>
      <c r="P32" s="467"/>
      <c r="Q32" s="607"/>
      <c r="R32" s="470"/>
    </row>
    <row r="33" spans="1:18" ht="31.5">
      <c r="A33" s="631" t="s">
        <v>870</v>
      </c>
      <c r="B33" s="468" t="str">
        <f>NhanCong_QG!B32</f>
        <v>4.1</v>
      </c>
      <c r="C33" s="469" t="str">
        <f>NhanCong_QG!C32</f>
        <v>Thực hiện đối soát, hoàn thiện dữ liệu, tạo liên kết dữ liệu</v>
      </c>
      <c r="D33" s="468"/>
      <c r="E33" s="468"/>
      <c r="F33" s="579"/>
      <c r="G33" s="470"/>
      <c r="H33" s="471"/>
      <c r="I33" s="471"/>
      <c r="J33" s="471"/>
      <c r="K33" s="471"/>
      <c r="L33" s="467"/>
      <c r="M33" s="470"/>
      <c r="N33" s="467"/>
      <c r="O33" s="467"/>
      <c r="P33" s="467"/>
      <c r="Q33" s="607"/>
      <c r="R33" s="470"/>
    </row>
    <row r="34" spans="1:18" ht="31.5">
      <c r="A34" s="631" t="s">
        <v>871</v>
      </c>
      <c r="B34" s="468" t="str">
        <f>NhanCong_QG!B33</f>
        <v>4.1.1</v>
      </c>
      <c r="C34" s="468" t="str">
        <f>NhanCong_QG!C33</f>
        <v>Thực hiện đối soát, hoàn thiện dữ liệu, tạo liên kết dữ liệu thống kê, kiểm kê đất đai</v>
      </c>
      <c r="D34" s="468" t="str">
        <f>NhanCong_QG!D33</f>
        <v>Năm TK hoặc Kỳ KK</v>
      </c>
      <c r="E34" s="468" t="str">
        <f>NhanCong_QG!E33</f>
        <v>1KS3</v>
      </c>
      <c r="F34" s="579">
        <f>NhanCong_QG!F33</f>
        <v>5</v>
      </c>
      <c r="G34" s="470">
        <f>VLOOKUP(A34,NhanCong_QG!$A$4:$J$49,9,FALSE)</f>
        <v>1067355.7692307692</v>
      </c>
      <c r="H34" s="471">
        <f>VLOOKUP(A34,Dcu_QG!$A$14:$G$70,7,FALSE)</f>
        <v>15688.450455794873</v>
      </c>
      <c r="I34" s="471">
        <f>VLOOKUP(A34,'Vat-lieu_QG'!$A$15:$F$69,6,FALSE)</f>
        <v>63903.225672000008</v>
      </c>
      <c r="J34" s="471">
        <f>VLOOKUP(A34,'Thiet-bi_QG'!$A$5:$K$121,10,FALSE)</f>
        <v>16999.900000000001</v>
      </c>
      <c r="K34" s="471">
        <f>VLOOKUP(A34,'Thiet-bi_QG'!$A$5:$K$121,11,FALSE)</f>
        <v>31471.5504</v>
      </c>
      <c r="L34" s="467">
        <f t="shared" ref="L34:L35" si="27">SUM(G34:K34)</f>
        <v>1195418.8957585641</v>
      </c>
      <c r="M34" s="470">
        <f t="shared" ref="M34:M35" si="28">L34*0.15</f>
        <v>179312.83436378461</v>
      </c>
      <c r="N34" s="467">
        <f t="shared" ref="N34:N35" si="29">L34+M34</f>
        <v>1374731.7301223488</v>
      </c>
      <c r="O34" s="467">
        <f t="shared" ref="O34:O35" si="30">N34-J34</f>
        <v>1357731.8301223489</v>
      </c>
      <c r="P34" s="467"/>
      <c r="Q34" s="607">
        <f>Q10</f>
        <v>112</v>
      </c>
      <c r="R34" s="470">
        <f t="shared" si="3"/>
        <v>152065964.97370309</v>
      </c>
    </row>
    <row r="35" spans="1:18" ht="31.5">
      <c r="A35" s="631" t="s">
        <v>872</v>
      </c>
      <c r="B35" s="468" t="str">
        <f>NhanCong_QG!B34</f>
        <v>4.1.2</v>
      </c>
      <c r="C35" s="468" t="str">
        <f>NhanCong_QG!C34</f>
        <v>Thực hiện đối soát, hoàn thiện dữ liệu, tạo liên kết dữ liệu thống kê, kiểm kê đất đai</v>
      </c>
      <c r="D35" s="468" t="str">
        <f>NhanCong_QG!D34</f>
        <v>Năm TK hoặc Kỳ KK</v>
      </c>
      <c r="E35" s="468" t="str">
        <f>NhanCong_QG!E34</f>
        <v>Nhóm 2 
(1KTV4+1KS3)</v>
      </c>
      <c r="F35" s="579">
        <f>NhanCong_QG!F34</f>
        <v>10</v>
      </c>
      <c r="G35" s="470">
        <f>VLOOKUP(A35,NhanCong_QG!$A$4:$J$49,9,FALSE)</f>
        <v>3887238.076923077</v>
      </c>
      <c r="H35" s="471">
        <f>VLOOKUP(A35,Dcu_QG!$A$14:$G$70,7,FALSE)</f>
        <v>31391.659566769235</v>
      </c>
      <c r="I35" s="471">
        <f>VLOOKUP(A35,'Vat-lieu_QG'!$A$15:$F$69,6,FALSE)</f>
        <v>255694.72500000003</v>
      </c>
      <c r="J35" s="471">
        <f>VLOOKUP(A35,'Thiet-bi_QG'!$A$5:$K$121,10,FALSE)</f>
        <v>34000.1</v>
      </c>
      <c r="K35" s="471">
        <f>VLOOKUP(A35,'Thiet-bi_QG'!$A$5:$K$121,11,FALSE)</f>
        <v>62944.449599999993</v>
      </c>
      <c r="L35" s="467">
        <f t="shared" si="27"/>
        <v>4271269.0110898465</v>
      </c>
      <c r="M35" s="470">
        <f t="shared" si="28"/>
        <v>640690.3516634769</v>
      </c>
      <c r="N35" s="467">
        <f t="shared" si="29"/>
        <v>4911959.3627533233</v>
      </c>
      <c r="O35" s="467">
        <f t="shared" si="30"/>
        <v>4877959.2627533237</v>
      </c>
      <c r="P35" s="467"/>
      <c r="Q35" s="607">
        <f>Q11</f>
        <v>32</v>
      </c>
      <c r="R35" s="470">
        <f t="shared" si="3"/>
        <v>156094696.40810636</v>
      </c>
    </row>
    <row r="36" spans="1:18">
      <c r="A36" s="678">
        <v>7</v>
      </c>
      <c r="B36" s="463">
        <f>NhanCong_QG!B6</f>
        <v>2</v>
      </c>
      <c r="C36" s="462" t="str">
        <f>NhanCong_QG!C6</f>
        <v>Xây dựng siêu dữ liệu thống kê, kiểm kê đất đai</v>
      </c>
      <c r="D36" s="468"/>
      <c r="E36" s="468"/>
      <c r="F36" s="579"/>
      <c r="G36" s="470"/>
      <c r="H36" s="471"/>
      <c r="I36" s="471"/>
      <c r="J36" s="471"/>
      <c r="K36" s="471"/>
      <c r="L36" s="467"/>
      <c r="M36" s="470"/>
      <c r="N36" s="467"/>
      <c r="O36" s="467"/>
      <c r="P36" s="467"/>
      <c r="Q36" s="607"/>
      <c r="R36" s="470"/>
    </row>
    <row r="37" spans="1:18" ht="31.5">
      <c r="A37" s="631" t="s">
        <v>874</v>
      </c>
      <c r="B37" s="468" t="str">
        <f>NhanCong_QG!B7</f>
        <v>2.1</v>
      </c>
      <c r="C37" s="469" t="str">
        <f>NhanCong_QG!C7</f>
        <v>Thu nhận các thông tin cần thiết về các dữ liệu để xây dựng siêu dữ liệu</v>
      </c>
      <c r="D37" s="468" t="str">
        <f>NhanCong_QG!D7</f>
        <v>Bộ dữ liệu cho cả nước</v>
      </c>
      <c r="E37" s="468" t="str">
        <f>NhanCong_QG!E7</f>
        <v>1KS1</v>
      </c>
      <c r="F37" s="579">
        <f>NhanCong_QG!F7</f>
        <v>5</v>
      </c>
      <c r="G37" s="470">
        <f>VLOOKUP(A37,NhanCong_QG!$A$4:$J$49,9,FALSE)</f>
        <v>833798.26923076925</v>
      </c>
      <c r="H37" s="471">
        <f>VLOOKUP(A37,Dcu_QG!$A$14:$G$70,7,FALSE)</f>
        <v>15703.199976358976</v>
      </c>
      <c r="I37" s="471">
        <f>VLOOKUP(A37,'Vat-lieu_QG'!$A$15:$F$69,6,FALSE)</f>
        <v>63897.337727999999</v>
      </c>
      <c r="J37" s="471">
        <f>VLOOKUP(A37,'Thiet-bi_QG'!$A$5:$K$121,10,FALSE)</f>
        <v>16999.900000000001</v>
      </c>
      <c r="K37" s="471">
        <f>VLOOKUP(A37,'Thiet-bi_QG'!$A$5:$K$121,11,FALSE)</f>
        <v>31471.5504</v>
      </c>
      <c r="L37" s="467">
        <f>SUM(G37:K37)</f>
        <v>961870.25733512826</v>
      </c>
      <c r="M37" s="470">
        <f t="shared" ref="M37" si="31">L37*0.15</f>
        <v>144280.53860026924</v>
      </c>
      <c r="N37" s="467">
        <f t="shared" ref="N37" si="32">L37+M37</f>
        <v>1106150.7959353975</v>
      </c>
      <c r="O37" s="467">
        <f t="shared" ref="O37" si="33">N37-J37</f>
        <v>1089150.8959353976</v>
      </c>
      <c r="P37" s="467"/>
      <c r="Q37" s="607">
        <v>1</v>
      </c>
      <c r="R37" s="470">
        <f t="shared" si="3"/>
        <v>1089150.8959353976</v>
      </c>
    </row>
    <row r="38" spans="1:18" ht="31.5">
      <c r="A38" s="631" t="s">
        <v>875</v>
      </c>
      <c r="B38" s="468" t="str">
        <f>NhanCong_QG!B8</f>
        <v>2.2</v>
      </c>
      <c r="C38" s="469" t="str">
        <f>NhanCong_QG!C8</f>
        <v>Nhập thông tin siêu dữ liệu</v>
      </c>
      <c r="D38" s="468" t="str">
        <f>NhanCong_QG!D8</f>
        <v>Bộ dữ liệu cho cả nước</v>
      </c>
      <c r="E38" s="468" t="str">
        <f>NhanCong_QG!E8</f>
        <v>1KS1</v>
      </c>
      <c r="F38" s="579">
        <f>NhanCong_QG!F8</f>
        <v>3</v>
      </c>
      <c r="G38" s="470">
        <f>VLOOKUP(A38,NhanCong_QG!$A$4:$J$49,9,FALSE)</f>
        <v>500278.9615384615</v>
      </c>
      <c r="H38" s="471">
        <f>VLOOKUP(A38,Dcu_QG!$A$14:$G$70,7,FALSE)</f>
        <v>9416.6445546923078</v>
      </c>
      <c r="I38" s="471">
        <f>VLOOKUP(A38,'Vat-lieu_QG'!$A$15:$F$69,6,FALSE)</f>
        <v>38309.270111999998</v>
      </c>
      <c r="J38" s="471">
        <f>VLOOKUP(A38,'Thiet-bi_QG'!$A$5:$K$121,10,FALSE)</f>
        <v>24705.72</v>
      </c>
      <c r="K38" s="471">
        <f>VLOOKUP(A38,'Thiet-bi_QG'!$A$5:$K$121,11,FALSE)</f>
        <v>18883.199999999997</v>
      </c>
      <c r="L38" s="467">
        <f>SUM(G38:K38)</f>
        <v>591593.79620515369</v>
      </c>
      <c r="M38" s="470">
        <f t="shared" si="18"/>
        <v>88739.069430773045</v>
      </c>
      <c r="N38" s="467">
        <f t="shared" si="19"/>
        <v>680332.86563592672</v>
      </c>
      <c r="O38" s="467">
        <f t="shared" si="20"/>
        <v>655627.14563592675</v>
      </c>
      <c r="P38" s="467"/>
      <c r="Q38" s="607">
        <v>1</v>
      </c>
      <c r="R38" s="470">
        <f t="shared" si="3"/>
        <v>655627.14563592675</v>
      </c>
    </row>
    <row r="39" spans="1:18" ht="31.5">
      <c r="A39" s="678">
        <v>8</v>
      </c>
      <c r="B39" s="463">
        <f>NhanCong_QG!B9</f>
        <v>3</v>
      </c>
      <c r="C39" s="466" t="str">
        <f>NhanCong_QG!C9</f>
        <v>Kiểm tra, nghiệm thu cơ sở dữ liệu thống kê, kiểm kê đất đai</v>
      </c>
      <c r="D39" s="468"/>
      <c r="E39" s="468"/>
      <c r="F39" s="468"/>
      <c r="G39" s="470"/>
      <c r="H39" s="471"/>
      <c r="I39" s="471"/>
      <c r="J39" s="471"/>
      <c r="K39" s="471"/>
      <c r="L39" s="467"/>
      <c r="M39" s="470"/>
      <c r="N39" s="467"/>
      <c r="O39" s="467"/>
      <c r="P39" s="467"/>
      <c r="Q39" s="607"/>
      <c r="R39" s="470"/>
    </row>
    <row r="40" spans="1:18" ht="47.25">
      <c r="A40" s="684" t="s">
        <v>842</v>
      </c>
      <c r="B40" s="468" t="str">
        <f>NhanCong_QG!B10</f>
        <v/>
      </c>
      <c r="C40" s="469" t="str">
        <f>NhanCong_QG!C10</f>
        <v>Đơn vị thi công chuẩn bị tài liệu và phục vụ giám sát, kiểm tra, nghiệm thu. Đóng gói giao nộp cơ sở dữ liệu thống kê, kiểm kê đất đai</v>
      </c>
      <c r="D40" s="468" t="str">
        <f>NhanCong_QG!D10</f>
        <v>Bộ dữ liệu cho cả nước</v>
      </c>
      <c r="E40" s="468" t="str">
        <f>NhanCong_QG!E10</f>
        <v>Nhóm 2 (1KTV4+1KS2)</v>
      </c>
      <c r="F40" s="579">
        <f>NhanCong_QG!F10</f>
        <v>10</v>
      </c>
      <c r="G40" s="470">
        <f>VLOOKUP(A40,NhanCong_QG!$A$4:$J$49,9,FALSE)</f>
        <v>3653680.576923077</v>
      </c>
      <c r="H40" s="471">
        <f>VLOOKUP(A40,Dcu_QG!$A$14:$G$70,7,FALSE)</f>
        <v>31397.60756751282</v>
      </c>
      <c r="I40" s="471">
        <f>VLOOKUP(A40,'Vat-lieu_QG'!$A$15:$F$69,6,FALSE)</f>
        <v>127746.12124800001</v>
      </c>
      <c r="J40" s="471">
        <f>VLOOKUP(A40,'Thiet-bi_QG'!$A$5:$K$121,10,FALSE)</f>
        <v>225685.8</v>
      </c>
      <c r="K40" s="471">
        <f>VLOOKUP(A40,'Thiet-bi_QG'!$A$5:$K$121,11,FALSE)</f>
        <v>67260.609599999996</v>
      </c>
      <c r="L40" s="472">
        <f>SUM(G40:K40)</f>
        <v>4105770.7153385896</v>
      </c>
      <c r="M40" s="470">
        <f t="shared" ref="M40" si="34">L40*0.15</f>
        <v>615865.6073007884</v>
      </c>
      <c r="N40" s="472">
        <f t="shared" ref="N40" si="35">L40+M40</f>
        <v>4721636.3226393778</v>
      </c>
      <c r="O40" s="472">
        <f t="shared" ref="O40" si="36">N40-J40</f>
        <v>4495950.522639378</v>
      </c>
      <c r="P40" s="472"/>
      <c r="Q40" s="607">
        <v>1</v>
      </c>
      <c r="R40" s="470">
        <f t="shared" si="3"/>
        <v>4495950.522639378</v>
      </c>
    </row>
    <row r="41" spans="1:18">
      <c r="A41" s="631"/>
      <c r="B41" s="468"/>
      <c r="C41" s="467" t="s">
        <v>37</v>
      </c>
      <c r="D41" s="467"/>
      <c r="E41" s="467"/>
      <c r="F41" s="467"/>
      <c r="G41" s="467">
        <f t="shared" ref="G41:L41" si="37">SUM(G7:G40)</f>
        <v>32698209.883846149</v>
      </c>
      <c r="H41" s="467">
        <f t="shared" si="37"/>
        <v>376961.67413230776</v>
      </c>
      <c r="I41" s="467">
        <f t="shared" si="37"/>
        <v>1879555.88974359</v>
      </c>
      <c r="J41" s="467">
        <f t="shared" si="37"/>
        <v>2582978.6476799999</v>
      </c>
      <c r="K41" s="467">
        <f t="shared" si="37"/>
        <v>760068.29407999991</v>
      </c>
      <c r="L41" s="467">
        <f t="shared" si="37"/>
        <v>38297774.389482051</v>
      </c>
      <c r="M41" s="468"/>
      <c r="N41" s="468"/>
      <c r="O41" s="467">
        <f t="shared" ref="O41:R41" si="38">SUM(O7:O40)</f>
        <v>41459461.900224365</v>
      </c>
      <c r="P41" s="467"/>
      <c r="Q41" s="607"/>
      <c r="R41" s="467">
        <f t="shared" si="38"/>
        <v>1848863596.5603087</v>
      </c>
    </row>
    <row r="42" spans="1:18" hidden="1">
      <c r="C42" s="630" t="s">
        <v>884</v>
      </c>
      <c r="G42" s="683">
        <v>28409115.307692301</v>
      </c>
      <c r="H42" s="683">
        <v>898348.91292390402</v>
      </c>
      <c r="I42" s="683">
        <v>1432080</v>
      </c>
      <c r="J42" s="683">
        <v>774747.25333333341</v>
      </c>
      <c r="K42" s="683">
        <v>1416583.0900000003</v>
      </c>
      <c r="L42" s="683">
        <v>32935803.199553747</v>
      </c>
      <c r="M42" s="683"/>
      <c r="N42" s="683"/>
      <c r="O42" s="683"/>
      <c r="P42" s="683"/>
      <c r="Q42" s="683"/>
      <c r="R42" s="683">
        <v>1613037136.6034117</v>
      </c>
    </row>
    <row r="43" spans="1:18" hidden="1">
      <c r="C43" s="630" t="s">
        <v>885</v>
      </c>
    </row>
    <row r="44" spans="1:18" ht="6" customHeight="1"/>
    <row r="45" spans="1:18">
      <c r="B45" s="682" t="s">
        <v>263</v>
      </c>
    </row>
    <row r="46" spans="1:18" ht="93.95" customHeight="1">
      <c r="B46" s="1200" t="s">
        <v>939</v>
      </c>
      <c r="C46" s="1201"/>
      <c r="D46" s="1201"/>
      <c r="E46" s="1201"/>
      <c r="F46" s="1201"/>
      <c r="G46" s="1201"/>
      <c r="H46" s="1201"/>
      <c r="I46" s="1201"/>
      <c r="J46" s="1201"/>
      <c r="K46" s="1201"/>
      <c r="L46" s="1201"/>
      <c r="M46" s="1201"/>
      <c r="N46" s="1201"/>
      <c r="O46" s="1201"/>
      <c r="P46" s="1201"/>
      <c r="Q46" s="1201"/>
      <c r="R46" s="1201"/>
    </row>
    <row r="47" spans="1:18">
      <c r="B47" s="1198" t="s">
        <v>940</v>
      </c>
      <c r="C47" s="1198"/>
      <c r="D47" s="1198"/>
      <c r="E47" s="1198"/>
      <c r="F47" s="1198"/>
      <c r="G47" s="1198"/>
      <c r="H47" s="1198"/>
      <c r="I47" s="1198"/>
      <c r="J47" s="1198"/>
      <c r="K47" s="1198"/>
    </row>
  </sheetData>
  <mergeCells count="22">
    <mergeCell ref="B1:R1"/>
    <mergeCell ref="N3:N4"/>
    <mergeCell ref="O3:O4"/>
    <mergeCell ref="S3:S4"/>
    <mergeCell ref="E3:E4"/>
    <mergeCell ref="F3:F4"/>
    <mergeCell ref="Q3:Q4"/>
    <mergeCell ref="R3:R4"/>
    <mergeCell ref="P3:P4"/>
    <mergeCell ref="B47:K47"/>
    <mergeCell ref="A3:A4"/>
    <mergeCell ref="B46:R46"/>
    <mergeCell ref="B2:I2"/>
    <mergeCell ref="B3:B4"/>
    <mergeCell ref="C3:C4"/>
    <mergeCell ref="D3:D4"/>
    <mergeCell ref="G3:G4"/>
    <mergeCell ref="H3:H4"/>
    <mergeCell ref="I3:I4"/>
    <mergeCell ref="J3:K3"/>
    <mergeCell ref="L3:L4"/>
    <mergeCell ref="M3:M4"/>
  </mergeCells>
  <pageMargins left="0.59055118110236227" right="0.19685039370078741" top="0.19685039370078741" bottom="0.19685039370078741"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L_CBan</vt:lpstr>
      <vt:lpstr>Gia_Tbi</vt:lpstr>
      <vt:lpstr>Gia_Dcu</vt:lpstr>
      <vt:lpstr>Gia_VLieu</vt:lpstr>
      <vt:lpstr>NhanCong_QG</vt:lpstr>
      <vt:lpstr>Thiet-bi_QG</vt:lpstr>
      <vt:lpstr>Dcu_QG</vt:lpstr>
      <vt:lpstr>Vat-lieu_QG</vt:lpstr>
      <vt:lpstr>DonGia_QG</vt:lpstr>
      <vt:lpstr>TinhThu2000-2015_QG</vt:lpstr>
      <vt:lpstr>NhanCong_Xa</vt:lpstr>
      <vt:lpstr>Thiet-bi_Xa</vt:lpstr>
      <vt:lpstr>Dcu_Xa</vt:lpstr>
      <vt:lpstr>Vat-lieu_Xa</vt:lpstr>
      <vt:lpstr>DonGia_Xa</vt:lpstr>
      <vt:lpstr>NhanCong_Huyen</vt:lpstr>
      <vt:lpstr>Thiet-bi_Huyen</vt:lpstr>
      <vt:lpstr>Dcu_Huyen</vt:lpstr>
      <vt:lpstr>Vat-lieu_Huyen</vt:lpstr>
      <vt:lpstr>DonGia_Huyen</vt:lpstr>
      <vt:lpstr>NhanCong_Tinh</vt:lpstr>
      <vt:lpstr>Thiet-bi_Tinh</vt:lpstr>
      <vt:lpstr>Dcu_Tinh</vt:lpstr>
      <vt:lpstr>Vat-lieu_Tinh</vt:lpstr>
      <vt:lpstr>DonGia_Tinh</vt:lpstr>
      <vt:lpstr>TinhThu2000-2015_Tinh</vt:lpstr>
      <vt:lpstr>TinhThu2000-2015_Huyen</vt:lpstr>
      <vt:lpstr>Tbi</vt:lpstr>
      <vt:lpstr>VLieu</vt:lpstr>
      <vt:lpstr>DoiTuongQL</vt:lpstr>
      <vt:lpstr>Metadata</vt:lpstr>
      <vt:lpstr>ChitietNhapTin</vt:lpstr>
      <vt:lpstr>ChiTietBangBieu1</vt:lpstr>
      <vt:lpstr>TinhThu2000-2015_Xa</vt:lpstr>
      <vt:lpstr>Chitietbangbieu</vt:lpstr>
      <vt:lpstr>TinhThuVLAP</vt:lpstr>
      <vt:lpstr>DuToan1huyen</vt:lpstr>
      <vt:lpstr>Dcu_Huyen!Print_Area</vt:lpstr>
      <vt:lpstr>Dcu_Tinh!Print_Area</vt:lpstr>
      <vt:lpstr>DonGia_Huyen!Print_Area</vt:lpstr>
      <vt:lpstr>DonGia_QG!Print_Area</vt:lpstr>
      <vt:lpstr>DonGia_Tinh!Print_Area</vt:lpstr>
      <vt:lpstr>DonGia_Xa!Print_Area</vt:lpstr>
      <vt:lpstr>NhanCong_Tinh!Print_Area</vt:lpstr>
      <vt:lpstr>NhanCong_Xa!Print_Area</vt:lpstr>
      <vt:lpstr>'Thiet-bi_Tinh'!Print_Area</vt:lpstr>
      <vt:lpstr>'Vat-lieu_Huyen'!Print_Area</vt:lpstr>
      <vt:lpstr>'Vat-lieu_Tinh'!Print_Area</vt:lpstr>
      <vt:lpstr>Dcu_Huyen!Print_Titles</vt:lpstr>
      <vt:lpstr>Dcu_QG!Print_Titles</vt:lpstr>
      <vt:lpstr>DoiTuongQL!Print_Titles</vt:lpstr>
      <vt:lpstr>DonGia_Huyen!Print_Titles</vt:lpstr>
      <vt:lpstr>DonGia_QG!Print_Titles</vt:lpstr>
      <vt:lpstr>DonGia_Tinh!Print_Titles</vt:lpstr>
      <vt:lpstr>DonGia_Xa!Print_Titles</vt:lpstr>
      <vt:lpstr>Gia_Dcu!Print_Titles</vt:lpstr>
      <vt:lpstr>Gia_Tbi!Print_Titles</vt:lpstr>
      <vt:lpstr>Gia_VLieu!Print_Titles</vt:lpstr>
      <vt:lpstr>L_CBan!Print_Titles</vt:lpstr>
      <vt:lpstr>Metadata!Print_Titles</vt:lpstr>
      <vt:lpstr>NhanCong_Xa!Print_Titles</vt:lpstr>
      <vt:lpstr>Tbi!Print_Titles</vt:lpstr>
      <vt:lpstr>VLieu!Print_Titles</vt:lpstr>
    </vt:vector>
  </TitlesOfParts>
  <Company>TTKTĐCVCNTT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Nguyễn Hoài Nam</dc:creator>
  <cp:lastModifiedBy>AutoBVT</cp:lastModifiedBy>
  <cp:lastPrinted>2019-05-07T09:09:22Z</cp:lastPrinted>
  <dcterms:created xsi:type="dcterms:W3CDTF">2002-07-07T11:49:09Z</dcterms:created>
  <dcterms:modified xsi:type="dcterms:W3CDTF">2019-08-09T03:38:17Z</dcterms:modified>
</cp:coreProperties>
</file>